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12.xml" ContentType="application/vnd.openxmlformats-officedocument.spreadsheetml.comments+xml"/>
  <Override PartName="/xl/comments11.xml" ContentType="application/vnd.openxmlformats-officedocument.spreadsheetml.comments+xml"/>
  <Override PartName="/xl/comments5.xml" ContentType="application/vnd.openxmlformats-officedocument.spreadsheetml.comments+xml"/>
  <Override PartName="/xl/comments15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drawing1.xml" ContentType="application/vnd.openxmlformats-officedocument.drawing+xml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vmlDrawing11.vml" ContentType="application/vnd.openxmlformats-officedocument.vmlDrawing"/>
  <Override PartName="/xl/comments4.xml" ContentType="application/vnd.openxmlformats-officedocument.spreadsheetml.comments+xml"/>
  <Override PartName="/xl/ctrlProps/ctrlProps2.xml" ContentType="application/vnd.ms-excel.controlproperties+xml"/>
  <Override PartName="/xl/sharedStrings.xml" ContentType="application/vnd.openxmlformats-officedocument.spreadsheetml.sharedStrings+xml"/>
  <Override PartName="/xl/comments17.xml" ContentType="application/vnd.openxmlformats-officedocument.spreadsheetml.comment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omments18.xml" ContentType="application/vnd.openxmlformats-officedocument.spreadsheetml.comments+xml"/>
  <Override PartName="/xl/theme/theme1.xml" ContentType="application/vnd.openxmlformats-officedocument.theme+xml"/>
  <Override PartName="/xl/comments19.xml" ContentType="application/vnd.openxmlformats-officedocument.spreadsheetml.comments+xml"/>
  <Override PartName="/xl/worksheets/_rels/sheet19.xml.rels" ContentType="application/vnd.openxmlformats-package.relationship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4.xml.rels" ContentType="application/vnd.openxmlformats-package.relationships+xml"/>
  <Override PartName="/xl/worksheets/_rels/sheet12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comments9.xml" ContentType="application/vnd.openxmlformats-officedocument.spreadsheetml.comments+xml"/>
  <Override PartName="/xl/comments6.xml" ContentType="application/vnd.openxmlformats-officedocument.spreadsheetml.comments+xml"/>
  <Override PartName="/xl/comments16.xml" ContentType="application/vnd.openxmlformats-officedocument.spreadsheetml.comments+xml"/>
  <Override PartName="/xl/styles.xml" ContentType="application/vnd.openxmlformats-officedocument.spreadsheetml.styl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Y Curve" sheetId="1" state="visible" r:id="rId3"/>
    <sheet name="Michigan Curve" sheetId="2" state="visible" r:id="rId4"/>
    <sheet name="FX" sheetId="3" state="visible" r:id="rId5"/>
    <sheet name="Int Curves" sheetId="4" state="visible" r:id="rId6"/>
    <sheet name="WC " sheetId="5" state="visible" r:id="rId7"/>
    <sheet name="BS" sheetId="6" state="visible" r:id="rId8"/>
    <sheet name="CF" sheetId="7" state="visible" r:id="rId9"/>
    <sheet name="IS" sheetId="8" state="visible" r:id="rId10"/>
    <sheet name="Debt Amort" sheetId="9" state="visible" r:id="rId11"/>
    <sheet name="Temp Tax Diff" sheetId="10" state="visible" r:id="rId12"/>
    <sheet name="Tax" sheetId="11" state="visible" r:id="rId13"/>
    <sheet name="O &amp; M" sheetId="12" state="visible" r:id="rId14"/>
    <sheet name="SemiAnnual IRR" sheetId="13" state="visible" r:id="rId15"/>
    <sheet name="Construction" sheetId="14" state="visible" r:id="rId16"/>
    <sheet name="Operational Detail" sheetId="15" state="visible" r:id="rId17"/>
    <sheet name="Cashflow" sheetId="16" state="visible" r:id="rId18"/>
    <sheet name="Tables" sheetId="17" state="visible" r:id="rId19"/>
    <sheet name="Assumptions" sheetId="18" state="visible" r:id="rId20"/>
    <sheet name="Monthly Table" sheetId="19" state="visible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function="false" hidden="false" localSheetId="17" name="_xlnm.Print_Area" vbProcedure="false">Assumptions!$A$1:$H$80</definedName>
    <definedName function="false" hidden="false" localSheetId="5" name="_xlnm.Print_Area" vbProcedure="false">BS!$A$1:$L$44</definedName>
    <definedName function="false" hidden="false" localSheetId="5" name="_xlnm.Print_Titles" vbProcedure="false">BS!$A:$A,BS!$1:$1</definedName>
    <definedName function="false" hidden="false" localSheetId="15" name="_xlnm.Print_Area" vbProcedure="false">Cashflow!$B$1:$X$76</definedName>
    <definedName function="false" hidden="false" localSheetId="6" name="_xlnm.Print_Area" vbProcedure="false">CF!$A$1:$AA$54</definedName>
    <definedName function="false" hidden="false" localSheetId="13" name="_xlnm.Print_Area" vbProcedure="false">Construction!$A$1:$AA$57</definedName>
    <definedName function="false" hidden="false" localSheetId="13" name="_xlnm.Print_Titles" vbProcedure="false">Construction!$A:$A</definedName>
    <definedName function="false" hidden="false" localSheetId="8" name="_xlnm.Print_Area" vbProcedure="false">'Debt Amort'!$B$2:$AC$39</definedName>
    <definedName function="false" hidden="false" localSheetId="7" name="_xlnm.Print_Titles" vbProcedure="false">IS!$A:$A,IS!$1:$2</definedName>
    <definedName function="false" hidden="false" localSheetId="1" name="_xlnm.Print_Area" vbProcedure="false">'Michigan Curve'!$A$4:$K$256</definedName>
    <definedName function="false" hidden="false" localSheetId="18" name="_xlnm.Print_Area" vbProcedure="false">'Monthly Table'!$A$4:$CZ$244</definedName>
    <definedName function="false" hidden="false" localSheetId="0" name="_xlnm.Print_Area" vbProcedure="false">'NY Curve'!$A$4:$L$256</definedName>
    <definedName function="false" hidden="false" localSheetId="11" name="_xlnm.Print_Titles" vbProcedure="false">'O &amp; M'!$A:$C</definedName>
    <definedName function="false" hidden="false" localSheetId="14" name="_xlnm.Print_Area" vbProcedure="false">'Operational Detail'!$B$3:$X$141</definedName>
    <definedName function="false" hidden="false" localSheetId="12" name="_xlnm.Print_Area" vbProcedure="false">'SemiAnnual IRR'!$A$2:$K$46</definedName>
    <definedName function="false" hidden="false" localSheetId="10" name="_xlnm.Print_Area" vbProcedure="false">Tax!$A$1:$U$106</definedName>
    <definedName function="false" hidden="false" localSheetId="4" name="_xlnm.Print_Area" vbProcedure="false">'WC '!$A$2:$AA$23</definedName>
    <definedName function="false" hidden="false" localSheetId="4" name="_xlnm.Print_Titles" vbProcedure="false">'WC '!$A:$B,'WC '!$2:$4</definedName>
    <definedName function="false" hidden="false" name="CapacityColumn" vbProcedure="false">'Monthly Table'!$U$10:$U$118</definedName>
    <definedName function="false" hidden="false" name="CapacityRow" vbProcedure="false">'Monthly Table'!$A$10:$X$10</definedName>
    <definedName function="false" hidden="false" name="CapacityTable" vbProcedure="false">'Monthly Table'!$A$10:$X$70</definedName>
    <definedName function="false" hidden="false" name="CashflowColumn" vbProcedure="false">Cashflow!$B:$B</definedName>
    <definedName function="false" hidden="false" name="CashflowRow" vbProcedure="false">Cashflow!$7:$7</definedName>
    <definedName function="false" hidden="false" name="CashflowTable" vbProcedure="false">Cashflow!$1:$65536</definedName>
    <definedName function="false" hidden="false" name="Column" vbProcedure="false">'WC '!$A:$A</definedName>
    <definedName function="false" hidden="false" name="ConBegin" vbProcedure="false">#REF!</definedName>
    <definedName function="false" hidden="false" name="ConEnd" vbProcedure="false">#REF!</definedName>
    <definedName function="false" hidden="false" name="ConstCAD" vbProcedure="false">#REF!</definedName>
    <definedName function="false" hidden="false" name="Curve" vbProcedure="false">[3]HJM!$C$515</definedName>
    <definedName function="false" hidden="false" name="DebtReserveColumn" vbProcedure="false">'Debt Amort'!$B$103:$B$118</definedName>
    <definedName function="false" hidden="false" name="DebtReserveRow" vbProcedure="false">'Debt Amort'!$B$103:$AB$103</definedName>
    <definedName function="false" hidden="false" name="DebtReserveTable" vbProcedure="false">'Debt Amort'!$B$103:$AC$118</definedName>
    <definedName function="false" hidden="false" name="DepnColumn" vbProcedure="false">BS!$A$90:$A$93</definedName>
    <definedName function="false" hidden="false" name="DepnRow" vbProcedure="false">BS!$90:$90</definedName>
    <definedName function="false" hidden="false" name="DepnTable" vbProcedure="false">BS!$A$90:$U$93</definedName>
    <definedName function="false" hidden="false" name="EnergyCurve" vbProcedure="false">#REF!:'Monthly Table'!$AK$118</definedName>
    <definedName function="false" hidden="false" name="EngineeringCAD" vbProcedure="false">#REF!</definedName>
    <definedName function="false" hidden="false" name="EngineeringEquip" vbProcedure="false">#REF!</definedName>
    <definedName function="false" hidden="false" name="EngineeringEquipCAD" vbProcedure="false">#REF!</definedName>
    <definedName function="false" hidden="false" name="EPV_15" vbProcedure="false">'[4]'!$AY$12851</definedName>
    <definedName function="false" hidden="false" name="EPV_20" vbProcedure="false">'[4]'!$AX$12594</definedName>
    <definedName function="false" hidden="false" name="EQUITY" vbProcedure="false">[1]Assumpt!$A$6940</definedName>
    <definedName function="false" hidden="false" name="FacTitle" vbProcedure="false">#REF!</definedName>
    <definedName function="false" hidden="false" name="FedTaxColumn" vbProcedure="false">Tables!$A$40:$A$45</definedName>
    <definedName function="false" hidden="false" name="FedTaxRow" vbProcedure="false">Tables!$40:$40</definedName>
    <definedName function="false" hidden="false" name="FedTaxTable" vbProcedure="false">Tables!$A$40:$AA$45</definedName>
    <definedName function="false" hidden="false" name="FOR_THE_MONTH_OF_JUNE_1995" vbProcedure="false">'[2]Division-US$'!$B$3</definedName>
    <definedName function="false" hidden="false" name="fxcurve" vbProcedure="false">FX!$F$2:$G$28</definedName>
    <definedName function="false" hidden="false" name="GasColumn" vbProcedure="false">'Monthly Table'!$DB$10:$DB$30</definedName>
    <definedName function="false" hidden="false" name="GasRow" vbProcedure="false">'Monthly Table'!$DB$10:$DF$10</definedName>
    <definedName function="false" hidden="false" name="Gas_Price_Table" vbProcedure="false">'Monthly Table'!$DB$10:$DF$30</definedName>
    <definedName function="false" hidden="false" name="Income_Statement" vbProcedure="false">IS!$1:$65536</definedName>
    <definedName function="false" hidden="false" name="IndirectCosts" vbProcedure="false">#REF!</definedName>
    <definedName function="false" hidden="false" name="IntDate" vbProcedure="false">'Int Curves'!$L$3:$L$56</definedName>
    <definedName function="false" hidden="false" name="InterestColumn" vbProcedure="false">'Debt Amort'!$B:$B</definedName>
    <definedName function="false" hidden="false" name="InterestRateCurve" vbProcedure="false">'Int Curves'!$L:$M</definedName>
    <definedName function="false" hidden="false" name="InterestRow" vbProcedure="false">'Debt Amort'!$12:$12</definedName>
    <definedName function="false" hidden="false" name="InterestTable" vbProcedure="false">'Debt Amort'!$B$12:$AB$45</definedName>
    <definedName function="false" hidden="false" name="IntIncomeRate" vbProcedure="false">#REF!</definedName>
    <definedName function="false" hidden="false" name="ISColumn" vbProcedure="false">IS!$A:$A</definedName>
    <definedName function="false" hidden="false" name="ISRow" vbProcedure="false">IS!$2:$2</definedName>
    <definedName function="false" hidden="false" name="LabourBase" vbProcedure="false">#REF!</definedName>
    <definedName function="false" hidden="false" name="LngTermDebtColumn" vbProcedure="false">'Debt Amort'!$B$12:$B$39</definedName>
    <definedName function="false" hidden="false" name="LOAN_FEES" vbProcedure="false">[1]Assumpt!$A$7197</definedName>
    <definedName function="false" hidden="false" name="MarginCAD" vbProcedure="false">#REF!</definedName>
    <definedName function="false" hidden="false" name="MichiganCurve" vbProcedure="false">'Michigan Curve'!$A$4:$K$256</definedName>
    <definedName function="false" hidden="false" name="MichiganRow" vbProcedure="false">'Michigan Curve'!$A$4:$K$4</definedName>
    <definedName function="false" hidden="false" name="NYCurve" vbProcedure="false">'NY Curve'!$A$4:$L$256</definedName>
    <definedName function="false" hidden="false" name="NYRow" vbProcedure="false">'NY Curve'!$A$4:$L$4</definedName>
    <definedName function="false" hidden="false" name="ODColumn" vbProcedure="false">'Operational Detail'!$B:$B</definedName>
    <definedName function="false" hidden="false" name="ODRow" vbProcedure="false">'Operational Detail'!$3:$3</definedName>
    <definedName function="false" hidden="false" name="OpCashColumn" vbProcedure="false">'Debt Amort'!$B$122:$B$140</definedName>
    <definedName function="false" hidden="false" name="OpCashRow" vbProcedure="false">'Debt Amort'!$B$122:$AB$122</definedName>
    <definedName function="false" hidden="false" name="OperatingCash" vbProcedure="false">'Debt Amort'!$B$122:$AB$140</definedName>
    <definedName function="false" hidden="false" name="OperationalDetail" vbProcedure="false">'Operational Detail'!$1:$65536</definedName>
    <definedName function="false" hidden="false" name="Othercosts" vbProcedure="false">#REF!</definedName>
    <definedName function="false" hidden="false" name="O_MColumn" vbProcedure="false">'O &amp; M'!$B:$B</definedName>
    <definedName function="false" hidden="false" name="O_MRow" vbProcedure="false">'O &amp; M'!$3:$3</definedName>
    <definedName function="false" hidden="false" name="O_MTable" vbProcedure="false">'O &amp; M'!$1:$65536</definedName>
    <definedName function="false" hidden="false" name="Project" vbProcedure="false">#REF!</definedName>
    <definedName function="false" hidden="false" name="ProjectMgmt" vbProcedure="false">#REF!</definedName>
    <definedName function="false" hidden="false" name="ProvTaxColumn" vbProcedure="false">Tables!$A$62:$A$66</definedName>
    <definedName function="false" hidden="false" name="ProvTaxRow" vbProcedure="false">Tables!$62:$62</definedName>
    <definedName function="false" hidden="false" name="ProvTaxTable" vbProcedure="false">Tables!$A$62:$AA$66</definedName>
    <definedName function="false" hidden="false" name="Row" vbProcedure="false">'WC '!$4:$4</definedName>
    <definedName function="false" hidden="false" name="RunHours" vbProcedure="false">'Monthly Table'!$BG$10:$BI$118</definedName>
    <definedName function="false" hidden="false" name="RunHoursColumn" vbProcedure="false">#REF!</definedName>
    <definedName function="false" hidden="false" name="Run_Hours" vbProcedure="false">#NAME?</definedName>
    <definedName function="false" hidden="false" name="Saturday_Scalar" vbProcedure="false">#REF!</definedName>
    <definedName function="false" hidden="false" name="ScalarTable" vbProcedure="false">'NY Curve'!$Y$8:$AA$19</definedName>
    <definedName function="false" hidden="false" name="SCENARIO" vbProcedure="false">[1]Assumpt!$A$1286</definedName>
    <definedName function="false" hidden="false" name="SeasonTable" vbProcedure="false">'NY Curve'!$V$8:$W$19</definedName>
    <definedName function="false" hidden="false" name="SigmaL" vbProcedure="false">[3]HJM!$E$1029</definedName>
    <definedName function="false" hidden="false" name="SigmaS" vbProcedure="false">[3]HJM!$D$772</definedName>
    <definedName function="false" hidden="false" name="Startup" vbProcedure="false">#REF!</definedName>
    <definedName function="false" hidden="false" name="SubconMargin" vbProcedure="false">#REF!</definedName>
    <definedName function="false" hidden="false" name="TaxColumn" vbProcedure="false">Tax!$A:$A</definedName>
    <definedName function="false" hidden="false" name="TaxRow" vbProcedure="false">Tax!$3:$3</definedName>
    <definedName function="false" hidden="false" name="TaxTable" vbProcedure="false">Tax!$1:$65536</definedName>
    <definedName function="false" hidden="false" name="Tier2Column" vbProcedure="false">'Debt Amort'!$B$64:$B$93</definedName>
    <definedName function="false" hidden="false" name="Tier2Debt" vbProcedure="false">'Debt Amort'!$B$64:$AB$93</definedName>
    <definedName function="false" hidden="false" name="Tier2Row" vbProcedure="false">'Debt Amort'!$B$64:$AB$64</definedName>
    <definedName function="false" hidden="false" name="Total_Credits___Voucher" vbProcedure="false">[2]ECT_Form_31!$D$120</definedName>
    <definedName function="false" hidden="false" name="Wages2001" vbProcedure="false">'[6]O &amp; M'!$E$44</definedName>
    <definedName function="false" hidden="false" name="WC" vbProcedure="false">'WC '!$1:$65536</definedName>
    <definedName function="false" hidden="false" name="WinterGasColumn" vbProcedure="false">#REF!</definedName>
    <definedName function="false" hidden="false" name="WinterGasRow" vbProcedure="false">#REF!</definedName>
    <definedName function="false" hidden="false" name="WinterTable" vbProcedure="false">#REF!</definedName>
    <definedName function="false" hidden="false" name="Winter_Gas_Prices" vbProcedure="false">#REF!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1" name="Run_Hours" vbProcedure="false">#NAME?</definedName>
    <definedName function="false" hidden="false" localSheetId="1" name="ScalarTable" vbProcedure="false">'Michigan Curve'!$X$8:$Z$19</definedName>
    <definedName function="false" hidden="false" localSheetId="1" name="SeasonTable" vbProcedure="false">'Michigan Curve'!$U$8:$V$19</definedName>
    <definedName function="false" hidden="false" localSheetId="1" name="wrn_test1_" vbProcedure="false">{"Income Statement",#N/A,FALSE,"CFMODEL";"Balance Sheet",#N/A,FALSE,"CFMODEL"}</definedName>
    <definedName function="false" hidden="false" localSheetId="1" name="wrn_test2_" vbProcedure="false">{"SourcesUses",#N/A,TRUE,"CFMODEL";"TransOverview",#N/A,TRUE,"CFMODEL"}</definedName>
    <definedName function="false" hidden="false" localSheetId="1" name="wrn_test3_" vbProcedure="false">{"SourcesUses",#N/A,TRUE,#N/A;"TransOverview",#N/A,TRUE,"CFMODEL"}</definedName>
    <definedName function="false" hidden="false" localSheetId="1" name="wrn_test4_" vbProcedure="false">{"SourcesUses",#N/A,TRUE,"FundsFlow";"TransOverview",#N/A,TRUE,"FundsFlow"}</definedName>
    <definedName function="false" hidden="false" localSheetId="4" name="Project" vbProcedure="false">[5]Fin!$A$9767</definedName>
    <definedName function="false" hidden="false" localSheetId="4" name="WorkingCapital" vbProcedure="false">'WC '!$A$2</definedName>
    <definedName function="false" hidden="false" localSheetId="4" name="wrn_test1_" vbProcedure="false">{"Income Statement",#N/A,FALSE,"CFMODEL";"Balance Sheet",#N/A,FALSE,"CFMODEL"}</definedName>
    <definedName function="false" hidden="false" localSheetId="4" name="wrn_test2_" vbProcedure="false">{"SourcesUses",#N/A,TRUE,"CFMODEL";"TransOverview",#N/A,TRUE,"CFMODEL"}</definedName>
    <definedName function="false" hidden="false" localSheetId="4" name="wrn_test3_" vbProcedure="false">{"SourcesUses",#N/A,TRUE,#N/A;"TransOverview",#N/A,TRUE,"CFMODEL"}</definedName>
    <definedName function="false" hidden="false" localSheetId="4" name="wrn_test4_" vbProcedure="false">{"SourcesUses",#N/A,TRUE,"FundsFlow";"TransOverview",#N/A,TRUE,"FundsFlow"}</definedName>
    <definedName function="false" hidden="false" localSheetId="5" name="FirstYr" vbProcedure="false">BS!$C$3</definedName>
    <definedName function="false" hidden="false" localSheetId="5" name="Project" vbProcedure="false">[5]Fin!$J$39</definedName>
    <definedName function="false" hidden="false" localSheetId="5" name="wrn_test1_" vbProcedure="false">{"Income Statement",#N/A,FALSE,"CFMODEL";"Balance Sheet",#N/A,FALSE,"CFMODEL"}</definedName>
    <definedName function="false" hidden="false" localSheetId="5" name="wrn_test2_" vbProcedure="false">{"SourcesUses",#N/A,TRUE,"CFMODEL";"TransOverview",#N/A,TRUE,"CFMODEL"}</definedName>
    <definedName function="false" hidden="false" localSheetId="5" name="wrn_test3_" vbProcedure="false">{"SourcesUses",#N/A,TRUE,#N/A;"TransOverview",#N/A,TRUE,"CFMODEL"}</definedName>
    <definedName function="false" hidden="false" localSheetId="5" name="wrn_test4_" vbProcedure="false">{"SourcesUses",#N/A,TRUE,"FundsFlow";"TransOverview",#N/A,TRUE,"FundsFlow"}</definedName>
    <definedName function="false" hidden="false" localSheetId="6" name="Project" vbProcedure="false">[5]Fin!$J$39</definedName>
    <definedName function="false" hidden="false" localSheetId="6" name="wrn_test1_" vbProcedure="false">{"Income Statement",#N/A,FALSE,"CFMODEL";"Balance Sheet",#N/A,FALSE,"CFMODEL"}</definedName>
    <definedName function="false" hidden="false" localSheetId="6" name="wrn_test2_" vbProcedure="false">{"SourcesUses",#N/A,TRUE,"CFMODEL";"TransOverview",#N/A,TRUE,"CFMODEL"}</definedName>
    <definedName function="false" hidden="false" localSheetId="6" name="wrn_test3_" vbProcedure="false">{"SourcesUses",#N/A,TRUE,#N/A;"TransOverview",#N/A,TRUE,"CFMODEL"}</definedName>
    <definedName function="false" hidden="false" localSheetId="6" name="wrn_test4_" vbProcedure="false">{"SourcesUses",#N/A,TRUE,"FundsFlow";"TransOverview",#N/A,TRUE,"FundsFlow"}</definedName>
    <definedName function="false" hidden="false" localSheetId="9" name="ConBegin" vbProcedure="false">'[7]'!$C$22</definedName>
    <definedName function="false" hidden="false" localSheetId="9" name="ConEnd" vbProcedure="false">'[7]'!$C$23</definedName>
    <definedName function="false" hidden="false" localSheetId="9" name="ConstCAD" vbProcedure="false">'[7]'!$C$84</definedName>
    <definedName function="false" hidden="false" localSheetId="9" name="EngineeringCAD" vbProcedure="false">'[7]'!$C$40</definedName>
    <definedName function="false" hidden="false" localSheetId="9" name="EngineeringEquip" vbProcedure="false">'[7]'!$C$54</definedName>
    <definedName function="false" hidden="false" localSheetId="9" name="EngineeringEquipCAD" vbProcedure="false">'[7]'!$C$54</definedName>
    <definedName function="false" hidden="false" localSheetId="9" name="FacTitle" vbProcedure="false">'[7]'!$B$3:$T$3</definedName>
    <definedName function="false" hidden="false" localSheetId="9" name="IndirectCosts" vbProcedure="false">'[7]'!$C$92</definedName>
    <definedName function="false" hidden="false" localSheetId="9" name="IntIncomeRate" vbProcedure="false">'[7]'!$G$7</definedName>
    <definedName function="false" hidden="false" localSheetId="9" name="Labour2001" vbProcedure="false">'[8]O &amp; M'!$E$44</definedName>
    <definedName function="false" hidden="false" localSheetId="9" name="Labour2002" vbProcedure="false">'[8]O &amp; M'!$F$44</definedName>
    <definedName function="false" hidden="false" localSheetId="9" name="Labour2003" vbProcedure="false">'[8]O &amp; M'!$G$44</definedName>
    <definedName function="false" hidden="false" localSheetId="9" name="Labour2004" vbProcedure="false">'[8]O &amp; M'!$H$44</definedName>
    <definedName function="false" hidden="false" localSheetId="9" name="Labour2005" vbProcedure="false">'[8]O &amp; M'!$I$44</definedName>
    <definedName function="false" hidden="false" localSheetId="9" name="Labour2006" vbProcedure="false">'[8]O &amp; M'!$J$44</definedName>
    <definedName function="false" hidden="false" localSheetId="9" name="Labour2007" vbProcedure="false">'[8]O &amp; M'!$K$44</definedName>
    <definedName function="false" hidden="false" localSheetId="9" name="Labour2008" vbProcedure="false">'[8]O &amp; M'!$L$44</definedName>
    <definedName function="false" hidden="false" localSheetId="9" name="Labour2009" vbProcedure="false">'[8]O &amp; M'!$M$44</definedName>
    <definedName function="false" hidden="false" localSheetId="9" name="Labour2010" vbProcedure="false">'[8]O &amp; M'!$N$44</definedName>
    <definedName function="false" hidden="false" localSheetId="9" name="Labour2011" vbProcedure="false">'[8]O &amp; M'!$O$44</definedName>
    <definedName function="false" hidden="false" localSheetId="9" name="Labour2012" vbProcedure="false">'[8]O &amp; M'!$P$44</definedName>
    <definedName function="false" hidden="false" localSheetId="9" name="Labour2013" vbProcedure="false">'[8]O &amp; M'!$Q$44</definedName>
    <definedName function="false" hidden="false" localSheetId="9" name="Labour2014" vbProcedure="false">'[8]O &amp; M'!$R$44</definedName>
    <definedName function="false" hidden="false" localSheetId="9" name="Labour2015" vbProcedure="false">'[8]O &amp; M'!$S$44</definedName>
    <definedName function="false" hidden="false" localSheetId="9" name="Labour2016" vbProcedure="false">'[8]O &amp; M'!$T$44</definedName>
    <definedName function="false" hidden="false" localSheetId="9" name="Labour2017" vbProcedure="false">'[8]O &amp; M'!$U$44</definedName>
    <definedName function="false" hidden="false" localSheetId="9" name="Labour2018" vbProcedure="false">'[8]O &amp; M'!$V$44</definedName>
    <definedName function="false" hidden="false" localSheetId="9" name="Labour2019" vbProcedure="false">'[8]O &amp; M'!$W$44</definedName>
    <definedName function="false" hidden="false" localSheetId="9" name="Labour2020" vbProcedure="false">'[8]O &amp; M'!$X$44</definedName>
    <definedName function="false" hidden="false" localSheetId="9" name="Labour2021" vbProcedure="false">'[8]O &amp; M'!$Y$44</definedName>
    <definedName function="false" hidden="false" localSheetId="9" name="Labour2022" vbProcedure="false">'[8]O &amp; M'!$Z$44</definedName>
    <definedName function="false" hidden="false" localSheetId="9" name="Labour2023" vbProcedure="false">'[8]O &amp; M'!$AA$44</definedName>
    <definedName function="false" hidden="false" localSheetId="9" name="Labour2024" vbProcedure="false">'[8]O &amp; M'!$AB$44</definedName>
    <definedName function="false" hidden="false" localSheetId="9" name="Labour2025" vbProcedure="false">'[8]O &amp; M'!$AC$44</definedName>
    <definedName function="false" hidden="false" localSheetId="9" name="LabourBase" vbProcedure="false">'[8]O &amp; M'!$C$44</definedName>
    <definedName function="false" hidden="false" localSheetId="9" name="MarginCAD" vbProcedure="false">'[7]'!$C$127</definedName>
    <definedName function="false" hidden="false" localSheetId="9" name="Othercosts" vbProcedure="false">'[7]'!$C$118</definedName>
    <definedName function="false" hidden="false" localSheetId="9" name="Project" vbProcedure="false">'[7]'!$J$39</definedName>
    <definedName function="false" hidden="false" localSheetId="9" name="ProjectMgmt" vbProcedure="false">'[7]'!$C$106</definedName>
    <definedName function="false" hidden="false" localSheetId="9" name="Startup" vbProcedure="false">'[7]'!$C$112</definedName>
    <definedName function="false" hidden="false" localSheetId="9" name="SubconMargin" vbProcedure="false">'[7]'!$C$96</definedName>
    <definedName function="false" hidden="false" localSheetId="9" name="wrn_test1_" vbProcedure="false">{"Income Statement",#N/A,FALSE,"CFMODEL";"Balance Sheet",#N/A,FALSE,"CFMODEL"}</definedName>
    <definedName function="false" hidden="false" localSheetId="9" name="wrn_test2_" vbProcedure="false">{"SourcesUses",#N/A,TRUE,"CFMODEL";"TransOverview",#N/A,TRUE,"CFMODEL"}</definedName>
    <definedName function="false" hidden="false" localSheetId="9" name="wrn_test3_" vbProcedure="false">{"SourcesUses",#N/A,TRUE,#N/A;"TransOverview",#N/A,TRUE,"CFMODEL"}</definedName>
    <definedName function="false" hidden="false" localSheetId="9" name="wrn_test4_" vbProcedure="false">{"SourcesUses",#N/A,TRUE,"FundsFlow";"TransOverview",#N/A,TRUE,"FundsFlow"}</definedName>
    <definedName function="false" hidden="false" localSheetId="12" name="Run_Hours" vbProcedure="false">#NAME?</definedName>
    <definedName function="false" hidden="false" localSheetId="12" name="wrn_test1_" vbProcedure="false">{"Income Statement",#N/A,FALSE,"CFMODEL";"Balance Sheet",#N/A,FALSE,"CFMODEL"}</definedName>
    <definedName function="false" hidden="false" localSheetId="12" name="wrn_test2_" vbProcedure="false">{"SourcesUses",#N/A,TRUE,"CFMODEL";"TransOverview",#N/A,TRUE,"CFMODEL"}</definedName>
    <definedName function="false" hidden="false" localSheetId="12" name="wrn_test3_" vbProcedure="false">{"SourcesUses",#N/A,TRUE,#N/A;"TransOverview",#N/A,TRUE,"CFMODEL"}</definedName>
    <definedName function="false" hidden="false" localSheetId="12" name="wrn_test4_" vbProcedure="false">{"SourcesUses",#N/A,TRUE,"FundsFlow";"TransOverview",#N/A,TRUE,"FundsFlow"}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2" authorId="0">
      <text>
        <r>
          <rPr>
            <b val="true"/>
            <sz val="8"/>
            <color rgb="FF000000"/>
            <rFont val="Tahoma"/>
            <family val="0"/>
          </rPr>
          <t xml:space="preserve">ECT: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21</xdr:row>
                <xdr:rowOff>3</xdr:rowOff>
              </xdr:from>
              <xdr:to>
                <xdr:col>2</xdr:col>
                <xdr:colOff>60</xdr:colOff>
                <xdr:row>26</xdr:row>
                <xdr:rowOff>12</xdr:rowOff>
              </xdr:to>
            </anchor>
          </commentPr>
        </mc:Choice>
        <mc:Fallback/>
      </mc:AlternateContent>
    </comment>
    <comment ref="A28" authorId="0">
      <text>
        <r>
          <rPr>
            <b val="true"/>
            <sz val="8"/>
            <color rgb="FF000000"/>
            <rFont val="Tahoma"/>
            <family val="0"/>
          </rPr>
          <t xml:space="preserve">ECT:
</t>
        </r>
        <r>
          <rPr>
            <sz val="8"/>
            <color rgb="FF000000"/>
            <rFont val="Tahoma"/>
            <family val="0"/>
          </rPr>
          <t xml:space="preserve">This has to be paid even if the company is not earning Income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27</xdr:row>
                <xdr:rowOff>3</xdr:rowOff>
              </xdr:from>
              <xdr:to>
                <xdr:col>2</xdr:col>
                <xdr:colOff>60</xdr:colOff>
                <xdr:row>33</xdr:row>
                <xdr:rowOff>3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8"/>
            <color rgb="FF000000"/>
            <rFont val="Tahoma"/>
            <family val="0"/>
          </rPr>
          <t xml:space="preserve">Lon Draper:
</t>
        </r>
        <r>
          <rPr>
            <sz val="8"/>
            <color rgb="FF000000"/>
            <rFont val="Tahoma"/>
            <family val="0"/>
          </rPr>
          <t xml:space="preserve">don't change name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7</xdr:rowOff>
              </xdr:from>
              <xdr:to>
                <xdr:col>2</xdr:col>
                <xdr:colOff>52</xdr:colOff>
                <xdr:row>46</xdr:row>
                <xdr:rowOff>9</xdr:rowOff>
              </xdr:to>
            </anchor>
          </commentPr>
        </mc:Choice>
        <mc:Fallback/>
      </mc:AlternateContent>
    </comment>
  </commentList>
</comments>
</file>

<file path=xl/comments1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9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Per Conversation with Dave Ehler 3/6/2000 we should use $3.70 US MWhr for total fixed &amp; variable O &amp; M escalating at 2 % p.a.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17</xdr:row>
                <xdr:rowOff>5</xdr:rowOff>
              </xdr:from>
              <xdr:to>
                <xdr:col>4</xdr:col>
                <xdr:colOff>13</xdr:colOff>
                <xdr:row>22</xdr:row>
                <xdr:rowOff>3</xdr:rowOff>
              </xdr:to>
            </anchor>
          </commentPr>
        </mc:Choice>
        <mc:Fallback/>
      </mc:AlternateContent>
    </comment>
    <comment ref="C22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2001 has been used for run hours as it is the first full year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54</xdr:colOff>
                <xdr:row>20</xdr:row>
                <xdr:rowOff>5</xdr:rowOff>
              </xdr:from>
              <xdr:to>
                <xdr:col>6</xdr:col>
                <xdr:colOff>45</xdr:colOff>
                <xdr:row>25</xdr:row>
                <xdr:rowOff>1</xdr:rowOff>
              </xdr:to>
            </anchor>
          </commentPr>
        </mc:Choice>
        <mc:Fallback/>
      </mc:AlternateContent>
    </comment>
    <comment ref="E50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$US600,000 based on 1200 run hours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48</xdr:row>
                <xdr:rowOff>5</xdr:rowOff>
              </xdr:from>
              <xdr:to>
                <xdr:col>7</xdr:col>
                <xdr:colOff>13</xdr:colOff>
                <xdr:row>53</xdr:row>
                <xdr:rowOff>4</xdr:rowOff>
              </xdr:to>
            </anchor>
          </commentPr>
        </mc:Choice>
        <mc:Fallback/>
      </mc:AlternateContent>
    </comment>
  </commentList>
</comments>
</file>

<file path=xl/comments1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05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Likely to start receiving Royalties in 2001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103</xdr:row>
                <xdr:rowOff>4</xdr:rowOff>
              </xdr:from>
              <xdr:to>
                <xdr:col>4</xdr:col>
                <xdr:colOff>13</xdr:colOff>
                <xdr:row>108</xdr:row>
                <xdr:rowOff>8</xdr:rowOff>
              </xdr:to>
            </anchor>
          </commentPr>
        </mc:Choice>
        <mc:Fallback/>
      </mc:AlternateContent>
    </comment>
    <comment ref="D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year one 3 months of summer so 75% of starts assumed.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0</xdr:colOff>
                <xdr:row>15</xdr:row>
                <xdr:rowOff>4</xdr:rowOff>
              </xdr:from>
              <xdr:to>
                <xdr:col>5</xdr:col>
                <xdr:colOff>58</xdr:colOff>
                <xdr:row>20</xdr:row>
                <xdr:rowOff>8</xdr:rowOff>
              </xdr:to>
            </anchor>
          </commentPr>
        </mc:Choice>
        <mc:Fallback/>
      </mc:AlternateContent>
    </comment>
    <comment ref="E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year one 3 months of summer so 75% of starts assumed.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14</xdr:colOff>
                <xdr:row>15</xdr:row>
                <xdr:rowOff>4</xdr:rowOff>
              </xdr:from>
              <xdr:to>
                <xdr:col>7</xdr:col>
                <xdr:colOff>2</xdr:colOff>
                <xdr:row>20</xdr:row>
                <xdr:rowOff>8</xdr:rowOff>
              </xdr:to>
            </anchor>
          </commentPr>
        </mc:Choice>
        <mc:Fallback/>
      </mc:AlternateContent>
    </comment>
    <comment ref="F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the last year of Contract only 1 month of summer ie 1/4 of total summer.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58</xdr:colOff>
                <xdr:row>15</xdr:row>
                <xdr:rowOff>4</xdr:rowOff>
              </xdr:from>
              <xdr:to>
                <xdr:col>7</xdr:col>
                <xdr:colOff>47</xdr:colOff>
                <xdr:row>20</xdr:row>
                <xdr:rowOff>8</xdr:rowOff>
              </xdr:to>
            </anchor>
          </commentPr>
        </mc:Choice>
        <mc:Fallback/>
      </mc:AlternateContent>
    </comment>
    <comment ref="I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the last year of Contract only 1 month of summer ie 1/4 of total summer.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15</xdr:row>
                <xdr:rowOff>4</xdr:rowOff>
              </xdr:from>
              <xdr:to>
                <xdr:col>10</xdr:col>
                <xdr:colOff>28</xdr:colOff>
                <xdr:row>20</xdr:row>
                <xdr:rowOff>8</xdr:rowOff>
              </xdr:to>
            </anchor>
          </commentPr>
        </mc:Choice>
        <mc:Fallback/>
      </mc:AlternateContent>
    </comment>
    <comment ref="N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the last year of Contract only 1 month of summer ie 1/4 of total summer.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28</xdr:colOff>
                <xdr:row>15</xdr:row>
                <xdr:rowOff>4</xdr:rowOff>
              </xdr:from>
              <xdr:to>
                <xdr:col>15</xdr:col>
                <xdr:colOff>28</xdr:colOff>
                <xdr:row>20</xdr:row>
                <xdr:rowOff>8</xdr:rowOff>
              </xdr:to>
            </anchor>
          </commentPr>
        </mc:Choice>
        <mc:Fallback/>
      </mc:AlternateContent>
    </comment>
    <comment ref="S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the last year of Contract only 1 month of summer ie 1/4 of total summer.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28</xdr:colOff>
                <xdr:row>15</xdr:row>
                <xdr:rowOff>4</xdr:rowOff>
              </xdr:from>
              <xdr:to>
                <xdr:col>20</xdr:col>
                <xdr:colOff>19</xdr:colOff>
                <xdr:row>20</xdr:row>
                <xdr:rowOff>8</xdr:rowOff>
              </xdr:to>
            </anchor>
          </commentPr>
        </mc:Choice>
        <mc:Fallback/>
      </mc:AlternateContent>
    </comment>
    <comment ref="X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In the last year of Contract only 1 month of summer ie 1/4 of total summer.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23</xdr:col>
                <xdr:colOff>19</xdr:colOff>
                <xdr:row>15</xdr:row>
                <xdr:rowOff>4</xdr:rowOff>
              </xdr:from>
              <xdr:to>
                <xdr:col>25</xdr:col>
                <xdr:colOff>19</xdr:colOff>
                <xdr:row>20</xdr:row>
                <xdr:rowOff>8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68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Brian Kerrigan wanted to set the Debt Coverage Ratio to 1.4 however this creates -ve cash in the B/S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64</xdr:row>
                <xdr:rowOff>6</xdr:rowOff>
              </xdr:from>
              <xdr:to>
                <xdr:col>6</xdr:col>
                <xdr:colOff>7</xdr:colOff>
                <xdr:row>69</xdr:row>
                <xdr:rowOff>14</xdr:rowOff>
              </xdr:to>
            </anchor>
          </commentPr>
        </mc:Choice>
        <mc:Fallback/>
      </mc:AlternateContent>
    </comment>
  </commentList>
</comments>
</file>

<file path=xl/comments1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4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Weighted Avg.  
ABB GT11N1 11800
W501 D5A 11339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2</xdr:row>
                <xdr:rowOff>7</xdr:rowOff>
              </xdr:from>
              <xdr:to>
                <xdr:col>6</xdr:col>
                <xdr:colOff>-36</xdr:colOff>
                <xdr:row>6</xdr:row>
                <xdr:rowOff>12</xdr:rowOff>
              </xdr:to>
            </anchor>
          </commentPr>
        </mc:Choice>
        <mc:Fallback/>
      </mc:AlternateContent>
    </comment>
    <comment ref="E6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Weighted Avg 
LM 1500 14,566
ABB 11800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7</xdr:rowOff>
              </xdr:from>
              <xdr:to>
                <xdr:col>6</xdr:col>
                <xdr:colOff>-36</xdr:colOff>
                <xdr:row>8</xdr:row>
                <xdr:rowOff>12</xdr:rowOff>
              </xdr:to>
            </anchor>
          </commentPr>
        </mc:Choice>
        <mc:Fallback/>
      </mc:AlternateContent>
    </comment>
    <comment ref="E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Weighted Average 
GT11N2 = 11,407
GT11N1 = 11,800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0</xdr:colOff>
                <xdr:row>5</xdr:row>
                <xdr:rowOff>7</xdr:rowOff>
              </xdr:from>
              <xdr:to>
                <xdr:col>6</xdr:col>
                <xdr:colOff>-52</xdr:colOff>
                <xdr:row>9</xdr:row>
                <xdr:rowOff>12</xdr:rowOff>
              </xdr:to>
            </anchor>
          </commentPr>
        </mc:Choice>
        <mc:Fallback/>
      </mc:AlternateContent>
    </comment>
    <comment ref="J5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$2.5 MM added 3/6/2000 for the exciter retrofit $2.7 MM added for the extra cost of fuel conversion (G&amp;A reduced from original budget)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93</xdr:colOff>
                <xdr:row>3</xdr:row>
                <xdr:rowOff>7</xdr:rowOff>
              </xdr:from>
              <xdr:to>
                <xdr:col>10</xdr:col>
                <xdr:colOff>96</xdr:colOff>
                <xdr:row>10</xdr:row>
                <xdr:rowOff>17</xdr:rowOff>
              </xdr:to>
            </anchor>
          </commentPr>
        </mc:Choice>
        <mc:Fallback/>
      </mc:AlternateContent>
    </comment>
    <comment ref="J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$2.5 MM added 3/6/2000 for the exciter retrofit $2.7 MM added for the extra cost of fuel conversion (G&amp;A reduced from original budget)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114</xdr:colOff>
                <xdr:row>5</xdr:row>
                <xdr:rowOff>7</xdr:rowOff>
              </xdr:from>
              <xdr:to>
                <xdr:col>10</xdr:col>
                <xdr:colOff>117</xdr:colOff>
                <xdr:row>11</xdr:row>
                <xdr:rowOff>34</xdr:rowOff>
              </xdr:to>
            </anchor>
          </commentPr>
        </mc:Choice>
        <mc:Fallback/>
      </mc:AlternateContent>
    </comment>
    <comment ref="J8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$2.5 MM added 3/6/2000 for the exciter retrofit $2.7 MM added for the extra cost of fuel conversion (G&amp;A reduced from original budget)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114</xdr:colOff>
                <xdr:row>6</xdr:row>
                <xdr:rowOff>7</xdr:rowOff>
              </xdr:from>
              <xdr:to>
                <xdr:col>10</xdr:col>
                <xdr:colOff>117</xdr:colOff>
                <xdr:row>12</xdr:row>
                <xdr:rowOff>17</xdr:rowOff>
              </xdr:to>
            </anchor>
          </commentPr>
        </mc:Choice>
        <mc:Fallback/>
      </mc:AlternateContent>
    </comment>
    <comment ref="N6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To achieve a weighted aversge variable cost of $5.29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4</xdr:row>
                <xdr:rowOff>7</xdr:rowOff>
              </xdr:from>
              <xdr:to>
                <xdr:col>15</xdr:col>
                <xdr:colOff>47</xdr:colOff>
                <xdr:row>8</xdr:row>
                <xdr:rowOff>12</xdr:rowOff>
              </xdr:to>
            </anchor>
          </commentPr>
        </mc:Choice>
        <mc:Fallback/>
      </mc:AlternateContent>
    </comment>
  </commentList>
</comments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6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The proposed contract with Detroit Edison enables us to get royalties on future conversions of ABB Turbines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0</xdr:colOff>
                <xdr:row>72</xdr:row>
                <xdr:rowOff>4</xdr:rowOff>
              </xdr:from>
              <xdr:to>
                <xdr:col>2</xdr:col>
                <xdr:colOff>-51</xdr:colOff>
                <xdr:row>76</xdr:row>
                <xdr:rowOff>4</xdr:rowOff>
              </xdr:to>
            </anchor>
          </commentPr>
        </mc:Choice>
        <mc:Fallback/>
      </mc:AlternateContent>
    </comment>
    <comment ref="A69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Bob Virgo said that we will get a 10 % Royalty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0</xdr:colOff>
                <xdr:row>73</xdr:row>
                <xdr:rowOff>16</xdr:rowOff>
              </xdr:from>
              <xdr:to>
                <xdr:col>2</xdr:col>
                <xdr:colOff>-51</xdr:colOff>
                <xdr:row>77</xdr:row>
                <xdr:rowOff>17</xdr:rowOff>
              </xdr:to>
            </anchor>
          </commentPr>
        </mc:Choice>
        <mc:Fallback/>
      </mc:AlternateContent>
    </comment>
    <comment ref="B17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Weighted Average ABB GT11N &amp; new Turbinbes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15</xdr:row>
                <xdr:rowOff>7</xdr:rowOff>
              </xdr:from>
              <xdr:to>
                <xdr:col>3</xdr:col>
                <xdr:colOff>102</xdr:colOff>
                <xdr:row>18</xdr:row>
                <xdr:rowOff>23</xdr:rowOff>
              </xdr:to>
            </anchor>
          </commentPr>
        </mc:Choice>
        <mc:Fallback/>
      </mc:AlternateContent>
    </comment>
    <comment ref="B60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Weighted avg of NIPS and AEP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130</xdr:colOff>
                <xdr:row>54</xdr:row>
                <xdr:rowOff>2</xdr:rowOff>
              </xdr:from>
              <xdr:to>
                <xdr:col>3</xdr:col>
                <xdr:colOff>31</xdr:colOff>
                <xdr:row>60</xdr:row>
                <xdr:rowOff>8</xdr:rowOff>
              </xdr:to>
            </anchor>
          </commentPr>
        </mc:Choice>
        <mc:Fallback/>
      </mc:AlternateContent>
    </comment>
    <comment ref="F64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Assumes margin will be recognized July 1, 2000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39</xdr:colOff>
                <xdr:row>64</xdr:row>
                <xdr:rowOff>8</xdr:rowOff>
              </xdr:from>
              <xdr:to>
                <xdr:col>6</xdr:col>
                <xdr:colOff>100</xdr:colOff>
                <xdr:row>70</xdr:row>
                <xdr:rowOff>4</xdr:rowOff>
              </xdr:to>
            </anchor>
          </commentPr>
        </mc:Choice>
        <mc:Fallback/>
      </mc:AlternateContent>
    </comment>
  </commentList>
</comments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K10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Michigan Bid Curve with Scalar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37</xdr:col>
                <xdr:colOff>25</xdr:colOff>
                <xdr:row>8</xdr:row>
                <xdr:rowOff>36</xdr:rowOff>
              </xdr:from>
              <xdr:to>
                <xdr:col>39</xdr:col>
                <xdr:colOff>2</xdr:colOff>
                <xdr:row>9</xdr:row>
                <xdr:rowOff>23</xdr:rowOff>
              </xdr:to>
            </anchor>
          </commentPr>
        </mc:Choice>
        <mc:Fallback/>
      </mc:AlternateContent>
    </comment>
    <comment ref="CX10" authorId="0">
      <text>
        <r>
          <rPr>
            <b val="true"/>
            <sz val="8"/>
            <color rgb="FF000000"/>
            <rFont val="Tahoma"/>
            <family val="0"/>
          </rPr>
          <t xml:space="preserve">Kate Chaney:
</t>
        </r>
        <r>
          <rPr>
            <sz val="8"/>
            <color rgb="FF000000"/>
            <rFont val="Tahoma"/>
            <family val="0"/>
          </rPr>
          <t xml:space="preserve">Enron ECAR Offer Curve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108</xdr:col>
                <xdr:colOff>24</xdr:colOff>
                <xdr:row>8</xdr:row>
                <xdr:rowOff>36</xdr:rowOff>
              </xdr:from>
              <xdr:to>
                <xdr:col>110</xdr:col>
                <xdr:colOff>55</xdr:colOff>
                <xdr:row>9</xdr:row>
                <xdr:rowOff>23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Q5" authorId="0">
      <text>
        <r>
          <rPr>
            <b val="true"/>
            <sz val="8"/>
            <color rgb="FF000000"/>
            <rFont val="Tahoma"/>
            <family val="0"/>
          </rPr>
          <t xml:space="preserve">ECT:
</t>
        </r>
        <r>
          <rPr>
            <sz val="8"/>
            <color rgb="FF000000"/>
            <rFont val="Tahoma"/>
            <family val="0"/>
          </rPr>
          <t xml:space="preserve">Per Conversation with Brian Kerrigan 12/21/1999 should be BA + 150 pts.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52</xdr:colOff>
                <xdr:row>5</xdr:row>
                <xdr:rowOff>2</xdr:rowOff>
              </xdr:from>
              <xdr:to>
                <xdr:col>19</xdr:col>
                <xdr:colOff>24</xdr:colOff>
                <xdr:row>10</xdr:row>
                <xdr:rowOff>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6" authorId="0">
      <text>
        <r>
          <rPr>
            <sz val="8"/>
            <color rgb="FF000000"/>
            <rFont val="Tahoma"/>
            <family val="0"/>
          </rPr>
          <t xml:space="preserve">Total Revenues excluding interest income.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</xdr:row>
                <xdr:rowOff>21</xdr:rowOff>
              </xdr:from>
              <xdr:to>
                <xdr:col>3</xdr:col>
                <xdr:colOff>29</xdr:colOff>
                <xdr:row>9</xdr:row>
                <xdr:rowOff>6</xdr:rowOff>
              </xdr:to>
            </anchor>
          </commentPr>
        </mc:Choice>
        <mc:Fallback/>
      </mc:AlternateContent>
    </comment>
    <comment ref="A7" authorId="0">
      <text>
        <r>
          <rPr>
            <sz val="8"/>
            <color rgb="FF000000"/>
            <rFont val="Tahoma"/>
            <family val="0"/>
          </rPr>
          <t xml:space="preserve">Total Expenses, excluding Capital Expenditures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</xdr:row>
                <xdr:rowOff>4</xdr:rowOff>
              </xdr:from>
              <xdr:to>
                <xdr:col>3</xdr:col>
                <xdr:colOff>29</xdr:colOff>
                <xdr:row>10</xdr:row>
                <xdr:rowOff>3</xdr:rowOff>
              </xdr:to>
            </anchor>
          </commentPr>
        </mc:Choice>
        <mc:Fallback/>
      </mc:AlternateContent>
    </comment>
    <comment ref="A9" authorId="0">
      <text>
        <r>
          <rPr>
            <sz val="8"/>
            <color rgb="FF000000"/>
            <rFont val="Tahoma"/>
            <family val="0"/>
          </rPr>
          <t xml:space="preserve">Current Assets are calculated from Total Production Revenues.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7</xdr:row>
                <xdr:rowOff>4</xdr:rowOff>
              </xdr:from>
              <xdr:to>
                <xdr:col>3</xdr:col>
                <xdr:colOff>29</xdr:colOff>
                <xdr:row>12</xdr:row>
                <xdr:rowOff>3</xdr:rowOff>
              </xdr:to>
            </anchor>
          </commentPr>
        </mc:Choice>
        <mc:Fallback/>
      </mc:AlternateContent>
    </comment>
    <comment ref="A14" authorId="0">
      <text>
        <r>
          <rPr>
            <sz val="8"/>
            <color rgb="FF000000"/>
            <rFont val="Tahoma"/>
            <family val="0"/>
          </rPr>
          <t xml:space="preserve">Current Liabilities are calculated from Total Expenses.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12</xdr:row>
                <xdr:rowOff>4</xdr:rowOff>
              </xdr:from>
              <xdr:to>
                <xdr:col>3</xdr:col>
                <xdr:colOff>29</xdr:colOff>
                <xdr:row>17</xdr:row>
                <xdr:rowOff>6</xdr:rowOff>
              </xdr:to>
            </anchor>
          </commentPr>
        </mc:Choice>
        <mc:Fallback/>
      </mc:AlternateContent>
    </comment>
    <comment ref="A19" authorId="0">
      <text>
        <r>
          <rPr>
            <sz val="8"/>
            <color rgb="FF000000"/>
            <rFont val="Tahoma"/>
            <family val="0"/>
          </rPr>
          <t xml:space="preserve">The sum of the Current Assets minus the Current Liabilities.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17</xdr:row>
                <xdr:rowOff>6</xdr:rowOff>
              </xdr:from>
              <xdr:to>
                <xdr:col>3</xdr:col>
                <xdr:colOff>29</xdr:colOff>
                <xdr:row>21</xdr:row>
                <xdr:rowOff>16</xdr:rowOff>
              </xdr:to>
            </anchor>
          </commentPr>
        </mc:Choice>
        <mc:Fallback/>
      </mc:AlternateContent>
    </comment>
    <comment ref="A21" authorId="0">
      <text>
        <r>
          <rPr>
            <sz val="8"/>
            <color rgb="FF000000"/>
            <rFont val="Tahoma"/>
            <family val="0"/>
          </rPr>
          <t xml:space="preserve">This starts with what is budgeted in the drawdown and then is the Required Working Capital.  It is not allowed to get smaller.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19</xdr:row>
                <xdr:rowOff>6</xdr:rowOff>
              </xdr:from>
              <xdr:to>
                <xdr:col>3</xdr:col>
                <xdr:colOff>29</xdr:colOff>
                <xdr:row>23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5" authorId="0">
      <text>
        <r>
          <rPr>
            <b val="true"/>
            <sz val="8"/>
            <color rgb="FF000000"/>
            <rFont val="Tahoma"/>
            <family val="0"/>
          </rPr>
          <t xml:space="preserve">sbrodeu:
</t>
        </r>
        <r>
          <rPr>
            <sz val="8"/>
            <color rgb="FF000000"/>
            <rFont val="Tahoma"/>
            <family val="0"/>
          </rPr>
          <t xml:space="preserve">See bottom for Origination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</xdr:row>
                <xdr:rowOff>7</xdr:rowOff>
              </xdr:from>
              <xdr:to>
                <xdr:col>2</xdr:col>
                <xdr:colOff>63</xdr:colOff>
                <xdr:row>8</xdr:row>
                <xdr:rowOff>5</xdr:rowOff>
              </xdr:to>
            </anchor>
          </commentPr>
        </mc:Choice>
        <mc:Fallback/>
      </mc:AlternateContent>
    </comment>
    <comment ref="A56" authorId="0">
      <text>
        <r>
          <rPr>
            <b val="true"/>
            <sz val="8"/>
            <color rgb="FF000000"/>
            <rFont val="Tahoma"/>
            <family val="0"/>
          </rPr>
          <t xml:space="preserve">Lon Draper:
</t>
        </r>
        <r>
          <rPr>
            <sz val="8"/>
            <color rgb="FF000000"/>
            <rFont val="Tahoma"/>
            <family val="0"/>
          </rPr>
          <t xml:space="preserve">Don't change name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216</xdr:colOff>
                <xdr:row>54</xdr:row>
                <xdr:rowOff>3</xdr:rowOff>
              </xdr:from>
              <xdr:to>
                <xdr:col>1</xdr:col>
                <xdr:colOff>21</xdr:colOff>
                <xdr:row>56</xdr:row>
                <xdr:rowOff>7</xdr:rowOff>
              </xdr:to>
            </anchor>
          </commentPr>
        </mc:Choice>
        <mc:Fallback/>
      </mc:AlternateContent>
    </comment>
    <comment ref="A86" authorId="0">
      <text>
        <r>
          <rPr>
            <b val="true"/>
            <sz val="8"/>
            <color rgb="FF000000"/>
            <rFont val="Tahoma"/>
            <family val="0"/>
          </rPr>
          <t xml:space="preserve">Kate Chaney:
Combined Cycle Addition would be made in 2003 ready for Operation in 2004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84</xdr:row>
                <xdr:rowOff>7</xdr:rowOff>
              </xdr:from>
              <xdr:to>
                <xdr:col>3</xdr:col>
                <xdr:colOff>5</xdr:colOff>
                <xdr:row>88</xdr:row>
                <xdr:rowOff>12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24" authorId="0">
      <text>
        <r>
          <rPr>
            <b val="true"/>
            <sz val="8"/>
            <color rgb="FF000000"/>
            <rFont val="Tahoma"/>
            <family val="0"/>
          </rPr>
          <t xml:space="preserve">KChaney:
</t>
        </r>
        <r>
          <rPr>
            <sz val="8"/>
            <color rgb="FF000000"/>
            <rFont val="Tahoma"/>
            <family val="0"/>
          </rPr>
          <t xml:space="preserve">I spoke with the Royal Bank 6/23/99 .  Harry Reid said that an Operating account would be a 364 day facility renewable annually.  BA - 1/4 %.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0</xdr:colOff>
                <xdr:row>139</xdr:row>
                <xdr:rowOff>18</xdr:rowOff>
              </xdr:from>
              <xdr:to>
                <xdr:col>2</xdr:col>
                <xdr:colOff>-152</xdr:colOff>
                <xdr:row>145</xdr:row>
                <xdr:rowOff>19</xdr:rowOff>
              </xdr:to>
            </anchor>
          </commentPr>
        </mc:Choice>
        <mc:Fallback/>
      </mc:AlternateContent>
    </comment>
    <comment ref="B136" authorId="0">
      <text>
        <r>
          <rPr>
            <b val="true"/>
            <sz val="8"/>
            <color rgb="FF000000"/>
            <rFont val="Tahoma"/>
            <family val="0"/>
          </rPr>
          <t xml:space="preserve">KChaney:
</t>
        </r>
        <r>
          <rPr>
            <sz val="8"/>
            <color rgb="FF000000"/>
            <rFont val="Tahoma"/>
            <family val="0"/>
          </rPr>
          <t xml:space="preserve">I spoke with the Royal Bank 6/23/99 .  Harry Reid said that an Operating account would be a 364 day facility renewable annually.  BA - 1/4 %.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0</xdr:colOff>
                <xdr:row>151</xdr:row>
                <xdr:rowOff>18</xdr:rowOff>
              </xdr:from>
              <xdr:to>
                <xdr:col>2</xdr:col>
                <xdr:colOff>-152</xdr:colOff>
                <xdr:row>158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<sst xmlns="http://schemas.openxmlformats.org/spreadsheetml/2006/main" count="1491" uniqueCount="822">
  <si>
    <t xml:space="preserve">New York Curve (Zone A)  Updated March 30, 2000 - Mids</t>
  </si>
  <si>
    <t xml:space="preserve">Input</t>
  </si>
  <si>
    <t xml:space="preserve">EXTRINSIC OPTION VALUE FROM COMMODITY STRUCTURING MODEL</t>
  </si>
  <si>
    <t xml:space="preserve">Flat NY West</t>
  </si>
  <si>
    <t xml:space="preserve">New York 5 X 16</t>
  </si>
  <si>
    <t xml:space="preserve">Saturday Curve</t>
  </si>
  <si>
    <t xml:space="preserve">Sunday Curve</t>
  </si>
  <si>
    <t xml:space="preserve">8 hour Super Peak scalar Adjustment</t>
  </si>
  <si>
    <t xml:space="preserve">Super Peak Curve</t>
  </si>
  <si>
    <t xml:space="preserve">Shoulder Scalar</t>
  </si>
  <si>
    <t xml:space="preserve">New York Shoulder Hour Curve Mon-Fri</t>
  </si>
  <si>
    <t xml:space="preserve">New York Saturday Super Peak</t>
  </si>
  <si>
    <t xml:space="preserve">New York Saturday Shoulder Peak</t>
  </si>
  <si>
    <t xml:space="preserve">NY Sunday Super Peak</t>
  </si>
  <si>
    <t xml:space="preserve">2 X ABB GT11N1 + W501D5A (273 MW)</t>
  </si>
  <si>
    <t xml:space="preserve">2 X ABB GT11N1 (164 MW)</t>
  </si>
  <si>
    <t xml:space="preserve">2 X ABB GT11N1 + 1 X ABB GT11N2 (363 MW)</t>
  </si>
  <si>
    <t xml:space="preserve">2 X ABB GT11N1 + 2 X ABB GT13D (324 MW)</t>
  </si>
  <si>
    <t xml:space="preserve">2 X ABB GT11N1 + 15 X LM1500 (132 MW)</t>
  </si>
  <si>
    <t xml:space="preserve">New York Selected Option Value US$/month</t>
  </si>
  <si>
    <t xml:space="preserve">Month Designation</t>
  </si>
  <si>
    <t xml:space="preserve">SCALARS - All Days-Hours</t>
  </si>
  <si>
    <t xml:space="preserve">8 Most</t>
  </si>
  <si>
    <t xml:space="preserve">8 Least </t>
  </si>
  <si>
    <t xml:space="preserve">Check </t>
  </si>
  <si>
    <t xml:space="preserve">Month</t>
  </si>
  <si>
    <t xml:space="preserve">Season</t>
  </si>
  <si>
    <t xml:space="preserve">Expensive Hrs</t>
  </si>
  <si>
    <t xml:space="preserve">Average = 1.00</t>
  </si>
  <si>
    <t xml:space="preserve">Winter</t>
  </si>
  <si>
    <t xml:space="preserve">Shoulder</t>
  </si>
  <si>
    <t xml:space="preserve">Summer</t>
  </si>
  <si>
    <t xml:space="preserve">Curve Updated March 30, 2000 - Mids</t>
  </si>
  <si>
    <t xml:space="preserve">Michigan Uses Dynamic Scalars</t>
  </si>
  <si>
    <t xml:space="preserve">=2- Super Peak Scalar</t>
  </si>
  <si>
    <t xml:space="preserve">Michigan 5 X 16 US$/MWhr</t>
  </si>
  <si>
    <t xml:space="preserve">Michigan Saturday US$/MWhr</t>
  </si>
  <si>
    <t xml:space="preserve">Michigan Sunday US $MWhr</t>
  </si>
  <si>
    <t xml:space="preserve">8 hour scalar Adjustment</t>
  </si>
  <si>
    <t xml:space="preserve">Michigan Super Peak Curve US$/MWhr</t>
  </si>
  <si>
    <t xml:space="preserve">Michigan Shoulder Hour Curve Mon-Fri</t>
  </si>
  <si>
    <t xml:space="preserve">Michigan Saturday Super Peak</t>
  </si>
  <si>
    <t xml:space="preserve">Michigan Saturday Shoulder Peak</t>
  </si>
  <si>
    <t xml:space="preserve">Michigan Sunday Super Peak</t>
  </si>
  <si>
    <t xml:space="preserve">Michigan Selected Option Value US$/month</t>
  </si>
  <si>
    <t xml:space="preserve">SCALARS - Monday - Friday</t>
  </si>
  <si>
    <t xml:space="preserve">F/X Curve as of April 4, 2000</t>
  </si>
  <si>
    <t xml:space="preserve">F/X Sensitivity</t>
  </si>
  <si>
    <t xml:space="preserve">Monthly Curve</t>
  </si>
  <si>
    <t xml:space="preserve">Annual Average</t>
  </si>
  <si>
    <t xml:space="preserve">Interest Rate Curves Updated on March 28, 2000</t>
  </si>
  <si>
    <t xml:space="preserve">Input Curve</t>
  </si>
  <si>
    <t xml:space="preserve">Table in Semi Annual Format for Debt Amortization</t>
  </si>
  <si>
    <t xml:space="preserve">Interest Rate Curve</t>
  </si>
  <si>
    <t xml:space="preserve">Semi Annual Calculation</t>
  </si>
  <si>
    <t xml:space="preserve">Interest During Construction</t>
  </si>
  <si>
    <t xml:space="preserve">Average CAD BA</t>
  </si>
  <si>
    <t xml:space="preserve">Q2</t>
  </si>
  <si>
    <t xml:space="preserve">Q4</t>
  </si>
  <si>
    <t xml:space="preserve">Working Capital</t>
  </si>
  <si>
    <t xml:space="preserve">Days</t>
  </si>
  <si>
    <t xml:space="preserve">Total Prod Rev</t>
  </si>
  <si>
    <t xml:space="preserve">Total Expense</t>
  </si>
  <si>
    <t xml:space="preserve">Current Assets</t>
  </si>
  <si>
    <t xml:space="preserve">Operating Cash Balance</t>
  </si>
  <si>
    <t xml:space="preserve">Accounts Receivable</t>
  </si>
  <si>
    <t xml:space="preserve">Other Current Assets</t>
  </si>
  <si>
    <t xml:space="preserve">Current Liabilities</t>
  </si>
  <si>
    <t xml:space="preserve">Accounts Payable</t>
  </si>
  <si>
    <t xml:space="preserve">Accrued Expenses</t>
  </si>
  <si>
    <t xml:space="preserve">Other Payables</t>
  </si>
  <si>
    <t xml:space="preserve">Required Working Capital</t>
  </si>
  <si>
    <t xml:space="preserve">Beginning Working Capital</t>
  </si>
  <si>
    <t xml:space="preserve">Change in Working Capital</t>
  </si>
  <si>
    <t xml:space="preserve">Balance Sheet (CAD $000's)</t>
  </si>
  <si>
    <t xml:space="preserve">Assets</t>
  </si>
  <si>
    <t xml:space="preserve">Cash</t>
  </si>
  <si>
    <t xml:space="preserve">Debt Reserve Account</t>
  </si>
  <si>
    <t xml:space="preserve">Total Current Assets</t>
  </si>
  <si>
    <t xml:space="preserve">Intangibles</t>
  </si>
  <si>
    <t xml:space="preserve">Goodwill</t>
  </si>
  <si>
    <t xml:space="preserve">Accumulated Amortization</t>
  </si>
  <si>
    <t xml:space="preserve">Total Intangibles</t>
  </si>
  <si>
    <t xml:space="preserve">Land</t>
  </si>
  <si>
    <t xml:space="preserve">Gross PP&amp;E</t>
  </si>
  <si>
    <t xml:space="preserve">Accumulated Depreciation</t>
  </si>
  <si>
    <t xml:space="preserve">Net PP&amp;E</t>
  </si>
  <si>
    <t xml:space="preserve">Other Assets</t>
  </si>
  <si>
    <t xml:space="preserve">Total Assets</t>
  </si>
  <si>
    <t xml:space="preserve">Liabilities</t>
  </si>
  <si>
    <t xml:space="preserve">Current Portion of Long Term Debt</t>
  </si>
  <si>
    <t xml:space="preserve">Current Taxes Payable</t>
  </si>
  <si>
    <t xml:space="preserve">Total Current Liabilities</t>
  </si>
  <si>
    <t xml:space="preserve">Long Term Debt</t>
  </si>
  <si>
    <t xml:space="preserve">Future Income Tax Expense (benefit)</t>
  </si>
  <si>
    <t xml:space="preserve">Other Non-Current Liabilities</t>
  </si>
  <si>
    <t xml:space="preserve">Total Long-term Liabilities</t>
  </si>
  <si>
    <t xml:space="preserve">Stockholders' Equity</t>
  </si>
  <si>
    <t xml:space="preserve">Preferred Stock</t>
  </si>
  <si>
    <t xml:space="preserve">Common Stock</t>
  </si>
  <si>
    <t xml:space="preserve">Retained Earnings</t>
  </si>
  <si>
    <t xml:space="preserve">Total Stockholders' Equity</t>
  </si>
  <si>
    <t xml:space="preserve">Total Liabilities &amp; Equity</t>
  </si>
  <si>
    <t xml:space="preserve">Proof</t>
  </si>
  <si>
    <t xml:space="preserve">Included in Capital Calculation for the Large Corporations Tax</t>
  </si>
  <si>
    <t xml:space="preserve">Deferred Taxes</t>
  </si>
  <si>
    <t xml:space="preserve">Total Taxable Capital</t>
  </si>
  <si>
    <t xml:space="preserve">Reconciliation of Cash</t>
  </si>
  <si>
    <t xml:space="preserve">Change in Current Assets</t>
  </si>
  <si>
    <t xml:space="preserve">Change in Current Liabilities</t>
  </si>
  <si>
    <t xml:space="preserve">Change in PP&amp;E</t>
  </si>
  <si>
    <t xml:space="preserve">Change in long term debt</t>
  </si>
  <si>
    <t xml:space="preserve">Change in Common Stock</t>
  </si>
  <si>
    <t xml:space="preserve">Capital Cost</t>
  </si>
  <si>
    <t xml:space="preserve">Life of Asset</t>
  </si>
  <si>
    <t xml:space="preserve">Transmission Line &amp; Combined Cycle 2004</t>
  </si>
  <si>
    <t xml:space="preserve">Book Depreciation</t>
  </si>
  <si>
    <t xml:space="preserve">Gross PP &amp; E</t>
  </si>
  <si>
    <t xml:space="preserve">Depreciation</t>
  </si>
  <si>
    <t xml:space="preserve">Net PP &amp; E</t>
  </si>
  <si>
    <t xml:space="preserve">Statement of Cash Flows (CAD $000's)</t>
  </si>
  <si>
    <t xml:space="preserve">Cash Flows from Operating Activities</t>
  </si>
  <si>
    <t xml:space="preserve">Net Income</t>
  </si>
  <si>
    <t xml:space="preserve">   Items not affecting cash flow</t>
  </si>
  <si>
    <t xml:space="preserve">   Increase/(Decrease) in Working Capital</t>
  </si>
  <si>
    <t xml:space="preserve">Net Cash Provided by (Used in) Operating Activities</t>
  </si>
  <si>
    <t xml:space="preserve">Cash Flows from Investing Activities</t>
  </si>
  <si>
    <t xml:space="preserve">Change in Gross PP&amp;E</t>
  </si>
  <si>
    <t xml:space="preserve">Net Cash Provided by (Used in) Investing Activities</t>
  </si>
  <si>
    <t xml:space="preserve">Cash Flows from Financing Activities</t>
  </si>
  <si>
    <t xml:space="preserve">Change in Long Term Debt</t>
  </si>
  <si>
    <t xml:space="preserve">Change in Other Non-Current Liabilities</t>
  </si>
  <si>
    <t xml:space="preserve">Change in Preferred Stock</t>
  </si>
  <si>
    <t xml:space="preserve">Net Cash Provided by (Used in) Financing Activities</t>
  </si>
  <si>
    <t xml:space="preserve">Increase (Decrease) in Cash</t>
  </si>
  <si>
    <t xml:space="preserve">Cash, Beginning of Year</t>
  </si>
  <si>
    <t xml:space="preserve">Cash, End of Year</t>
  </si>
  <si>
    <t xml:space="preserve">Items Not Affecting Cash Flows</t>
  </si>
  <si>
    <t xml:space="preserve">Deferred income taxes</t>
  </si>
  <si>
    <t xml:space="preserve">Depreciation and Depletion</t>
  </si>
  <si>
    <t xml:space="preserve">Change in Reserves</t>
  </si>
  <si>
    <t xml:space="preserve">Change in A/R</t>
  </si>
  <si>
    <t xml:space="preserve">Change in Other Current Assets</t>
  </si>
  <si>
    <t xml:space="preserve">Change in Accounts Payable</t>
  </si>
  <si>
    <t xml:space="preserve">Change in Current Portion of Long Term Debt</t>
  </si>
  <si>
    <t xml:space="preserve">Change in Accrued Expenses</t>
  </si>
  <si>
    <t xml:space="preserve">Changes in Current Taxes Payable</t>
  </si>
  <si>
    <t xml:space="preserve">Change in Other Payables</t>
  </si>
  <si>
    <t xml:space="preserve">Increase/(Decrease) in Working Capital</t>
  </si>
  <si>
    <t xml:space="preserve">Income Statement</t>
  </si>
  <si>
    <t xml:space="preserve">($CAD 000's)</t>
  </si>
  <si>
    <t xml:space="preserve">Revenues</t>
  </si>
  <si>
    <t xml:space="preserve">  Power</t>
  </si>
  <si>
    <t xml:space="preserve">     Total Revenues</t>
  </si>
  <si>
    <t xml:space="preserve"> Operating deductions</t>
  </si>
  <si>
    <t xml:space="preserve">Cost of Gas</t>
  </si>
  <si>
    <t xml:space="preserve">Operating and Maintenance Expense</t>
  </si>
  <si>
    <t xml:space="preserve">Plant Operating</t>
  </si>
  <si>
    <t xml:space="preserve">Interest</t>
  </si>
  <si>
    <t xml:space="preserve">Operating Income</t>
  </si>
  <si>
    <t xml:space="preserve">Provision for Income Taxes</t>
  </si>
  <si>
    <t xml:space="preserve">  Current</t>
  </si>
  <si>
    <t xml:space="preserve">  Deferred</t>
  </si>
  <si>
    <t xml:space="preserve">Net Income After Tax</t>
  </si>
  <si>
    <t xml:space="preserve">Reconciliation to Cashflow</t>
  </si>
  <si>
    <t xml:space="preserve">Equity Income after Tax</t>
  </si>
  <si>
    <t xml:space="preserve">Addback</t>
  </si>
  <si>
    <t xml:space="preserve">  Equity Injection</t>
  </si>
  <si>
    <t xml:space="preserve">  Principal</t>
  </si>
  <si>
    <t xml:space="preserve">  Debt Reserve</t>
  </si>
  <si>
    <t xml:space="preserve">Less</t>
  </si>
  <si>
    <t xml:space="preserve">  Depreciation</t>
  </si>
  <si>
    <t xml:space="preserve">  Amortization of Capitalized Fees</t>
  </si>
  <si>
    <t xml:space="preserve">  Future Income Tax Expense</t>
  </si>
  <si>
    <t xml:space="preserve">Difference</t>
  </si>
  <si>
    <t xml:space="preserve">DEBT AMORTIZATION SCHEDULES</t>
  </si>
  <si>
    <t xml:space="preserve">DEBT AMORTIZATION SCHEDULE </t>
  </si>
  <si>
    <t xml:space="preserve">Interest Rate</t>
  </si>
  <si>
    <t xml:space="preserve">Debt</t>
  </si>
  <si>
    <t xml:space="preserve">Term</t>
  </si>
  <si>
    <t xml:space="preserve">Equity</t>
  </si>
  <si>
    <t xml:space="preserve">Accelerated Amortization Year 1</t>
  </si>
  <si>
    <t xml:space="preserve"># Payments in year</t>
  </si>
  <si>
    <t xml:space="preserve">Accelerated Amortization Year 2</t>
  </si>
  <si>
    <t xml:space="preserve">Accelerated Amortization Year 3</t>
  </si>
  <si>
    <t xml:space="preserve">After Accelerated Repayment new term</t>
  </si>
  <si>
    <t xml:space="preserve">Accelerated Amortization Year 4</t>
  </si>
  <si>
    <t xml:space="preserve">Transmission into Ontario is added in year 2003</t>
  </si>
  <si>
    <t xml:space="preserve">Period</t>
  </si>
  <si>
    <t xml:space="preserve">Period Active?</t>
  </si>
  <si>
    <t xml:space="preserve">CAD BA Q2</t>
  </si>
  <si>
    <t xml:space="preserve">CAD BA Q4</t>
  </si>
  <si>
    <t xml:space="preserve">All in interest rate (2nd Quarter)</t>
  </si>
  <si>
    <t xml:space="preserve">All in interest rate (4th Quarter)</t>
  </si>
  <si>
    <t xml:space="preserve">Beginning of Year Debt</t>
  </si>
  <si>
    <t xml:space="preserve">End of 2nd Quarter Payment</t>
  </si>
  <si>
    <t xml:space="preserve">End of 2nd Quarter Interest</t>
  </si>
  <si>
    <t xml:space="preserve">End of 2nd Quarter Prinicipal</t>
  </si>
  <si>
    <t xml:space="preserve">End of 2nd Quarter Debt Level</t>
  </si>
  <si>
    <t xml:space="preserve">End of 4th Quarter Payment</t>
  </si>
  <si>
    <t xml:space="preserve">End of 4th Quarter Interest</t>
  </si>
  <si>
    <t xml:space="preserve">End of 4th Quarter Prinicipal</t>
  </si>
  <si>
    <t xml:space="preserve">Additional Debt Repayment at year end</t>
  </si>
  <si>
    <t xml:space="preserve">End of Year Debt</t>
  </si>
  <si>
    <t xml:space="preserve">Total Debt Service</t>
  </si>
  <si>
    <t xml:space="preserve">Total Interest on Term Loan</t>
  </si>
  <si>
    <t xml:space="preserve">Total Principal</t>
  </si>
  <si>
    <t xml:space="preserve">Amortization Schedule</t>
  </si>
  <si>
    <t xml:space="preserve">Percent Paid Down</t>
  </si>
  <si>
    <t xml:space="preserve">Average Life of Debt</t>
  </si>
  <si>
    <t xml:space="preserve">End of Year Long Term Debt</t>
  </si>
  <si>
    <t xml:space="preserve">Check</t>
  </si>
  <si>
    <t xml:space="preserve">Per Discussion with Grant Zimmerman (Houston Treasury) they managed to negotiate taking out a letter of credit for 12 months principal and interest </t>
  </si>
  <si>
    <t xml:space="preserve">@ a rate of 2 % p.a.  This is preferable to locking up cash.</t>
  </si>
  <si>
    <t xml:space="preserve">Brian Kerrigan March 22 said to model using a rolling 12 month debt reserve - 2% is conservative</t>
  </si>
  <si>
    <t xml:space="preserve">DEBT AMORTIZATION SCHEDULES ON INCREMENTAL CAPITAL</t>
  </si>
  <si>
    <t xml:space="preserve">The line of credit amount was set using the max debt payment for a 5 year period.</t>
  </si>
  <si>
    <t xml:space="preserve">Beginning Balance</t>
  </si>
  <si>
    <t xml:space="preserve">Amount Required</t>
  </si>
  <si>
    <t xml:space="preserve">Beginning Balance 2nd Quarter</t>
  </si>
  <si>
    <t xml:space="preserve">Addition (Release)</t>
  </si>
  <si>
    <t xml:space="preserve">Interest Payment</t>
  </si>
  <si>
    <t xml:space="preserve">Ending Balance 2nd Quarter</t>
  </si>
  <si>
    <t xml:space="preserve">Beginning Balance 4th Quarter</t>
  </si>
  <si>
    <t xml:space="preserve">Ending Balance 4th Quarter</t>
  </si>
  <si>
    <t xml:space="preserve">Annual Addition Release of Debt Reserve Account</t>
  </si>
  <si>
    <t xml:space="preserve">Working Capital Account</t>
  </si>
  <si>
    <t xml:space="preserve">ECT BA</t>
  </si>
  <si>
    <t xml:space="preserve">Less: 1/4 %</t>
  </si>
  <si>
    <t xml:space="preserve">Opening Balance</t>
  </si>
  <si>
    <t xml:space="preserve">Addition/(Release)</t>
  </si>
  <si>
    <t xml:space="preserve">Closing Balance</t>
  </si>
  <si>
    <t xml:space="preserve">WC Interest</t>
  </si>
  <si>
    <t xml:space="preserve">Interest on Negative Cash Balance</t>
  </si>
  <si>
    <t xml:space="preserve">Cash Balance</t>
  </si>
  <si>
    <t xml:space="preserve">Interest on Cash Balance</t>
  </si>
  <si>
    <t xml:space="preserve">Temporary Tax Differences</t>
  </si>
  <si>
    <t xml:space="preserve">Carrying Amount</t>
  </si>
  <si>
    <t xml:space="preserve">Tax Basis</t>
  </si>
  <si>
    <t xml:space="preserve">Taxable Temporary Difference</t>
  </si>
  <si>
    <t xml:space="preserve">Opening future income tax liability (asset)</t>
  </si>
  <si>
    <t xml:space="preserve">Closing future income tax liability (asset)</t>
  </si>
  <si>
    <t xml:space="preserve">Cost (benefit) of future income taxes</t>
  </si>
  <si>
    <t xml:space="preserve">Income Tax Calculation</t>
  </si>
  <si>
    <t xml:space="preserve">NB R18 cannot be greater than income for the past 3 years</t>
  </si>
  <si>
    <t xml:space="preserve">Year Of Operation</t>
  </si>
  <si>
    <t xml:space="preserve">Net Income before Taxes</t>
  </si>
  <si>
    <t xml:space="preserve">Add back:</t>
  </si>
  <si>
    <t xml:space="preserve">Deduct:</t>
  </si>
  <si>
    <t xml:space="preserve">CCA</t>
  </si>
  <si>
    <t xml:space="preserve">Financing Cost</t>
  </si>
  <si>
    <t xml:space="preserve">Taxable Income, before LCF</t>
  </si>
  <si>
    <t xml:space="preserve">LCF</t>
  </si>
  <si>
    <t xml:space="preserve">LCB</t>
  </si>
  <si>
    <t xml:space="preserve">Taxable Income, after LCF</t>
  </si>
  <si>
    <t xml:space="preserve">Federal Tax after M &amp; P</t>
  </si>
  <si>
    <t xml:space="preserve">Federal Surtax</t>
  </si>
  <si>
    <t xml:space="preserve">Provincial</t>
  </si>
  <si>
    <t xml:space="preserve">Less Creditable CMT</t>
  </si>
  <si>
    <t xml:space="preserve">Net Provincial Tax Payable</t>
  </si>
  <si>
    <t xml:space="preserve">Total Current Tax Payable </t>
  </si>
  <si>
    <t xml:space="preserve">Net Large Corporations Tax</t>
  </si>
  <si>
    <t xml:space="preserve">Provincial Capital Tax</t>
  </si>
  <si>
    <t xml:space="preserve">Corporate Minimum Tax</t>
  </si>
  <si>
    <t xml:space="preserve">Losses Carried Back</t>
  </si>
  <si>
    <t xml:space="preserve">Future Tax Liability</t>
  </si>
  <si>
    <t xml:space="preserve">Total Book Tax Provision</t>
  </si>
  <si>
    <t xml:space="preserve">Net Income after Taxes</t>
  </si>
  <si>
    <t xml:space="preserve">Total Cash Taxes</t>
  </si>
  <si>
    <t xml:space="preserve">Large Corporations Tax Calculation</t>
  </si>
  <si>
    <t xml:space="preserve">Taxable Capital, at the end of the year</t>
  </si>
  <si>
    <t xml:space="preserve">Annual Capital Deduction</t>
  </si>
  <si>
    <t xml:space="preserve">Large Corporations Tax</t>
  </si>
  <si>
    <t xml:space="preserve">Less Surtax Creditable</t>
  </si>
  <si>
    <t xml:space="preserve">Surtax Carry Forward Adjustment Made</t>
  </si>
  <si>
    <t xml:space="preserve">Surtax Carried Back</t>
  </si>
  <si>
    <t xml:space="preserve">Surtax Carried Forward</t>
  </si>
  <si>
    <t xml:space="preserve">NET LCT AFTER CARRY-OVERS</t>
  </si>
  <si>
    <t xml:space="preserve">Ontario Corporate Min Tax</t>
  </si>
  <si>
    <t xml:space="preserve">Balance at Beginning of Year</t>
  </si>
  <si>
    <t xml:space="preserve">Current Year Tax</t>
  </si>
  <si>
    <t xml:space="preserve">Less Expired CMT</t>
  </si>
  <si>
    <t xml:space="preserve">Less CMT Utilized Against Provincial Tax</t>
  </si>
  <si>
    <t xml:space="preserve">Cummulative CMT Carried Forward</t>
  </si>
  <si>
    <t xml:space="preserve">Losses Carried Forward</t>
  </si>
  <si>
    <t xml:space="preserve">Balance at the Beginning of the Year</t>
  </si>
  <si>
    <t xml:space="preserve">Plus: Current Year's losses</t>
  </si>
  <si>
    <t xml:space="preserve">Less:  Expired LCF's</t>
  </si>
  <si>
    <t xml:space="preserve">LCF Available, before current year utilization</t>
  </si>
  <si>
    <t xml:space="preserve">Taxable Income that can be offset against LCF</t>
  </si>
  <si>
    <t xml:space="preserve">Balance at the End of the Year</t>
  </si>
  <si>
    <t xml:space="preserve">Utilization of LCF</t>
  </si>
  <si>
    <t xml:space="preserve">Total LCF</t>
  </si>
  <si>
    <t xml:space="preserve">2002 Losses</t>
  </si>
  <si>
    <t xml:space="preserve">2003 Losses</t>
  </si>
  <si>
    <t xml:space="preserve">2004 Losses</t>
  </si>
  <si>
    <t xml:space="preserve">2005 Losses</t>
  </si>
  <si>
    <t xml:space="preserve">2006 Losses</t>
  </si>
  <si>
    <t xml:space="preserve">2007 Losses</t>
  </si>
  <si>
    <t xml:space="preserve">Total Utilization</t>
  </si>
  <si>
    <t xml:space="preserve">Year of Expiry</t>
  </si>
  <si>
    <t xml:space="preserve">Earliest Year of LCF which could be used</t>
  </si>
  <si>
    <t xml:space="preserve">Class 1 Electrical Generating Equipment</t>
  </si>
  <si>
    <t xml:space="preserve">UCC at Beginning of Year</t>
  </si>
  <si>
    <t xml:space="preserve">Cost of Acquisitions during the year</t>
  </si>
  <si>
    <t xml:space="preserve">Disposals</t>
  </si>
  <si>
    <t xml:space="preserve">UCC</t>
  </si>
  <si>
    <t xml:space="preserve">50% Rule</t>
  </si>
  <si>
    <t xml:space="preserve">Reduced UCC</t>
  </si>
  <si>
    <t xml:space="preserve">Capital Cost Allowance</t>
  </si>
  <si>
    <t xml:space="preserve">Undepreciated Capital Cost at yr End</t>
  </si>
  <si>
    <t xml:space="preserve">Class 8 Furniture</t>
  </si>
  <si>
    <t xml:space="preserve">Class 10 Computer</t>
  </si>
  <si>
    <t xml:space="preserve">Class 12 Computer Software</t>
  </si>
  <si>
    <t xml:space="preserve">Class 17 Telecommunications Equipment</t>
  </si>
  <si>
    <t xml:space="preserve">Class 43 Electrical Generating Equipment</t>
  </si>
  <si>
    <t xml:space="preserve">CCA Required to make Tax = 0</t>
  </si>
  <si>
    <t xml:space="preserve">Maximum Allowable by Class</t>
  </si>
  <si>
    <t xml:space="preserve">Class 43 to be claimed</t>
  </si>
  <si>
    <t xml:space="preserve">Carrying Value of Asset</t>
  </si>
  <si>
    <t xml:space="preserve">O &amp; M Cost Summary</t>
  </si>
  <si>
    <t xml:space="preserve">Sensitivity</t>
  </si>
  <si>
    <t xml:space="preserve">$ Year</t>
  </si>
  <si>
    <t xml:space="preserve">2000</t>
  </si>
  <si>
    <t xml:space="preserve">Base</t>
  </si>
  <si>
    <t xml:space="preserve">Labour Escalation from Base Year</t>
  </si>
  <si>
    <t xml:space="preserve">Annual Material Escalation</t>
  </si>
  <si>
    <t xml:space="preserve">F</t>
  </si>
  <si>
    <t xml:space="preserve">Labour</t>
  </si>
  <si>
    <t xml:space="preserve">Labour - Steam Engineers</t>
  </si>
  <si>
    <t xml:space="preserve">Training</t>
  </si>
  <si>
    <t xml:space="preserve">Administrative &amp; Support</t>
  </si>
  <si>
    <t xml:space="preserve">Tools &amp; Equipment</t>
  </si>
  <si>
    <t xml:space="preserve">Contract Services</t>
  </si>
  <si>
    <t xml:space="preserve">General Liability Insurance</t>
  </si>
  <si>
    <t xml:space="preserve">Quarterly Inspections </t>
  </si>
  <si>
    <t xml:space="preserve">Operator Management Fee</t>
  </si>
  <si>
    <t xml:space="preserve">Water</t>
  </si>
  <si>
    <t xml:space="preserve">Increase for Combined Cycle</t>
  </si>
  <si>
    <t xml:space="preserve">V</t>
  </si>
  <si>
    <t xml:space="preserve">Consumables</t>
  </si>
  <si>
    <t xml:space="preserve">Chemicals</t>
  </si>
  <si>
    <t xml:space="preserve">Maintenance &amp; Minor Repairs</t>
  </si>
  <si>
    <t xml:space="preserve">Equivalent Run Hours - Starts</t>
  </si>
  <si>
    <t xml:space="preserve">Sinking Fund - Steam Turbine</t>
  </si>
  <si>
    <t xml:space="preserve">LM 1500</t>
  </si>
  <si>
    <t xml:space="preserve">Total</t>
  </si>
  <si>
    <t xml:space="preserve">Fixed</t>
  </si>
  <si>
    <t xml:space="preserve">Variable</t>
  </si>
  <si>
    <t xml:space="preserve">Property Tax</t>
  </si>
  <si>
    <t xml:space="preserve">Insurance</t>
  </si>
  <si>
    <t xml:space="preserve">Run Hours</t>
  </si>
  <si>
    <t xml:space="preserve">Incremental Equivalent Run Hours</t>
  </si>
  <si>
    <t xml:space="preserve">Cummulative Equivalent Run Hours</t>
  </si>
  <si>
    <t xml:space="preserve">Run Hours Without Overhaul</t>
  </si>
  <si>
    <t xml:space="preserve">Generated MW</t>
  </si>
  <si>
    <t xml:space="preserve">Escalated Amount</t>
  </si>
  <si>
    <t xml:space="preserve">Maintenance &amp; Minor Repairs Cdn $ per MWhr</t>
  </si>
  <si>
    <t xml:space="preserve">Consumables Cdn$ per MWhr</t>
  </si>
  <si>
    <t xml:space="preserve">Chemicals  Cdn $ per MWhr</t>
  </si>
  <si>
    <t xml:space="preserve">Equivalent Run Hours Cdn $per Equiv MWhr</t>
  </si>
  <si>
    <t xml:space="preserve">Sinking Maintenance Fund</t>
  </si>
  <si>
    <t xml:space="preserve">Volume 54.5 m3/day</t>
  </si>
  <si>
    <t xml:space="preserve">Water Consumption m3 </t>
  </si>
  <si>
    <t xml:space="preserve">PRE TAX</t>
  </si>
  <si>
    <t xml:space="preserve">AFTER TAX</t>
  </si>
  <si>
    <t xml:space="preserve">"Pre-tax"</t>
  </si>
  <si>
    <t xml:space="preserve">"After-tax"</t>
  </si>
  <si>
    <t xml:space="preserve">3 Years</t>
  </si>
  <si>
    <t xml:space="preserve">PV Date</t>
  </si>
  <si>
    <t xml:space="preserve">5 Years</t>
  </si>
  <si>
    <t xml:space="preserve">10 Years</t>
  </si>
  <si>
    <t xml:space="preserve">15 Years</t>
  </si>
  <si>
    <t xml:space="preserve">20 Years</t>
  </si>
  <si>
    <t xml:space="preserve">Check Match</t>
  </si>
  <si>
    <t xml:space="preserve">Year</t>
  </si>
  <si>
    <t xml:space="preserve">Start</t>
  </si>
  <si>
    <t xml:space="preserve">End</t>
  </si>
  <si>
    <t xml:space="preserve">Distribution Date</t>
  </si>
  <si>
    <t xml:space="preserve">Discount Rate</t>
  </si>
  <si>
    <t xml:space="preserve">Residual Value</t>
  </si>
  <si>
    <t xml:space="preserve">Notional Amount</t>
  </si>
  <si>
    <t xml:space="preserve">PV Amount</t>
  </si>
  <si>
    <t xml:space="preserve">Y1</t>
  </si>
  <si>
    <t xml:space="preserve">Y2</t>
  </si>
  <si>
    <t xml:space="preserve">Y3</t>
  </si>
  <si>
    <t xml:space="preserve">Y4</t>
  </si>
  <si>
    <t xml:space="preserve">Y5</t>
  </si>
  <si>
    <t xml:space="preserve">Y6</t>
  </si>
  <si>
    <t xml:space="preserve">Y7</t>
  </si>
  <si>
    <t xml:space="preserve">Y8</t>
  </si>
  <si>
    <t xml:space="preserve">Y9</t>
  </si>
  <si>
    <t xml:space="preserve">Y10</t>
  </si>
  <si>
    <t xml:space="preserve">Y11</t>
  </si>
  <si>
    <t xml:space="preserve">Y12</t>
  </si>
  <si>
    <t xml:space="preserve">Y13</t>
  </si>
  <si>
    <t xml:space="preserve">Y14</t>
  </si>
  <si>
    <t xml:space="preserve">Y15</t>
  </si>
  <si>
    <t xml:space="preserve">Y16</t>
  </si>
  <si>
    <t xml:space="preserve">Y17</t>
  </si>
  <si>
    <t xml:space="preserve">Y18</t>
  </si>
  <si>
    <t xml:space="preserve">Y19</t>
  </si>
  <si>
    <t xml:space="preserve">Y20</t>
  </si>
  <si>
    <t xml:space="preserve">Construction Schedule</t>
  </si>
  <si>
    <t xml:space="preserve">Construction Period Months</t>
  </si>
  <si>
    <t xml:space="preserve">Initial Equity Injection</t>
  </si>
  <si>
    <t xml:space="preserve">Manual Amortization (Yes/No)</t>
  </si>
  <si>
    <t xml:space="preserve">Timing of Equity Drawdown Split over the last X (Months)</t>
  </si>
  <si>
    <t xml:space="preserve">Debt Ratio</t>
  </si>
  <si>
    <t xml:space="preserve">Equity Ratio</t>
  </si>
  <si>
    <t xml:space="preserve">Total Capital</t>
  </si>
  <si>
    <t xml:space="preserve">Last Day of Month</t>
  </si>
  <si>
    <t xml:space="preserve">Manual Amortization</t>
  </si>
  <si>
    <t xml:space="preserve">Automatic Amortization</t>
  </si>
  <si>
    <t xml:space="preserve">Selected Amortization of Capital</t>
  </si>
  <si>
    <t xml:space="preserve">Cummulative Expenditure</t>
  </si>
  <si>
    <t xml:space="preserve">Project Drawdown Schedule</t>
  </si>
  <si>
    <t xml:space="preserve">Cummulative Project Drawdown </t>
  </si>
  <si>
    <t xml:space="preserve">Equity Drawdown</t>
  </si>
  <si>
    <t xml:space="preserve">Incremental Expenditure %</t>
  </si>
  <si>
    <t xml:space="preserve">Cummulative Expenditure %</t>
  </si>
  <si>
    <t xml:space="preserve">Equity Available</t>
  </si>
  <si>
    <t xml:space="preserve">Debt Available</t>
  </si>
  <si>
    <t xml:space="preserve">Debt Drawdown</t>
  </si>
  <si>
    <t xml:space="preserve">Cummulative Interest During Construction</t>
  </si>
  <si>
    <t xml:space="preserve">IDC attributable to Equity</t>
  </si>
  <si>
    <t xml:space="preserve">IDC attributable to Debt</t>
  </si>
  <si>
    <t xml:space="preserve">Combined Cycle Construction Schedule</t>
  </si>
  <si>
    <t xml:space="preserve">Construction period months</t>
  </si>
  <si>
    <t xml:space="preserve">OPERATIONAL DETAIL</t>
  </si>
  <si>
    <t xml:space="preserve">Energy Capacity (MW)</t>
  </si>
  <si>
    <t xml:space="preserve">Capacity Degradation</t>
  </si>
  <si>
    <t xml:space="preserve">Mon-Fri Peak Run Hours</t>
  </si>
  <si>
    <t xml:space="preserve">Mon-Fri Shoulder Run Hours</t>
  </si>
  <si>
    <t xml:space="preserve">Saturday Peak Run Hours</t>
  </si>
  <si>
    <t xml:space="preserve">Saturday Shoulder Run Hours</t>
  </si>
  <si>
    <t xml:space="preserve">Sunday Peak Run Hours</t>
  </si>
  <si>
    <t xml:space="preserve">Total Run Hours</t>
  </si>
  <si>
    <t xml:space="preserve">Equivalent Run Hours</t>
  </si>
  <si>
    <t xml:space="preserve">Total Generated MWh</t>
  </si>
  <si>
    <t xml:space="preserve">Energy Revenue</t>
  </si>
  <si>
    <t xml:space="preserve">Super Peak Mon-Friday</t>
  </si>
  <si>
    <t xml:space="preserve">Energy Price US$/MWh</t>
  </si>
  <si>
    <t xml:space="preserve">Forward F/X Curve</t>
  </si>
  <si>
    <t xml:space="preserve">Energy Price Cdn $/MWh</t>
  </si>
  <si>
    <t xml:space="preserve">Shoulder Mon-Fri</t>
  </si>
  <si>
    <t xml:space="preserve">Sat - Super Peak</t>
  </si>
  <si>
    <t xml:space="preserve">Sat - Shoulder</t>
  </si>
  <si>
    <t xml:space="preserve">Sun - Super Peak</t>
  </si>
  <si>
    <t xml:space="preserve">Super Peak Mon-Friday Energy Revenue</t>
  </si>
  <si>
    <t xml:space="preserve">Shoulder Mon-Fri Energy Revenue</t>
  </si>
  <si>
    <t xml:space="preserve">Sat - Super Peak Energy Revenue</t>
  </si>
  <si>
    <t xml:space="preserve">Sat - Shoulder Peak Energy Revenue</t>
  </si>
  <si>
    <t xml:space="preserve">Sun - Super Peak Energy Revenue</t>
  </si>
  <si>
    <t xml:space="preserve">Total Plant Energy Revenue</t>
  </si>
  <si>
    <t xml:space="preserve">Revenue Required to get a 0 NPV</t>
  </si>
  <si>
    <t xml:space="preserve">$ / MWhr</t>
  </si>
  <si>
    <t xml:space="preserve">Super Peak Hours US$10000</t>
  </si>
  <si>
    <t xml:space="preserve">Super Peak Hours </t>
  </si>
  <si>
    <t xml:space="preserve">Total Energy Revenue</t>
  </si>
  <si>
    <t xml:space="preserve">Option Value</t>
  </si>
  <si>
    <t xml:space="preserve">US $</t>
  </si>
  <si>
    <t xml:space="preserve">Extrinsic Value CDN $ </t>
  </si>
  <si>
    <t xml:space="preserve">Plant Capacity Revenue</t>
  </si>
  <si>
    <t xml:space="preserve">Actual Average Capacity</t>
  </si>
  <si>
    <t xml:space="preserve">Capacity Revenue US$</t>
  </si>
  <si>
    <t xml:space="preserve">Capacity Revenue Cdn$</t>
  </si>
  <si>
    <t xml:space="preserve">Capacity Revenue </t>
  </si>
  <si>
    <t xml:space="preserve">Start Charge Revenue</t>
  </si>
  <si>
    <t xml:space="preserve">Charge per Start US$</t>
  </si>
  <si>
    <t xml:space="preserve">Charge per Start Cdn$</t>
  </si>
  <si>
    <t xml:space="preserve">Start Revenue</t>
  </si>
  <si>
    <t xml:space="preserve">Congestion Pricing C$MWhr</t>
  </si>
  <si>
    <t xml:space="preserve"> Congestion Revenue</t>
  </si>
  <si>
    <t xml:space="preserve">Transmission Swap US$MWhr</t>
  </si>
  <si>
    <t xml:space="preserve">Transmission Swap Cdn $/MWh</t>
  </si>
  <si>
    <t xml:space="preserve">Transmission Swap Revenue</t>
  </si>
  <si>
    <t xml:space="preserve">Importer Transmission Charge</t>
  </si>
  <si>
    <t xml:space="preserve">  US$MWhr</t>
  </si>
  <si>
    <t xml:space="preserve">Importer Transmission Charge CDN$/MWhr</t>
  </si>
  <si>
    <t xml:space="preserve">Importer Transmission Charge Revenue</t>
  </si>
  <si>
    <t xml:space="preserve">Royalty Income on Fuel Conversion</t>
  </si>
  <si>
    <t xml:space="preserve">FUEL</t>
  </si>
  <si>
    <t xml:space="preserve">Fuel</t>
  </si>
  <si>
    <t xml:space="preserve">Natural Gas Price (US$/MMBtu)</t>
  </si>
  <si>
    <t xml:space="preserve">Natural Gas Price (Cdn$/MMBtu)</t>
  </si>
  <si>
    <t xml:space="preserve">Transportation Union $Cdn/MMBtu</t>
  </si>
  <si>
    <t xml:space="preserve">All in Gas Price Cdn$/MMBtu</t>
  </si>
  <si>
    <t xml:space="preserve">Fuel Heat Rate (Btu/kWh) HHV</t>
  </si>
  <si>
    <t xml:space="preserve">Heat Rate Degradation</t>
  </si>
  <si>
    <t xml:space="preserve">Degraded Heat Rate</t>
  </si>
  <si>
    <t xml:space="preserve">Fuel Natural Gas (000's MMBtus)</t>
  </si>
  <si>
    <t xml:space="preserve">Fuel Cost $k</t>
  </si>
  <si>
    <t xml:space="preserve">TOTAL FUEL COST $k</t>
  </si>
  <si>
    <t xml:space="preserve">Standby Energy Price Cdn$/MWhr</t>
  </si>
  <si>
    <t xml:space="preserve">Standby Charge</t>
  </si>
  <si>
    <t xml:space="preserve">  Debt Coverage Ratio (EBITDA/Interest + Principal)</t>
  </si>
  <si>
    <t xml:space="preserve">  Interest Coverage (EBITDA/Interest)</t>
  </si>
  <si>
    <t xml:space="preserve">  Total Debt/EBITDA</t>
  </si>
  <si>
    <t xml:space="preserve">Revised Gas curves</t>
  </si>
  <si>
    <t xml:space="preserve">Total capacity Revenue (Intrinsic C$)</t>
  </si>
  <si>
    <t xml:space="preserve">Total capacity Revenue (Intrinsic US$)</t>
  </si>
  <si>
    <t xml:space="preserve">Difference due to updated Gas Curves</t>
  </si>
  <si>
    <t xml:space="preserve">Project Moore Dispatch model tie-out</t>
  </si>
  <si>
    <t xml:space="preserve">Summary NY West</t>
  </si>
  <si>
    <t xml:space="preserve">C$ (000's)</t>
  </si>
  <si>
    <t xml:space="preserve">US$ (000's)</t>
  </si>
  <si>
    <t xml:space="preserve">Base Case (8 hr super pk, intrinsic)</t>
  </si>
  <si>
    <t xml:space="preserve">Dispatch Model (8 super pk, intrinsic)</t>
  </si>
  <si>
    <t xml:space="preserve">Explanation of Differences:</t>
  </si>
  <si>
    <t xml:space="preserve">Corrected Price Scalars (removed Dynamic):</t>
  </si>
  <si>
    <t xml:space="preserve">Corrected Price Scalars (use NY Sup Pk, not Mich):</t>
  </si>
  <si>
    <t xml:space="preserve">Revised NY West curve</t>
  </si>
  <si>
    <t xml:space="preserve">VOM Diff (Estimate - still verifying w/KC)</t>
  </si>
  <si>
    <t xml:space="preserve">* Still looking into Option value, VOM, and updating gas curve</t>
  </si>
  <si>
    <t xml:space="preserve"> ~ Approximately $13m of intrinsic for Shoulder Peak &amp; Sat Pk value</t>
  </si>
  <si>
    <t xml:space="preserve">Cashflow</t>
  </si>
  <si>
    <t xml:space="preserve"> </t>
  </si>
  <si>
    <t xml:space="preserve">Operating Year</t>
  </si>
  <si>
    <t xml:space="preserve">Construction Countdown</t>
  </si>
  <si>
    <t xml:space="preserve">Start of Period</t>
  </si>
  <si>
    <t xml:space="preserve">End of Period</t>
  </si>
  <si>
    <t xml:space="preserve">Plant Energy Revenue</t>
  </si>
  <si>
    <t xml:space="preserve">Congestion Pricing</t>
  </si>
  <si>
    <t xml:space="preserve">Transmissions Swap</t>
  </si>
  <si>
    <t xml:space="preserve">Capacity Revenue</t>
  </si>
  <si>
    <t xml:space="preserve">Option Revenue</t>
  </si>
  <si>
    <t xml:space="preserve">Royalty Income</t>
  </si>
  <si>
    <t xml:space="preserve">Total Operating Revenues</t>
  </si>
  <si>
    <t xml:space="preserve">Operating Expenses</t>
  </si>
  <si>
    <t xml:space="preserve">   Plant Fuel</t>
  </si>
  <si>
    <t xml:space="preserve">   Variable O&amp;M </t>
  </si>
  <si>
    <t xml:space="preserve">   Fixed O&amp;M</t>
  </si>
  <si>
    <t xml:space="preserve">   Standby Charge (.5% of Capacity @$45 per MW)</t>
  </si>
  <si>
    <t xml:space="preserve">   Property Tax (@.5% of installed cost</t>
  </si>
  <si>
    <t xml:space="preserve">   Insurance</t>
  </si>
  <si>
    <t xml:space="preserve">Total Operating Expense</t>
  </si>
  <si>
    <t xml:space="preserve">OPERATING CASHFLOW (EBITDA)</t>
  </si>
  <si>
    <t xml:space="preserve">Residual Value to Equity </t>
  </si>
  <si>
    <t xml:space="preserve">less</t>
  </si>
  <si>
    <t xml:space="preserve">   Interest on Term Loan</t>
  </si>
  <si>
    <t xml:space="preserve">   Interest on Operating Line</t>
  </si>
  <si>
    <t xml:space="preserve">   Interest on Credit Line</t>
  </si>
  <si>
    <t xml:space="preserve">   Interest on Incremental Capital</t>
  </si>
  <si>
    <t xml:space="preserve">   Principal Payments</t>
  </si>
  <si>
    <t xml:space="preserve">Principal on Incremental Capital</t>
  </si>
  <si>
    <t xml:space="preserve">Equity Injection</t>
  </si>
  <si>
    <t xml:space="preserve">DISTRIBUTABLE CASHFLOW     (including equity injection)</t>
  </si>
  <si>
    <t xml:space="preserve">  Cash Taxes</t>
  </si>
  <si>
    <t xml:space="preserve">Equity Cash Flow (After Cash taxes)</t>
  </si>
  <si>
    <t xml:space="preserve">Debt Coverage (EBITDA/Interest +Principal)</t>
  </si>
  <si>
    <t xml:space="preserve">Interest Coverage(EBITDA/Interest)</t>
  </si>
  <si>
    <t xml:space="preserve">Total Debt/EBITDA</t>
  </si>
  <si>
    <t xml:space="preserve">Choices</t>
  </si>
  <si>
    <t xml:space="preserve">Plant Types</t>
  </si>
  <si>
    <t xml:space="preserve">Nominal Capacity</t>
  </si>
  <si>
    <t xml:space="preserve">Actual Capacity</t>
  </si>
  <si>
    <t xml:space="preserve">Heat Rate (HHV)</t>
  </si>
  <si>
    <t xml:space="preserve">100% Capacity Degragation</t>
  </si>
  <si>
    <t xml:space="preserve">100% Heat Rate Degragation</t>
  </si>
  <si>
    <t xml:space="preserve">Major Overhaul (hrs)</t>
  </si>
  <si>
    <t xml:space="preserve">Equivilent Operating Hours per Start</t>
  </si>
  <si>
    <t xml:space="preserve">EPCM Costs</t>
  </si>
  <si>
    <t xml:space="preserve">Transmission Costs</t>
  </si>
  <si>
    <t xml:space="preserve">Owners DLE Costs</t>
  </si>
  <si>
    <t xml:space="preserve">Spare Parts</t>
  </si>
  <si>
    <t xml:space="preserve">Variable O&amp;M</t>
  </si>
  <si>
    <t xml:space="preserve">Class 1 (Building) % of Capital Cost</t>
  </si>
  <si>
    <t xml:space="preserve">Class 6 (Generating Equipment) % of Capital Cost</t>
  </si>
  <si>
    <t xml:space="preserve">Class 10 (Computer Equipment) % of Capital Cost</t>
  </si>
  <si>
    <t xml:space="preserve">Class 12 (Computer Software) % of Capital Cost</t>
  </si>
  <si>
    <t xml:space="preserve">2 X GT11N1 + 1 W501 D5A</t>
  </si>
  <si>
    <t xml:space="preserve">2 X GT11N1</t>
  </si>
  <si>
    <t xml:space="preserve">2 X GT11N1 + 15 X LM 1500</t>
  </si>
  <si>
    <t xml:space="preserve">2 X GT11N1 + 2 X GT11N2</t>
  </si>
  <si>
    <t xml:space="preserve">2 X GT11N1 + GT13D</t>
  </si>
  <si>
    <t xml:space="preserve">Chosen </t>
  </si>
  <si>
    <t xml:space="preserve">Investment Term</t>
  </si>
  <si>
    <t xml:space="preserve">Years</t>
  </si>
  <si>
    <t xml:space="preserve">Semi Annual Pre Tax PV</t>
  </si>
  <si>
    <t xml:space="preserve">After Tax Semi Annual</t>
  </si>
  <si>
    <t xml:space="preserve">Chosen</t>
  </si>
  <si>
    <t xml:space="preserve">Load Factor</t>
  </si>
  <si>
    <t xml:space="preserve"># of starts per year</t>
  </si>
  <si>
    <t xml:space="preserve">Curve Selected</t>
  </si>
  <si>
    <t xml:space="preserve">Michigan</t>
  </si>
  <si>
    <t xml:space="preserve">New York</t>
  </si>
  <si>
    <t xml:space="preserve">New York Flat</t>
  </si>
  <si>
    <t xml:space="preserve">Custom</t>
  </si>
  <si>
    <t xml:space="preserve">Moore Power Project</t>
  </si>
  <si>
    <t xml:space="preserve">Configuration</t>
  </si>
  <si>
    <t xml:space="preserve">Incremental EPCM Costs</t>
  </si>
  <si>
    <t xml:space="preserve">Starts per Year</t>
  </si>
  <si>
    <t xml:space="preserve">Increase in O &amp; M</t>
  </si>
  <si>
    <t xml:space="preserve">Combined Cycle</t>
  </si>
  <si>
    <t xml:space="preserve">Simple Cycle</t>
  </si>
  <si>
    <t xml:space="preserve">Federal</t>
  </si>
  <si>
    <t xml:space="preserve">Tax</t>
  </si>
  <si>
    <t xml:space="preserve">Federal Income Tax</t>
  </si>
  <si>
    <t xml:space="preserve">Manufacturing Credit</t>
  </si>
  <si>
    <t xml:space="preserve">Federal Income Tax after M &amp; P Credit</t>
  </si>
  <si>
    <t xml:space="preserve">Federal Large Corporations Tax</t>
  </si>
  <si>
    <t xml:space="preserve">Province</t>
  </si>
  <si>
    <t xml:space="preserve">Alberta</t>
  </si>
  <si>
    <t xml:space="preserve">Ontario</t>
  </si>
  <si>
    <t xml:space="preserve">Alberta Tax</t>
  </si>
  <si>
    <t xml:space="preserve">Provincial Tax Rate</t>
  </si>
  <si>
    <t xml:space="preserve">Ontario Corporate Minimum Tax</t>
  </si>
  <si>
    <t xml:space="preserve">Ontario Tax</t>
  </si>
  <si>
    <t xml:space="preserve">Capital Gains Tax</t>
  </si>
  <si>
    <t xml:space="preserve">CCA &amp; Capital Gains Calculation</t>
  </si>
  <si>
    <t xml:space="preserve">Investment Term 5 Years</t>
  </si>
  <si>
    <t xml:space="preserve">Investment Term 10 Years</t>
  </si>
  <si>
    <t xml:space="preserve">Investment Term 15 Years</t>
  </si>
  <si>
    <t xml:space="preserve">Investment Term 20 Years</t>
  </si>
  <si>
    <t xml:space="preserve">Proceeds from Disposal</t>
  </si>
  <si>
    <t xml:space="preserve">Acquisition Cost</t>
  </si>
  <si>
    <t xml:space="preserve">Capital Gain</t>
  </si>
  <si>
    <t xml:space="preserve">Energy Curve US $MWhr</t>
  </si>
  <si>
    <t xml:space="preserve">MOORE POWER PROJECT Model is in CDN$</t>
  </si>
  <si>
    <t xml:space="preserve">Technical Assumptions</t>
  </si>
  <si>
    <t xml:space="preserve">Capital Assumptions</t>
  </si>
  <si>
    <t xml:space="preserve">Tax and Accounting Assumptions</t>
  </si>
  <si>
    <t xml:space="preserve">Project Name</t>
  </si>
  <si>
    <t xml:space="preserve">Class 43 Eligible (Yes or No)</t>
  </si>
  <si>
    <t xml:space="preserve">No</t>
  </si>
  <si>
    <t xml:space="preserve">CCA Schedule</t>
  </si>
  <si>
    <t xml:space="preserve">% of Capital Cost</t>
  </si>
  <si>
    <t xml:space="preserve">Energy Capacity</t>
  </si>
  <si>
    <t xml:space="preserve">Class 1   - Property</t>
  </si>
  <si>
    <t xml:space="preserve">Class 8   - Furniture</t>
  </si>
  <si>
    <t xml:space="preserve">Plant Type</t>
  </si>
  <si>
    <t xml:space="preserve">Class 10 - Computer</t>
  </si>
  <si>
    <t xml:space="preserve">Capitalized Interest Costs</t>
  </si>
  <si>
    <t xml:space="preserve">Class 12 - Computer Software</t>
  </si>
  <si>
    <t xml:space="preserve">Configuration After Year 3</t>
  </si>
  <si>
    <t xml:space="preserve">Total Capital Costs</t>
  </si>
  <si>
    <t xml:space="preserve">Class 17 - Telecommunications</t>
  </si>
  <si>
    <t xml:space="preserve">Total Capital Costs (US$)</t>
  </si>
  <si>
    <t xml:space="preserve">Class 43 - Electrical Generating</t>
  </si>
  <si>
    <t xml:space="preserve">Incremental Capital Costs in 2003</t>
  </si>
  <si>
    <t xml:space="preserve">50% Rule applies in Year 1 (Yes/No)</t>
  </si>
  <si>
    <t xml:space="preserve">Yes</t>
  </si>
  <si>
    <t xml:space="preserve">Heat Rate (HHV) BTU/KWh</t>
  </si>
  <si>
    <t xml:space="preserve">Capital to Upgrade to a Combined Cycle Configuration</t>
  </si>
  <si>
    <t xml:space="preserve">Calculate LCB</t>
  </si>
  <si>
    <t xml:space="preserve">100% Capacity Degradation</t>
  </si>
  <si>
    <t xml:space="preserve">Capital for Transmission Line into Ontario in 2003</t>
  </si>
  <si>
    <t xml:space="preserve">Tax (First Year) &amp; Accounting Assumptions</t>
  </si>
  <si>
    <t xml:space="preserve">Calculate Capital Gains</t>
  </si>
  <si>
    <t xml:space="preserve">100% Heat Rate Degradation</t>
  </si>
  <si>
    <t xml:space="preserve">Federal Income Tax Rate</t>
  </si>
  <si>
    <t xml:space="preserve">Equivalent Operating Hours at Start</t>
  </si>
  <si>
    <t xml:space="preserve">Total Incremental Capital Costs</t>
  </si>
  <si>
    <t xml:space="preserve">Provincial Income Tax</t>
  </si>
  <si>
    <t xml:space="preserve">20 Year Premium over C$ BA (esclating at 1/4 %)</t>
  </si>
  <si>
    <t xml:space="preserve">M &amp; P Credit</t>
  </si>
  <si>
    <t xml:space="preserve">Working Capital Interest Rate</t>
  </si>
  <si>
    <t xml:space="preserve">Line of Credit for Debt Reserve Account</t>
  </si>
  <si>
    <t xml:space="preserve">Effective Tax Rate</t>
  </si>
  <si>
    <t xml:space="preserve">Combined Cycle Load Factor</t>
  </si>
  <si>
    <t xml:space="preserve">Capital Amortization Period</t>
  </si>
  <si>
    <t xml:space="preserve">Debt Paid down in the first 24 months</t>
  </si>
  <si>
    <t xml:space="preserve">Amortization Period of Incremental Capital</t>
  </si>
  <si>
    <t xml:space="preserve">Working Capital Assumptions</t>
  </si>
  <si>
    <t xml:space="preserve">IRR Calculation</t>
  </si>
  <si>
    <t xml:space="preserve">% of Total Debt</t>
  </si>
  <si>
    <t xml:space="preserve">Cashflow PV Date </t>
  </si>
  <si>
    <t xml:space="preserve">% of Debt paid during Investment</t>
  </si>
  <si>
    <t xml:space="preserve">After Tax Distributions </t>
  </si>
  <si>
    <t xml:space="preserve">Investment Term (yrs)</t>
  </si>
  <si>
    <t xml:space="preserve">Residual Value </t>
  </si>
  <si>
    <t xml:space="preserve">Semi Annual Distributions (Pre-Tax)</t>
  </si>
  <si>
    <t xml:space="preserve">Interest Rate During Construction</t>
  </si>
  <si>
    <t xml:space="preserve">Other Current Payables</t>
  </si>
  <si>
    <t xml:space="preserve">Spot F/X Rate</t>
  </si>
  <si>
    <t xml:space="preserve">Inflation Rate</t>
  </si>
  <si>
    <t xml:space="preserve">Charges</t>
  </si>
  <si>
    <t xml:space="preserve">Equity %</t>
  </si>
  <si>
    <t xml:space="preserve">Transportation -Union Cdn$/MMBtu</t>
  </si>
  <si>
    <t xml:space="preserve">Debt %</t>
  </si>
  <si>
    <t xml:space="preserve">Incremental Capital Structure (Future Combined Cycle)</t>
  </si>
  <si>
    <t xml:space="preserve">Gas Cdn $/MMBtu - 5 Year Swap</t>
  </si>
  <si>
    <t xml:space="preserve">Pricing Assumptions</t>
  </si>
  <si>
    <t xml:space="preserve">ENA Curve Peak Hours</t>
  </si>
  <si>
    <t xml:space="preserve">Debt Acceleration</t>
  </si>
  <si>
    <t xml:space="preserve">ENA Curve Peak Shoulder Hours</t>
  </si>
  <si>
    <t xml:space="preserve">Debt Acceleration Year 1</t>
  </si>
  <si>
    <t xml:space="preserve">Debt Acceleration Year 2</t>
  </si>
  <si>
    <t xml:space="preserve">Scenario Capacity Charge</t>
  </si>
  <si>
    <t xml:space="preserve">Debt Acceleration Year 3</t>
  </si>
  <si>
    <t xml:space="preserve">Capacity Charge $kWmonth</t>
  </si>
  <si>
    <t xml:space="preserve">Debt Acceleration Year 4</t>
  </si>
  <si>
    <t xml:space="preserve">Debt Service Ratio</t>
  </si>
  <si>
    <t xml:space="preserve">Minimum Debt Service Ratio</t>
  </si>
  <si>
    <t xml:space="preserve">Scenario Run Hours</t>
  </si>
  <si>
    <t xml:space="preserve">Average Debt Service Ratio</t>
  </si>
  <si>
    <t xml:space="preserve">Goal Seek Average Debt Service Ratio to 2.5 by changing Equity E33</t>
  </si>
  <si>
    <t xml:space="preserve">Maximum Debt Service Ratio</t>
  </si>
  <si>
    <t xml:space="preserve">Option Pricing</t>
  </si>
  <si>
    <t xml:space="preserve">Start Date Project (MM/YY)</t>
  </si>
  <si>
    <t xml:space="preserve">Primary Construction period (months)</t>
  </si>
  <si>
    <t xml:space="preserve">Revenue to get to 0 NPV $MWhr</t>
  </si>
  <si>
    <t xml:space="preserve">Operational Start Date (MM/YY)</t>
  </si>
  <si>
    <t xml:space="preserve">Flat Electricity Price US$MWhr</t>
  </si>
  <si>
    <t xml:space="preserve">Manual Capex Drawdown (Yes/No)</t>
  </si>
  <si>
    <t xml:space="preserve">NO</t>
  </si>
  <si>
    <t xml:space="preserve">Number of Months Operation 1st Year</t>
  </si>
  <si>
    <t xml:space="preserve">Super Peak Hours</t>
  </si>
  <si>
    <t xml:space="preserve">Date Of Analysis</t>
  </si>
  <si>
    <t xml:space="preserve">Super Peak Hours US$</t>
  </si>
  <si>
    <t xml:space="preserve">Combined Cycle Construction</t>
  </si>
  <si>
    <t xml:space="preserve">Congestion Pricing Cdn $MWhr</t>
  </si>
  <si>
    <t xml:space="preserve">Escalating at %</t>
  </si>
  <si>
    <t xml:space="preserve">Combined Cycle Construction period (months)</t>
  </si>
  <si>
    <t xml:space="preserve">Start Revenue US$</t>
  </si>
  <si>
    <t xml:space="preserve">Escalator on Start Charge</t>
  </si>
  <si>
    <t xml:space="preserve">Starts Maintenance Cost($/MWh)</t>
  </si>
  <si>
    <t xml:space="preserve">Importer Transmission Charge US$MWhr </t>
  </si>
  <si>
    <t xml:space="preserve">Transmission Swap US$MWhr </t>
  </si>
  <si>
    <t xml:space="preserve">% of Savings passed on to customer</t>
  </si>
  <si>
    <t xml:space="preserve">Property Tax as % of Capital</t>
  </si>
  <si>
    <t xml:space="preserve">CDN $MM</t>
  </si>
  <si>
    <t xml:space="preserve">NPV C$MM</t>
  </si>
  <si>
    <t xml:space="preserve">Insurance as % of Capital</t>
  </si>
  <si>
    <t xml:space="preserve">NEPCO Margin</t>
  </si>
  <si>
    <t xml:space="preserve">Cost of the Fuel Conversion Cdn $</t>
  </si>
  <si>
    <t xml:space="preserve">Royalty Income as % of Original Cost</t>
  </si>
  <si>
    <t xml:space="preserve">Number of ABB GT11N1 Units in North America</t>
  </si>
  <si>
    <t xml:space="preserve">% of units that we will receive royalties on</t>
  </si>
  <si>
    <t xml:space="preserve">Years to amortize royalty income over </t>
  </si>
  <si>
    <t xml:space="preserve">If you are looking at the model on an after tax basis update the Taxable Capital.  At the first screen input 2, input 3.</t>
  </si>
  <si>
    <t xml:space="preserve">Scenario 1</t>
  </si>
  <si>
    <t xml:space="preserve">ENA Curve</t>
  </si>
  <si>
    <t xml:space="preserve">Scenario 2</t>
  </si>
  <si>
    <t xml:space="preserve">ENA Curve + Combined Cycle</t>
  </si>
  <si>
    <t xml:space="preserve">Scenario 3</t>
  </si>
  <si>
    <t xml:space="preserve">Dispatch</t>
  </si>
  <si>
    <t xml:space="preserve">Monthly Data Table</t>
  </si>
  <si>
    <t xml:space="preserve">NB Gas Curves only run until Dec 2014</t>
  </si>
  <si>
    <t xml:space="preserve">Detroit 1-2</t>
  </si>
  <si>
    <t xml:space="preserve">Spread between Price and Cost to dispatch</t>
  </si>
  <si>
    <t xml:space="preserve">Run Hours Scenario 1 = Using Dispatch Function ENA Curve Only</t>
  </si>
  <si>
    <t xml:space="preserve">Dispatch (hours a day on weekdays)</t>
  </si>
  <si>
    <t xml:space="preserve">Scenario 2 = ENA Curve until after the summer of 2003 then Combined Cycle</t>
  </si>
  <si>
    <t xml:space="preserve">Gas Curves updated Feb 22, 2000</t>
  </si>
  <si>
    <t xml:space="preserve">PEAK HOURS - Mon - Fri</t>
  </si>
  <si>
    <t xml:space="preserve">MON - FRI </t>
  </si>
  <si>
    <t xml:space="preserve">SATURDAY</t>
  </si>
  <si>
    <t xml:space="preserve">Link</t>
  </si>
  <si>
    <t xml:space="preserve">3 = Enron SuperScalarCurve</t>
  </si>
  <si>
    <t xml:space="preserve">1= Yes</t>
  </si>
  <si>
    <t xml:space="preserve">SHOULDER PEAK HOURS</t>
  </si>
  <si>
    <t xml:space="preserve">PEAK HOURS</t>
  </si>
  <si>
    <t xml:space="preserve">Number of Days</t>
  </si>
  <si>
    <t xml:space="preserve">Capacity Charge US $kWh</t>
  </si>
  <si>
    <t xml:space="preserve">Energy Charge US $/MWhr</t>
  </si>
  <si>
    <t xml:space="preserve">0 = No</t>
  </si>
  <si>
    <t xml:space="preserve">Based on Curve Used</t>
  </si>
  <si>
    <t xml:space="preserve">Sat Super Peak Hrs</t>
  </si>
  <si>
    <t xml:space="preserve">Sat Shoulder Peak Hrs</t>
  </si>
  <si>
    <t xml:space="preserve">Sunday Super Peak Hrs</t>
  </si>
  <si>
    <t xml:space="preserve">Peak Run Hours (Mon-Fri)</t>
  </si>
  <si>
    <t xml:space="preserve">SUNDAY</t>
  </si>
  <si>
    <t xml:space="preserve">Shoulder Peak Run Hours</t>
  </si>
  <si>
    <t xml:space="preserve">Mon - Fri Peak Hours</t>
  </si>
  <si>
    <t xml:space="preserve">Mon-Fri Shoulder Hours</t>
  </si>
  <si>
    <t xml:space="preserve">Saturday - Peak Hrs</t>
  </si>
  <si>
    <t xml:space="preserve">Saturday - Shoulder Hrs</t>
  </si>
  <si>
    <t xml:space="preserve">SUNDAY Peak Hrs</t>
  </si>
  <si>
    <t xml:space="preserve">Mon- Fri</t>
  </si>
  <si>
    <t xml:space="preserve">Saturday</t>
  </si>
  <si>
    <t xml:space="preserve">Sunday</t>
  </si>
  <si>
    <t xml:space="preserve">Week - Hol</t>
  </si>
  <si>
    <t xml:space="preserve">Sat - Hol</t>
  </si>
  <si>
    <t xml:space="preserve">Sun - Hol</t>
  </si>
  <si>
    <t xml:space="preserve">Hol</t>
  </si>
  <si>
    <t xml:space="preserve">F/X Curve</t>
  </si>
  <si>
    <t xml:space="preserve">NYMEX Gas Prices US$/MMBtu</t>
  </si>
  <si>
    <t xml:space="preserve">Dawn Basis US$/MMBtu</t>
  </si>
  <si>
    <t xml:space="preserve">Curve adj per Lavo/Geri</t>
  </si>
  <si>
    <t xml:space="preserve">Total Dawn Basis</t>
  </si>
  <si>
    <t xml:space="preserve">Total Gas US$/MMBtu</t>
  </si>
  <si>
    <t xml:space="preserve">Transportation C$/MMBtu</t>
  </si>
  <si>
    <t xml:space="preserve">Total Fuel Price C$/MMBtu</t>
  </si>
  <si>
    <t xml:space="preserve">Capacity MW</t>
  </si>
  <si>
    <t xml:space="preserve">Capacity Revenue CDN $</t>
  </si>
  <si>
    <t xml:space="preserve">Option Value US$/month</t>
  </si>
  <si>
    <t xml:space="preserve">Option Value Cdn$/month</t>
  </si>
  <si>
    <t xml:space="preserve">NY West Flat</t>
  </si>
  <si>
    <t xml:space="preserve">Energy CDN$/MWhr</t>
  </si>
  <si>
    <t xml:space="preserve">US$ /MWhr</t>
  </si>
  <si>
    <t xml:space="preserve">CDN$/MWhr</t>
  </si>
  <si>
    <t xml:space="preserve">Sat Peak Run Hours</t>
  </si>
  <si>
    <t xml:space="preserve">Sun Peak Run Hours</t>
  </si>
  <si>
    <t xml:space="preserve">Mon-Friday</t>
  </si>
  <si>
    <t xml:space="preserve">Sat</t>
  </si>
  <si>
    <t xml:space="preserve">Energy Revenue US $</t>
  </si>
  <si>
    <t xml:space="preserve">Energy Revenue Cdn $</t>
  </si>
  <si>
    <t xml:space="preserve">Generated MW Peak Hours</t>
  </si>
  <si>
    <t xml:space="preserve">Generated MW Shoulder Hrs</t>
  </si>
  <si>
    <t xml:space="preserve">Heat Rate (Degraded)</t>
  </si>
  <si>
    <t xml:space="preserve">Fuel Cost C$/MWhr</t>
  </si>
  <si>
    <t xml:space="preserve">Variable O &amp; M</t>
  </si>
  <si>
    <t xml:space="preserve">Total Cost C$/MWh</t>
  </si>
  <si>
    <t xml:space="preserve">Peak </t>
  </si>
  <si>
    <t xml:space="preserve">Peak</t>
  </si>
  <si>
    <t xml:space="preserve">Standby Charge US$/MWhr</t>
  </si>
  <si>
    <t xml:space="preserve">F/X</t>
  </si>
  <si>
    <t xml:space="preserve">Standby CDN $ MWhr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</si>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</sst>
</file>

<file path=xl/styles.xml><?xml version="1.0" encoding="utf-8"?>
<styleSheet xmlns="http://schemas.openxmlformats.org/spreadsheetml/2006/main">
  <numFmts count="57">
    <numFmt numFmtId="164" formatCode="General"/>
    <numFmt numFmtId="165" formatCode="[$-409]#,##0_);[RED]\(#,##0\)"/>
    <numFmt numFmtId="166" formatCode="_(* #,##0_);_(* \(#,##0\);_(* \-_);_(@_)"/>
    <numFmt numFmtId="167" formatCode="_-* #,##0_-;\-* #,##0_-;_-* \-_-;_-@_-"/>
    <numFmt numFmtId="168" formatCode="_ * #,##0_ ;_ * \-#,##0_ ;_ * \-_ ;_ @_ "/>
    <numFmt numFmtId="169" formatCode="[$-409]#,##0.00_);[RED]\(#,##0.00\)"/>
    <numFmt numFmtId="170" formatCode="_(* #,##0.00_);_(* \(#,##0.00\);_(* \-??_);_(@_)"/>
    <numFmt numFmtId="171" formatCode="_-* #,##0.00_-;\-* #,##0.00_-;_-* \-??_-;_-@_-"/>
    <numFmt numFmtId="172" formatCode="#,##0.00"/>
    <numFmt numFmtId="173" formatCode="_ * #,##0.00_ ;_ * \-#,##0.00_ ;_ * \-??_ ;_ @_ "/>
    <numFmt numFmtId="174" formatCode="\$#,##0_);[RED]&quot;($&quot;#,##0\)"/>
    <numFmt numFmtId="175" formatCode="_(\$* #,##0_);_(\$* \(#,##0\);_(\$* \-_);_(@_)"/>
    <numFmt numFmtId="176" formatCode="_-\$* #,##0_-;&quot;-$&quot;* #,##0_-;_-\$* \-_-;_-@_-"/>
    <numFmt numFmtId="177" formatCode="\$#,##0.00_);[RED]&quot;($&quot;#,##0.00\)"/>
    <numFmt numFmtId="178" formatCode="_(\$* #,##0.00_);_(\$* \(#,##0.00\);_(\$* \-??_);_(@_)"/>
    <numFmt numFmtId="179" formatCode="_-\$* #,##0.00_-;&quot;-$&quot;* #,##0.00_-;_-\$* \-??_-;_-@_-"/>
    <numFmt numFmtId="180" formatCode="_ &quot;CHF &quot;* #,##0.00_ ;_ &quot;CHF &quot;* \-#,##0.00_ ;_ &quot;CHF &quot;* \-??_ ;_ @_ "/>
    <numFmt numFmtId="181" formatCode="\$#,##0.0000000000_);&quot;($&quot;#,##0.0000000000\)"/>
    <numFmt numFmtId="182" formatCode="\$#,##0.00000_);[RED]&quot;($&quot;#,##0.00000\)"/>
    <numFmt numFmtId="183" formatCode="[$-409]#,##0_);\(#,##0\)"/>
    <numFmt numFmtId="184" formatCode="General_)"/>
    <numFmt numFmtId="185" formatCode="0.000000_)"/>
    <numFmt numFmtId="186" formatCode="0.0%"/>
    <numFmt numFmtId="187" formatCode="#,##0"/>
    <numFmt numFmtId="188" formatCode="\$#,##0.000000_);[RED]&quot;($&quot;#,##0.000000\)"/>
    <numFmt numFmtId="189" formatCode="mm/dd/yy"/>
    <numFmt numFmtId="190" formatCode="_(* #,##0.000_);_(* \(#,##0.000\);_(* \-??_);_(@_)"/>
    <numFmt numFmtId="191" formatCode="\$#,##0.00_);&quot;($&quot;#,##0.00\)"/>
    <numFmt numFmtId="192" formatCode="0.000"/>
    <numFmt numFmtId="193" formatCode="0"/>
    <numFmt numFmtId="194" formatCode="0.00000"/>
    <numFmt numFmtId="195" formatCode="0.0000"/>
    <numFmt numFmtId="196" formatCode="[$-409]d\-mmm\-yy"/>
    <numFmt numFmtId="197" formatCode="0.00"/>
    <numFmt numFmtId="198" formatCode="0%"/>
    <numFmt numFmtId="199" formatCode="0.00%"/>
    <numFmt numFmtId="200" formatCode="[$-409]m/d/yyyy"/>
    <numFmt numFmtId="201" formatCode="yyyy"/>
    <numFmt numFmtId="202" formatCode="0_);\(0\)"/>
    <numFmt numFmtId="203" formatCode="_(* #,##0_);_(* \(#,##0\);_(* \-??_);_(@_)"/>
    <numFmt numFmtId="204" formatCode="_(\$* #,##0_);_(\$* \(#,##0\);_(\$* \-??_);_(@_)"/>
    <numFmt numFmtId="205" formatCode="[$-409]#,##0.00_);\(#,##0.00\)"/>
    <numFmt numFmtId="206" formatCode="\$#,##0"/>
    <numFmt numFmtId="207" formatCode="\$#,##0_);&quot;($&quot;#,##0\)"/>
    <numFmt numFmtId="208" formatCode="0.000%"/>
    <numFmt numFmtId="209" formatCode="0.0000%"/>
    <numFmt numFmtId="210" formatCode="[$-409]mmm\-yy"/>
    <numFmt numFmtId="211" formatCode="\$#,##0.00"/>
    <numFmt numFmtId="212" formatCode="#,##0.0000_);\(#,##0.0000\)"/>
    <numFmt numFmtId="213" formatCode="[$-409]General"/>
    <numFmt numFmtId="214" formatCode="\$#,##0.000"/>
    <numFmt numFmtId="215" formatCode="\$#,##0.0"/>
    <numFmt numFmtId="216" formatCode="mmmm\-yy"/>
    <numFmt numFmtId="217" formatCode="0.000000"/>
    <numFmt numFmtId="218" formatCode="\$#,##0.000_);&quot;($&quot;#,##0.000\)"/>
    <numFmt numFmtId="219" formatCode="\$#,##0.0_);[RED]&quot;($&quot;#,##0.0\)"/>
    <numFmt numFmtId="220" formatCode="\$#,##0.0000"/>
  </numFmts>
  <fonts count="6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0"/>
      <name val="Arial"/>
      <family val="2"/>
    </font>
    <font>
      <sz val="10"/>
      <name val="MS Sans Serif"/>
      <family val="0"/>
    </font>
    <font>
      <sz val="11"/>
      <name val="Arial"/>
      <family val="0"/>
    </font>
    <font>
      <sz val="10"/>
      <color rgb="FF000000"/>
      <name val="Arial"/>
      <family val="2"/>
    </font>
    <font>
      <sz val="12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sz val="10"/>
      <name val="Times New Roman"/>
      <family val="1"/>
    </font>
    <font>
      <b val="true"/>
      <sz val="8"/>
      <name val="Times New Roman"/>
      <family val="1"/>
    </font>
    <font>
      <sz val="8"/>
      <name val="Times New Roman"/>
      <family val="1"/>
    </font>
    <font>
      <b val="true"/>
      <sz val="8"/>
      <color rgb="FFFF0000"/>
      <name val="Times New Roman"/>
      <family val="1"/>
    </font>
    <font>
      <u val="single"/>
      <sz val="8"/>
      <name val="Times New Roman"/>
      <family val="1"/>
    </font>
    <font>
      <b val="true"/>
      <u val="single"/>
      <sz val="8"/>
      <color rgb="FFFF0000"/>
      <name val="Times New Roman"/>
      <family val="1"/>
    </font>
    <font>
      <b val="true"/>
      <sz val="10"/>
      <name val="Arial"/>
      <family val="0"/>
    </font>
    <font>
      <b val="true"/>
      <sz val="1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name val="Arial"/>
      <family val="2"/>
    </font>
    <font>
      <b val="true"/>
      <sz val="16"/>
      <name val="Arial"/>
      <family val="2"/>
    </font>
    <font>
      <b val="true"/>
      <sz val="8"/>
      <color rgb="FF0000FF"/>
      <name val="Arial"/>
      <family val="2"/>
    </font>
    <font>
      <b val="true"/>
      <sz val="9"/>
      <name val="Arial"/>
      <family val="2"/>
    </font>
    <font>
      <b val="true"/>
      <sz val="8"/>
      <name val="Arial"/>
      <family val="0"/>
    </font>
    <font>
      <sz val="8"/>
      <color rgb="FFFF0000"/>
      <name val="Arial"/>
      <family val="2"/>
    </font>
    <font>
      <sz val="11"/>
      <color rgb="FF000000"/>
      <name val="P-TIMES"/>
      <family val="0"/>
    </font>
    <font>
      <b val="true"/>
      <sz val="12"/>
      <color rgb="FF000000"/>
      <name val="Arial"/>
      <family val="2"/>
    </font>
    <font>
      <sz val="8"/>
      <color rgb="FF000000"/>
      <name val="Arial"/>
      <family val="2"/>
    </font>
    <font>
      <b val="true"/>
      <sz val="8"/>
      <color rgb="FF000000"/>
      <name val="Arial"/>
      <family val="2"/>
    </font>
    <font>
      <b val="true"/>
      <i val="true"/>
      <sz val="8"/>
      <color rgb="FF000000"/>
      <name val="Arial"/>
      <family val="2"/>
    </font>
    <font>
      <b val="true"/>
      <sz val="12"/>
      <color rgb="FF000000"/>
      <name val="Arial MT"/>
      <family val="0"/>
    </font>
    <font>
      <sz val="10"/>
      <color rgb="FF000000"/>
      <name val="Arial MT"/>
      <family val="0"/>
    </font>
    <font>
      <b val="true"/>
      <sz val="12"/>
      <name val="Arial"/>
      <family val="2"/>
    </font>
    <font>
      <b val="true"/>
      <sz val="10"/>
      <color rgb="FF0000FF"/>
      <name val="Arial"/>
      <family val="2"/>
    </font>
    <font>
      <b val="true"/>
      <u val="single"/>
      <sz val="8"/>
      <name val="Arial"/>
      <family val="2"/>
    </font>
    <font>
      <sz val="8"/>
      <color rgb="FF000080"/>
      <name val="Arial"/>
      <family val="2"/>
    </font>
    <font>
      <u val="single"/>
      <sz val="8"/>
      <name val="Arial"/>
      <family val="2"/>
    </font>
    <font>
      <b val="true"/>
      <sz val="14"/>
      <name val="Arial"/>
      <family val="2"/>
    </font>
    <font>
      <b val="true"/>
      <sz val="8"/>
      <color rgb="FFFF0000"/>
      <name val="Arial"/>
      <family val="2"/>
    </font>
    <font>
      <sz val="8"/>
      <color rgb="FF3366FF"/>
      <name val="Arial"/>
      <family val="2"/>
    </font>
    <font>
      <b val="true"/>
      <sz val="14"/>
      <color rgb="FF3333CC"/>
      <name val="Arial"/>
      <family val="2"/>
    </font>
    <font>
      <b val="true"/>
      <sz val="20"/>
      <name val="Arial"/>
      <family val="2"/>
    </font>
    <font>
      <sz val="8"/>
      <color rgb="FF008000"/>
      <name val="Arial"/>
      <family val="2"/>
    </font>
    <font>
      <b val="true"/>
      <u val="single"/>
      <sz val="10"/>
      <name val="Arial"/>
      <family val="2"/>
    </font>
    <font>
      <i val="true"/>
      <sz val="8"/>
      <name val="Arial"/>
      <family val="2"/>
    </font>
    <font>
      <b val="true"/>
      <sz val="8"/>
      <color rgb="FF3366FF"/>
      <name val="Arial"/>
      <family val="2"/>
    </font>
    <font>
      <u val="single"/>
      <sz val="8"/>
      <color rgb="FF0000FF"/>
      <name val="Arial"/>
      <family val="2"/>
    </font>
    <font>
      <b val="true"/>
      <i val="true"/>
      <sz val="8"/>
      <name val="Arial"/>
      <family val="2"/>
    </font>
    <font>
      <b val="true"/>
      <i val="true"/>
      <sz val="8"/>
      <color rgb="FF0000FF"/>
      <name val="Arial"/>
      <family val="2"/>
    </font>
    <font>
      <b val="true"/>
      <sz val="8"/>
      <color rgb="FFFF0000"/>
      <name val="Arial"/>
      <family val="0"/>
    </font>
    <font>
      <b val="true"/>
      <sz val="8"/>
      <color rgb="FF0000FF"/>
      <name val="Arial"/>
      <family val="0"/>
    </font>
    <font>
      <b val="true"/>
      <sz val="8"/>
      <name val="Arial Narrow"/>
      <family val="2"/>
    </font>
    <font>
      <b val="true"/>
      <sz val="10"/>
      <name val="Britannic Bold"/>
      <family val="0"/>
    </font>
    <font>
      <sz val="10"/>
      <name val="Britannic Bold"/>
      <family val="0"/>
    </font>
    <font>
      <sz val="10"/>
      <name val="Britannic Bold"/>
      <family val="2"/>
    </font>
    <font>
      <b val="true"/>
      <sz val="12"/>
      <color rgb="FF0000FF"/>
      <name val="Arial"/>
      <family val="2"/>
    </font>
    <font>
      <b val="true"/>
      <sz val="18"/>
      <name val="Arial"/>
      <family val="2"/>
    </font>
    <font>
      <b val="true"/>
      <sz val="12"/>
      <color rgb="FFFFFFFF"/>
      <name val="Arial"/>
      <family val="2"/>
    </font>
    <font>
      <sz val="9"/>
      <name val="Arial"/>
      <family val="2"/>
    </font>
    <font>
      <sz val="10"/>
      <color rgb="FFFFFFFF"/>
      <name val="Arial"/>
      <family val="2"/>
    </font>
    <font>
      <sz val="9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CCFFCC"/>
        <bgColor rgb="FFCCFFFF"/>
      </patternFill>
    </fill>
    <fill>
      <patternFill patternType="solid">
        <fgColor rgb="FFA6CAF0"/>
        <bgColor rgb="FFC0C0C0"/>
      </patternFill>
    </fill>
    <fill>
      <patternFill patternType="solid">
        <fgColor rgb="FFC0C0C0"/>
        <bgColor rgb="FFA6CAF0"/>
      </patternFill>
    </fill>
    <fill>
      <patternFill patternType="solid">
        <fgColor rgb="FFCC9CCC"/>
        <bgColor rgb="FFFF99CC"/>
      </patternFill>
    </fill>
    <fill>
      <patternFill patternType="solid">
        <fgColor rgb="FFFFFF00"/>
        <bgColor rgb="FFFFFF00"/>
      </patternFill>
    </fill>
    <fill>
      <patternFill patternType="solid">
        <fgColor rgb="FFE3E3E3"/>
        <bgColor rgb="FFCCFFCC"/>
      </patternFill>
    </fill>
    <fill>
      <patternFill patternType="solid">
        <fgColor rgb="FF00CCFF"/>
        <bgColor rgb="FF33CCCC"/>
      </patternFill>
    </fill>
    <fill>
      <patternFill patternType="solid">
        <fgColor rgb="FF00FF00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0000FF"/>
        <bgColor rgb="FF0000FF"/>
      </patternFill>
    </fill>
    <fill>
      <patternFill patternType="solid">
        <fgColor rgb="FF008080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/>
      <top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>
        <color rgb="FFFF0000"/>
      </left>
      <right/>
      <top style="thick">
        <color rgb="FFFF0000"/>
      </top>
      <bottom/>
      <diagonal/>
    </border>
    <border diagonalUp="false" diagonalDown="false">
      <left/>
      <right/>
      <top style="thick">
        <color rgb="FFFF0000"/>
      </top>
      <bottom/>
      <diagonal/>
    </border>
    <border diagonalUp="false" diagonalDown="false">
      <left/>
      <right style="thick">
        <color rgb="FFFF0000"/>
      </right>
      <top style="thick">
        <color rgb="FFFF0000"/>
      </top>
      <bottom/>
      <diagonal/>
    </border>
    <border diagonalUp="false" diagonalDown="false"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 diagonalUp="false" diagonalDown="false">
      <left style="thick">
        <color rgb="FFFF0000"/>
      </left>
      <right/>
      <top/>
      <bottom/>
      <diagonal/>
    </border>
    <border diagonalUp="false" diagonalDown="false">
      <left/>
      <right style="thick">
        <color rgb="FFFF0000"/>
      </right>
      <top/>
      <bottom/>
      <diagonal/>
    </border>
    <border diagonalUp="false" diagonalDown="false">
      <left style="thick">
        <color rgb="FFFF0000"/>
      </left>
      <right style="thick">
        <color rgb="FFFF0000"/>
      </right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>
        <color rgb="FFFF0000"/>
      </left>
      <right/>
      <top/>
      <bottom style="medium"/>
      <diagonal/>
    </border>
    <border diagonalUp="false" diagonalDown="false">
      <left/>
      <right style="thick">
        <color rgb="FFFF0000"/>
      </right>
      <top/>
      <bottom style="medium"/>
      <diagonal/>
    </border>
    <border diagonalUp="false" diagonalDown="false"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 diagonalUp="false" diagonalDown="false">
      <left style="medium"/>
      <right style="thick">
        <color rgb="FFFF0000"/>
      </right>
      <top style="medium"/>
      <bottom style="medium"/>
      <diagonal/>
    </border>
    <border diagonalUp="false" diagonalDown="false">
      <left style="medium"/>
      <right style="thick">
        <color rgb="FFFF0000"/>
      </right>
      <top/>
      <bottom style="medium"/>
      <diagonal/>
    </border>
    <border diagonalUp="false" diagonalDown="false">
      <left/>
      <right style="thick">
        <color rgb="FFFF0000"/>
      </right>
      <top style="thick">
        <color rgb="FFFF0000"/>
      </top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ck">
        <color rgb="FFFF0000"/>
      </right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ck">
        <color rgb="FFFF0000"/>
      </left>
      <right/>
      <top/>
      <bottom style="thin"/>
      <diagonal/>
    </border>
    <border diagonalUp="false" diagonalDown="false">
      <left style="medium"/>
      <right style="thick">
        <color rgb="FFFF0000"/>
      </right>
      <top/>
      <bottom style="thin"/>
      <diagonal/>
    </border>
    <border diagonalUp="false" diagonalDown="false">
      <left/>
      <right style="thick">
        <color rgb="FFFF0000"/>
      </right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ck">
        <color rgb="FFFF0000"/>
      </left>
      <right/>
      <top/>
      <bottom style="thick">
        <color rgb="FFFF0000"/>
      </bottom>
      <diagonal/>
    </border>
    <border diagonalUp="false" diagonalDown="false">
      <left/>
      <right/>
      <top/>
      <bottom style="thick">
        <color rgb="FFFF0000"/>
      </bottom>
      <diagonal/>
    </border>
    <border diagonalUp="false" diagonalDown="false">
      <left style="medium"/>
      <right style="medium"/>
      <top/>
      <bottom style="thick">
        <color rgb="FFFF0000"/>
      </bottom>
      <diagonal/>
    </border>
    <border diagonalUp="false" diagonalDown="false">
      <left style="medium"/>
      <right style="thick">
        <color rgb="FFFF0000"/>
      </right>
      <top/>
      <bottom style="thick">
        <color rgb="FFFF0000"/>
      </bottom>
      <diagonal/>
    </border>
    <border diagonalUp="false" diagonalDown="false">
      <left/>
      <right style="thick">
        <color rgb="FFFF0000"/>
      </right>
      <top/>
      <bottom style="thick">
        <color rgb="FFFF0000"/>
      </bottom>
      <diagonal/>
    </border>
  </borders>
  <cellStyleXfs count="30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9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69" fontId="0" fillId="2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2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1" applyFont="true" applyBorder="tru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1" applyFont="true" applyBorder="true" applyAlignment="false" applyProtection="false"/>
    <xf numFmtId="177" fontId="0" fillId="0" borderId="1" applyFont="true" applyBorder="true" applyAlignment="false" applyProtection="false"/>
    <xf numFmtId="177" fontId="0" fillId="0" borderId="0" applyFont="true" applyBorder="false" applyAlignment="false" applyProtection="false"/>
    <xf numFmtId="177" fontId="0" fillId="0" borderId="1" applyFont="true" applyBorder="tru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83" fontId="4" fillId="0" borderId="0" applyFont="true" applyBorder="false" applyAlignment="false" applyProtection="false"/>
    <xf numFmtId="164" fontId="7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83" fontId="4" fillId="0" borderId="0" applyFont="true" applyBorder="false" applyAlignment="false" applyProtection="false"/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4" borderId="0" applyFont="true" applyBorder="false" applyAlignment="false" applyProtection="false"/>
    <xf numFmtId="18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5" borderId="2" applyFont="true" applyBorder="true" applyAlignment="true" applyProtection="false">
      <alignment horizontal="general" vertical="bottom" textRotation="0" wrapText="false" indent="0" shrinkToFit="false"/>
    </xf>
    <xf numFmtId="187" fontId="13" fillId="0" borderId="2" applyFont="true" applyBorder="true" applyAlignment="true" applyProtection="false">
      <alignment horizontal="general" vertical="bottom" textRotation="0" wrapText="false" indent="0" shrinkToFit="false"/>
    </xf>
    <xf numFmtId="187" fontId="13" fillId="0" borderId="2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10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0" fillId="4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0" fillId="4" borderId="6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7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7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7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0" fillId="7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4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7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4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4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7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3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6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7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6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8" fontId="0" fillId="4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6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7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7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0" xfId="24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14" xfId="24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4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6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6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7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7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9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9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4" fillId="8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2" fillId="8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2" fillId="0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2" fillId="0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5" fillId="0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1" fontId="25" fillId="0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5" fillId="0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5" fillId="8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8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2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8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8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83" fontId="12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1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2" fillId="1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2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2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3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20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12" fillId="5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4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83" fontId="12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1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33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33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23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4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5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33" fillId="0" borderId="2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7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6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3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2" fillId="8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2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3" fillId="8" borderId="1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12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13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15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7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3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8" fontId="3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9" fontId="3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8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33" fillId="8" borderId="8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12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33" fillId="0" borderId="12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12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7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8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15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7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28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3" fillId="0" borderId="12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5" fillId="0" borderId="9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3" fillId="0" borderId="8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5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33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5" fillId="0" borderId="0" xfId="2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5" fillId="0" borderId="0" xfId="2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5" fillId="0" borderId="0" xfId="2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2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33" fillId="0" borderId="12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5" fillId="0" borderId="0" xfId="22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30" fillId="8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5" fillId="0" borderId="0" xfId="2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33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2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30" fillId="11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30" fillId="11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7" fillId="0" borderId="0" xfId="2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22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2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3" fontId="2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12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2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12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12" fillId="1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2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2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2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2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1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25" fillId="1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25" fillId="1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25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12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2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2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12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12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4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1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12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12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12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2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1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25" fillId="13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44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1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2" fillId="1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1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44" fillId="1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4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210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4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4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7" fontId="4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4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12" fillId="0" borderId="2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2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2" fillId="1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2" fillId="1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2" fillId="1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2" fillId="0" borderId="1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2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25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12" fillId="0" borderId="1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12" fillId="1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12" fillId="1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12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5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12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1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29" fillId="8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29" fillId="8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7" fontId="1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208" fontId="1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1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2" fontId="4" fillId="0" borderId="0" xfId="22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29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3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33" fillId="6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2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1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0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6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1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6" fontId="27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2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13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12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12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20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1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5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5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8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4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24" xfId="0" applyFont="true" applyBorder="true" applyAlignment="true" applyProtection="false">
      <alignment horizontal="right" vertical="bottom" textRotation="0" wrapText="false" indent="0" shrinkToFit="true"/>
      <protection locked="true" hidden="false"/>
    </xf>
    <xf numFmtId="164" fontId="7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7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4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7" fillId="4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4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4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6" fontId="0" fillId="4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12" fillId="0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4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3" fontId="7" fillId="4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7" fillId="4" borderId="24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7" fillId="4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7" fillId="4" borderId="24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8" fontId="12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9" fontId="7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3" fontId="7" fillId="14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4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0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7" fontId="5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7" fillId="4" borderId="23" xfId="2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7" fontId="7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7" fillId="4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2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4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8" fontId="7" fillId="0" borderId="26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3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4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8" fontId="7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7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58" fillId="4" borderId="3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59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60" fillId="0" borderId="2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7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1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0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7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0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7" fontId="7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5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4" fillId="14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0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21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6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7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23" xfId="0" applyFont="false" applyBorder="true" applyAlignment="true" applyProtection="false">
      <alignment horizontal="left" vertical="bottom" textRotation="0" wrapText="false" indent="2" shrinkToFit="false"/>
      <protection locked="true" hidden="false"/>
    </xf>
    <xf numFmtId="199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5" fontId="0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5" fontId="0" fillId="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5" fontId="0" fillId="4" borderId="2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06" fontId="0" fillId="4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7" fillId="0" borderId="0" xfId="15" applyFont="true" applyBorder="true" applyAlignment="true" applyProtection="true">
      <alignment horizontal="right" vertical="bottom" textRotation="0" wrapText="true" indent="0" shrinkToFit="true"/>
      <protection locked="true" hidden="false"/>
    </xf>
    <xf numFmtId="20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8" fillId="0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46" xfId="0" applyFont="true" applyBorder="true" applyAlignment="true" applyProtection="false">
      <alignment horizontal="center" vertical="bottom" textRotation="0" wrapText="true" indent="0" shrinkToFit="true"/>
      <protection locked="true" hidden="false"/>
    </xf>
    <xf numFmtId="164" fontId="64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4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4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4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7" borderId="4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6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6" borderId="4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7" borderId="4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4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7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5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4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5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5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9" borderId="5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9" borderId="5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7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5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9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7" borderId="5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4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4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4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5" fillId="1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5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9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4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7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200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20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66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6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9" fontId="0" fillId="4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9" borderId="5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0" fillId="7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7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7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4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7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9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9" borderId="6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9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7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" fillId="7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5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66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66" fillId="4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9" fontId="0" fillId="4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4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9" borderId="6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0" fillId="7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4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9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9" borderId="1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9" borderId="6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7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9" borderId="6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7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1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9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" fillId="7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4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4" borderId="5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4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9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4" borderId="6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4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4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4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4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0" fillId="4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0" fillId="4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0" fillId="4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4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0" fillId="4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4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4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7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4" borderId="5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0" fillId="7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9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4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7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7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0" fillId="9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15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9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0" fontId="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" fillId="7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8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Assumptions" xfId="22"/>
    <cellStyle name="Comma [0]_Assumptions_marathon-2-7-99-paynothing" xfId="23"/>
    <cellStyle name="Comma [0]_Assumptions_marathon-2-7-99-paynothing95" xfId="24"/>
    <cellStyle name="Comma [0]_B" xfId="25"/>
    <cellStyle name="Comma [0]_Book3" xfId="26"/>
    <cellStyle name="Comma [0]_CapInt" xfId="27"/>
    <cellStyle name="Comma [0]_Cashflow" xfId="28"/>
    <cellStyle name="Comma [0]_CFMODEL" xfId="29"/>
    <cellStyle name="Comma [0]_CFTEST49" xfId="30"/>
    <cellStyle name="Comma [0]_CO444JE" xfId="31"/>
    <cellStyle name="Comma [0]_Curve_Economics" xfId="32"/>
    <cellStyle name="Comma [0]_DeskCurves" xfId="33"/>
    <cellStyle name="Comma [0]_ECT_Form_005" xfId="34"/>
    <cellStyle name="Comma [0]_ECT_Form_600" xfId="35"/>
    <cellStyle name="Comma [0]_ECT_Form_608" xfId="36"/>
    <cellStyle name="Comma [0]_ECT_Form_727" xfId="37"/>
    <cellStyle name="Comma [0]_ECT_Form_777" xfId="38"/>
    <cellStyle name="Comma [0]_ECT_Form_BS" xfId="39"/>
    <cellStyle name="Comma [0]_ECT_Form_GRP" xfId="40"/>
    <cellStyle name="Comma [0]_EVER1" xfId="41"/>
    <cellStyle name="Comma [0]_GASDATA1" xfId="42"/>
    <cellStyle name="Comma [0]_H" xfId="43"/>
    <cellStyle name="Comma [0]_HOGANGAS" xfId="44"/>
    <cellStyle name="Comma [0]_HOGANOIL" xfId="45"/>
    <cellStyle name="Comma [0]_Int. Data Table" xfId="46"/>
    <cellStyle name="Comma [0]_IPP" xfId="47"/>
    <cellStyle name="Comma [0]_JETEMP" xfId="48"/>
    <cellStyle name="Comma [0]_june gas estimate" xfId="49"/>
    <cellStyle name="Comma [0]_Module1" xfId="50"/>
    <cellStyle name="Comma [0]_OFFDATA1" xfId="51"/>
    <cellStyle name="Comma [0]_Operations" xfId="52"/>
    <cellStyle name="Comma [0]_opsmacro" xfId="53"/>
    <cellStyle name="Comma [0]_PKDATA1" xfId="54"/>
    <cellStyle name="Comma [0]_PriceCurve" xfId="55"/>
    <cellStyle name="Comma [0]_PriceCurve_1" xfId="56"/>
    <cellStyle name="Comma [0]_SELECT" xfId="57"/>
    <cellStyle name="Comma [0]_SUMMARY" xfId="58"/>
    <cellStyle name="Comma [0]_Template" xfId="59"/>
    <cellStyle name="Comma [0]_VOUCHER" xfId="60"/>
    <cellStyle name="Comma [0]_West501f-hcentrifugal15posco_revised2.xls Chart 1" xfId="61"/>
    <cellStyle name="Comma_8.4.98 New GE 2" xfId="62"/>
    <cellStyle name="Comma_A" xfId="63"/>
    <cellStyle name="Comma_Assumptions" xfId="64"/>
    <cellStyle name="Comma_Assumptions_marathon-2-7-99-paynothing" xfId="65"/>
    <cellStyle name="Comma_Assumptions_marathon-2-7-99-paynothing95" xfId="66"/>
    <cellStyle name="Comma_B" xfId="67"/>
    <cellStyle name="Comma_Book3" xfId="68"/>
    <cellStyle name="Comma_CapInt" xfId="69"/>
    <cellStyle name="Comma_Cashflow" xfId="70"/>
    <cellStyle name="Comma_CFMODEL" xfId="71"/>
    <cellStyle name="Comma_CFMODEL_marathon-2-7-99-paynothing" xfId="72"/>
    <cellStyle name="Comma_CFMODEL_marathon-2-7-99-paynothing95" xfId="73"/>
    <cellStyle name="Comma_CFtest3" xfId="74"/>
    <cellStyle name="Comma_CFTEST49" xfId="75"/>
    <cellStyle name="Comma_CO444JE" xfId="76"/>
    <cellStyle name="Comma_Curve_Economics" xfId="77"/>
    <cellStyle name="Comma_DeskCurves" xfId="78"/>
    <cellStyle name="Comma_ECT_Form_005" xfId="79"/>
    <cellStyle name="Comma_ECT_Form_600" xfId="80"/>
    <cellStyle name="Comma_ECT_Form_608" xfId="81"/>
    <cellStyle name="Comma_ECT_Form_727" xfId="82"/>
    <cellStyle name="Comma_ECT_Form_777" xfId="83"/>
    <cellStyle name="Comma_ECT_Form_BS" xfId="84"/>
    <cellStyle name="Comma_ECT_Form_GRP" xfId="85"/>
    <cellStyle name="Comma_EVER1" xfId="86"/>
    <cellStyle name="Comma_GASDATA1" xfId="87"/>
    <cellStyle name="Comma_GASDATA1_1" xfId="88"/>
    <cellStyle name="Comma_H" xfId="89"/>
    <cellStyle name="Comma_HOGANGAS" xfId="90"/>
    <cellStyle name="Comma_HOGANOIL" xfId="91"/>
    <cellStyle name="Comma_Int. Data Table" xfId="92"/>
    <cellStyle name="Comma_IPP" xfId="93"/>
    <cellStyle name="Comma_JETEMP" xfId="94"/>
    <cellStyle name="Comma_june gas estimate" xfId="95"/>
    <cellStyle name="Comma_Module1" xfId="96"/>
    <cellStyle name="Comma_OFFDATA1" xfId="97"/>
    <cellStyle name="Comma_OFFDATA1_1" xfId="98"/>
    <cellStyle name="Comma_Operations" xfId="99"/>
    <cellStyle name="Comma_opsmacro" xfId="100"/>
    <cellStyle name="Comma_PKDATA1" xfId="101"/>
    <cellStyle name="Comma_PKDATA1_1" xfId="102"/>
    <cellStyle name="Comma_PriceCurve" xfId="103"/>
    <cellStyle name="Comma_PriceCurve_1" xfId="104"/>
    <cellStyle name="Comma_SELECT" xfId="105"/>
    <cellStyle name="Comma_SUMMARY" xfId="106"/>
    <cellStyle name="Comma_Template" xfId="107"/>
    <cellStyle name="Comma_TESTDATA" xfId="108"/>
    <cellStyle name="Comma_VOUCHER" xfId="109"/>
    <cellStyle name="Comma_West501f-hcentrifugal15posco_revised2.xls Chart 1" xfId="110"/>
    <cellStyle name="Currency [0]_8.4.98 New GE 2" xfId="111"/>
    <cellStyle name="Currency [0]_A" xfId="112"/>
    <cellStyle name="Currency [0]_Assumptions" xfId="113"/>
    <cellStyle name="Currency [0]_Assumptions_marathon-2-7-99-paynothing" xfId="114"/>
    <cellStyle name="Currency [0]_Assumptions_marathon-2-7-99-paynothing95" xfId="115"/>
    <cellStyle name="Currency [0]_B" xfId="116"/>
    <cellStyle name="Currency [0]_Book3" xfId="117"/>
    <cellStyle name="Currency [0]_CapInt" xfId="118"/>
    <cellStyle name="Currency [0]_Cashflow" xfId="119"/>
    <cellStyle name="Currency [0]_CFMODEL" xfId="120"/>
    <cellStyle name="Currency [0]_CFTEST49" xfId="121"/>
    <cellStyle name="Currency [0]_CO444JE" xfId="122"/>
    <cellStyle name="Currency [0]_Curve_Economics" xfId="123"/>
    <cellStyle name="Currency [0]_DeskCurves" xfId="124"/>
    <cellStyle name="Currency [0]_ECT_Form_005" xfId="125"/>
    <cellStyle name="Currency [0]_ECT_Form_600" xfId="126"/>
    <cellStyle name="Currency [0]_ECT_Form_608" xfId="127"/>
    <cellStyle name="Currency [0]_ECT_Form_727" xfId="128"/>
    <cellStyle name="Currency [0]_ECT_Form_777" xfId="129"/>
    <cellStyle name="Currency [0]_ECT_Form_BS" xfId="130"/>
    <cellStyle name="Currency [0]_ECT_Form_GRP" xfId="131"/>
    <cellStyle name="Currency [0]_EVER1" xfId="132"/>
    <cellStyle name="Currency [0]_GASDATA1" xfId="133"/>
    <cellStyle name="Currency [0]_H" xfId="134"/>
    <cellStyle name="Currency [0]_HOGANGAS" xfId="135"/>
    <cellStyle name="Currency [0]_HOGANOIL" xfId="136"/>
    <cellStyle name="Currency [0]_Int. Data Table" xfId="137"/>
    <cellStyle name="Currency [0]_IPP" xfId="138"/>
    <cellStyle name="Currency [0]_JETEMP" xfId="139"/>
    <cellStyle name="Currency [0]_june gas estimate" xfId="140"/>
    <cellStyle name="Currency [0]_Module1" xfId="141"/>
    <cellStyle name="Currency [0]_OFFDATA1" xfId="142"/>
    <cellStyle name="Currency [0]_Operations" xfId="143"/>
    <cellStyle name="Currency [0]_opsmacro" xfId="144"/>
    <cellStyle name="Currency [0]_PKDATA1" xfId="145"/>
    <cellStyle name="Currency [0]_PriceCurve" xfId="146"/>
    <cellStyle name="Currency [0]_PriceCurve_1" xfId="147"/>
    <cellStyle name="Currency [0]_SELECT" xfId="148"/>
    <cellStyle name="Currency [0]_SUMMARY" xfId="149"/>
    <cellStyle name="Currency [0]_Template" xfId="150"/>
    <cellStyle name="Currency [0]_VOUCHER" xfId="151"/>
    <cellStyle name="Currency [0]_West501f-hcentrifugal15posco_revised2.xls Chart 1" xfId="152"/>
    <cellStyle name="Currency_1422V11" xfId="153"/>
    <cellStyle name="Currency_8.4.98 New GE 2" xfId="154"/>
    <cellStyle name="Currency_A" xfId="155"/>
    <cellStyle name="Currency_Assumptions" xfId="156"/>
    <cellStyle name="Currency_Assumptions_marathon-2-7-99-paynothing" xfId="157"/>
    <cellStyle name="Currency_Assumptions_marathon-2-7-99-paynothing95" xfId="158"/>
    <cellStyle name="Currency_B" xfId="159"/>
    <cellStyle name="Currency_Book3" xfId="160"/>
    <cellStyle name="Currency_CapInt" xfId="161"/>
    <cellStyle name="Currency_Cashflow" xfId="162"/>
    <cellStyle name="Currency_CFMODEL" xfId="163"/>
    <cellStyle name="Currency_CFtest3" xfId="164"/>
    <cellStyle name="Currency_CFTEST49" xfId="165"/>
    <cellStyle name="Currency_CO444JE" xfId="166"/>
    <cellStyle name="Currency_Curve_Economics" xfId="167"/>
    <cellStyle name="Currency_DeskCurves" xfId="168"/>
    <cellStyle name="Currency_ECT_Form_005" xfId="169"/>
    <cellStyle name="Currency_ECT_Form_600" xfId="170"/>
    <cellStyle name="Currency_ECT_Form_608" xfId="171"/>
    <cellStyle name="Currency_ECT_Form_727" xfId="172"/>
    <cellStyle name="Currency_ECT_Form_777" xfId="173"/>
    <cellStyle name="Currency_ECT_Form_BS" xfId="174"/>
    <cellStyle name="Currency_ECT_Form_GRP" xfId="175"/>
    <cellStyle name="Currency_EVER1" xfId="176"/>
    <cellStyle name="Currency_GASDATA1" xfId="177"/>
    <cellStyle name="Currency_H" xfId="178"/>
    <cellStyle name="Currency_HOGANGAS" xfId="179"/>
    <cellStyle name="Currency_HOGANOIL" xfId="180"/>
    <cellStyle name="Currency_Int. Data Table" xfId="181"/>
    <cellStyle name="Currency_IPP" xfId="182"/>
    <cellStyle name="Currency_JETEMP" xfId="183"/>
    <cellStyle name="Currency_JETEMP_1" xfId="184"/>
    <cellStyle name="Currency_JETEMP_VOUCHER" xfId="185"/>
    <cellStyle name="Currency_june gas estimate" xfId="186"/>
    <cellStyle name="Currency_Module1" xfId="187"/>
    <cellStyle name="Currency_OFFDATA1" xfId="188"/>
    <cellStyle name="Currency_Operations" xfId="189"/>
    <cellStyle name="Currency_opsmacro" xfId="190"/>
    <cellStyle name="Currency_PKDATA1" xfId="191"/>
    <cellStyle name="Currency_PriceCurve" xfId="192"/>
    <cellStyle name="Currency_PriceCurve_1" xfId="193"/>
    <cellStyle name="Currency_SELECT" xfId="194"/>
    <cellStyle name="Currency_SUMMARY" xfId="195"/>
    <cellStyle name="Currency_Template" xfId="196"/>
    <cellStyle name="Currency_VOUCHER" xfId="197"/>
    <cellStyle name="Currency_West501f-hcentrifugal15posco_revised2.xls Chart 1" xfId="198"/>
    <cellStyle name="Dezimal [0]_Compiling Utility Macros" xfId="199"/>
    <cellStyle name="Dezimal [0]_FixerSetupDlg" xfId="200"/>
    <cellStyle name="Dezimal [0]_TemplateInformation" xfId="201"/>
    <cellStyle name="Dezimal_Compiling Utility Macros" xfId="202"/>
    <cellStyle name="Dezimal_FixerSetupDlg" xfId="203"/>
    <cellStyle name="Dezimal_TemplateInformation" xfId="204"/>
    <cellStyle name="Normal_1422V11" xfId="205"/>
    <cellStyle name="Normal_8.4.98 New GE 2" xfId="206"/>
    <cellStyle name="Normal_A" xfId="207"/>
    <cellStyle name="Normal_A_PriceCurve" xfId="208"/>
    <cellStyle name="Normal_A_West501f-hcentrifugal15posco_revised2.xls Chart 1" xfId="209"/>
    <cellStyle name="Normal_Assumptions" xfId="210"/>
    <cellStyle name="Normal_Assumptions_marathon-2-7-99-paynothing" xfId="211"/>
    <cellStyle name="Normal_Assumptions_marathon-2-7-99-paynothing95" xfId="212"/>
    <cellStyle name="Normal_B" xfId="213"/>
    <cellStyle name="Normal_BASMARY" xfId="214"/>
    <cellStyle name="Normal_Book3" xfId="215"/>
    <cellStyle name="Normal_C" xfId="216"/>
    <cellStyle name="Normal_CapInt" xfId="217"/>
    <cellStyle name="Normal_Cashflow" xfId="218"/>
    <cellStyle name="Normal_CFMODEL" xfId="219"/>
    <cellStyle name="Normal_CFTEST49" xfId="220"/>
    <cellStyle name="Normal_ChgLoan" xfId="221"/>
    <cellStyle name="Normal_CO444JE" xfId="222"/>
    <cellStyle name="Normal_Code" xfId="223"/>
    <cellStyle name="Normal_Curve_Economics" xfId="224"/>
    <cellStyle name="Normal_Curve_Economics_1" xfId="225"/>
    <cellStyle name="Normal_Curves" xfId="226"/>
    <cellStyle name="Normal_D" xfId="227"/>
    <cellStyle name="Normal_DeskCurves" xfId="228"/>
    <cellStyle name="Normal_ECT_Form_005" xfId="229"/>
    <cellStyle name="Normal_ECT_Form_600" xfId="230"/>
    <cellStyle name="Normal_ECT_Form_608" xfId="231"/>
    <cellStyle name="Normal_ECT_Form_727" xfId="232"/>
    <cellStyle name="Normal_ECT_Form_777" xfId="233"/>
    <cellStyle name="Normal_ECT_Form_BS" xfId="234"/>
    <cellStyle name="Normal_ECT_Form_GRP" xfId="235"/>
    <cellStyle name="Normal_EVER1" xfId="236"/>
    <cellStyle name="Normal_GASDATA1" xfId="237"/>
    <cellStyle name="Normal_GASDATA1_1" xfId="238"/>
    <cellStyle name="Normal_H" xfId="239"/>
    <cellStyle name="Normal_HOGANGAS" xfId="240"/>
    <cellStyle name="Normal_HOGANOIL" xfId="241"/>
    <cellStyle name="Normal_Input" xfId="242"/>
    <cellStyle name="Normal_INT" xfId="243"/>
    <cellStyle name="Normal_Int. Data Table" xfId="244"/>
    <cellStyle name="Normal_Int. Data Table_1" xfId="245"/>
    <cellStyle name="Normal_IPP" xfId="246"/>
    <cellStyle name="Normal_JETEMP" xfId="247"/>
    <cellStyle name="Normal_JETEMP_1" xfId="248"/>
    <cellStyle name="Normal_JETEMP_VOUCHER" xfId="249"/>
    <cellStyle name="Normal_June Options 97" xfId="250"/>
    <cellStyle name="Normal_Lock" xfId="251"/>
    <cellStyle name="Normal_Module1" xfId="252"/>
    <cellStyle name="Normal_OFFDATA1" xfId="253"/>
    <cellStyle name="Normal_OFFDATA1_1" xfId="254"/>
    <cellStyle name="Normal_OPCALC" xfId="255"/>
    <cellStyle name="Normal_OPCALC_1" xfId="256"/>
    <cellStyle name="Normal_Operations" xfId="257"/>
    <cellStyle name="Normal_opsmacro" xfId="258"/>
    <cellStyle name="Normal_PERMANT.XLS" xfId="259"/>
    <cellStyle name="Normal_PKDATA1" xfId="260"/>
    <cellStyle name="Normal_PKDATA1_1" xfId="261"/>
    <cellStyle name="Normal_PriceCurve" xfId="262"/>
    <cellStyle name="Normal_PriceCurve_1" xfId="263"/>
    <cellStyle name="Normal_PriceSheet" xfId="264"/>
    <cellStyle name="Normal_PriceSheet_1" xfId="265"/>
    <cellStyle name="Normal_SELECT" xfId="266"/>
    <cellStyle name="Normal_Sheet1" xfId="267"/>
    <cellStyle name="Normal_Specifics" xfId="268"/>
    <cellStyle name="Normal_Spread" xfId="269"/>
    <cellStyle name="Normal_Spread_1" xfId="270"/>
    <cellStyle name="Normal_SUMMARY" xfId="271"/>
    <cellStyle name="Normal_TEMP.XLS" xfId="272"/>
    <cellStyle name="Normal_Template" xfId="273"/>
    <cellStyle name="Normal_TESTDATA" xfId="274"/>
    <cellStyle name="Normal_VDlg" xfId="275"/>
    <cellStyle name="Normal_VOUCHER" xfId="276"/>
    <cellStyle name="Normal_VOUCHER.XLS" xfId="277"/>
    <cellStyle name="Normal_West501f-hcentrifugal15posco_revised2.xls Chart 1" xfId="278"/>
    <cellStyle name="Percent_PERMANT.XLS" xfId="279"/>
    <cellStyle name="Percent_TEMP.XLS" xfId="280"/>
    <cellStyle name="Percent_VOUCHER.XLS" xfId="281"/>
    <cellStyle name="Standard_Anpassen der Amortisation" xfId="282"/>
    <cellStyle name="Standard_ATW" xfId="283"/>
    <cellStyle name="Standard_Compiling Utility Macros" xfId="284"/>
    <cellStyle name="Standard_FixerSetupDlg" xfId="285"/>
    <cellStyle name="Standard_Sperren" xfId="286"/>
    <cellStyle name="Standard_Sperren_1" xfId="287"/>
    <cellStyle name="Standard_TemplateInformation" xfId="288"/>
    <cellStyle name="Standard_TemplateInformation_1" xfId="289"/>
    <cellStyle name="Unprot" xfId="290"/>
    <cellStyle name="Unprot$" xfId="291"/>
    <cellStyle name="Unprotect" xfId="292"/>
    <cellStyle name="Unprotect_marathon-2-7-99-paynothing" xfId="293"/>
    <cellStyle name="Unprotect_marathon-2-7-99-paynothing95" xfId="294"/>
    <cellStyle name="Währung [0]_Compiling Utility Macros" xfId="295"/>
    <cellStyle name="Währung [0]_FixerSetupDlg" xfId="296"/>
    <cellStyle name="Währung [0]_TemplateInformation" xfId="297"/>
    <cellStyle name="Währung_Compiling Utility Macros" xfId="298"/>
    <cellStyle name="Währung_FixerSetupDlg" xfId="299"/>
    <cellStyle name="Währung_TemplateInformation" xfId="30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externalLink" Target="externalLinks/externalLink1.xml"/><Relationship Id="rId23" Type="http://schemas.openxmlformats.org/officeDocument/2006/relationships/externalLink" Target="externalLinks/externalLink2.xml"/><Relationship Id="rId24" Type="http://schemas.openxmlformats.org/officeDocument/2006/relationships/externalLink" Target="externalLinks/externalLink3.xml"/><Relationship Id="rId25" Type="http://schemas.openxmlformats.org/officeDocument/2006/relationships/externalLink" Target="externalLinks/externalLink4.xml"/><Relationship Id="rId26" Type="http://schemas.openxmlformats.org/officeDocument/2006/relationships/externalLink" Target="externalLinks/externalLink5.xml"/><Relationship Id="rId27" Type="http://schemas.openxmlformats.org/officeDocument/2006/relationships/externalLink" Target="externalLinks/externalLink6.xml"/><Relationship Id="rId28" Type="http://schemas.openxmlformats.org/officeDocument/2006/relationships/externalLink" Target="externalLinks/externalLink7.xml"/><Relationship Id="rId29" Type="http://schemas.openxmlformats.org/officeDocument/2006/relationships/externalLink" Target="externalLinks/externalLink8.xml"/><Relationship Id="rId30" Type="http://schemas.openxmlformats.org/officeDocument/2006/relationships/externalLink" Target="externalLinks/externalLink9.xml"/><Relationship Id="rId3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0</xdr:colOff>
      <xdr:row>14</xdr:row>
      <xdr:rowOff>104760</xdr:rowOff>
    </xdr:from>
    <xdr:to>
      <xdr:col>7</xdr:col>
      <xdr:colOff>81720</xdr:colOff>
      <xdr:row>15</xdr:row>
      <xdr:rowOff>86040</xdr:rowOff>
    </xdr:to>
    <xdr:sp>
      <xdr:nvSpPr>
        <xdr:cNvPr id="0" name="Text 1"/>
        <xdr:cNvSpPr/>
      </xdr:nvSpPr>
      <xdr:spPr>
        <a:xfrm>
          <a:off x="12722760" y="2924280"/>
          <a:ext cx="81720" cy="181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181800</xdr:colOff>
          <xdr:row>6</xdr:row>
          <xdr:rowOff>104760</xdr:rowOff>
        </xdr:from>
        <xdr:to>
          <xdr:col>2</xdr:col>
          <xdr:colOff>434520</xdr:colOff>
          <xdr:row>7</xdr:row>
          <xdr:rowOff>142560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473760</xdr:colOff>
          <xdr:row>29</xdr:row>
          <xdr:rowOff>152280</xdr:rowOff>
        </xdr:from>
        <xdr:to>
          <xdr:col>6</xdr:col>
          <xdr:colOff>334800</xdr:colOff>
          <xdr:row>31</xdr:row>
          <xdr:rowOff>28080</xdr:rowOff>
        </xdr:to>
        <xdr:sp>
          <xdr:nvSpPr>
            <xdr:cNvPr id="0" name="Drop Down 5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252000</xdr:colOff>
          <xdr:row>22</xdr:row>
          <xdr:rowOff>75600</xdr:rowOff>
        </xdr:from>
        <xdr:to>
          <xdr:col>2</xdr:col>
          <xdr:colOff>384480</xdr:colOff>
          <xdr:row>23</xdr:row>
          <xdr:rowOff>123840</xdr:rowOff>
        </xdr:to>
        <xdr:sp>
          <xdr:nvSpPr>
            <xdr:cNvPr id="0" name="Drop Down 10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232200</xdr:colOff>
          <xdr:row>73</xdr:row>
          <xdr:rowOff>0</xdr:rowOff>
        </xdr:from>
        <xdr:to>
          <xdr:col>2</xdr:col>
          <xdr:colOff>-330480</xdr:colOff>
          <xdr:row>75</xdr:row>
          <xdr:rowOff>66240</xdr:rowOff>
        </xdr:to>
        <xdr:sp>
          <xdr:nvSpPr>
            <xdr:cNvPr id="1001" name="Button 131" descr="Update Taxable Capit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Taxable Capital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191880</xdr:colOff>
          <xdr:row>2</xdr:row>
          <xdr:rowOff>114120</xdr:rowOff>
        </xdr:from>
        <xdr:to>
          <xdr:col>2</xdr:col>
          <xdr:colOff>424080</xdr:colOff>
          <xdr:row>4</xdr:row>
          <xdr:rowOff>18720</xdr:rowOff>
        </xdr:to>
        <xdr:sp>
          <xdr:nvSpPr>
            <xdr:cNvPr id="0" name="Drop Down 14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216000</xdr:colOff>
          <xdr:row>39</xdr:row>
          <xdr:rowOff>37800</xdr:rowOff>
        </xdr:from>
        <xdr:to>
          <xdr:col>7</xdr:col>
          <xdr:colOff>16200</xdr:colOff>
          <xdr:row>40</xdr:row>
          <xdr:rowOff>0</xdr:rowOff>
        </xdr:to>
        <xdr:sp>
          <xdr:nvSpPr>
            <xdr:cNvPr id="0" name="Drop Down 19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246960</xdr:colOff>
          <xdr:row>42</xdr:row>
          <xdr:rowOff>9720</xdr:rowOff>
        </xdr:from>
        <xdr:to>
          <xdr:col>7</xdr:col>
          <xdr:colOff>26640</xdr:colOff>
          <xdr:row>43</xdr:row>
          <xdr:rowOff>-28440</xdr:rowOff>
        </xdr:to>
        <xdr:sp>
          <xdr:nvSpPr>
            <xdr:cNvPr id="0" name="Drop Down 19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181800</xdr:colOff>
          <xdr:row>8</xdr:row>
          <xdr:rowOff>57240</xdr:rowOff>
        </xdr:from>
        <xdr:to>
          <xdr:col>2</xdr:col>
          <xdr:colOff>453960</xdr:colOff>
          <xdr:row>9</xdr:row>
          <xdr:rowOff>104760</xdr:rowOff>
        </xdr:to>
        <xdr:sp>
          <xdr:nvSpPr>
            <xdr:cNvPr id="0" name="Drop Down 2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272880</xdr:colOff>
          <xdr:row>45</xdr:row>
          <xdr:rowOff>133920</xdr:rowOff>
        </xdr:from>
        <xdr:to>
          <xdr:col>2</xdr:col>
          <xdr:colOff>415440</xdr:colOff>
          <xdr:row>47</xdr:row>
          <xdr:rowOff>19080</xdr:rowOff>
        </xdr:to>
        <xdr:sp>
          <xdr:nvSpPr>
            <xdr:cNvPr id="0" name="Drop Down 2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SHARED/WONG/MODELS/714CASES/COBPLAY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Book8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anadian%20Energy%20Services/Integrated%20Solutions/JWILSON/POWER/Petro_Can/ONTARIO/westwin-dec18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OMMON/ACCOUNTG/FINANCIA/FIN96/GLMSA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anadian%20Energy%20Services/Integrated%20Solutions/KChaney/Power/McKay%20River/Once%20through%20July12%2015B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anadian%20Energy%20Services/Integrated%20Solutions/KChaney/Pulp%20&amp;%20Paper/Fort-James/marathon-2-7-99-paynothing95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Canadian%20Energy%20Services/Integrated%20Solutions/KChaney/Fonny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Once%20through%20July12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anadian%20Energy%20Services/Integrated%20Solutions/ATempleman/New%20Peaker%20Model/Ontario%20Peaker%20Dec%2023/Canadian%20Energy%20Services/Integrated%20Solutions/KChaney/Power/McKay%20River/Dec%2014%20Models/501-05A%20Steam%20Curv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JM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Chart1"/>
      <sheetName val="Chart2"/>
      <sheetName val="Sheet2"/>
      <sheetName val="Sheet3"/>
      <sheetName val="EBITDA"/>
      <sheetName val="*****"/>
      <sheetName val="Heat_rate"/>
      <sheetName val="Peak_pool"/>
      <sheetName val="off_pool"/>
      <sheetName val="Pool_vs_MidC"/>
      <sheetName val="Loads"/>
      <sheetName val="Scalars"/>
      <sheetName val="Monthly (2)"/>
      <sheetName val="Monthly"/>
      <sheetName val="Prices"/>
      <sheetName val="Pool_MidC"/>
      <sheetName val="Prices_loads2"/>
      <sheetName val="DATA"/>
      <sheetName val="MidC"/>
      <sheetName val="load_data"/>
      <sheetName val="Flat_"/>
      <sheetName val="Peak"/>
      <sheetName val="Off Peak"/>
      <sheetName val="graph_data"/>
      <sheetName val="CDD Flat"/>
      <sheetName val="daily Stats"/>
      <sheetName val="CDD Relationship 96"/>
      <sheetName val="CDD Relationship"/>
      <sheetName val="Chart4"/>
      <sheetName val="Chart6"/>
      <sheetName val="Chart7"/>
      <sheetName val="Chart8"/>
      <sheetName val="Chart9"/>
      <sheetName val="daily"/>
      <sheetName val="Sheet4"/>
      <sheetName val="Sheet5"/>
      <sheetName val="Sheet6"/>
      <sheetName val="Sheet7"/>
      <sheetName val="Sheet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Assumpt"/>
      <sheetName val="FX"/>
      <sheetName val="Int Curves"/>
      <sheetName val="WC "/>
      <sheetName val="BS"/>
      <sheetName val="CF"/>
      <sheetName val="IS"/>
      <sheetName val="Debt Amort"/>
      <sheetName val="Temp Tax Diff"/>
      <sheetName val="Tax"/>
      <sheetName val="O &amp; M"/>
      <sheetName val="IRR"/>
      <sheetName val="Construction"/>
      <sheetName val="Operational Detail"/>
      <sheetName val="Cashflow"/>
      <sheetName val="Assumptions"/>
      <sheetName val="Capacity_Energy"/>
      <sheetName val="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lgQuery"/>
      <sheetName val="vbaQuery"/>
      <sheetName val="JnlQuery"/>
      <sheetName val="Criteria"/>
      <sheetName val="CriteriaIS"/>
      <sheetName val="I.S."/>
      <sheetName val="B.S."/>
      <sheetName val="Division-US$"/>
      <sheetName val="Division-Cdn$"/>
      <sheetName val="CshFlow"/>
      <sheetName val="CshFlow Supp"/>
      <sheetName val="Flash"/>
      <sheetName val="IncTax"/>
      <sheetName val="Perm"/>
      <sheetName val="Temp"/>
      <sheetName val="ECT_Form_BS"/>
      <sheetName val="ECT_Form_777"/>
      <sheetName val="ECT_Form_600"/>
      <sheetName val="ECT_Form_641"/>
      <sheetName val="ECT_Form_3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RR Check"/>
      <sheetName val="Mid C"/>
      <sheetName val="Int Curves"/>
      <sheetName val="WC "/>
      <sheetName val="BS"/>
      <sheetName val="CF"/>
      <sheetName val="IS"/>
      <sheetName val="CCA "/>
      <sheetName val="Debt Amort"/>
      <sheetName val="Temporary Tax Differences"/>
      <sheetName val="Tax"/>
      <sheetName val="O &amp; M"/>
      <sheetName val="IRR"/>
      <sheetName val="Construction"/>
      <sheetName val="Capital "/>
      <sheetName val="Steam "/>
      <sheetName val="CCA Eligibility"/>
      <sheetName val="Cashflow"/>
      <sheetName val="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"/>
      <sheetName val="Sheet1"/>
      <sheetName val="monthly"/>
      <sheetName val="Returns"/>
      <sheetName val="Chart1"/>
      <sheetName val="DS"/>
      <sheetName val="BS"/>
      <sheetName val="CF"/>
      <sheetName val="SU"/>
      <sheetName val="Sum"/>
      <sheetName val="IS"/>
      <sheetName val="Rev"/>
      <sheetName val="EA"/>
      <sheetName val="Exp"/>
      <sheetName val="Prod"/>
      <sheetName val="Tax"/>
      <sheetName val="WC"/>
      <sheetName val="Dep"/>
      <sheetName val="Ratios"/>
      <sheetName val="Hold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ax"/>
      <sheetName val="Cashflow"/>
      <sheetName val="Temporary Tax Differences "/>
      <sheetName val="IS"/>
      <sheetName val="B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Mid C"/>
      <sheetName val="Int Curves"/>
      <sheetName val="WC "/>
      <sheetName val="BS"/>
      <sheetName val="CF"/>
      <sheetName val="IS"/>
      <sheetName val="CCA "/>
      <sheetName val="Debt Amort"/>
      <sheetName val="Temporary Tax Differences"/>
      <sheetName val="Tax"/>
      <sheetName val="O &amp; M"/>
      <sheetName val="IRR"/>
      <sheetName val="Construction"/>
      <sheetName val="Capital "/>
      <sheetName val="Steam "/>
      <sheetName val="CCA Eligibility"/>
      <sheetName val="Cashflow"/>
      <sheetName val="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t Curves"/>
      <sheetName val="WC "/>
      <sheetName val="CF"/>
      <sheetName val="BS"/>
      <sheetName val="IS"/>
      <sheetName val="Debt Amort"/>
      <sheetName val="Temp. Tax Diff"/>
      <sheetName val="Tax"/>
      <sheetName val="O &amp; M"/>
      <sheetName val="IRR"/>
      <sheetName val="Capital "/>
      <sheetName val="Construction"/>
      <sheetName val="Table"/>
      <sheetName val="Assumptions"/>
      <sheetName val="Cashflow"/>
      <sheetName val="Notes"/>
      <sheetName val="Operatio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67">
          <cell r="C167">
            <v>0</v>
          </cell>
          <cell r="D167">
            <v>0</v>
          </cell>
          <cell r="E167">
            <v>100041910.461651</v>
          </cell>
          <cell r="F167">
            <v>91389910.202548</v>
          </cell>
          <cell r="G167">
            <v>86829697.8973503</v>
          </cell>
          <cell r="H167">
            <v>76018279.5693372</v>
          </cell>
          <cell r="I167">
            <v>64009273.5765299</v>
          </cell>
          <cell r="J167">
            <v>61481457.0566399</v>
          </cell>
          <cell r="K167">
            <v>46889236.3566991</v>
          </cell>
          <cell r="L167">
            <v>32822465.4496894</v>
          </cell>
          <cell r="M167">
            <v>22975725.8147826</v>
          </cell>
          <cell r="N167">
            <v>16083008.0703478</v>
          </cell>
          <cell r="O167">
            <v>11258105.6492435</v>
          </cell>
          <cell r="P167">
            <v>7880673.95447042</v>
          </cell>
          <cell r="Q167">
            <v>5516471.76812929</v>
          </cell>
          <cell r="R167">
            <v>3861530.2376905</v>
          </cell>
          <cell r="S167">
            <v>2703071.16638335</v>
          </cell>
          <cell r="T167">
            <v>1892149.81646835</v>
          </cell>
          <cell r="U167">
            <v>1324504.87152784</v>
          </cell>
          <cell r="V167">
            <v>927153.41006949</v>
          </cell>
          <cell r="W167">
            <v>649007.387048643</v>
          </cell>
          <cell r="X167">
            <v>454305.17093405</v>
          </cell>
        </row>
      </sheetData>
      <sheetData sheetId="8"/>
      <sheetData sheetId="9"/>
      <sheetData sheetId="10"/>
      <sheetData sheetId="11"/>
      <sheetData sheetId="12"/>
      <sheetData sheetId="13">
        <row r="47">
          <cell r="F47" t="str">
            <v>Yes</v>
          </cell>
        </row>
      </sheetData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5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vmlDrawing" Target="../drawings/vmlDrawing6.v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vmlDrawing" Target="../drawings/vmlDrawing7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8.v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comments" Target="../comments17.xml"/><Relationship Id="rId2" Type="http://schemas.openxmlformats.org/officeDocument/2006/relationships/vmlDrawing" Target="../drawings/vmlDrawing9.v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2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1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5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1.85"/>
    <col collapsed="false" customWidth="true" hidden="false" outlineLevel="0" max="5" min="3" style="1" width="9.14"/>
    <col collapsed="false" customWidth="true" hidden="false" outlineLevel="0" max="6" min="6" style="0" width="12.42"/>
    <col collapsed="false" customWidth="true" hidden="false" outlineLevel="0" max="7" min="7" style="0" width="10.56"/>
    <col collapsed="false" customWidth="true" hidden="false" outlineLevel="0" max="8" min="8" style="0" width="2.28"/>
    <col collapsed="false" customWidth="true" hidden="false" outlineLevel="0" max="9" min="9" style="0" width="12.42"/>
    <col collapsed="false" customWidth="true" hidden="false" outlineLevel="0" max="10" min="10" style="0" width="13.41"/>
    <col collapsed="false" customWidth="true" hidden="false" outlineLevel="0" max="14" min="14" style="0" width="3.85"/>
    <col collapsed="false" customWidth="true" hidden="false" outlineLevel="0" max="20" min="15" style="0" width="13.28"/>
    <col collapsed="false" customWidth="true" hidden="false" outlineLevel="0" max="23" min="23" style="0" width="4.7"/>
    <col collapsed="false" customWidth="true" hidden="false" outlineLevel="0" max="27" min="27" style="0" width="11.99"/>
  </cols>
  <sheetData>
    <row r="1" customFormat="false" ht="27" hidden="false" customHeight="true" outlineLevel="0" collapsed="false">
      <c r="A1" s="2" t="s">
        <v>0</v>
      </c>
      <c r="B1" s="3"/>
      <c r="C1" s="3"/>
      <c r="D1" s="3"/>
      <c r="E1" s="3"/>
      <c r="F1" s="3"/>
      <c r="G1" s="4" t="s">
        <v>1</v>
      </c>
      <c r="H1" s="3"/>
      <c r="I1" s="3"/>
      <c r="J1" s="5"/>
      <c r="K1" s="3"/>
      <c r="L1" s="3"/>
      <c r="M1" s="3"/>
      <c r="N1" s="3"/>
      <c r="O1" s="3"/>
      <c r="P1" s="3"/>
      <c r="Q1" s="3"/>
      <c r="R1" s="3"/>
      <c r="S1" s="3"/>
      <c r="T1" s="3"/>
      <c r="U1" s="6"/>
      <c r="V1" s="6"/>
      <c r="W1" s="6"/>
      <c r="X1" s="6"/>
      <c r="Y1" s="6"/>
      <c r="Z1" s="6"/>
      <c r="AA1" s="6"/>
      <c r="AB1" s="6"/>
    </row>
    <row r="2" customFormat="false" ht="12.75" hidden="false" customHeight="true" outlineLevel="0" collapsed="false">
      <c r="O2" s="7" t="s">
        <v>2</v>
      </c>
      <c r="P2" s="7"/>
      <c r="Q2" s="7"/>
      <c r="R2" s="7"/>
      <c r="S2" s="7"/>
      <c r="AB2" s="8"/>
    </row>
    <row r="3" customFormat="false" ht="12.75" hidden="false" customHeight="false" outlineLevel="0" collapsed="false">
      <c r="B3" s="9"/>
      <c r="AB3" s="8"/>
    </row>
    <row r="4" customFormat="false" ht="79.5" hidden="false" customHeight="true" outlineLevel="0" collapsed="false">
      <c r="B4" s="10" t="s">
        <v>3</v>
      </c>
      <c r="C4" s="11" t="s">
        <v>4</v>
      </c>
      <c r="D4" s="12" t="s">
        <v>5</v>
      </c>
      <c r="E4" s="13" t="s">
        <v>6</v>
      </c>
      <c r="F4" s="14" t="s">
        <v>7</v>
      </c>
      <c r="G4" s="15" t="s">
        <v>8</v>
      </c>
      <c r="H4" s="16"/>
      <c r="I4" s="17" t="s">
        <v>9</v>
      </c>
      <c r="J4" s="18" t="s">
        <v>10</v>
      </c>
      <c r="K4" s="19" t="s">
        <v>11</v>
      </c>
      <c r="L4" s="18" t="s">
        <v>12</v>
      </c>
      <c r="M4" s="19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20" t="s">
        <v>19</v>
      </c>
      <c r="AC4" s="8"/>
    </row>
    <row r="5" customFormat="false" ht="12.75" hidden="false" customHeight="false" outlineLevel="0" collapsed="false">
      <c r="A5" s="21" t="n">
        <v>36892</v>
      </c>
      <c r="B5" s="22" t="n">
        <v>27.6168451763335</v>
      </c>
      <c r="C5" s="23" t="n">
        <v>32.5</v>
      </c>
      <c r="D5" s="24" t="n">
        <v>25.4987487792969</v>
      </c>
      <c r="E5" s="25" t="n">
        <v>26.0025005340576</v>
      </c>
      <c r="F5" s="26" t="n">
        <f aca="false">VLOOKUP(MONTH(A5),ScalarTable,2,0)</f>
        <v>1.00808025404509</v>
      </c>
      <c r="G5" s="27" t="n">
        <f aca="false">+F5*C5</f>
        <v>32.7626082564655</v>
      </c>
      <c r="I5" s="26" t="n">
        <f aca="false">VLOOKUP(MONTH(A5),ScalarTable,3,0)</f>
        <v>0.991919745954909</v>
      </c>
      <c r="J5" s="28" t="n">
        <f aca="false">C5*I5</f>
        <v>32.2373917435345</v>
      </c>
      <c r="K5" s="29" t="n">
        <f aca="false">D5*F5</f>
        <v>25.7047851472656</v>
      </c>
      <c r="L5" s="28" t="n">
        <f aca="false">D5*I5</f>
        <v>25.2927124113282</v>
      </c>
      <c r="M5" s="30" t="n">
        <f aca="false">E5*F5</f>
        <v>26.2126073441804</v>
      </c>
      <c r="O5" s="31" t="n">
        <v>800</v>
      </c>
      <c r="P5" s="32" t="n">
        <v>5</v>
      </c>
      <c r="Q5" s="33" t="n">
        <v>139562.284784663</v>
      </c>
      <c r="R5" s="33" t="n">
        <v>98062.9287607804</v>
      </c>
      <c r="S5" s="33" t="n">
        <v>60</v>
      </c>
      <c r="T5" s="34" t="n">
        <f aca="false">IF(Tables!$B$2=1,'NY Curve'!O5,IF(Tables!$B$2=2,P5,IF(Tables!$B$2=4,Q5,IF(Tables!$B$2=5,R5,IF(Tables!$B$2=3,S5,0)))))</f>
        <v>98062.9287607804</v>
      </c>
      <c r="V5" s="35" t="s">
        <v>20</v>
      </c>
      <c r="W5" s="36"/>
      <c r="X5" s="8"/>
      <c r="Y5" s="37" t="s">
        <v>21</v>
      </c>
      <c r="Z5" s="37"/>
      <c r="AA5" s="37"/>
      <c r="AB5" s="37"/>
      <c r="AC5" s="8"/>
    </row>
    <row r="6" customFormat="false" ht="12.75" hidden="false" customHeight="false" outlineLevel="0" collapsed="false">
      <c r="A6" s="21" t="n">
        <v>36923</v>
      </c>
      <c r="B6" s="22" t="n">
        <v>27.1419636862619</v>
      </c>
      <c r="C6" s="23" t="n">
        <v>32.5</v>
      </c>
      <c r="D6" s="24" t="n">
        <v>24.4962501525879</v>
      </c>
      <c r="E6" s="25" t="n">
        <v>23.9974994659424</v>
      </c>
      <c r="F6" s="26" t="n">
        <f aca="false">VLOOKUP(MONTH(A6),ScalarTable,2,0)</f>
        <v>1.00808025404509</v>
      </c>
      <c r="G6" s="27" t="n">
        <f aca="false">+F6*C6</f>
        <v>32.7626082564655</v>
      </c>
      <c r="I6" s="26" t="n">
        <f aca="false">VLOOKUP(MONTH(A6),ScalarTable,3,0)</f>
        <v>0.991919745954909</v>
      </c>
      <c r="J6" s="28" t="n">
        <f aca="false">C6*I6</f>
        <v>32.2373917435345</v>
      </c>
      <c r="K6" s="29" t="n">
        <f aca="false">D6*F6</f>
        <v>24.6941860769729</v>
      </c>
      <c r="L6" s="28" t="n">
        <f aca="false">D6*I6</f>
        <v>24.2983142282029</v>
      </c>
      <c r="M6" s="30" t="n">
        <f aca="false">E6*F6</f>
        <v>24.1914053580741</v>
      </c>
      <c r="O6" s="31"/>
      <c r="P6" s="32"/>
      <c r="Q6" s="33" t="n">
        <v>124565.431737521</v>
      </c>
      <c r="R6" s="33" t="n">
        <v>105983.895495425</v>
      </c>
      <c r="S6" s="33"/>
      <c r="T6" s="34" t="n">
        <f aca="false">IF(Tables!$B$2=1,'NY Curve'!O6,IF(Tables!$B$2=2,P6,IF(Tables!$B$2=4,Q6,IF(Tables!$B$2=5,R6,IF(Tables!$B$2=3,S6,0)))))</f>
        <v>105983.895495425</v>
      </c>
      <c r="V6" s="38"/>
      <c r="W6" s="39"/>
      <c r="X6" s="8"/>
      <c r="Y6" s="40"/>
      <c r="Z6" s="41" t="s">
        <v>22</v>
      </c>
      <c r="AA6" s="41" t="s">
        <v>23</v>
      </c>
      <c r="AB6" s="42" t="s">
        <v>24</v>
      </c>
      <c r="AC6" s="8"/>
    </row>
    <row r="7" customFormat="false" ht="12.75" hidden="false" customHeight="false" outlineLevel="0" collapsed="false">
      <c r="A7" s="21" t="n">
        <v>36951</v>
      </c>
      <c r="B7" s="22" t="n">
        <v>22.8808449336461</v>
      </c>
      <c r="C7" s="23" t="n">
        <v>27.5</v>
      </c>
      <c r="D7" s="24" t="n">
        <v>17.6847496032715</v>
      </c>
      <c r="E7" s="25" t="n">
        <v>19.3144989013672</v>
      </c>
      <c r="F7" s="26" t="n">
        <f aca="false">VLOOKUP(MONTH(A7),ScalarTable,2,0)</f>
        <v>1.0080875</v>
      </c>
      <c r="G7" s="27" t="n">
        <f aca="false">+F7*C7</f>
        <v>27.72240625</v>
      </c>
      <c r="I7" s="26" t="n">
        <f aca="false">VLOOKUP(MONTH(A7),ScalarTable,3,0)</f>
        <v>0.9919125</v>
      </c>
      <c r="J7" s="28" t="n">
        <f aca="false">C7*I7</f>
        <v>27.27759375</v>
      </c>
      <c r="K7" s="29" t="n">
        <f aca="false">D7*F7</f>
        <v>17.8277750156879</v>
      </c>
      <c r="L7" s="28" t="n">
        <f aca="false">D7*I7</f>
        <v>17.541724190855</v>
      </c>
      <c r="M7" s="30" t="n">
        <f aca="false">E7*F7</f>
        <v>19.470704911232</v>
      </c>
      <c r="O7" s="31"/>
      <c r="P7" s="32"/>
      <c r="Q7" s="33" t="n">
        <v>9725.81874032227</v>
      </c>
      <c r="R7" s="33" t="n">
        <v>17555.3577099388</v>
      </c>
      <c r="S7" s="33"/>
      <c r="T7" s="34" t="n">
        <f aca="false">IF(Tables!$B$2=1,'NY Curve'!O7,IF(Tables!$B$2=2,P7,IF(Tables!$B$2=4,Q7,IF(Tables!$B$2=5,R7,IF(Tables!$B$2=3,S7,0)))))</f>
        <v>17555.3577099388</v>
      </c>
      <c r="V7" s="38" t="s">
        <v>25</v>
      </c>
      <c r="W7" s="43" t="s">
        <v>26</v>
      </c>
      <c r="X7" s="8"/>
      <c r="Y7" s="40"/>
      <c r="Z7" s="44" t="s">
        <v>27</v>
      </c>
      <c r="AA7" s="44" t="s">
        <v>27</v>
      </c>
      <c r="AB7" s="45" t="s">
        <v>28</v>
      </c>
      <c r="AC7" s="8"/>
    </row>
    <row r="8" customFormat="false" ht="12.75" hidden="false" customHeight="false" outlineLevel="0" collapsed="false">
      <c r="A8" s="21" t="n">
        <v>36982</v>
      </c>
      <c r="B8" s="22" t="n">
        <v>22.3503565107073</v>
      </c>
      <c r="C8" s="23" t="n">
        <v>26.25</v>
      </c>
      <c r="D8" s="24" t="n">
        <v>18.3675003051758</v>
      </c>
      <c r="E8" s="25" t="n">
        <v>19.0849990844727</v>
      </c>
      <c r="F8" s="26" t="n">
        <f aca="false">VLOOKUP(MONTH(A8),ScalarTable,2,0)</f>
        <v>1.07269528338234</v>
      </c>
      <c r="G8" s="27" t="n">
        <f aca="false">+F8*C8</f>
        <v>28.1582511887864</v>
      </c>
      <c r="I8" s="26" t="n">
        <f aca="false">VLOOKUP(MONTH(A8),ScalarTable,3,0)</f>
        <v>0.92730471661766</v>
      </c>
      <c r="J8" s="28" t="n">
        <f aca="false">C8*I8</f>
        <v>24.3417488112136</v>
      </c>
      <c r="K8" s="29" t="n">
        <f aca="false">D8*F8</f>
        <v>19.7027309448858</v>
      </c>
      <c r="L8" s="28" t="n">
        <f aca="false">D8*I8</f>
        <v>17.0322696654658</v>
      </c>
      <c r="M8" s="30" t="n">
        <f aca="false">E8*F8</f>
        <v>20.4723885012701</v>
      </c>
      <c r="O8" s="31"/>
      <c r="P8" s="32"/>
      <c r="Q8" s="33" t="n">
        <v>29395.8505623861</v>
      </c>
      <c r="R8" s="33" t="n">
        <v>63271.0089921554</v>
      </c>
      <c r="S8" s="33"/>
      <c r="T8" s="34" t="n">
        <f aca="false">IF(Tables!$B$2=1,'NY Curve'!O8,IF(Tables!$B$2=2,P8,IF(Tables!$B$2=4,Q8,IF(Tables!$B$2=5,R8,IF(Tables!$B$2=3,S8,0)))))</f>
        <v>63271.0089921554</v>
      </c>
      <c r="V8" s="46" t="n">
        <v>1</v>
      </c>
      <c r="W8" s="43" t="s">
        <v>29</v>
      </c>
      <c r="X8" s="8"/>
      <c r="Y8" s="40" t="n">
        <v>1</v>
      </c>
      <c r="Z8" s="47" t="n">
        <v>1.00808025404509</v>
      </c>
      <c r="AA8" s="47" t="n">
        <v>0.991919745954909</v>
      </c>
      <c r="AB8" s="48" t="n">
        <f aca="false">AVERAGE(Z8:AA8)</f>
        <v>1</v>
      </c>
      <c r="AC8" s="8"/>
    </row>
    <row r="9" customFormat="false" ht="12.75" hidden="false" customHeight="false" outlineLevel="0" collapsed="false">
      <c r="A9" s="21" t="n">
        <v>37012</v>
      </c>
      <c r="B9" s="22" t="n">
        <v>24.4663089570545</v>
      </c>
      <c r="C9" s="23" t="n">
        <v>30.5</v>
      </c>
      <c r="D9" s="24" t="n">
        <v>18.4825000762939</v>
      </c>
      <c r="E9" s="25" t="n">
        <v>19.6149997711182</v>
      </c>
      <c r="F9" s="26" t="n">
        <f aca="false">VLOOKUP(MONTH(A9),ScalarTable,2,0)</f>
        <v>1.05849023799053</v>
      </c>
      <c r="G9" s="27" t="n">
        <f aca="false">+F9*C9</f>
        <v>32.2839522587111</v>
      </c>
      <c r="I9" s="26" t="n">
        <f aca="false">VLOOKUP(MONTH(A9),ScalarTable,3,0)</f>
        <v>0.941509762009471</v>
      </c>
      <c r="J9" s="28" t="n">
        <f aca="false">C9*I9</f>
        <v>28.7160477412889</v>
      </c>
      <c r="K9" s="29" t="n">
        <f aca="false">D9*F9</f>
        <v>19.5635459044163</v>
      </c>
      <c r="L9" s="28" t="n">
        <f aca="false">D9*I9</f>
        <v>17.4014542481715</v>
      </c>
      <c r="M9" s="30" t="n">
        <f aca="false">E9*F9</f>
        <v>20.762285775915</v>
      </c>
      <c r="O9" s="31"/>
      <c r="P9" s="32"/>
      <c r="Q9" s="33" t="n">
        <v>272780.020471763</v>
      </c>
      <c r="R9" s="33" t="n">
        <v>236778.065663396</v>
      </c>
      <c r="S9" s="33"/>
      <c r="T9" s="34" t="n">
        <f aca="false">IF(Tables!$B$2=1,'NY Curve'!O9,IF(Tables!$B$2=2,P9,IF(Tables!$B$2=4,Q9,IF(Tables!$B$2=5,R9,IF(Tables!$B$2=3,S9,0)))))</f>
        <v>236778.065663396</v>
      </c>
      <c r="V9" s="46" t="n">
        <v>2</v>
      </c>
      <c r="W9" s="43" t="s">
        <v>29</v>
      </c>
      <c r="X9" s="8"/>
      <c r="Y9" s="40" t="n">
        <v>2</v>
      </c>
      <c r="Z9" s="47" t="n">
        <v>1.00808025404509</v>
      </c>
      <c r="AA9" s="47" t="n">
        <v>0.991919745954909</v>
      </c>
      <c r="AB9" s="48" t="n">
        <f aca="false">AVERAGE(Z9:AA9)</f>
        <v>1</v>
      </c>
      <c r="AC9" s="8"/>
    </row>
    <row r="10" customFormat="false" ht="12.75" hidden="false" customHeight="false" outlineLevel="0" collapsed="false">
      <c r="A10" s="21" t="n">
        <v>37043</v>
      </c>
      <c r="B10" s="22" t="n">
        <v>34.2537496657599</v>
      </c>
      <c r="C10" s="23" t="n">
        <v>50</v>
      </c>
      <c r="D10" s="24" t="n">
        <v>23.0587501525879</v>
      </c>
      <c r="E10" s="25" t="n">
        <v>18.5424995422363</v>
      </c>
      <c r="F10" s="26" t="n">
        <f aca="false">VLOOKUP(MONTH(A10),ScalarTable,2,0)</f>
        <v>1.16938304743531</v>
      </c>
      <c r="G10" s="27" t="n">
        <f aca="false">+F10*C10</f>
        <v>58.4691523717653</v>
      </c>
      <c r="I10" s="26" t="n">
        <f aca="false">VLOOKUP(MONTH(A10),ScalarTable,3,0)</f>
        <v>0.83061695843935</v>
      </c>
      <c r="J10" s="28" t="n">
        <f aca="false">C10*I10</f>
        <v>41.5308479219675</v>
      </c>
      <c r="K10" s="29" t="n">
        <f aca="false">D10*F10</f>
        <v>26.9645115234826</v>
      </c>
      <c r="L10" s="28" t="n">
        <f aca="false">D10*I10</f>
        <v>19.1529889171555</v>
      </c>
      <c r="M10" s="30" t="n">
        <f aca="false">E10*F10</f>
        <v>21.6832846217681</v>
      </c>
      <c r="O10" s="31"/>
      <c r="P10" s="32"/>
      <c r="Q10" s="33" t="n">
        <v>769189.322923387</v>
      </c>
      <c r="R10" s="33" t="n">
        <v>701811.466133091</v>
      </c>
      <c r="S10" s="33"/>
      <c r="T10" s="34" t="n">
        <f aca="false">IF(Tables!$B$2=1,'NY Curve'!O10,IF(Tables!$B$2=2,P10,IF(Tables!$B$2=4,Q10,IF(Tables!$B$2=5,R10,IF(Tables!$B$2=3,S10,0)))))</f>
        <v>701811.466133091</v>
      </c>
      <c r="V10" s="46" t="n">
        <v>3</v>
      </c>
      <c r="W10" s="43" t="s">
        <v>30</v>
      </c>
      <c r="X10" s="8"/>
      <c r="Y10" s="40" t="n">
        <v>3</v>
      </c>
      <c r="Z10" s="47" t="n">
        <v>1.0080875</v>
      </c>
      <c r="AA10" s="47" t="n">
        <v>0.9919125</v>
      </c>
      <c r="AB10" s="48" t="n">
        <f aca="false">AVERAGE(Z10:AA10)</f>
        <v>1</v>
      </c>
      <c r="AC10" s="8"/>
    </row>
    <row r="11" customFormat="false" ht="12.75" hidden="false" customHeight="false" outlineLevel="0" collapsed="false">
      <c r="A11" s="21" t="n">
        <v>37073</v>
      </c>
      <c r="B11" s="22" t="n">
        <v>50.4298207419259</v>
      </c>
      <c r="C11" s="23" t="n">
        <v>76.5</v>
      </c>
      <c r="D11" s="24" t="n">
        <v>37.5112495422363</v>
      </c>
      <c r="E11" s="25" t="n">
        <v>28.9974994659424</v>
      </c>
      <c r="F11" s="26" t="n">
        <f aca="false">VLOOKUP(MONTH(A11),ScalarTable,2,0)</f>
        <v>1.22140709971076</v>
      </c>
      <c r="G11" s="27" t="n">
        <f aca="false">+F11*C11</f>
        <v>93.4376431278732</v>
      </c>
      <c r="I11" s="26" t="n">
        <f aca="false">VLOOKUP(MONTH(A11),ScalarTable,3,0)</f>
        <v>0.7785929068923</v>
      </c>
      <c r="J11" s="28" t="n">
        <f aca="false">C11*I11</f>
        <v>59.5623573772609</v>
      </c>
      <c r="K11" s="29" t="n">
        <f aca="false">D11*F11</f>
        <v>45.8165065099095</v>
      </c>
      <c r="L11" s="28" t="n">
        <f aca="false">D11*I11</f>
        <v>29.2059928222522</v>
      </c>
      <c r="M11" s="30" t="n">
        <f aca="false">E11*F11</f>
        <v>35.417751721561</v>
      </c>
      <c r="O11" s="31"/>
      <c r="P11" s="32"/>
      <c r="Q11" s="33" t="n">
        <v>2100011.54004706</v>
      </c>
      <c r="R11" s="33" t="n">
        <v>1895669.07232161</v>
      </c>
      <c r="S11" s="33"/>
      <c r="T11" s="34" t="n">
        <f aca="false">IF(Tables!$B$2=1,'NY Curve'!O11,IF(Tables!$B$2=2,P11,IF(Tables!$B$2=4,Q11,IF(Tables!$B$2=5,R11,IF(Tables!$B$2=3,S11,0)))))</f>
        <v>1895669.07232161</v>
      </c>
      <c r="V11" s="46" t="n">
        <v>4</v>
      </c>
      <c r="W11" s="43" t="s">
        <v>30</v>
      </c>
      <c r="X11" s="8"/>
      <c r="Y11" s="40" t="n">
        <v>4</v>
      </c>
      <c r="Z11" s="47" t="n">
        <v>1.07269528338234</v>
      </c>
      <c r="AA11" s="47" t="n">
        <v>0.92730471661766</v>
      </c>
      <c r="AB11" s="48" t="n">
        <f aca="false">AVERAGE(Z11:AA11)</f>
        <v>1</v>
      </c>
      <c r="AC11" s="8"/>
    </row>
    <row r="12" customFormat="false" ht="12.75" hidden="false" customHeight="false" outlineLevel="0" collapsed="false">
      <c r="A12" s="21" t="n">
        <v>37104</v>
      </c>
      <c r="B12" s="22" t="n">
        <v>47.4786900111607</v>
      </c>
      <c r="C12" s="23" t="n">
        <v>69</v>
      </c>
      <c r="D12" s="24" t="n">
        <v>39.7724990844727</v>
      </c>
      <c r="E12" s="25" t="n">
        <v>30.4950008392334</v>
      </c>
      <c r="F12" s="26" t="n">
        <f aca="false">VLOOKUP(MONTH(A12),ScalarTable,2,0)</f>
        <v>1.15768142863174</v>
      </c>
      <c r="G12" s="27" t="n">
        <f aca="false">+F12*C12</f>
        <v>79.88001857559</v>
      </c>
      <c r="I12" s="26" t="n">
        <f aca="false">VLOOKUP(MONTH(A12),ScalarTable,3,0)</f>
        <v>0.842099040746689</v>
      </c>
      <c r="J12" s="28" t="n">
        <f aca="false">C12*I12</f>
        <v>58.1048338115215</v>
      </c>
      <c r="K12" s="29" t="n">
        <f aca="false">D12*F12</f>
        <v>46.0438835603668</v>
      </c>
      <c r="L12" s="28" t="n">
        <f aca="false">D12*I12</f>
        <v>33.492383327133</v>
      </c>
      <c r="M12" s="30" t="n">
        <f aca="false">E12*F12</f>
        <v>35.3034961376898</v>
      </c>
      <c r="O12" s="31"/>
      <c r="P12" s="32"/>
      <c r="Q12" s="33" t="n">
        <v>2262622.36959991</v>
      </c>
      <c r="R12" s="33" t="n">
        <v>2033765.72744192</v>
      </c>
      <c r="S12" s="33"/>
      <c r="T12" s="34" t="n">
        <f aca="false">IF(Tables!$B$2=1,'NY Curve'!O12,IF(Tables!$B$2=2,P12,IF(Tables!$B$2=4,Q12,IF(Tables!$B$2=5,R12,IF(Tables!$B$2=3,S12,0)))))</f>
        <v>2033765.72744192</v>
      </c>
      <c r="V12" s="46" t="n">
        <v>5</v>
      </c>
      <c r="W12" s="43" t="s">
        <v>30</v>
      </c>
      <c r="X12" s="8"/>
      <c r="Y12" s="40" t="n">
        <v>5</v>
      </c>
      <c r="Z12" s="47" t="n">
        <v>1.05849023799053</v>
      </c>
      <c r="AA12" s="47" t="n">
        <v>0.941509762009471</v>
      </c>
      <c r="AB12" s="48" t="n">
        <f aca="false">AVERAGE(Z12:AA12)</f>
        <v>1</v>
      </c>
    </row>
    <row r="13" customFormat="false" ht="12.75" hidden="false" customHeight="false" outlineLevel="0" collapsed="false">
      <c r="A13" s="21" t="n">
        <v>37135</v>
      </c>
      <c r="B13" s="22" t="n">
        <v>23.0414281118484</v>
      </c>
      <c r="C13" s="23" t="n">
        <v>30.5</v>
      </c>
      <c r="D13" s="24" t="n">
        <v>14.9799995422363</v>
      </c>
      <c r="E13" s="25" t="n">
        <v>12.5600004196167</v>
      </c>
      <c r="F13" s="26" t="n">
        <f aca="false">VLOOKUP(MONTH(A13),ScalarTable,2,0)</f>
        <v>1.09653379232051</v>
      </c>
      <c r="G13" s="27" t="n">
        <f aca="false">+F13*C13</f>
        <v>33.4442806657756</v>
      </c>
      <c r="I13" s="26" t="n">
        <f aca="false">VLOOKUP(MONTH(A13),ScalarTable,3,0)</f>
        <v>0.903466207679489</v>
      </c>
      <c r="J13" s="28" t="n">
        <f aca="false">C13*I13</f>
        <v>27.5557193342244</v>
      </c>
      <c r="K13" s="29" t="n">
        <f aca="false">D13*F13</f>
        <v>16.4260757070079</v>
      </c>
      <c r="L13" s="28" t="n">
        <f aca="false">D13*I13</f>
        <v>13.5339233774647</v>
      </c>
      <c r="M13" s="30" t="n">
        <f aca="false">E13*F13</f>
        <v>13.7724648916695</v>
      </c>
      <c r="O13" s="31"/>
      <c r="P13" s="32"/>
      <c r="Q13" s="33" t="n">
        <v>314014.416461335</v>
      </c>
      <c r="R13" s="33" t="n">
        <v>254833.73522893</v>
      </c>
      <c r="S13" s="33"/>
      <c r="T13" s="34" t="n">
        <f aca="false">IF(Tables!$B$2=1,'NY Curve'!O13,IF(Tables!$B$2=2,P13,IF(Tables!$B$2=4,Q13,IF(Tables!$B$2=5,R13,IF(Tables!$B$2=3,S13,0)))))</f>
        <v>254833.73522893</v>
      </c>
      <c r="V13" s="46" t="n">
        <v>6</v>
      </c>
      <c r="W13" s="43" t="s">
        <v>31</v>
      </c>
      <c r="X13" s="8"/>
      <c r="Y13" s="40" t="n">
        <v>6</v>
      </c>
      <c r="Z13" s="47" t="n">
        <v>1.16938304743531</v>
      </c>
      <c r="AA13" s="47" t="n">
        <v>0.83061695843935</v>
      </c>
      <c r="AB13" s="48" t="n">
        <f aca="false">AVERAGE(Z13:AA13)</f>
        <v>1.00000000293733</v>
      </c>
      <c r="AC13" s="49"/>
    </row>
    <row r="14" customFormat="false" ht="12.75" hidden="false" customHeight="false" outlineLevel="0" collapsed="false">
      <c r="A14" s="21" t="n">
        <v>37165</v>
      </c>
      <c r="B14" s="22" t="n">
        <v>22.6835473378499</v>
      </c>
      <c r="C14" s="23" t="n">
        <v>26.25</v>
      </c>
      <c r="D14" s="24" t="n">
        <v>19.8505001068115</v>
      </c>
      <c r="E14" s="25" t="n">
        <v>19.8509998321533</v>
      </c>
      <c r="F14" s="26" t="n">
        <f aca="false">VLOOKUP(MONTH(A14),ScalarTable,2,0)</f>
        <v>1.0119875</v>
      </c>
      <c r="G14" s="27" t="n">
        <f aca="false">+F14*C14</f>
        <v>26.564671875</v>
      </c>
      <c r="I14" s="26" t="n">
        <f aca="false">VLOOKUP(MONTH(A14),ScalarTable,3,0)</f>
        <v>0.9880125</v>
      </c>
      <c r="J14" s="28" t="n">
        <f aca="false">C14*I14</f>
        <v>25.935328125</v>
      </c>
      <c r="K14" s="29" t="n">
        <f aca="false">D14*F14</f>
        <v>20.0884579768419</v>
      </c>
      <c r="L14" s="28" t="n">
        <f aca="false">D14*I14</f>
        <v>19.6125422367811</v>
      </c>
      <c r="M14" s="30" t="n">
        <f aca="false">E14*F14</f>
        <v>20.0889636926413</v>
      </c>
      <c r="O14" s="31"/>
      <c r="P14" s="32"/>
      <c r="Q14" s="33" t="n">
        <v>112387.51624259</v>
      </c>
      <c r="R14" s="33" t="n">
        <v>83935.5937298362</v>
      </c>
      <c r="S14" s="33"/>
      <c r="T14" s="34" t="n">
        <f aca="false">IF(Tables!$B$2=1,'NY Curve'!O14,IF(Tables!$B$2=2,P14,IF(Tables!$B$2=4,Q14,IF(Tables!$B$2=5,R14,IF(Tables!$B$2=3,S14,0)))))</f>
        <v>83935.5937298362</v>
      </c>
      <c r="V14" s="46" t="n">
        <v>7</v>
      </c>
      <c r="W14" s="43" t="s">
        <v>31</v>
      </c>
      <c r="X14" s="8"/>
      <c r="Y14" s="40" t="n">
        <v>7</v>
      </c>
      <c r="Z14" s="47" t="n">
        <v>1.22140709971076</v>
      </c>
      <c r="AA14" s="47" t="n">
        <v>0.7785929068923</v>
      </c>
      <c r="AB14" s="48" t="n">
        <f aca="false">AVERAGE(Z14:AA14)</f>
        <v>1.00000000330153</v>
      </c>
      <c r="AC14" s="49"/>
    </row>
    <row r="15" customFormat="false" ht="12.75" hidden="false" customHeight="false" outlineLevel="0" collapsed="false">
      <c r="A15" s="21" t="n">
        <v>37196</v>
      </c>
      <c r="B15" s="22" t="n">
        <v>23.1906068892706</v>
      </c>
      <c r="C15" s="23" t="n">
        <v>26.75</v>
      </c>
      <c r="D15" s="24" t="n">
        <v>20.8547515869141</v>
      </c>
      <c r="E15" s="25" t="n">
        <v>20.8544998168945</v>
      </c>
      <c r="F15" s="26" t="n">
        <f aca="false">VLOOKUP(MONTH(A15),ScalarTable,2,0)</f>
        <v>1.01585</v>
      </c>
      <c r="G15" s="27" t="n">
        <f aca="false">+F15*C15</f>
        <v>27.1739875</v>
      </c>
      <c r="I15" s="26" t="n">
        <f aca="false">VLOOKUP(MONTH(A15),ScalarTable,3,0)</f>
        <v>0.98415</v>
      </c>
      <c r="J15" s="28" t="n">
        <f aca="false">C15*I15</f>
        <v>26.3260125</v>
      </c>
      <c r="K15" s="29" t="n">
        <f aca="false">D15*F15</f>
        <v>21.1852993995667</v>
      </c>
      <c r="L15" s="28" t="n">
        <f aca="false">D15*I15</f>
        <v>20.5242037742615</v>
      </c>
      <c r="M15" s="30" t="n">
        <f aca="false">E15*F15</f>
        <v>21.1850436389923</v>
      </c>
      <c r="O15" s="31"/>
      <c r="P15" s="32"/>
      <c r="Q15" s="33" t="n">
        <v>115925.243396936</v>
      </c>
      <c r="R15" s="33" t="n">
        <v>70580.0085972028</v>
      </c>
      <c r="S15" s="33"/>
      <c r="T15" s="34" t="n">
        <f aca="false">IF(Tables!$B$2=1,'NY Curve'!O15,IF(Tables!$B$2=2,P15,IF(Tables!$B$2=4,Q15,IF(Tables!$B$2=5,R15,IF(Tables!$B$2=3,S15,0)))))</f>
        <v>70580.0085972028</v>
      </c>
      <c r="V15" s="46" t="n">
        <v>8</v>
      </c>
      <c r="W15" s="43" t="s">
        <v>31</v>
      </c>
      <c r="X15" s="8"/>
      <c r="Y15" s="40" t="n">
        <v>8</v>
      </c>
      <c r="Z15" s="47" t="n">
        <v>1.15768142863174</v>
      </c>
      <c r="AA15" s="47" t="n">
        <v>0.842099040746689</v>
      </c>
      <c r="AB15" s="48" t="n">
        <f aca="false">AVERAGE(Z15:AA15)</f>
        <v>0.999890234689214</v>
      </c>
      <c r="AC15" s="49"/>
    </row>
    <row r="16" customFormat="false" ht="12.75" hidden="false" customHeight="false" outlineLevel="0" collapsed="false">
      <c r="A16" s="21" t="n">
        <v>37226</v>
      </c>
      <c r="B16" s="22" t="n">
        <v>23.9673804328555</v>
      </c>
      <c r="C16" s="23" t="n">
        <v>27.25</v>
      </c>
      <c r="D16" s="24" t="n">
        <v>22.3049983978272</v>
      </c>
      <c r="E16" s="25" t="n">
        <v>20.7999992370605</v>
      </c>
      <c r="F16" s="26" t="n">
        <f aca="false">VLOOKUP(MONTH(A16),ScalarTable,2,0)</f>
        <v>1.01532599180631</v>
      </c>
      <c r="G16" s="27" t="n">
        <f aca="false">+F16*C16</f>
        <v>27.667633276722</v>
      </c>
      <c r="I16" s="26" t="n">
        <f aca="false">VLOOKUP(MONTH(A16),ScalarTable,3,0)</f>
        <v>0.984674008193689</v>
      </c>
      <c r="J16" s="28" t="n">
        <f aca="false">C16*I16</f>
        <v>26.832366723278</v>
      </c>
      <c r="K16" s="29" t="n">
        <f aca="false">D16*F16</f>
        <v>22.646844620512</v>
      </c>
      <c r="L16" s="28" t="n">
        <f aca="false">D16*I16</f>
        <v>21.9631521751423</v>
      </c>
      <c r="M16" s="30" t="n">
        <f aca="false">E16*F16</f>
        <v>21.118779854939</v>
      </c>
      <c r="O16" s="31"/>
      <c r="P16" s="32"/>
      <c r="Q16" s="33" t="n">
        <v>99740.1857208812</v>
      </c>
      <c r="R16" s="33" t="n">
        <v>61704.329609028</v>
      </c>
      <c r="S16" s="33"/>
      <c r="T16" s="34" t="n">
        <f aca="false">IF(Tables!$B$2=1,'NY Curve'!O16,IF(Tables!$B$2=2,P16,IF(Tables!$B$2=4,Q16,IF(Tables!$B$2=5,R16,IF(Tables!$B$2=3,S16,0)))))</f>
        <v>61704.329609028</v>
      </c>
      <c r="V16" s="46" t="n">
        <v>9</v>
      </c>
      <c r="W16" s="43" t="s">
        <v>30</v>
      </c>
      <c r="X16" s="8"/>
      <c r="Y16" s="40" t="n">
        <v>9</v>
      </c>
      <c r="Z16" s="47" t="n">
        <v>1.09653379232051</v>
      </c>
      <c r="AA16" s="47" t="n">
        <v>0.903466207679489</v>
      </c>
      <c r="AB16" s="48" t="n">
        <f aca="false">AVERAGE(Z16:AA16)</f>
        <v>1</v>
      </c>
      <c r="AC16" s="49"/>
    </row>
    <row r="17" customFormat="false" ht="12.75" hidden="false" customHeight="false" outlineLevel="0" collapsed="false">
      <c r="A17" s="21" t="n">
        <v>37257</v>
      </c>
      <c r="B17" s="22" t="n">
        <v>27.3382738204229</v>
      </c>
      <c r="C17" s="23" t="n">
        <v>32</v>
      </c>
      <c r="D17" s="24" t="n">
        <v>25.3987483978272</v>
      </c>
      <c r="E17" s="25" t="n">
        <v>25.9025001525879</v>
      </c>
      <c r="F17" s="26" t="n">
        <f aca="false">VLOOKUP(MONTH(A17),ScalarTable,2,0)</f>
        <v>1.00808025404509</v>
      </c>
      <c r="G17" s="27" t="n">
        <f aca="false">+F17*C17</f>
        <v>32.2585681294429</v>
      </c>
      <c r="I17" s="26" t="n">
        <f aca="false">VLOOKUP(MONTH(A17),ScalarTable,3,0)</f>
        <v>0.991919745954909</v>
      </c>
      <c r="J17" s="28" t="n">
        <f aca="false">C17*I17</f>
        <v>31.7414318705571</v>
      </c>
      <c r="K17" s="29" t="n">
        <f aca="false">D17*F17</f>
        <v>25.6039767373089</v>
      </c>
      <c r="L17" s="28" t="n">
        <f aca="false">D17*I17</f>
        <v>25.1935200583454</v>
      </c>
      <c r="M17" s="30" t="n">
        <f aca="false">E17*F17</f>
        <v>26.1117989342238</v>
      </c>
      <c r="O17" s="31"/>
      <c r="P17" s="32"/>
      <c r="Q17" s="33" t="n">
        <v>215991.175661773</v>
      </c>
      <c r="R17" s="33" t="n">
        <v>156545.681754907</v>
      </c>
      <c r="S17" s="33"/>
      <c r="T17" s="34" t="n">
        <f aca="false">IF(Tables!$B$2=1,'NY Curve'!O17,IF(Tables!$B$2=2,P17,IF(Tables!$B$2=4,Q17,IF(Tables!$B$2=5,R17,IF(Tables!$B$2=3,S17,0)))))</f>
        <v>156545.681754907</v>
      </c>
      <c r="V17" s="46" t="n">
        <v>10</v>
      </c>
      <c r="W17" s="43" t="s">
        <v>30</v>
      </c>
      <c r="X17" s="8"/>
      <c r="Y17" s="40" t="n">
        <v>10</v>
      </c>
      <c r="Z17" s="47" t="n">
        <v>1.0119875</v>
      </c>
      <c r="AA17" s="47" t="n">
        <v>0.9880125</v>
      </c>
      <c r="AB17" s="48" t="n">
        <f aca="false">AVERAGE(Z17:AA17)</f>
        <v>1</v>
      </c>
      <c r="AC17" s="49"/>
    </row>
    <row r="18" customFormat="false" ht="12.75" hidden="false" customHeight="false" outlineLevel="0" collapsed="false">
      <c r="A18" s="21" t="n">
        <v>37288</v>
      </c>
      <c r="B18" s="22" t="n">
        <v>26.8633922576904</v>
      </c>
      <c r="C18" s="23" t="n">
        <v>32</v>
      </c>
      <c r="D18" s="24" t="n">
        <v>24.3962501525879</v>
      </c>
      <c r="E18" s="25" t="n">
        <v>23.8974994659424</v>
      </c>
      <c r="F18" s="26" t="n">
        <f aca="false">VLOOKUP(MONTH(A18),ScalarTable,2,0)</f>
        <v>1.00808025404509</v>
      </c>
      <c r="G18" s="27" t="n">
        <f aca="false">+F18*C18</f>
        <v>32.2585681294429</v>
      </c>
      <c r="I18" s="26" t="n">
        <f aca="false">VLOOKUP(MONTH(A18),ScalarTable,3,0)</f>
        <v>0.991919745954909</v>
      </c>
      <c r="J18" s="28" t="n">
        <f aca="false">C18*I18</f>
        <v>31.7414318705571</v>
      </c>
      <c r="K18" s="29" t="n">
        <f aca="false">D18*F18</f>
        <v>24.5933780515684</v>
      </c>
      <c r="L18" s="28" t="n">
        <f aca="false">D18*I18</f>
        <v>24.1991222536074</v>
      </c>
      <c r="M18" s="30" t="n">
        <f aca="false">E18*F18</f>
        <v>24.0905973326696</v>
      </c>
      <c r="O18" s="31"/>
      <c r="P18" s="32"/>
      <c r="Q18" s="33" t="n">
        <v>186238.795751438</v>
      </c>
      <c r="R18" s="33" t="n">
        <v>157199.908108396</v>
      </c>
      <c r="S18" s="33"/>
      <c r="T18" s="34" t="n">
        <f aca="false">IF(Tables!$B$2=1,'NY Curve'!O18,IF(Tables!$B$2=2,P18,IF(Tables!$B$2=4,Q18,IF(Tables!$B$2=5,R18,IF(Tables!$B$2=3,S18,0)))))</f>
        <v>157199.908108396</v>
      </c>
      <c r="V18" s="46" t="n">
        <v>11</v>
      </c>
      <c r="W18" s="43" t="s">
        <v>30</v>
      </c>
      <c r="X18" s="8"/>
      <c r="Y18" s="40" t="n">
        <v>11</v>
      </c>
      <c r="Z18" s="47" t="n">
        <v>1.01585</v>
      </c>
      <c r="AA18" s="47" t="n">
        <v>0.98415</v>
      </c>
      <c r="AB18" s="48" t="n">
        <f aca="false">AVERAGE(Z18:AA18)</f>
        <v>1</v>
      </c>
      <c r="AC18" s="49"/>
    </row>
    <row r="19" customFormat="false" ht="12.75" hidden="false" customHeight="false" outlineLevel="0" collapsed="false">
      <c r="A19" s="21" t="n">
        <v>37316</v>
      </c>
      <c r="B19" s="22" t="n">
        <v>22.6022735050746</v>
      </c>
      <c r="C19" s="23" t="n">
        <v>27</v>
      </c>
      <c r="D19" s="24" t="n">
        <v>17.5847496032715</v>
      </c>
      <c r="E19" s="25" t="n">
        <v>19.2144989013672</v>
      </c>
      <c r="F19" s="26" t="n">
        <f aca="false">VLOOKUP(MONTH(A19),ScalarTable,2,0)</f>
        <v>1.0080875</v>
      </c>
      <c r="G19" s="27" t="n">
        <f aca="false">+F19*C19</f>
        <v>27.2183625</v>
      </c>
      <c r="I19" s="26" t="n">
        <f aca="false">VLOOKUP(MONTH(A19),ScalarTable,3,0)</f>
        <v>0.9919125</v>
      </c>
      <c r="J19" s="28" t="n">
        <f aca="false">C19*I19</f>
        <v>26.7816375</v>
      </c>
      <c r="K19" s="29" t="n">
        <f aca="false">D19*F19</f>
        <v>17.7269662656879</v>
      </c>
      <c r="L19" s="28" t="n">
        <f aca="false">D19*I19</f>
        <v>17.442532940855</v>
      </c>
      <c r="M19" s="30" t="n">
        <f aca="false">E19*F19</f>
        <v>19.369896161232</v>
      </c>
      <c r="O19" s="31"/>
      <c r="P19" s="32"/>
      <c r="Q19" s="33" t="n">
        <v>63601.2199586224</v>
      </c>
      <c r="R19" s="33" t="n">
        <v>75591.4148925244</v>
      </c>
      <c r="S19" s="33"/>
      <c r="T19" s="34" t="n">
        <f aca="false">IF(Tables!$B$2=1,'NY Curve'!O19,IF(Tables!$B$2=2,P19,IF(Tables!$B$2=4,Q19,IF(Tables!$B$2=5,R19,IF(Tables!$B$2=3,S19,0)))))</f>
        <v>75591.4148925244</v>
      </c>
      <c r="V19" s="50" t="n">
        <v>12</v>
      </c>
      <c r="W19" s="51" t="s">
        <v>29</v>
      </c>
      <c r="X19" s="8"/>
      <c r="Y19" s="52" t="n">
        <v>12</v>
      </c>
      <c r="Z19" s="53" t="n">
        <v>1.01532599180631</v>
      </c>
      <c r="AA19" s="53" t="n">
        <v>0.984674008193689</v>
      </c>
      <c r="AB19" s="54" t="n">
        <f aca="false">AVERAGE(Z19:AA19)</f>
        <v>1</v>
      </c>
      <c r="AC19" s="49"/>
    </row>
    <row r="20" customFormat="false" ht="12.75" hidden="false" customHeight="false" outlineLevel="0" collapsed="false">
      <c r="A20" s="21" t="n">
        <v>37347</v>
      </c>
      <c r="B20" s="22" t="n">
        <v>22.0717850821359</v>
      </c>
      <c r="C20" s="23" t="n">
        <v>25.75</v>
      </c>
      <c r="D20" s="24" t="n">
        <v>18.2675003051758</v>
      </c>
      <c r="E20" s="25" t="n">
        <v>18.9849990844727</v>
      </c>
      <c r="F20" s="26" t="n">
        <f aca="false">VLOOKUP(MONTH(A20),ScalarTable,2,0)</f>
        <v>1.07269528338234</v>
      </c>
      <c r="G20" s="27" t="n">
        <f aca="false">+F20*C20</f>
        <v>27.6219035470953</v>
      </c>
      <c r="I20" s="26" t="n">
        <f aca="false">VLOOKUP(MONTH(A20),ScalarTable,3,0)</f>
        <v>0.92730471661766</v>
      </c>
      <c r="J20" s="28" t="n">
        <f aca="false">C20*I20</f>
        <v>23.8780964529047</v>
      </c>
      <c r="K20" s="29" t="n">
        <f aca="false">D20*F20</f>
        <v>19.5954614165475</v>
      </c>
      <c r="L20" s="28" t="n">
        <f aca="false">D20*I20</f>
        <v>16.939539193804</v>
      </c>
      <c r="M20" s="30" t="n">
        <f aca="false">E20*F20</f>
        <v>20.3651189729319</v>
      </c>
      <c r="O20" s="31"/>
      <c r="P20" s="32"/>
      <c r="Q20" s="33" t="n">
        <v>108239.426526167</v>
      </c>
      <c r="R20" s="33" t="n">
        <v>138005.747931066</v>
      </c>
      <c r="S20" s="33"/>
      <c r="T20" s="34" t="n">
        <f aca="false">IF(Tables!$B$2=1,'NY Curve'!O20,IF(Tables!$B$2=2,P20,IF(Tables!$B$2=4,Q20,IF(Tables!$B$2=5,R20,IF(Tables!$B$2=3,S20,0)))))</f>
        <v>138005.747931066</v>
      </c>
      <c r="AC20" s="49"/>
    </row>
    <row r="21" customFormat="false" ht="12.75" hidden="false" customHeight="false" outlineLevel="0" collapsed="false">
      <c r="A21" s="21" t="n">
        <v>37377</v>
      </c>
      <c r="B21" s="22" t="n">
        <v>24.1877375284831</v>
      </c>
      <c r="C21" s="23" t="n">
        <v>30</v>
      </c>
      <c r="D21" s="24" t="n">
        <v>18.3825000762939</v>
      </c>
      <c r="E21" s="25" t="n">
        <v>19.5149997711182</v>
      </c>
      <c r="F21" s="26" t="n">
        <f aca="false">VLOOKUP(MONTH(A21),ScalarTable,2,0)</f>
        <v>1.05849023799053</v>
      </c>
      <c r="G21" s="27" t="n">
        <f aca="false">+F21*C21</f>
        <v>31.7547071397159</v>
      </c>
      <c r="I21" s="26" t="n">
        <f aca="false">VLOOKUP(MONTH(A21),ScalarTable,3,0)</f>
        <v>0.941509762009471</v>
      </c>
      <c r="J21" s="28" t="n">
        <f aca="false">C21*I21</f>
        <v>28.2452928602841</v>
      </c>
      <c r="K21" s="29" t="n">
        <f aca="false">D21*F21</f>
        <v>19.4576968806173</v>
      </c>
      <c r="L21" s="28" t="n">
        <f aca="false">D21*I21</f>
        <v>17.3073032719706</v>
      </c>
      <c r="M21" s="30" t="n">
        <f aca="false">E21*F21</f>
        <v>20.656436752116</v>
      </c>
      <c r="O21" s="31"/>
      <c r="P21" s="32"/>
      <c r="Q21" s="33" t="n">
        <v>342818.761127756</v>
      </c>
      <c r="R21" s="33" t="n">
        <v>284439.603724596</v>
      </c>
      <c r="S21" s="33"/>
      <c r="T21" s="34" t="n">
        <f aca="false">IF(Tables!$B$2=1,'NY Curve'!O21,IF(Tables!$B$2=2,P21,IF(Tables!$B$2=4,Q21,IF(Tables!$B$2=5,R21,IF(Tables!$B$2=3,S21,0)))))</f>
        <v>284439.603724596</v>
      </c>
      <c r="AC21" s="49"/>
    </row>
    <row r="22" customFormat="false" ht="12.75" hidden="false" customHeight="false" outlineLevel="0" collapsed="false">
      <c r="A22" s="21" t="n">
        <v>37408</v>
      </c>
      <c r="B22" s="22" t="n">
        <v>33.5632734752837</v>
      </c>
      <c r="C22" s="23" t="n">
        <v>48.75</v>
      </c>
      <c r="D22" s="24" t="n">
        <v>22.8087501525879</v>
      </c>
      <c r="E22" s="25" t="n">
        <v>18.2924995422363</v>
      </c>
      <c r="F22" s="26" t="n">
        <f aca="false">VLOOKUP(MONTH(A22),ScalarTable,2,0)</f>
        <v>1.16938304743531</v>
      </c>
      <c r="G22" s="27" t="n">
        <f aca="false">+F22*C22</f>
        <v>57.0074235624712</v>
      </c>
      <c r="I22" s="26" t="n">
        <f aca="false">VLOOKUP(MONTH(A22),ScalarTable,3,0)</f>
        <v>0.83061695843935</v>
      </c>
      <c r="J22" s="28" t="n">
        <f aca="false">C22*I22</f>
        <v>40.4925767239183</v>
      </c>
      <c r="K22" s="29" t="n">
        <f aca="false">D22*F22</f>
        <v>26.6721657616237</v>
      </c>
      <c r="L22" s="28" t="n">
        <f aca="false">D22*I22</f>
        <v>18.9453346775456</v>
      </c>
      <c r="M22" s="30" t="n">
        <f aca="false">E22*F22</f>
        <v>21.3909388599093</v>
      </c>
      <c r="O22" s="31"/>
      <c r="P22" s="32"/>
      <c r="Q22" s="33" t="n">
        <v>689568.239303391</v>
      </c>
      <c r="R22" s="33" t="n">
        <v>623894.396969959</v>
      </c>
      <c r="S22" s="33"/>
      <c r="T22" s="34" t="n">
        <f aca="false">IF(Tables!$B$2=1,'NY Curve'!O22,IF(Tables!$B$2=2,P22,IF(Tables!$B$2=4,Q22,IF(Tables!$B$2=5,R22,IF(Tables!$B$2=3,S22,0)))))</f>
        <v>623894.396969959</v>
      </c>
      <c r="AC22" s="49"/>
    </row>
    <row r="23" customFormat="false" ht="12.75" hidden="false" customHeight="false" outlineLevel="0" collapsed="false">
      <c r="A23" s="21" t="n">
        <v>37438</v>
      </c>
      <c r="B23" s="22" t="n">
        <v>48.9298207419259</v>
      </c>
      <c r="C23" s="23" t="n">
        <v>74</v>
      </c>
      <c r="D23" s="24" t="n">
        <v>36.5112495422363</v>
      </c>
      <c r="E23" s="25" t="n">
        <v>27.9974994659424</v>
      </c>
      <c r="F23" s="26" t="n">
        <f aca="false">VLOOKUP(MONTH(A23),ScalarTable,2,0)</f>
        <v>1.22140709971076</v>
      </c>
      <c r="G23" s="27" t="n">
        <f aca="false">+F23*C23</f>
        <v>90.3841253785963</v>
      </c>
      <c r="I23" s="26" t="n">
        <f aca="false">VLOOKUP(MONTH(A23),ScalarTable,3,0)</f>
        <v>0.7785929068923</v>
      </c>
      <c r="J23" s="28" t="n">
        <f aca="false">C23*I23</f>
        <v>57.6158751100302</v>
      </c>
      <c r="K23" s="29" t="n">
        <f aca="false">D23*F23</f>
        <v>44.5950994101987</v>
      </c>
      <c r="L23" s="28" t="n">
        <f aca="false">D23*I23</f>
        <v>28.4273999153599</v>
      </c>
      <c r="M23" s="30" t="n">
        <f aca="false">E23*F23</f>
        <v>34.1963446218502</v>
      </c>
      <c r="O23" s="31"/>
      <c r="P23" s="32"/>
      <c r="Q23" s="33" t="n">
        <v>1831330.14446897</v>
      </c>
      <c r="R23" s="33" t="n">
        <v>1660534.82944703</v>
      </c>
      <c r="S23" s="33"/>
      <c r="T23" s="34" t="n">
        <f aca="false">IF(Tables!$B$2=1,'NY Curve'!O23,IF(Tables!$B$2=2,P23,IF(Tables!$B$2=4,Q23,IF(Tables!$B$2=5,R23,IF(Tables!$B$2=3,S23,0)))))</f>
        <v>1660534.82944703</v>
      </c>
      <c r="AC23" s="49"/>
    </row>
    <row r="24" customFormat="false" ht="12.75" hidden="false" customHeight="false" outlineLevel="0" collapsed="false">
      <c r="A24" s="21" t="n">
        <v>37469</v>
      </c>
      <c r="B24" s="22" t="n">
        <v>45.9786900111607</v>
      </c>
      <c r="C24" s="23" t="n">
        <v>66.5</v>
      </c>
      <c r="D24" s="24" t="n">
        <v>38.7724990844727</v>
      </c>
      <c r="E24" s="25" t="n">
        <v>29.4950008392334</v>
      </c>
      <c r="F24" s="26" t="n">
        <f aca="false">VLOOKUP(MONTH(A24),ScalarTable,2,0)</f>
        <v>1.15768142863174</v>
      </c>
      <c r="G24" s="27" t="n">
        <f aca="false">+F24*C24</f>
        <v>76.9858150040106</v>
      </c>
      <c r="I24" s="26" t="n">
        <f aca="false">VLOOKUP(MONTH(A24),ScalarTable,3,0)</f>
        <v>0.842099040746689</v>
      </c>
      <c r="J24" s="28" t="n">
        <f aca="false">C24*I24</f>
        <v>55.9995862096548</v>
      </c>
      <c r="K24" s="29" t="n">
        <f aca="false">D24*F24</f>
        <v>44.8862021317351</v>
      </c>
      <c r="L24" s="28" t="n">
        <f aca="false">D24*I24</f>
        <v>32.6502842863863</v>
      </c>
      <c r="M24" s="30" t="n">
        <f aca="false">E24*F24</f>
        <v>34.1458147090581</v>
      </c>
      <c r="O24" s="31"/>
      <c r="P24" s="32"/>
      <c r="Q24" s="33" t="n">
        <v>1903526.30277606</v>
      </c>
      <c r="R24" s="33" t="n">
        <v>1717498.90908506</v>
      </c>
      <c r="S24" s="33"/>
      <c r="T24" s="34" t="n">
        <f aca="false">IF(Tables!$B$2=1,'NY Curve'!O24,IF(Tables!$B$2=2,P24,IF(Tables!$B$2=4,Q24,IF(Tables!$B$2=5,R24,IF(Tables!$B$2=3,S24,0)))))</f>
        <v>1717498.90908506</v>
      </c>
      <c r="AC24" s="49"/>
    </row>
    <row r="25" customFormat="false" ht="12.75" hidden="false" customHeight="false" outlineLevel="0" collapsed="false">
      <c r="A25" s="21" t="n">
        <v>37500</v>
      </c>
      <c r="B25" s="22" t="n">
        <v>22.7628566832769</v>
      </c>
      <c r="C25" s="23" t="n">
        <v>30</v>
      </c>
      <c r="D25" s="24" t="n">
        <v>14.8799995422363</v>
      </c>
      <c r="E25" s="25" t="n">
        <v>12.4600004196167</v>
      </c>
      <c r="F25" s="26" t="n">
        <f aca="false">VLOOKUP(MONTH(A25),ScalarTable,2,0)</f>
        <v>1.09653379232051</v>
      </c>
      <c r="G25" s="27" t="n">
        <f aca="false">+F25*C25</f>
        <v>32.8960137696153</v>
      </c>
      <c r="I25" s="26" t="n">
        <f aca="false">VLOOKUP(MONTH(A25),ScalarTable,3,0)</f>
        <v>0.903466207679489</v>
      </c>
      <c r="J25" s="28" t="n">
        <f aca="false">C25*I25</f>
        <v>27.1039862303847</v>
      </c>
      <c r="K25" s="29" t="n">
        <f aca="false">D25*F25</f>
        <v>16.3164223277759</v>
      </c>
      <c r="L25" s="28" t="n">
        <f aca="false">D25*I25</f>
        <v>13.4435767566968</v>
      </c>
      <c r="M25" s="30" t="n">
        <f aca="false">E25*F25</f>
        <v>13.6628115124375</v>
      </c>
      <c r="O25" s="31"/>
      <c r="P25" s="32"/>
      <c r="Q25" s="33" t="n">
        <v>392269.219417635</v>
      </c>
      <c r="R25" s="33" t="n">
        <v>322765.182121233</v>
      </c>
      <c r="S25" s="33"/>
      <c r="T25" s="34" t="n">
        <f aca="false">IF(Tables!$B$2=1,'NY Curve'!O25,IF(Tables!$B$2=2,P25,IF(Tables!$B$2=4,Q25,IF(Tables!$B$2=5,R25,IF(Tables!$B$2=3,S25,0)))))</f>
        <v>322765.182121233</v>
      </c>
      <c r="AC25" s="49"/>
    </row>
    <row r="26" customFormat="false" ht="12.75" hidden="false" customHeight="false" outlineLevel="0" collapsed="false">
      <c r="A26" s="21" t="n">
        <v>37530</v>
      </c>
      <c r="B26" s="22" t="n">
        <v>22.4049759092785</v>
      </c>
      <c r="C26" s="23" t="n">
        <v>25.75</v>
      </c>
      <c r="D26" s="24" t="n">
        <v>19.7505001068115</v>
      </c>
      <c r="E26" s="25" t="n">
        <v>19.7509998321533</v>
      </c>
      <c r="F26" s="26" t="n">
        <f aca="false">VLOOKUP(MONTH(A26),ScalarTable,2,0)</f>
        <v>1.0119875</v>
      </c>
      <c r="G26" s="27" t="n">
        <f aca="false">+F26*C26</f>
        <v>26.058678125</v>
      </c>
      <c r="I26" s="26" t="n">
        <f aca="false">VLOOKUP(MONTH(A26),ScalarTable,3,0)</f>
        <v>0.9880125</v>
      </c>
      <c r="J26" s="28" t="n">
        <f aca="false">C26*I26</f>
        <v>25.441321875</v>
      </c>
      <c r="K26" s="29" t="n">
        <f aca="false">D26*F26</f>
        <v>19.9872592268419</v>
      </c>
      <c r="L26" s="28" t="n">
        <f aca="false">D26*I26</f>
        <v>19.5137409867811</v>
      </c>
      <c r="M26" s="30" t="n">
        <f aca="false">E26*F26</f>
        <v>19.9877649426413</v>
      </c>
      <c r="O26" s="31"/>
      <c r="P26" s="32"/>
      <c r="Q26" s="33" t="n">
        <v>151112.593279857</v>
      </c>
      <c r="R26" s="33" t="n">
        <v>116609.963671424</v>
      </c>
      <c r="S26" s="33"/>
      <c r="T26" s="34" t="n">
        <f aca="false">IF(Tables!$B$2=1,'NY Curve'!O26,IF(Tables!$B$2=2,P26,IF(Tables!$B$2=4,Q26,IF(Tables!$B$2=5,R26,IF(Tables!$B$2=3,S26,0)))))</f>
        <v>116609.963671424</v>
      </c>
      <c r="AC26" s="49"/>
    </row>
    <row r="27" customFormat="false" ht="12.75" hidden="false" customHeight="false" outlineLevel="0" collapsed="false">
      <c r="A27" s="21" t="n">
        <v>37561</v>
      </c>
      <c r="B27" s="22" t="n">
        <v>22.9120354606992</v>
      </c>
      <c r="C27" s="23" t="n">
        <v>26.25</v>
      </c>
      <c r="D27" s="24" t="n">
        <v>20.7547515869141</v>
      </c>
      <c r="E27" s="25" t="n">
        <v>20.7544998168945</v>
      </c>
      <c r="F27" s="26" t="n">
        <f aca="false">VLOOKUP(MONTH(A27),ScalarTable,2,0)</f>
        <v>1.01585</v>
      </c>
      <c r="G27" s="27" t="n">
        <f aca="false">+F27*C27</f>
        <v>26.6660625</v>
      </c>
      <c r="I27" s="26" t="n">
        <f aca="false">VLOOKUP(MONTH(A27),ScalarTable,3,0)</f>
        <v>0.98415</v>
      </c>
      <c r="J27" s="28" t="n">
        <f aca="false">C27*I27</f>
        <v>25.8339375</v>
      </c>
      <c r="K27" s="29" t="n">
        <f aca="false">D27*F27</f>
        <v>21.0837143995667</v>
      </c>
      <c r="L27" s="28" t="n">
        <f aca="false">D27*I27</f>
        <v>20.4257887742615</v>
      </c>
      <c r="M27" s="30" t="n">
        <f aca="false">E27*F27</f>
        <v>21.0834586389923</v>
      </c>
      <c r="O27" s="31"/>
      <c r="P27" s="32"/>
      <c r="Q27" s="33" t="n">
        <v>147675.824420391</v>
      </c>
      <c r="R27" s="33" t="n">
        <v>91995.0032392065</v>
      </c>
      <c r="S27" s="33"/>
      <c r="T27" s="34" t="n">
        <f aca="false">IF(Tables!$B$2=1,'NY Curve'!O27,IF(Tables!$B$2=2,P27,IF(Tables!$B$2=4,Q27,IF(Tables!$B$2=5,R27,IF(Tables!$B$2=3,S27,0)))))</f>
        <v>91995.0032392065</v>
      </c>
      <c r="AC27" s="49"/>
    </row>
    <row r="28" customFormat="false" ht="12.75" hidden="false" customHeight="false" outlineLevel="0" collapsed="false">
      <c r="A28" s="21" t="n">
        <v>37591</v>
      </c>
      <c r="B28" s="22" t="n">
        <v>23.6888090042841</v>
      </c>
      <c r="C28" s="23" t="n">
        <v>26.75</v>
      </c>
      <c r="D28" s="24" t="n">
        <v>22.2049983978271</v>
      </c>
      <c r="E28" s="25" t="n">
        <v>20.6999992370605</v>
      </c>
      <c r="F28" s="26" t="n">
        <f aca="false">VLOOKUP(MONTH(A28),ScalarTable,2,0)</f>
        <v>1.01532599180631</v>
      </c>
      <c r="G28" s="27" t="n">
        <f aca="false">+F28*C28</f>
        <v>27.1599702808188</v>
      </c>
      <c r="I28" s="26" t="n">
        <f aca="false">VLOOKUP(MONTH(A28),ScalarTable,3,0)</f>
        <v>0.984674008193689</v>
      </c>
      <c r="J28" s="28" t="n">
        <f aca="false">C28*I28</f>
        <v>26.3400297191812</v>
      </c>
      <c r="K28" s="29" t="n">
        <f aca="false">D28*F28</f>
        <v>22.5453120213314</v>
      </c>
      <c r="L28" s="28" t="n">
        <f aca="false">D28*I28</f>
        <v>21.8646847743229</v>
      </c>
      <c r="M28" s="30" t="n">
        <f aca="false">E28*F28</f>
        <v>21.0172472557584</v>
      </c>
      <c r="O28" s="31"/>
      <c r="P28" s="32"/>
      <c r="Q28" s="33" t="n">
        <v>124145.303221824</v>
      </c>
      <c r="R28" s="33" t="n">
        <v>78199.2463957868</v>
      </c>
      <c r="S28" s="33"/>
      <c r="T28" s="34" t="n">
        <f aca="false">IF(Tables!$B$2=1,'NY Curve'!O28,IF(Tables!$B$2=2,P28,IF(Tables!$B$2=4,Q28,IF(Tables!$B$2=5,R28,IF(Tables!$B$2=3,S28,0)))))</f>
        <v>78199.2463957868</v>
      </c>
      <c r="V28" s="49"/>
      <c r="W28" s="49"/>
      <c r="X28" s="49"/>
      <c r="Y28" s="49"/>
      <c r="Z28" s="49"/>
      <c r="AA28" s="49"/>
      <c r="AB28" s="49"/>
      <c r="AC28" s="49"/>
    </row>
    <row r="29" customFormat="false" ht="12.75" hidden="false" customHeight="false" outlineLevel="0" collapsed="false">
      <c r="A29" s="21" t="n">
        <v>37622</v>
      </c>
      <c r="B29" s="22" t="n">
        <v>27.1716071537563</v>
      </c>
      <c r="C29" s="23" t="n">
        <v>31.65</v>
      </c>
      <c r="D29" s="24" t="n">
        <v>25.3987483978272</v>
      </c>
      <c r="E29" s="25" t="n">
        <v>25.9025001525879</v>
      </c>
      <c r="F29" s="26" t="n">
        <f aca="false">VLOOKUP(MONTH(A29),ScalarTable,2,0)</f>
        <v>1.00808025404509</v>
      </c>
      <c r="G29" s="27" t="n">
        <f aca="false">+F29*C29</f>
        <v>31.9057400405271</v>
      </c>
      <c r="I29" s="26" t="n">
        <f aca="false">VLOOKUP(MONTH(A29),ScalarTable,3,0)</f>
        <v>0.991919745954909</v>
      </c>
      <c r="J29" s="28" t="n">
        <f aca="false">C29*I29</f>
        <v>31.3942599594729</v>
      </c>
      <c r="K29" s="29" t="n">
        <f aca="false">D29*F29</f>
        <v>25.6039767373089</v>
      </c>
      <c r="L29" s="28" t="n">
        <f aca="false">D29*I29</f>
        <v>25.1935200583454</v>
      </c>
      <c r="M29" s="30" t="n">
        <f aca="false">E29*F29</f>
        <v>26.1117989342238</v>
      </c>
      <c r="O29" s="31"/>
      <c r="P29" s="32"/>
      <c r="Q29" s="33" t="n">
        <v>282181.862703484</v>
      </c>
      <c r="R29" s="33" t="n">
        <v>209666.013789537</v>
      </c>
      <c r="S29" s="33"/>
      <c r="T29" s="34" t="n">
        <f aca="false">IF(Tables!$B$2=1,'NY Curve'!O29,IF(Tables!$B$2=2,P29,IF(Tables!$B$2=4,Q29,IF(Tables!$B$2=5,R29,IF(Tables!$B$2=3,S29,0)))))</f>
        <v>209666.013789537</v>
      </c>
      <c r="V29" s="49"/>
      <c r="W29" s="49"/>
      <c r="X29" s="49"/>
      <c r="Y29" s="49"/>
      <c r="Z29" s="49"/>
      <c r="AA29" s="49"/>
      <c r="AB29" s="49"/>
      <c r="AC29" s="49"/>
    </row>
    <row r="30" customFormat="false" ht="12.75" hidden="false" customHeight="false" outlineLevel="0" collapsed="false">
      <c r="A30" s="21" t="n">
        <v>37653</v>
      </c>
      <c r="B30" s="22" t="n">
        <v>26.6967255910238</v>
      </c>
      <c r="C30" s="23" t="n">
        <v>31.65</v>
      </c>
      <c r="D30" s="24" t="n">
        <v>24.3962501525879</v>
      </c>
      <c r="E30" s="25" t="n">
        <v>23.8974994659424</v>
      </c>
      <c r="F30" s="26" t="n">
        <f aca="false">VLOOKUP(MONTH(A30),ScalarTable,2,0)</f>
        <v>1.00808025404509</v>
      </c>
      <c r="G30" s="27" t="n">
        <f aca="false">+F30*C30</f>
        <v>31.9057400405271</v>
      </c>
      <c r="I30" s="26" t="n">
        <f aca="false">VLOOKUP(MONTH(A30),ScalarTable,3,0)</f>
        <v>0.991919745954909</v>
      </c>
      <c r="J30" s="28" t="n">
        <f aca="false">C30*I30</f>
        <v>31.3942599594729</v>
      </c>
      <c r="K30" s="29" t="n">
        <f aca="false">D30*F30</f>
        <v>24.5933780515684</v>
      </c>
      <c r="L30" s="28" t="n">
        <f aca="false">D30*I30</f>
        <v>24.1991222536074</v>
      </c>
      <c r="M30" s="30" t="n">
        <f aca="false">E30*F30</f>
        <v>24.0905973326696</v>
      </c>
      <c r="O30" s="31"/>
      <c r="P30" s="32"/>
      <c r="Q30" s="33" t="n">
        <v>242389.400517137</v>
      </c>
      <c r="R30" s="33" t="n">
        <v>202416.7754007</v>
      </c>
      <c r="S30" s="33"/>
      <c r="T30" s="34" t="n">
        <f aca="false">IF(Tables!$B$2=1,'NY Curve'!O30,IF(Tables!$B$2=2,P30,IF(Tables!$B$2=4,Q30,IF(Tables!$B$2=5,R30,IF(Tables!$B$2=3,S30,0)))))</f>
        <v>202416.7754007</v>
      </c>
    </row>
    <row r="31" customFormat="false" ht="12.75" hidden="false" customHeight="false" outlineLevel="0" collapsed="false">
      <c r="A31" s="21" t="n">
        <v>37681</v>
      </c>
      <c r="B31" s="22" t="n">
        <v>22.435606838408</v>
      </c>
      <c r="C31" s="23" t="n">
        <v>26.65</v>
      </c>
      <c r="D31" s="24" t="n">
        <v>17.5847496032715</v>
      </c>
      <c r="E31" s="25" t="n">
        <v>19.2144989013672</v>
      </c>
      <c r="F31" s="26" t="n">
        <f aca="false">VLOOKUP(MONTH(A31),ScalarTable,2,0)</f>
        <v>1.0080875</v>
      </c>
      <c r="G31" s="27" t="n">
        <f aca="false">+F31*C31</f>
        <v>26.865531875</v>
      </c>
      <c r="I31" s="26" t="n">
        <f aca="false">VLOOKUP(MONTH(A31),ScalarTable,3,0)</f>
        <v>0.9919125</v>
      </c>
      <c r="J31" s="28" t="n">
        <f aca="false">C31*I31</f>
        <v>26.434468125</v>
      </c>
      <c r="K31" s="29" t="n">
        <f aca="false">D31*F31</f>
        <v>17.7269662656879</v>
      </c>
      <c r="L31" s="28" t="n">
        <f aca="false">D31*I31</f>
        <v>17.442532940855</v>
      </c>
      <c r="M31" s="30" t="n">
        <f aca="false">E31*F31</f>
        <v>19.369896161232</v>
      </c>
      <c r="O31" s="31"/>
      <c r="P31" s="32"/>
      <c r="Q31" s="33" t="n">
        <v>112502.801416733</v>
      </c>
      <c r="R31" s="33" t="n">
        <v>117258.238729131</v>
      </c>
      <c r="S31" s="33"/>
      <c r="T31" s="34" t="n">
        <f aca="false">IF(Tables!$B$2=1,'NY Curve'!O31,IF(Tables!$B$2=2,P31,IF(Tables!$B$2=4,Q31,IF(Tables!$B$2=5,R31,IF(Tables!$B$2=3,S31,0)))))</f>
        <v>117258.238729131</v>
      </c>
    </row>
    <row r="32" customFormat="false" ht="12.75" hidden="false" customHeight="false" outlineLevel="0" collapsed="false">
      <c r="A32" s="21" t="n">
        <v>37712</v>
      </c>
      <c r="B32" s="22" t="n">
        <v>21.9051184154692</v>
      </c>
      <c r="C32" s="23" t="n">
        <v>25.4</v>
      </c>
      <c r="D32" s="24" t="n">
        <v>18.2675003051758</v>
      </c>
      <c r="E32" s="25" t="n">
        <v>18.9849990844727</v>
      </c>
      <c r="F32" s="26" t="n">
        <f aca="false">VLOOKUP(MONTH(A32),ScalarTable,2,0)</f>
        <v>1.07269528338234</v>
      </c>
      <c r="G32" s="27" t="n">
        <f aca="false">+F32*C32</f>
        <v>27.2464601979114</v>
      </c>
      <c r="I32" s="26" t="n">
        <f aca="false">VLOOKUP(MONTH(A32),ScalarTable,3,0)</f>
        <v>0.92730471661766</v>
      </c>
      <c r="J32" s="28" t="n">
        <f aca="false">C32*I32</f>
        <v>23.5535398020886</v>
      </c>
      <c r="K32" s="29" t="n">
        <f aca="false">D32*F32</f>
        <v>19.5954614165475</v>
      </c>
      <c r="L32" s="28" t="n">
        <f aca="false">D32*I32</f>
        <v>16.939539193804</v>
      </c>
      <c r="M32" s="30" t="n">
        <f aca="false">E32*F32</f>
        <v>20.3651189729319</v>
      </c>
      <c r="O32" s="31"/>
      <c r="P32" s="32"/>
      <c r="Q32" s="33" t="n">
        <v>148046.055848825</v>
      </c>
      <c r="R32" s="33" t="n">
        <v>161234.946223138</v>
      </c>
      <c r="S32" s="33"/>
      <c r="T32" s="34" t="n">
        <f aca="false">IF(Tables!$B$2=1,'NY Curve'!O32,IF(Tables!$B$2=2,P32,IF(Tables!$B$2=4,Q32,IF(Tables!$B$2=5,R32,IF(Tables!$B$2=3,S32,0)))))</f>
        <v>161234.946223138</v>
      </c>
    </row>
    <row r="33" customFormat="false" ht="12.75" hidden="false" customHeight="false" outlineLevel="0" collapsed="false">
      <c r="A33" s="21" t="n">
        <v>37742</v>
      </c>
      <c r="B33" s="22" t="n">
        <v>24.0210708618164</v>
      </c>
      <c r="C33" s="23" t="n">
        <v>29.65</v>
      </c>
      <c r="D33" s="24" t="n">
        <v>18.3825000762939</v>
      </c>
      <c r="E33" s="25" t="n">
        <v>19.5149997711182</v>
      </c>
      <c r="F33" s="26" t="n">
        <f aca="false">VLOOKUP(MONTH(A33),ScalarTable,2,0)</f>
        <v>1.05849023799053</v>
      </c>
      <c r="G33" s="27" t="n">
        <f aca="false">+F33*C33</f>
        <v>31.3842355564192</v>
      </c>
      <c r="I33" s="26" t="n">
        <f aca="false">VLOOKUP(MONTH(A33),ScalarTable,3,0)</f>
        <v>0.941509762009471</v>
      </c>
      <c r="J33" s="28" t="n">
        <f aca="false">C33*I33</f>
        <v>27.9157644435808</v>
      </c>
      <c r="K33" s="29" t="n">
        <f aca="false">D33*F33</f>
        <v>19.4576968806173</v>
      </c>
      <c r="L33" s="28" t="n">
        <f aca="false">D33*I33</f>
        <v>17.3073032719706</v>
      </c>
      <c r="M33" s="30" t="n">
        <f aca="false">E33*F33</f>
        <v>20.656436752116</v>
      </c>
      <c r="O33" s="31"/>
      <c r="P33" s="32"/>
      <c r="Q33" s="33" t="n">
        <v>361097.110135054</v>
      </c>
      <c r="R33" s="33" t="n">
        <v>301492.806429769</v>
      </c>
      <c r="S33" s="33"/>
      <c r="T33" s="34" t="n">
        <f aca="false">IF(Tables!$B$2=1,'NY Curve'!O33,IF(Tables!$B$2=2,P33,IF(Tables!$B$2=4,Q33,IF(Tables!$B$2=5,R33,IF(Tables!$B$2=3,S33,0)))))</f>
        <v>301492.806429769</v>
      </c>
    </row>
    <row r="34" customFormat="false" ht="12.75" hidden="false" customHeight="false" outlineLevel="0" collapsed="false">
      <c r="A34" s="21" t="n">
        <v>37773</v>
      </c>
      <c r="B34" s="22" t="n">
        <v>33.2061306181408</v>
      </c>
      <c r="C34" s="23" t="n">
        <v>48</v>
      </c>
      <c r="D34" s="24" t="n">
        <v>22.8087501525879</v>
      </c>
      <c r="E34" s="25" t="n">
        <v>18.2924995422363</v>
      </c>
      <c r="F34" s="26" t="n">
        <f aca="false">VLOOKUP(MONTH(A34),ScalarTable,2,0)</f>
        <v>1.16938304743531</v>
      </c>
      <c r="G34" s="27" t="n">
        <f aca="false">+F34*C34</f>
        <v>56.1303862768947</v>
      </c>
      <c r="I34" s="26" t="n">
        <f aca="false">VLOOKUP(MONTH(A34),ScalarTable,3,0)</f>
        <v>0.83061695843935</v>
      </c>
      <c r="J34" s="28" t="n">
        <f aca="false">C34*I34</f>
        <v>39.8696140050888</v>
      </c>
      <c r="K34" s="29" t="n">
        <f aca="false">D34*F34</f>
        <v>26.6721657616237</v>
      </c>
      <c r="L34" s="28" t="n">
        <f aca="false">D34*I34</f>
        <v>18.9453346775456</v>
      </c>
      <c r="M34" s="30" t="n">
        <f aca="false">E34*F34</f>
        <v>21.3909388599093</v>
      </c>
      <c r="O34" s="31"/>
      <c r="P34" s="32"/>
      <c r="Q34" s="33" t="n">
        <v>810384.335105395</v>
      </c>
      <c r="R34" s="33" t="n">
        <v>731239.716358573</v>
      </c>
      <c r="S34" s="33"/>
      <c r="T34" s="34" t="n">
        <f aca="false">IF(Tables!$B$2=1,'NY Curve'!O34,IF(Tables!$B$2=2,P34,IF(Tables!$B$2=4,Q34,IF(Tables!$B$2=5,R34,IF(Tables!$B$2=3,S34,0)))))</f>
        <v>731239.716358573</v>
      </c>
    </row>
    <row r="35" customFormat="false" ht="12.75" hidden="false" customHeight="false" outlineLevel="0" collapsed="false">
      <c r="A35" s="21" t="n">
        <v>37803</v>
      </c>
      <c r="B35" s="22" t="n">
        <v>47.8345826466878</v>
      </c>
      <c r="C35" s="23" t="n">
        <v>72</v>
      </c>
      <c r="D35" s="24" t="n">
        <v>36.0112495422363</v>
      </c>
      <c r="E35" s="25" t="n">
        <v>27.4974994659424</v>
      </c>
      <c r="F35" s="26" t="n">
        <f aca="false">VLOOKUP(MONTH(A35),ScalarTable,2,0)</f>
        <v>1.22140709971076</v>
      </c>
      <c r="G35" s="27" t="n">
        <f aca="false">+F35*C35</f>
        <v>87.9413111791747</v>
      </c>
      <c r="I35" s="26" t="n">
        <f aca="false">VLOOKUP(MONTH(A35),ScalarTable,3,0)</f>
        <v>0.7785929068923</v>
      </c>
      <c r="J35" s="28" t="n">
        <f aca="false">C35*I35</f>
        <v>56.0586892962456</v>
      </c>
      <c r="K35" s="29" t="n">
        <f aca="false">D35*F35</f>
        <v>43.9843958603433</v>
      </c>
      <c r="L35" s="28" t="n">
        <f aca="false">D35*I35</f>
        <v>28.0381034619138</v>
      </c>
      <c r="M35" s="30" t="n">
        <f aca="false">E35*F35</f>
        <v>33.5856410719949</v>
      </c>
      <c r="O35" s="31"/>
      <c r="P35" s="32"/>
      <c r="Q35" s="33" t="n">
        <v>2145408.44993394</v>
      </c>
      <c r="R35" s="33" t="n">
        <v>1935680.77808877</v>
      </c>
      <c r="S35" s="33"/>
      <c r="T35" s="34" t="n">
        <f aca="false">IF(Tables!$B$2=1,'NY Curve'!O35,IF(Tables!$B$2=2,P35,IF(Tables!$B$2=4,Q35,IF(Tables!$B$2=5,R35,IF(Tables!$B$2=3,S35,0)))))</f>
        <v>1935680.77808877</v>
      </c>
    </row>
    <row r="36" customFormat="false" ht="12.75" hidden="false" customHeight="false" outlineLevel="0" collapsed="false">
      <c r="A36" s="21" t="n">
        <v>37834</v>
      </c>
      <c r="B36" s="22" t="n">
        <v>44.8834519159226</v>
      </c>
      <c r="C36" s="23" t="n">
        <v>64.5</v>
      </c>
      <c r="D36" s="24" t="n">
        <v>38.2724990844727</v>
      </c>
      <c r="E36" s="25" t="n">
        <v>28.9950008392334</v>
      </c>
      <c r="F36" s="26" t="n">
        <f aca="false">VLOOKUP(MONTH(A36),ScalarTable,2,0)</f>
        <v>1.15768142863174</v>
      </c>
      <c r="G36" s="27" t="n">
        <f aca="false">+F36*C36</f>
        <v>74.6704521467472</v>
      </c>
      <c r="I36" s="26" t="n">
        <f aca="false">VLOOKUP(MONTH(A36),ScalarTable,3,0)</f>
        <v>0.842099040746689</v>
      </c>
      <c r="J36" s="28" t="n">
        <f aca="false">C36*I36</f>
        <v>54.3153881281614</v>
      </c>
      <c r="K36" s="29" t="n">
        <f aca="false">D36*F36</f>
        <v>44.3073614174192</v>
      </c>
      <c r="L36" s="28" t="n">
        <f aca="false">D36*I36</f>
        <v>32.229234766013</v>
      </c>
      <c r="M36" s="30" t="n">
        <f aca="false">E36*F36</f>
        <v>33.5669739947422</v>
      </c>
      <c r="O36" s="31"/>
      <c r="P36" s="32"/>
      <c r="Q36" s="33" t="n">
        <v>2158845.73785224</v>
      </c>
      <c r="R36" s="33" t="n">
        <v>1938195.27602289</v>
      </c>
      <c r="S36" s="33"/>
      <c r="T36" s="34" t="n">
        <f aca="false">IF(Tables!$B$2=1,'NY Curve'!O36,IF(Tables!$B$2=2,P36,IF(Tables!$B$2=4,Q36,IF(Tables!$B$2=5,R36,IF(Tables!$B$2=3,S36,0)))))</f>
        <v>1938195.27602289</v>
      </c>
    </row>
    <row r="37" customFormat="false" ht="12.75" hidden="false" customHeight="false" outlineLevel="0" collapsed="false">
      <c r="A37" s="21" t="n">
        <v>37865</v>
      </c>
      <c r="B37" s="22" t="n">
        <v>22.5961900166103</v>
      </c>
      <c r="C37" s="23" t="n">
        <v>29.65</v>
      </c>
      <c r="D37" s="24" t="n">
        <v>14.8799995422363</v>
      </c>
      <c r="E37" s="25" t="n">
        <v>12.4600004196167</v>
      </c>
      <c r="F37" s="26" t="n">
        <f aca="false">VLOOKUP(MONTH(A37),ScalarTable,2,0)</f>
        <v>1.09653379232051</v>
      </c>
      <c r="G37" s="27" t="n">
        <f aca="false">+F37*C37</f>
        <v>32.5122269423031</v>
      </c>
      <c r="I37" s="26" t="n">
        <f aca="false">VLOOKUP(MONTH(A37),ScalarTable,3,0)</f>
        <v>0.903466207679489</v>
      </c>
      <c r="J37" s="28" t="n">
        <f aca="false">C37*I37</f>
        <v>26.7877730576969</v>
      </c>
      <c r="K37" s="29" t="n">
        <f aca="false">D37*F37</f>
        <v>16.3164223277759</v>
      </c>
      <c r="L37" s="28" t="n">
        <f aca="false">D37*I37</f>
        <v>13.4435767566968</v>
      </c>
      <c r="M37" s="30" t="n">
        <f aca="false">E37*F37</f>
        <v>13.6628115124375</v>
      </c>
      <c r="O37" s="31"/>
      <c r="P37" s="32"/>
      <c r="Q37" s="33" t="n">
        <v>441121.045349074</v>
      </c>
      <c r="R37" s="33" t="n">
        <v>363700.730293467</v>
      </c>
      <c r="S37" s="33"/>
      <c r="T37" s="34" t="n">
        <f aca="false">IF(Tables!$B$2=1,'NY Curve'!O37,IF(Tables!$B$2=2,P37,IF(Tables!$B$2=4,Q37,IF(Tables!$B$2=5,R37,IF(Tables!$B$2=3,S37,0)))))</f>
        <v>363700.730293467</v>
      </c>
    </row>
    <row r="38" customFormat="false" ht="12.75" hidden="false" customHeight="false" outlineLevel="0" collapsed="false">
      <c r="A38" s="21" t="n">
        <v>37895</v>
      </c>
      <c r="B38" s="22" t="n">
        <v>22.2383092426118</v>
      </c>
      <c r="C38" s="23" t="n">
        <v>25.4</v>
      </c>
      <c r="D38" s="24" t="n">
        <v>19.7505001068115</v>
      </c>
      <c r="E38" s="25" t="n">
        <v>19.7509998321533</v>
      </c>
      <c r="F38" s="26" t="n">
        <f aca="false">VLOOKUP(MONTH(A38),ScalarTable,2,0)</f>
        <v>1.0119875</v>
      </c>
      <c r="G38" s="27" t="n">
        <f aca="false">+F38*C38</f>
        <v>25.7044825</v>
      </c>
      <c r="I38" s="26" t="n">
        <f aca="false">VLOOKUP(MONTH(A38),ScalarTable,3,0)</f>
        <v>0.9880125</v>
      </c>
      <c r="J38" s="28" t="n">
        <f aca="false">C38*I38</f>
        <v>25.0955175</v>
      </c>
      <c r="K38" s="29" t="n">
        <f aca="false">D38*F38</f>
        <v>19.9872592268419</v>
      </c>
      <c r="L38" s="28" t="n">
        <f aca="false">D38*I38</f>
        <v>19.5137409867811</v>
      </c>
      <c r="M38" s="30" t="n">
        <f aca="false">E38*F38</f>
        <v>19.9877649426413</v>
      </c>
      <c r="O38" s="31"/>
      <c r="P38" s="32"/>
      <c r="Q38" s="33" t="n">
        <v>178622.09468344</v>
      </c>
      <c r="R38" s="33" t="n">
        <v>140362.393025262</v>
      </c>
      <c r="S38" s="33"/>
      <c r="T38" s="34" t="n">
        <f aca="false">IF(Tables!$B$2=1,'NY Curve'!O38,IF(Tables!$B$2=2,P38,IF(Tables!$B$2=4,Q38,IF(Tables!$B$2=5,R38,IF(Tables!$B$2=3,S38,0)))))</f>
        <v>140362.393025262</v>
      </c>
    </row>
    <row r="39" customFormat="false" ht="12.75" hidden="false" customHeight="false" outlineLevel="0" collapsed="false">
      <c r="A39" s="21" t="n">
        <v>37926</v>
      </c>
      <c r="B39" s="22" t="n">
        <v>22.7453687940325</v>
      </c>
      <c r="C39" s="23" t="n">
        <v>25.9</v>
      </c>
      <c r="D39" s="24" t="n">
        <v>20.7547515869141</v>
      </c>
      <c r="E39" s="25" t="n">
        <v>20.7544998168945</v>
      </c>
      <c r="F39" s="26" t="n">
        <f aca="false">VLOOKUP(MONTH(A39),ScalarTable,2,0)</f>
        <v>1.01585</v>
      </c>
      <c r="G39" s="27" t="n">
        <f aca="false">+F39*C39</f>
        <v>26.310515</v>
      </c>
      <c r="I39" s="26" t="n">
        <f aca="false">VLOOKUP(MONTH(A39),ScalarTable,3,0)</f>
        <v>0.98415</v>
      </c>
      <c r="J39" s="28" t="n">
        <f aca="false">C39*I39</f>
        <v>25.489485</v>
      </c>
      <c r="K39" s="29" t="n">
        <f aca="false">D39*F39</f>
        <v>21.0837143995667</v>
      </c>
      <c r="L39" s="28" t="n">
        <f aca="false">D39*I39</f>
        <v>20.4257887742615</v>
      </c>
      <c r="M39" s="30" t="n">
        <f aca="false">E39*F39</f>
        <v>21.0834586389923</v>
      </c>
      <c r="O39" s="31"/>
      <c r="P39" s="32"/>
      <c r="Q39" s="33" t="n">
        <v>163084.798978688</v>
      </c>
      <c r="R39" s="33" t="n">
        <v>107842.92514113</v>
      </c>
      <c r="S39" s="33"/>
      <c r="T39" s="34" t="n">
        <f aca="false">IF(Tables!$B$2=1,'NY Curve'!O39,IF(Tables!$B$2=2,P39,IF(Tables!$B$2=4,Q39,IF(Tables!$B$2=5,R39,IF(Tables!$B$2=3,S39,0)))))</f>
        <v>107842.92514113</v>
      </c>
    </row>
    <row r="40" customFormat="false" ht="12.75" hidden="false" customHeight="false" outlineLevel="0" collapsed="false">
      <c r="A40" s="21" t="n">
        <v>37956</v>
      </c>
      <c r="B40" s="22" t="n">
        <v>23.5221423376174</v>
      </c>
      <c r="C40" s="23" t="n">
        <v>26.4</v>
      </c>
      <c r="D40" s="24" t="n">
        <v>22.2049983978271</v>
      </c>
      <c r="E40" s="25" t="n">
        <v>20.6999992370605</v>
      </c>
      <c r="F40" s="26" t="n">
        <f aca="false">VLOOKUP(MONTH(A40),ScalarTable,2,0)</f>
        <v>1.01532599180631</v>
      </c>
      <c r="G40" s="27" t="n">
        <f aca="false">+F40*C40</f>
        <v>26.8046061836866</v>
      </c>
      <c r="I40" s="26" t="n">
        <f aca="false">VLOOKUP(MONTH(A40),ScalarTable,3,0)</f>
        <v>0.984674008193689</v>
      </c>
      <c r="J40" s="28" t="n">
        <f aca="false">C40*I40</f>
        <v>25.9953938163134</v>
      </c>
      <c r="K40" s="29" t="n">
        <f aca="false">D40*F40</f>
        <v>22.5453120213314</v>
      </c>
      <c r="L40" s="28" t="n">
        <f aca="false">D40*I40</f>
        <v>21.8646847743229</v>
      </c>
      <c r="M40" s="30" t="n">
        <f aca="false">E40*F40</f>
        <v>21.0172472557584</v>
      </c>
      <c r="O40" s="31"/>
      <c r="P40" s="32"/>
      <c r="Q40" s="33" t="n">
        <v>156621.59206852</v>
      </c>
      <c r="R40" s="33" t="n">
        <v>104565.983047428</v>
      </c>
      <c r="S40" s="33"/>
      <c r="T40" s="34" t="n">
        <f aca="false">IF(Tables!$B$2=1,'NY Curve'!O40,IF(Tables!$B$2=2,P40,IF(Tables!$B$2=4,Q40,IF(Tables!$B$2=5,R40,IF(Tables!$B$2=3,S40,0)))))</f>
        <v>104565.983047428</v>
      </c>
    </row>
    <row r="41" customFormat="false" ht="12.75" hidden="false" customHeight="false" outlineLevel="0" collapsed="false">
      <c r="A41" s="21" t="n">
        <v>37987</v>
      </c>
      <c r="B41" s="22" t="n">
        <v>27.2287500108991</v>
      </c>
      <c r="C41" s="23" t="n">
        <v>31.65</v>
      </c>
      <c r="D41" s="24" t="n">
        <v>25.5987483978271</v>
      </c>
      <c r="E41" s="25" t="n">
        <v>26.1025001525879</v>
      </c>
      <c r="F41" s="26" t="n">
        <f aca="false">VLOOKUP(MONTH(A41),ScalarTable,2,0)</f>
        <v>1.00808025404509</v>
      </c>
      <c r="G41" s="27" t="n">
        <f aca="false">+F41*C41</f>
        <v>31.9057400405271</v>
      </c>
      <c r="I41" s="26" t="n">
        <f aca="false">VLOOKUP(MONTH(A41),ScalarTable,3,0)</f>
        <v>0.991919745954909</v>
      </c>
      <c r="J41" s="28" t="n">
        <f aca="false">C41*I41</f>
        <v>31.3942599594729</v>
      </c>
      <c r="K41" s="29" t="n">
        <f aca="false">D41*F41</f>
        <v>25.805592788118</v>
      </c>
      <c r="L41" s="28" t="n">
        <f aca="false">D41*I41</f>
        <v>25.3919040075363</v>
      </c>
      <c r="M41" s="30" t="n">
        <f aca="false">E41*F41</f>
        <v>26.3134149850328</v>
      </c>
      <c r="O41" s="31"/>
      <c r="P41" s="32"/>
      <c r="Q41" s="33" t="n">
        <v>313950.12465236</v>
      </c>
      <c r="R41" s="33" t="n">
        <v>239970.99901028</v>
      </c>
      <c r="S41" s="33"/>
      <c r="T41" s="34" t="n">
        <f aca="false">IF(Tables!$B$2=1,'NY Curve'!O41,IF(Tables!$B$2=2,P41,IF(Tables!$B$2=4,Q41,IF(Tables!$B$2=5,R41,IF(Tables!$B$2=3,S41,0)))))</f>
        <v>239970.99901028</v>
      </c>
    </row>
    <row r="42" customFormat="false" ht="12.75" hidden="false" customHeight="false" outlineLevel="0" collapsed="false">
      <c r="A42" s="21" t="n">
        <v>38018</v>
      </c>
      <c r="B42" s="22" t="n">
        <v>26.7538684481666</v>
      </c>
      <c r="C42" s="23" t="n">
        <v>31.65</v>
      </c>
      <c r="D42" s="24" t="n">
        <v>24.5962501525879</v>
      </c>
      <c r="E42" s="25" t="n">
        <v>24.0974994659424</v>
      </c>
      <c r="F42" s="26" t="n">
        <f aca="false">VLOOKUP(MONTH(A42),ScalarTable,2,0)</f>
        <v>1.00808025404509</v>
      </c>
      <c r="G42" s="27" t="n">
        <f aca="false">+F42*C42</f>
        <v>31.9057400405271</v>
      </c>
      <c r="I42" s="26" t="n">
        <f aca="false">VLOOKUP(MONTH(A42),ScalarTable,3,0)</f>
        <v>0.991919745954909</v>
      </c>
      <c r="J42" s="28" t="n">
        <f aca="false">C42*I42</f>
        <v>31.3942599594729</v>
      </c>
      <c r="K42" s="29" t="n">
        <f aca="false">D42*F42</f>
        <v>24.7949941023774</v>
      </c>
      <c r="L42" s="28" t="n">
        <f aca="false">D42*I42</f>
        <v>24.3975062027984</v>
      </c>
      <c r="M42" s="30" t="n">
        <f aca="false">E42*F42</f>
        <v>24.2922133834786</v>
      </c>
      <c r="O42" s="31"/>
      <c r="P42" s="32"/>
      <c r="Q42" s="33" t="n">
        <v>281682.583152282</v>
      </c>
      <c r="R42" s="33" t="n">
        <v>234521.851456487</v>
      </c>
      <c r="S42" s="33"/>
      <c r="T42" s="34" t="n">
        <f aca="false">IF(Tables!$B$2=1,'NY Curve'!O42,IF(Tables!$B$2=2,P42,IF(Tables!$B$2=4,Q42,IF(Tables!$B$2=5,R42,IF(Tables!$B$2=3,S42,0)))))</f>
        <v>234521.851456487</v>
      </c>
    </row>
    <row r="43" customFormat="false" ht="12.75" hidden="false" customHeight="false" outlineLevel="0" collapsed="false">
      <c r="A43" s="21" t="n">
        <v>38047</v>
      </c>
      <c r="B43" s="22" t="n">
        <v>22.4927496955508</v>
      </c>
      <c r="C43" s="23" t="n">
        <v>26.65</v>
      </c>
      <c r="D43" s="24" t="n">
        <v>17.7847496032715</v>
      </c>
      <c r="E43" s="25" t="n">
        <v>19.4144989013672</v>
      </c>
      <c r="F43" s="26" t="n">
        <f aca="false">VLOOKUP(MONTH(A43),ScalarTable,2,0)</f>
        <v>1.0080875</v>
      </c>
      <c r="G43" s="27" t="n">
        <f aca="false">+F43*C43</f>
        <v>26.865531875</v>
      </c>
      <c r="I43" s="26" t="n">
        <f aca="false">VLOOKUP(MONTH(A43),ScalarTable,3,0)</f>
        <v>0.9919125</v>
      </c>
      <c r="J43" s="28" t="n">
        <f aca="false">C43*I43</f>
        <v>26.434468125</v>
      </c>
      <c r="K43" s="29" t="n">
        <f aca="false">D43*F43</f>
        <v>17.9285837656879</v>
      </c>
      <c r="L43" s="28" t="n">
        <f aca="false">D43*I43</f>
        <v>17.640915440855</v>
      </c>
      <c r="M43" s="30" t="n">
        <f aca="false">E43*F43</f>
        <v>19.571513661232</v>
      </c>
      <c r="O43" s="31"/>
      <c r="P43" s="32"/>
      <c r="Q43" s="33" t="n">
        <v>155608.283031153</v>
      </c>
      <c r="R43" s="33" t="n">
        <v>152244.863421693</v>
      </c>
      <c r="S43" s="33"/>
      <c r="T43" s="34" t="n">
        <f aca="false">IF(Tables!$B$2=1,'NY Curve'!O43,IF(Tables!$B$2=2,P43,IF(Tables!$B$2=4,Q43,IF(Tables!$B$2=5,R43,IF(Tables!$B$2=3,S43,0)))))</f>
        <v>152244.863421693</v>
      </c>
    </row>
    <row r="44" customFormat="false" ht="12.75" hidden="false" customHeight="false" outlineLevel="0" collapsed="false">
      <c r="A44" s="21" t="n">
        <v>38078</v>
      </c>
      <c r="B44" s="22" t="n">
        <v>21.9622612726121</v>
      </c>
      <c r="C44" s="23" t="n">
        <v>25.4</v>
      </c>
      <c r="D44" s="24" t="n">
        <v>18.4675003051758</v>
      </c>
      <c r="E44" s="25" t="n">
        <v>19.1849990844727</v>
      </c>
      <c r="F44" s="26" t="n">
        <f aca="false">VLOOKUP(MONTH(A44),ScalarTable,2,0)</f>
        <v>1.07269528338234</v>
      </c>
      <c r="G44" s="27" t="n">
        <f aca="false">+F44*C44</f>
        <v>27.2464601979114</v>
      </c>
      <c r="I44" s="26" t="n">
        <f aca="false">VLOOKUP(MONTH(A44),ScalarTable,3,0)</f>
        <v>0.92730471661766</v>
      </c>
      <c r="J44" s="28" t="n">
        <f aca="false">C44*I44</f>
        <v>23.5535398020886</v>
      </c>
      <c r="K44" s="29" t="n">
        <f aca="false">D44*F44</f>
        <v>19.810000473224</v>
      </c>
      <c r="L44" s="28" t="n">
        <f aca="false">D44*I44</f>
        <v>17.1250001371276</v>
      </c>
      <c r="M44" s="30" t="n">
        <f aca="false">E44*F44</f>
        <v>20.5796580296083</v>
      </c>
      <c r="O44" s="31"/>
      <c r="P44" s="32"/>
      <c r="Q44" s="33" t="n">
        <v>173639.914056012</v>
      </c>
      <c r="R44" s="33" t="n">
        <v>182346.294383896</v>
      </c>
      <c r="S44" s="33"/>
      <c r="T44" s="34" t="n">
        <f aca="false">IF(Tables!$B$2=1,'NY Curve'!O44,IF(Tables!$B$2=2,P44,IF(Tables!$B$2=4,Q44,IF(Tables!$B$2=5,R44,IF(Tables!$B$2=3,S44,0)))))</f>
        <v>182346.294383896</v>
      </c>
    </row>
    <row r="45" customFormat="false" ht="12.75" hidden="false" customHeight="false" outlineLevel="0" collapsed="false">
      <c r="A45" s="21" t="n">
        <v>38108</v>
      </c>
      <c r="B45" s="22" t="n">
        <v>24.0782137189593</v>
      </c>
      <c r="C45" s="23" t="n">
        <v>29.65</v>
      </c>
      <c r="D45" s="24" t="n">
        <v>18.5825000762939</v>
      </c>
      <c r="E45" s="25" t="n">
        <v>19.7149997711182</v>
      </c>
      <c r="F45" s="26" t="n">
        <f aca="false">VLOOKUP(MONTH(A45),ScalarTable,2,0)</f>
        <v>1.05849023799053</v>
      </c>
      <c r="G45" s="27" t="n">
        <f aca="false">+F45*C45</f>
        <v>31.3842355564192</v>
      </c>
      <c r="I45" s="26" t="n">
        <f aca="false">VLOOKUP(MONTH(A45),ScalarTable,3,0)</f>
        <v>0.941509762009471</v>
      </c>
      <c r="J45" s="28" t="n">
        <f aca="false">C45*I45</f>
        <v>27.9157644435808</v>
      </c>
      <c r="K45" s="29" t="n">
        <f aca="false">D45*F45</f>
        <v>19.6693949282154</v>
      </c>
      <c r="L45" s="28" t="n">
        <f aca="false">D45*I45</f>
        <v>17.4956052243725</v>
      </c>
      <c r="M45" s="30" t="n">
        <f aca="false">E45*F45</f>
        <v>20.8681347997141</v>
      </c>
      <c r="O45" s="31"/>
      <c r="P45" s="32"/>
      <c r="Q45" s="33" t="n">
        <v>374377.851724656</v>
      </c>
      <c r="R45" s="33" t="n">
        <v>311100.402938955</v>
      </c>
      <c r="S45" s="33"/>
      <c r="T45" s="34" t="n">
        <f aca="false">IF(Tables!$B$2=1,'NY Curve'!O45,IF(Tables!$B$2=2,P45,IF(Tables!$B$2=4,Q45,IF(Tables!$B$2=5,R45,IF(Tables!$B$2=3,S45,0)))))</f>
        <v>311100.402938955</v>
      </c>
    </row>
    <row r="46" customFormat="false" ht="12.75" hidden="false" customHeight="false" outlineLevel="0" collapsed="false">
      <c r="A46" s="21" t="n">
        <v>38139</v>
      </c>
      <c r="B46" s="22" t="n">
        <v>33.1442258562361</v>
      </c>
      <c r="C46" s="23" t="n">
        <v>47.75</v>
      </c>
      <c r="D46" s="24" t="n">
        <v>23.0087501525879</v>
      </c>
      <c r="E46" s="25" t="n">
        <v>18.4924995422363</v>
      </c>
      <c r="F46" s="26" t="n">
        <f aca="false">VLOOKUP(MONTH(A46),ScalarTable,2,0)</f>
        <v>1.16938304743531</v>
      </c>
      <c r="G46" s="27" t="n">
        <f aca="false">+F46*C46</f>
        <v>55.8380405150359</v>
      </c>
      <c r="I46" s="26" t="n">
        <f aca="false">VLOOKUP(MONTH(A46),ScalarTable,3,0)</f>
        <v>0.83061695843935</v>
      </c>
      <c r="J46" s="28" t="n">
        <f aca="false">C46*I46</f>
        <v>39.661959765479</v>
      </c>
      <c r="K46" s="29" t="n">
        <f aca="false">D46*F46</f>
        <v>26.9060423711108</v>
      </c>
      <c r="L46" s="28" t="n">
        <f aca="false">D46*I46</f>
        <v>19.1114580692335</v>
      </c>
      <c r="M46" s="30" t="n">
        <f aca="false">E46*F46</f>
        <v>21.6248154693963</v>
      </c>
      <c r="O46" s="31"/>
      <c r="P46" s="32"/>
      <c r="Q46" s="33" t="n">
        <v>959164.090662207</v>
      </c>
      <c r="R46" s="33" t="n">
        <v>864511.286336175</v>
      </c>
      <c r="S46" s="33"/>
      <c r="T46" s="34" t="n">
        <f aca="false">IF(Tables!$B$2=1,'NY Curve'!O46,IF(Tables!$B$2=2,P46,IF(Tables!$B$2=4,Q46,IF(Tables!$B$2=5,R46,IF(Tables!$B$2=3,S46,0)))))</f>
        <v>864511.286336175</v>
      </c>
    </row>
    <row r="47" customFormat="false" ht="12.75" hidden="false" customHeight="false" outlineLevel="0" collapsed="false">
      <c r="A47" s="21" t="n">
        <v>38169</v>
      </c>
      <c r="B47" s="22" t="n">
        <v>47.4155350276402</v>
      </c>
      <c r="C47" s="23" t="n">
        <v>71</v>
      </c>
      <c r="D47" s="24" t="n">
        <v>36.2112495422363</v>
      </c>
      <c r="E47" s="25" t="n">
        <v>27.6974994659424</v>
      </c>
      <c r="F47" s="26" t="n">
        <f aca="false">VLOOKUP(MONTH(A47),ScalarTable,2,0)</f>
        <v>1.22140709971076</v>
      </c>
      <c r="G47" s="27" t="n">
        <f aca="false">+F47*C47</f>
        <v>86.719904079464</v>
      </c>
      <c r="I47" s="26" t="n">
        <f aca="false">VLOOKUP(MONTH(A47),ScalarTable,3,0)</f>
        <v>0.7785929068923</v>
      </c>
      <c r="J47" s="28" t="n">
        <f aca="false">C47*I47</f>
        <v>55.2800963893533</v>
      </c>
      <c r="K47" s="29" t="n">
        <f aca="false">D47*F47</f>
        <v>44.2286772802855</v>
      </c>
      <c r="L47" s="28" t="n">
        <f aca="false">D47*I47</f>
        <v>28.1938220432922</v>
      </c>
      <c r="M47" s="30" t="n">
        <f aca="false">E47*F47</f>
        <v>33.829922491937</v>
      </c>
      <c r="O47" s="31"/>
      <c r="P47" s="32"/>
      <c r="Q47" s="33" t="n">
        <v>2410687.24507289</v>
      </c>
      <c r="R47" s="33" t="n">
        <v>2171777.96990218</v>
      </c>
      <c r="S47" s="33"/>
      <c r="T47" s="34" t="n">
        <f aca="false">IF(Tables!$B$2=1,'NY Curve'!O47,IF(Tables!$B$2=2,P47,IF(Tables!$B$2=4,Q47,IF(Tables!$B$2=5,R47,IF(Tables!$B$2=3,S47,0)))))</f>
        <v>2171777.96990218</v>
      </c>
    </row>
    <row r="48" customFormat="false" ht="12.75" hidden="false" customHeight="false" outlineLevel="0" collapsed="false">
      <c r="A48" s="21" t="n">
        <v>38200</v>
      </c>
      <c r="B48" s="22" t="n">
        <v>44.464404296875</v>
      </c>
      <c r="C48" s="23" t="n">
        <v>63.5</v>
      </c>
      <c r="D48" s="24" t="n">
        <v>38.4724990844727</v>
      </c>
      <c r="E48" s="25" t="n">
        <v>29.1950008392334</v>
      </c>
      <c r="F48" s="26" t="n">
        <f aca="false">VLOOKUP(MONTH(A48),ScalarTable,2,0)</f>
        <v>1.15768142863174</v>
      </c>
      <c r="G48" s="27" t="n">
        <f aca="false">+F48*C48</f>
        <v>73.5127707181154</v>
      </c>
      <c r="I48" s="26" t="n">
        <f aca="false">VLOOKUP(MONTH(A48),ScalarTable,3,0)</f>
        <v>0.842099040746689</v>
      </c>
      <c r="J48" s="28" t="n">
        <f aca="false">C48*I48</f>
        <v>53.4732890874147</v>
      </c>
      <c r="K48" s="29" t="n">
        <f aca="false">D48*F48</f>
        <v>44.5388977031456</v>
      </c>
      <c r="L48" s="28" t="n">
        <f aca="false">D48*I48</f>
        <v>32.3976545741623</v>
      </c>
      <c r="M48" s="30" t="n">
        <f aca="false">E48*F48</f>
        <v>33.7985102804685</v>
      </c>
      <c r="O48" s="31"/>
      <c r="P48" s="32"/>
      <c r="Q48" s="33" t="n">
        <v>2485838.28270697</v>
      </c>
      <c r="R48" s="33" t="n">
        <v>2228311.30400847</v>
      </c>
      <c r="S48" s="33"/>
      <c r="T48" s="34" t="n">
        <f aca="false">IF(Tables!$B$2=1,'NY Curve'!O48,IF(Tables!$B$2=2,P48,IF(Tables!$B$2=4,Q48,IF(Tables!$B$2=5,R48,IF(Tables!$B$2=3,S48,0)))))</f>
        <v>2228311.30400847</v>
      </c>
    </row>
    <row r="49" customFormat="false" ht="12.75" hidden="false" customHeight="false" outlineLevel="0" collapsed="false">
      <c r="A49" s="21" t="n">
        <v>38231</v>
      </c>
      <c r="B49" s="22" t="n">
        <v>22.6533328737531</v>
      </c>
      <c r="C49" s="23" t="n">
        <v>29.65</v>
      </c>
      <c r="D49" s="24" t="n">
        <v>15.0799995422363</v>
      </c>
      <c r="E49" s="25" t="n">
        <v>12.6600004196167</v>
      </c>
      <c r="F49" s="26" t="n">
        <f aca="false">VLOOKUP(MONTH(A49),ScalarTable,2,0)</f>
        <v>1.09653379232051</v>
      </c>
      <c r="G49" s="27" t="n">
        <f aca="false">+F49*C49</f>
        <v>32.5122269423031</v>
      </c>
      <c r="I49" s="26" t="n">
        <f aca="false">VLOOKUP(MONTH(A49),ScalarTable,3,0)</f>
        <v>0.903466207679489</v>
      </c>
      <c r="J49" s="28" t="n">
        <f aca="false">C49*I49</f>
        <v>26.7877730576969</v>
      </c>
      <c r="K49" s="29" t="n">
        <f aca="false">D49*F49</f>
        <v>16.53572908624</v>
      </c>
      <c r="L49" s="28" t="n">
        <f aca="false">D49*I49</f>
        <v>13.6242699982327</v>
      </c>
      <c r="M49" s="30" t="n">
        <f aca="false">E49*F49</f>
        <v>13.8821182709016</v>
      </c>
      <c r="O49" s="31"/>
      <c r="P49" s="32"/>
      <c r="Q49" s="33" t="n">
        <v>466199.530354034</v>
      </c>
      <c r="R49" s="33" t="n">
        <v>385583.212845741</v>
      </c>
      <c r="S49" s="33"/>
      <c r="T49" s="34" t="n">
        <f aca="false">IF(Tables!$B$2=1,'NY Curve'!O49,IF(Tables!$B$2=2,P49,IF(Tables!$B$2=4,Q49,IF(Tables!$B$2=5,R49,IF(Tables!$B$2=3,S49,0)))))</f>
        <v>385583.212845741</v>
      </c>
    </row>
    <row r="50" customFormat="false" ht="12.75" hidden="false" customHeight="false" outlineLevel="0" collapsed="false">
      <c r="A50" s="21" t="n">
        <v>38261</v>
      </c>
      <c r="B50" s="22" t="n">
        <v>22.2954520997547</v>
      </c>
      <c r="C50" s="23" t="n">
        <v>25.4</v>
      </c>
      <c r="D50" s="24" t="n">
        <v>19.9505001068115</v>
      </c>
      <c r="E50" s="25" t="n">
        <v>19.9509998321533</v>
      </c>
      <c r="F50" s="26" t="n">
        <f aca="false">VLOOKUP(MONTH(A50),ScalarTable,2,0)</f>
        <v>1.0119875</v>
      </c>
      <c r="G50" s="27" t="n">
        <f aca="false">+F50*C50</f>
        <v>25.7044825</v>
      </c>
      <c r="I50" s="26" t="n">
        <f aca="false">VLOOKUP(MONTH(A50),ScalarTable,3,0)</f>
        <v>0.9880125</v>
      </c>
      <c r="J50" s="28" t="n">
        <f aca="false">C50*I50</f>
        <v>25.0955175</v>
      </c>
      <c r="K50" s="29" t="n">
        <f aca="false">D50*F50</f>
        <v>20.1896567268419</v>
      </c>
      <c r="L50" s="28" t="n">
        <f aca="false">D50*I50</f>
        <v>19.7113434867811</v>
      </c>
      <c r="M50" s="30" t="n">
        <f aca="false">E50*F50</f>
        <v>20.1901624426413</v>
      </c>
      <c r="O50" s="31"/>
      <c r="P50" s="32"/>
      <c r="Q50" s="33" t="n">
        <v>178023.544293634</v>
      </c>
      <c r="R50" s="33" t="n">
        <v>140978.579540165</v>
      </c>
      <c r="S50" s="33"/>
      <c r="T50" s="34" t="n">
        <f aca="false">IF(Tables!$B$2=1,'NY Curve'!O50,IF(Tables!$B$2=2,P50,IF(Tables!$B$2=4,Q50,IF(Tables!$B$2=5,R50,IF(Tables!$B$2=3,S50,0)))))</f>
        <v>140978.579540165</v>
      </c>
    </row>
    <row r="51" customFormat="false" ht="12.75" hidden="false" customHeight="false" outlineLevel="0" collapsed="false">
      <c r="A51" s="21" t="n">
        <v>38292</v>
      </c>
      <c r="B51" s="22" t="n">
        <v>22.8025116511754</v>
      </c>
      <c r="C51" s="23" t="n">
        <v>25.9</v>
      </c>
      <c r="D51" s="24" t="n">
        <v>20.9547515869141</v>
      </c>
      <c r="E51" s="25" t="n">
        <v>20.9544998168945</v>
      </c>
      <c r="F51" s="26" t="n">
        <f aca="false">VLOOKUP(MONTH(A51),ScalarTable,2,0)</f>
        <v>1.01585</v>
      </c>
      <c r="G51" s="27" t="n">
        <f aca="false">+F51*C51</f>
        <v>26.310515</v>
      </c>
      <c r="I51" s="26" t="n">
        <f aca="false">VLOOKUP(MONTH(A51),ScalarTable,3,0)</f>
        <v>0.98415</v>
      </c>
      <c r="J51" s="28" t="n">
        <f aca="false">C51*I51</f>
        <v>25.489485</v>
      </c>
      <c r="K51" s="29" t="n">
        <f aca="false">D51*F51</f>
        <v>21.2868843995667</v>
      </c>
      <c r="L51" s="28" t="n">
        <f aca="false">D51*I51</f>
        <v>20.6226187742615</v>
      </c>
      <c r="M51" s="30" t="n">
        <f aca="false">E51*F51</f>
        <v>21.2866286389923</v>
      </c>
      <c r="O51" s="31"/>
      <c r="P51" s="32"/>
      <c r="Q51" s="33" t="n">
        <v>194831.140098871</v>
      </c>
      <c r="R51" s="33" t="n">
        <v>132972.802984888</v>
      </c>
      <c r="S51" s="33"/>
      <c r="T51" s="34" t="n">
        <f aca="false">IF(Tables!$B$2=1,'NY Curve'!O51,IF(Tables!$B$2=2,P51,IF(Tables!$B$2=4,Q51,IF(Tables!$B$2=5,R51,IF(Tables!$B$2=3,S51,0)))))</f>
        <v>132972.802984888</v>
      </c>
    </row>
    <row r="52" customFormat="false" ht="12.75" hidden="false" customHeight="false" outlineLevel="0" collapsed="false">
      <c r="A52" s="21" t="n">
        <v>38322</v>
      </c>
      <c r="B52" s="22" t="n">
        <v>23.5792851947603</v>
      </c>
      <c r="C52" s="23" t="n">
        <v>26.4</v>
      </c>
      <c r="D52" s="24" t="n">
        <v>22.4049983978271</v>
      </c>
      <c r="E52" s="25" t="n">
        <v>20.8999992370605</v>
      </c>
      <c r="F52" s="26" t="n">
        <f aca="false">VLOOKUP(MONTH(A52),ScalarTable,2,0)</f>
        <v>1.01532599180631</v>
      </c>
      <c r="G52" s="27" t="n">
        <f aca="false">+F52*C52</f>
        <v>26.8046061836866</v>
      </c>
      <c r="I52" s="26" t="n">
        <f aca="false">VLOOKUP(MONTH(A52),ScalarTable,3,0)</f>
        <v>0.984674008193689</v>
      </c>
      <c r="J52" s="28" t="n">
        <f aca="false">C52*I52</f>
        <v>25.9953938163134</v>
      </c>
      <c r="K52" s="29" t="n">
        <f aca="false">D52*F52</f>
        <v>22.7483772196927</v>
      </c>
      <c r="L52" s="28" t="n">
        <f aca="false">D52*I52</f>
        <v>22.0616195759616</v>
      </c>
      <c r="M52" s="30" t="n">
        <f aca="false">E52*F52</f>
        <v>21.2203124541196</v>
      </c>
      <c r="O52" s="31"/>
      <c r="P52" s="32"/>
      <c r="Q52" s="33" t="n">
        <v>180219.314881444</v>
      </c>
      <c r="R52" s="33" t="n">
        <v>123719.84902897</v>
      </c>
      <c r="S52" s="33"/>
      <c r="T52" s="34" t="n">
        <f aca="false">IF(Tables!$B$2=1,'NY Curve'!O52,IF(Tables!$B$2=2,P52,IF(Tables!$B$2=4,Q52,IF(Tables!$B$2=5,R52,IF(Tables!$B$2=3,S52,0)))))</f>
        <v>123719.84902897</v>
      </c>
    </row>
    <row r="53" customFormat="false" ht="12.75" hidden="false" customHeight="false" outlineLevel="0" collapsed="false">
      <c r="A53" s="21" t="n">
        <v>38353</v>
      </c>
      <c r="B53" s="22" t="n">
        <v>27.333511915661</v>
      </c>
      <c r="C53" s="23" t="n">
        <v>31.75</v>
      </c>
      <c r="D53" s="24" t="n">
        <v>25.7987483978271</v>
      </c>
      <c r="E53" s="25" t="n">
        <v>26.3025001525879</v>
      </c>
      <c r="F53" s="26" t="n">
        <f aca="false">VLOOKUP(MONTH(A53),ScalarTable,2,0)</f>
        <v>1.00808025404509</v>
      </c>
      <c r="G53" s="27" t="n">
        <f aca="false">+F53*C53</f>
        <v>32.0065480659316</v>
      </c>
      <c r="I53" s="26" t="n">
        <f aca="false">VLOOKUP(MONTH(A53),ScalarTable,3,0)</f>
        <v>0.991919745954909</v>
      </c>
      <c r="J53" s="28" t="n">
        <f aca="false">C53*I53</f>
        <v>31.4934519340684</v>
      </c>
      <c r="K53" s="29" t="n">
        <f aca="false">D53*F53</f>
        <v>26.007208838927</v>
      </c>
      <c r="L53" s="28" t="n">
        <f aca="false">D53*I53</f>
        <v>25.5902879567273</v>
      </c>
      <c r="M53" s="30" t="n">
        <f aca="false">E53*F53</f>
        <v>26.5150310358419</v>
      </c>
      <c r="O53" s="31"/>
      <c r="P53" s="32"/>
      <c r="Q53" s="33" t="n">
        <v>337243.370092229</v>
      </c>
      <c r="R53" s="33" t="n">
        <v>258944.353935709</v>
      </c>
      <c r="S53" s="33"/>
      <c r="T53" s="34" t="n">
        <f aca="false">IF(Tables!$B$2=1,'NY Curve'!O53,IF(Tables!$B$2=2,P53,IF(Tables!$B$2=4,Q53,IF(Tables!$B$2=5,R53,IF(Tables!$B$2=3,S53,0)))))</f>
        <v>258944.353935709</v>
      </c>
    </row>
    <row r="54" customFormat="false" ht="12.75" hidden="false" customHeight="false" outlineLevel="0" collapsed="false">
      <c r="A54" s="21" t="n">
        <v>38384</v>
      </c>
      <c r="B54" s="22" t="n">
        <v>26.8586303529285</v>
      </c>
      <c r="C54" s="23" t="n">
        <v>31.75</v>
      </c>
      <c r="D54" s="24" t="n">
        <v>24.7962501525879</v>
      </c>
      <c r="E54" s="25" t="n">
        <v>24.2974994659424</v>
      </c>
      <c r="F54" s="26" t="n">
        <f aca="false">VLOOKUP(MONTH(A54),ScalarTable,2,0)</f>
        <v>1.00808025404509</v>
      </c>
      <c r="G54" s="27" t="n">
        <f aca="false">+F54*C54</f>
        <v>32.0065480659316</v>
      </c>
      <c r="I54" s="26" t="n">
        <f aca="false">VLOOKUP(MONTH(A54),ScalarTable,3,0)</f>
        <v>0.991919745954909</v>
      </c>
      <c r="J54" s="28" t="n">
        <f aca="false">C54*I54</f>
        <v>31.4934519340684</v>
      </c>
      <c r="K54" s="29" t="n">
        <f aca="false">D54*F54</f>
        <v>24.9966101531864</v>
      </c>
      <c r="L54" s="28" t="n">
        <f aca="false">D54*I54</f>
        <v>24.5958901519894</v>
      </c>
      <c r="M54" s="30" t="n">
        <f aca="false">E54*F54</f>
        <v>24.4938294342877</v>
      </c>
      <c r="O54" s="31"/>
      <c r="P54" s="32"/>
      <c r="Q54" s="33" t="n">
        <v>306217.220613682</v>
      </c>
      <c r="R54" s="33" t="n">
        <v>254672.362954408</v>
      </c>
      <c r="S54" s="33"/>
      <c r="T54" s="34" t="n">
        <f aca="false">IF(Tables!$B$2=1,'NY Curve'!O54,IF(Tables!$B$2=2,P54,IF(Tables!$B$2=4,Q54,IF(Tables!$B$2=5,R54,IF(Tables!$B$2=3,S54,0)))))</f>
        <v>254672.362954408</v>
      </c>
    </row>
    <row r="55" customFormat="false" ht="12.75" hidden="false" customHeight="false" outlineLevel="0" collapsed="false">
      <c r="A55" s="21" t="n">
        <v>38412</v>
      </c>
      <c r="B55" s="22" t="n">
        <v>22.5975116003127</v>
      </c>
      <c r="C55" s="23" t="n">
        <v>26.75</v>
      </c>
      <c r="D55" s="24" t="n">
        <v>17.9847496032715</v>
      </c>
      <c r="E55" s="25" t="n">
        <v>19.6144989013672</v>
      </c>
      <c r="F55" s="26" t="n">
        <f aca="false">VLOOKUP(MONTH(A55),ScalarTable,2,0)</f>
        <v>1.0080875</v>
      </c>
      <c r="G55" s="27" t="n">
        <f aca="false">+F55*C55</f>
        <v>26.966340625</v>
      </c>
      <c r="I55" s="26" t="n">
        <f aca="false">VLOOKUP(MONTH(A55),ScalarTable,3,0)</f>
        <v>0.9919125</v>
      </c>
      <c r="J55" s="28" t="n">
        <f aca="false">C55*I55</f>
        <v>26.533659375</v>
      </c>
      <c r="K55" s="29" t="n">
        <f aca="false">D55*F55</f>
        <v>18.1302012656879</v>
      </c>
      <c r="L55" s="28" t="n">
        <f aca="false">D55*I55</f>
        <v>17.839297940855</v>
      </c>
      <c r="M55" s="30" t="n">
        <f aca="false">E55*F55</f>
        <v>19.773131161232</v>
      </c>
      <c r="O55" s="31"/>
      <c r="P55" s="32"/>
      <c r="Q55" s="33" t="n">
        <v>175968.206818569</v>
      </c>
      <c r="R55" s="33" t="n">
        <v>168904.752860007</v>
      </c>
      <c r="S55" s="33"/>
      <c r="T55" s="34" t="n">
        <f aca="false">IF(Tables!$B$2=1,'NY Curve'!O55,IF(Tables!$B$2=2,P55,IF(Tables!$B$2=4,Q55,IF(Tables!$B$2=5,R55,IF(Tables!$B$2=3,S55,0)))))</f>
        <v>168904.752860007</v>
      </c>
    </row>
    <row r="56" customFormat="false" ht="12.75" hidden="false" customHeight="false" outlineLevel="0" collapsed="false">
      <c r="A56" s="21" t="n">
        <v>38443</v>
      </c>
      <c r="B56" s="22" t="n">
        <v>22.067023177374</v>
      </c>
      <c r="C56" s="23" t="n">
        <v>25.5</v>
      </c>
      <c r="D56" s="24" t="n">
        <v>18.6675003051758</v>
      </c>
      <c r="E56" s="25" t="n">
        <v>19.3849990844727</v>
      </c>
      <c r="F56" s="26" t="n">
        <f aca="false">VLOOKUP(MONTH(A56),ScalarTable,2,0)</f>
        <v>1.07269528338234</v>
      </c>
      <c r="G56" s="27" t="n">
        <f aca="false">+F56*C56</f>
        <v>27.3537297262497</v>
      </c>
      <c r="I56" s="26" t="n">
        <f aca="false">VLOOKUP(MONTH(A56),ScalarTable,3,0)</f>
        <v>0.92730471661766</v>
      </c>
      <c r="J56" s="28" t="n">
        <f aca="false">C56*I56</f>
        <v>23.6462702737503</v>
      </c>
      <c r="K56" s="29" t="n">
        <f aca="false">D56*F56</f>
        <v>20.0245395299005</v>
      </c>
      <c r="L56" s="28" t="n">
        <f aca="false">D56*I56</f>
        <v>17.3104610804511</v>
      </c>
      <c r="M56" s="30" t="n">
        <f aca="false">E56*F56</f>
        <v>20.7941970862848</v>
      </c>
      <c r="O56" s="31"/>
      <c r="P56" s="32"/>
      <c r="Q56" s="33" t="n">
        <v>182841.733945019</v>
      </c>
      <c r="R56" s="33" t="n">
        <v>186274.727317388</v>
      </c>
      <c r="S56" s="33"/>
      <c r="T56" s="34" t="n">
        <f aca="false">IF(Tables!$B$2=1,'NY Curve'!O56,IF(Tables!$B$2=2,P56,IF(Tables!$B$2=4,Q56,IF(Tables!$B$2=5,R56,IF(Tables!$B$2=3,S56,0)))))</f>
        <v>186274.727317388</v>
      </c>
    </row>
    <row r="57" customFormat="false" ht="12.75" hidden="false" customHeight="false" outlineLevel="0" collapsed="false">
      <c r="A57" s="21" t="n">
        <v>38473</v>
      </c>
      <c r="B57" s="22" t="n">
        <v>24.1829756237212</v>
      </c>
      <c r="C57" s="23" t="n">
        <v>29.75</v>
      </c>
      <c r="D57" s="24" t="n">
        <v>18.7825000762939</v>
      </c>
      <c r="E57" s="25" t="n">
        <v>19.9149997711182</v>
      </c>
      <c r="F57" s="26" t="n">
        <f aca="false">VLOOKUP(MONTH(A57),ScalarTable,2,0)</f>
        <v>1.05849023799053</v>
      </c>
      <c r="G57" s="27" t="n">
        <f aca="false">+F57*C57</f>
        <v>31.4900845802182</v>
      </c>
      <c r="I57" s="26" t="n">
        <f aca="false">VLOOKUP(MONTH(A57),ScalarTable,3,0)</f>
        <v>0.941509762009471</v>
      </c>
      <c r="J57" s="28" t="n">
        <f aca="false">C57*I57</f>
        <v>28.0099154197818</v>
      </c>
      <c r="K57" s="29" t="n">
        <f aca="false">D57*F57</f>
        <v>19.8810929758135</v>
      </c>
      <c r="L57" s="28" t="n">
        <f aca="false">D57*I57</f>
        <v>17.6839071767744</v>
      </c>
      <c r="M57" s="30" t="n">
        <f aca="false">E57*F57</f>
        <v>21.0798328473122</v>
      </c>
      <c r="O57" s="31"/>
      <c r="P57" s="32"/>
      <c r="Q57" s="33" t="n">
        <v>412648.066552004</v>
      </c>
      <c r="R57" s="33" t="n">
        <v>344253.135322108</v>
      </c>
      <c r="S57" s="33"/>
      <c r="T57" s="34" t="n">
        <f aca="false">IF(Tables!$B$2=1,'NY Curve'!O57,IF(Tables!$B$2=2,P57,IF(Tables!$B$2=4,Q57,IF(Tables!$B$2=5,R57,IF(Tables!$B$2=3,S57,0)))))</f>
        <v>344253.135322108</v>
      </c>
    </row>
    <row r="58" customFormat="false" ht="12.75" hidden="false" customHeight="false" outlineLevel="0" collapsed="false">
      <c r="A58" s="21" t="n">
        <v>38504</v>
      </c>
      <c r="B58" s="22" t="n">
        <v>33.2013687133789</v>
      </c>
      <c r="C58" s="23" t="n">
        <v>47.75</v>
      </c>
      <c r="D58" s="24" t="n">
        <v>23.2087501525879</v>
      </c>
      <c r="E58" s="25" t="n">
        <v>18.6924995422363</v>
      </c>
      <c r="F58" s="26" t="n">
        <f aca="false">VLOOKUP(MONTH(A58),ScalarTable,2,0)</f>
        <v>1.16938304743531</v>
      </c>
      <c r="G58" s="27" t="n">
        <f aca="false">+F58*C58</f>
        <v>55.8380405150359</v>
      </c>
      <c r="I58" s="26" t="n">
        <f aca="false">VLOOKUP(MONTH(A58),ScalarTable,3,0)</f>
        <v>0.83061695843935</v>
      </c>
      <c r="J58" s="28" t="n">
        <f aca="false">C58*I58</f>
        <v>39.661959765479</v>
      </c>
      <c r="K58" s="29" t="n">
        <f aca="false">D58*F58</f>
        <v>27.1399189805978</v>
      </c>
      <c r="L58" s="28" t="n">
        <f aca="false">D58*I58</f>
        <v>19.2775814609214</v>
      </c>
      <c r="M58" s="30" t="n">
        <f aca="false">E58*F58</f>
        <v>21.8586920788834</v>
      </c>
      <c r="O58" s="31"/>
      <c r="P58" s="32"/>
      <c r="Q58" s="33" t="n">
        <v>1051401.36790108</v>
      </c>
      <c r="R58" s="33" t="n">
        <v>946600.976692191</v>
      </c>
      <c r="S58" s="33"/>
      <c r="T58" s="34" t="n">
        <f aca="false">IF(Tables!$B$2=1,'NY Curve'!O58,IF(Tables!$B$2=2,P58,IF(Tables!$B$2=4,Q58,IF(Tables!$B$2=5,R58,IF(Tables!$B$2=3,S58,0)))))</f>
        <v>946600.976692191</v>
      </c>
    </row>
    <row r="59" customFormat="false" ht="12.75" hidden="false" customHeight="false" outlineLevel="0" collapsed="false">
      <c r="A59" s="21" t="n">
        <v>38534</v>
      </c>
      <c r="B59" s="22" t="n">
        <v>47.4726778847831</v>
      </c>
      <c r="C59" s="23" t="n">
        <v>71</v>
      </c>
      <c r="D59" s="24" t="n">
        <v>36.4112495422363</v>
      </c>
      <c r="E59" s="25" t="n">
        <v>27.8974994659424</v>
      </c>
      <c r="F59" s="26" t="n">
        <f aca="false">VLOOKUP(MONTH(A59),ScalarTable,2,0)</f>
        <v>1.22140709971076</v>
      </c>
      <c r="G59" s="27" t="n">
        <f aca="false">+F59*C59</f>
        <v>86.719904079464</v>
      </c>
      <c r="I59" s="26" t="n">
        <f aca="false">VLOOKUP(MONTH(A59),ScalarTable,3,0)</f>
        <v>0.7785929068923</v>
      </c>
      <c r="J59" s="28" t="n">
        <f aca="false">C59*I59</f>
        <v>55.2800963893533</v>
      </c>
      <c r="K59" s="29" t="n">
        <f aca="false">D59*F59</f>
        <v>44.4729587002276</v>
      </c>
      <c r="L59" s="28" t="n">
        <f aca="false">D59*I59</f>
        <v>28.3495406246707</v>
      </c>
      <c r="M59" s="30" t="n">
        <f aca="false">E59*F59</f>
        <v>34.0742039118792</v>
      </c>
      <c r="O59" s="31"/>
      <c r="P59" s="32"/>
      <c r="Q59" s="33" t="n">
        <v>2560628.09437751</v>
      </c>
      <c r="R59" s="33" t="n">
        <v>2294694.71136045</v>
      </c>
      <c r="S59" s="33"/>
      <c r="T59" s="34" t="n">
        <f aca="false">IF(Tables!$B$2=1,'NY Curve'!O59,IF(Tables!$B$2=2,P59,IF(Tables!$B$2=4,Q59,IF(Tables!$B$2=5,R59,IF(Tables!$B$2=3,S59,0)))))</f>
        <v>2294694.71136045</v>
      </c>
    </row>
    <row r="60" customFormat="false" ht="12.75" hidden="false" customHeight="false" outlineLevel="0" collapsed="false">
      <c r="A60" s="21" t="n">
        <v>38565</v>
      </c>
      <c r="B60" s="22" t="n">
        <v>44.5215471540179</v>
      </c>
      <c r="C60" s="23" t="n">
        <v>63.5</v>
      </c>
      <c r="D60" s="24" t="n">
        <v>38.6724990844727</v>
      </c>
      <c r="E60" s="25" t="n">
        <v>29.3950008392334</v>
      </c>
      <c r="F60" s="26" t="n">
        <f aca="false">VLOOKUP(MONTH(A60),ScalarTable,2,0)</f>
        <v>1.15768142863174</v>
      </c>
      <c r="G60" s="27" t="n">
        <f aca="false">+F60*C60</f>
        <v>73.5127707181154</v>
      </c>
      <c r="I60" s="26" t="n">
        <f aca="false">VLOOKUP(MONTH(A60),ScalarTable,3,0)</f>
        <v>0.842099040746689</v>
      </c>
      <c r="J60" s="28" t="n">
        <f aca="false">C60*I60</f>
        <v>53.4732890874147</v>
      </c>
      <c r="K60" s="29" t="n">
        <f aca="false">D60*F60</f>
        <v>44.7704339888719</v>
      </c>
      <c r="L60" s="28" t="n">
        <f aca="false">D60*I60</f>
        <v>32.5660743823116</v>
      </c>
      <c r="M60" s="30" t="n">
        <f aca="false">E60*F60</f>
        <v>34.0300465661949</v>
      </c>
      <c r="O60" s="31"/>
      <c r="P60" s="32"/>
      <c r="Q60" s="33" t="n">
        <v>2741797.52170652</v>
      </c>
      <c r="R60" s="33" t="n">
        <v>2457290.09150026</v>
      </c>
      <c r="S60" s="33"/>
      <c r="T60" s="34" t="n">
        <f aca="false">IF(Tables!$B$2=1,'NY Curve'!O60,IF(Tables!$B$2=2,P60,IF(Tables!$B$2=4,Q60,IF(Tables!$B$2=5,R60,IF(Tables!$B$2=3,S60,0)))))</f>
        <v>2457290.09150026</v>
      </c>
    </row>
    <row r="61" customFormat="false" ht="12.75" hidden="false" customHeight="false" outlineLevel="0" collapsed="false">
      <c r="A61" s="21" t="n">
        <v>38596</v>
      </c>
      <c r="B61" s="22" t="n">
        <v>22.758094778515</v>
      </c>
      <c r="C61" s="23" t="n">
        <v>29.75</v>
      </c>
      <c r="D61" s="24" t="n">
        <v>15.2799995422363</v>
      </c>
      <c r="E61" s="25" t="n">
        <v>12.8600004196167</v>
      </c>
      <c r="F61" s="26" t="n">
        <f aca="false">VLOOKUP(MONTH(A61),ScalarTable,2,0)</f>
        <v>1.09653379232051</v>
      </c>
      <c r="G61" s="27" t="n">
        <f aca="false">+F61*C61</f>
        <v>32.6218803215352</v>
      </c>
      <c r="I61" s="26" t="n">
        <f aca="false">VLOOKUP(MONTH(A61),ScalarTable,3,0)</f>
        <v>0.903466207679489</v>
      </c>
      <c r="J61" s="28" t="n">
        <f aca="false">C61*I61</f>
        <v>26.8781196784648</v>
      </c>
      <c r="K61" s="29" t="n">
        <f aca="false">D61*F61</f>
        <v>16.7550358447041</v>
      </c>
      <c r="L61" s="28" t="n">
        <f aca="false">D61*I61</f>
        <v>13.8049632397686</v>
      </c>
      <c r="M61" s="30" t="n">
        <f aca="false">E61*F61</f>
        <v>14.1014250293657</v>
      </c>
      <c r="O61" s="31"/>
      <c r="P61" s="32"/>
      <c r="Q61" s="33" t="n">
        <v>483204.106068998</v>
      </c>
      <c r="R61" s="33" t="n">
        <v>400691.878701576</v>
      </c>
      <c r="S61" s="33"/>
      <c r="T61" s="34" t="n">
        <f aca="false">IF(Tables!$B$2=1,'NY Curve'!O61,IF(Tables!$B$2=2,P61,IF(Tables!$B$2=4,Q61,IF(Tables!$B$2=5,R61,IF(Tables!$B$2=3,S61,0)))))</f>
        <v>400691.878701576</v>
      </c>
    </row>
    <row r="62" customFormat="false" ht="12.75" hidden="false" customHeight="false" outlineLevel="0" collapsed="false">
      <c r="A62" s="21" t="n">
        <v>38626</v>
      </c>
      <c r="B62" s="22" t="n">
        <v>22.4002140045166</v>
      </c>
      <c r="C62" s="23" t="n">
        <v>25.5</v>
      </c>
      <c r="D62" s="24" t="n">
        <v>20.1505001068115</v>
      </c>
      <c r="E62" s="25" t="n">
        <v>20.1509998321533</v>
      </c>
      <c r="F62" s="26" t="n">
        <f aca="false">VLOOKUP(MONTH(A62),ScalarTable,2,0)</f>
        <v>1.0119875</v>
      </c>
      <c r="G62" s="27" t="n">
        <f aca="false">+F62*C62</f>
        <v>25.80568125</v>
      </c>
      <c r="I62" s="26" t="n">
        <f aca="false">VLOOKUP(MONTH(A62),ScalarTable,3,0)</f>
        <v>0.9880125</v>
      </c>
      <c r="J62" s="28" t="n">
        <f aca="false">C62*I62</f>
        <v>25.19431875</v>
      </c>
      <c r="K62" s="29" t="n">
        <f aca="false">D62*F62</f>
        <v>20.3920542268419</v>
      </c>
      <c r="L62" s="28" t="n">
        <f aca="false">D62*I62</f>
        <v>19.9089459867811</v>
      </c>
      <c r="M62" s="30" t="n">
        <f aca="false">E62*F62</f>
        <v>20.3925599426413</v>
      </c>
      <c r="O62" s="31"/>
      <c r="P62" s="32"/>
      <c r="Q62" s="33" t="n">
        <v>188135.415911139</v>
      </c>
      <c r="R62" s="33" t="n">
        <v>149883.316568237</v>
      </c>
      <c r="S62" s="33"/>
      <c r="T62" s="34" t="n">
        <f aca="false">IF(Tables!$B$2=1,'NY Curve'!O62,IF(Tables!$B$2=2,P62,IF(Tables!$B$2=4,Q62,IF(Tables!$B$2=5,R62,IF(Tables!$B$2=3,S62,0)))))</f>
        <v>149883.316568237</v>
      </c>
    </row>
    <row r="63" customFormat="false" ht="12.75" hidden="false" customHeight="false" outlineLevel="0" collapsed="false">
      <c r="A63" s="21" t="n">
        <v>38657</v>
      </c>
      <c r="B63" s="22" t="n">
        <v>22.9072735559373</v>
      </c>
      <c r="C63" s="23" t="n">
        <v>26</v>
      </c>
      <c r="D63" s="24" t="n">
        <v>21.1547515869141</v>
      </c>
      <c r="E63" s="25" t="n">
        <v>21.1544998168945</v>
      </c>
      <c r="F63" s="26" t="n">
        <f aca="false">VLOOKUP(MONTH(A63),ScalarTable,2,0)</f>
        <v>1.01585</v>
      </c>
      <c r="G63" s="27" t="n">
        <f aca="false">+F63*C63</f>
        <v>26.4121</v>
      </c>
      <c r="I63" s="26" t="n">
        <f aca="false">VLOOKUP(MONTH(A63),ScalarTable,3,0)</f>
        <v>0.98415</v>
      </c>
      <c r="J63" s="28" t="n">
        <f aca="false">C63*I63</f>
        <v>25.5879</v>
      </c>
      <c r="K63" s="29" t="n">
        <f aca="false">D63*F63</f>
        <v>21.4900543995667</v>
      </c>
      <c r="L63" s="28" t="n">
        <f aca="false">D63*I63</f>
        <v>20.8194487742615</v>
      </c>
      <c r="M63" s="30" t="n">
        <f aca="false">E63*F63</f>
        <v>21.4897986389923</v>
      </c>
      <c r="O63" s="31"/>
      <c r="P63" s="32"/>
      <c r="Q63" s="33" t="n">
        <v>204958.98408432</v>
      </c>
      <c r="R63" s="33" t="n">
        <v>142779.075348725</v>
      </c>
      <c r="S63" s="33"/>
      <c r="T63" s="34" t="n">
        <f aca="false">IF(Tables!$B$2=1,'NY Curve'!O63,IF(Tables!$B$2=2,P63,IF(Tables!$B$2=4,Q63,IF(Tables!$B$2=5,R63,IF(Tables!$B$2=3,S63,0)))))</f>
        <v>142779.075348725</v>
      </c>
    </row>
    <row r="64" customFormat="false" ht="12.75" hidden="false" customHeight="false" outlineLevel="0" collapsed="false">
      <c r="A64" s="21" t="n">
        <v>38687</v>
      </c>
      <c r="B64" s="22" t="n">
        <v>23.6840470995222</v>
      </c>
      <c r="C64" s="23" t="n">
        <v>26.5</v>
      </c>
      <c r="D64" s="24" t="n">
        <v>22.6049983978271</v>
      </c>
      <c r="E64" s="25" t="n">
        <v>21.0999992370605</v>
      </c>
      <c r="F64" s="26" t="n">
        <f aca="false">VLOOKUP(MONTH(A64),ScalarTable,2,0)</f>
        <v>1.01532599180631</v>
      </c>
      <c r="G64" s="27" t="n">
        <f aca="false">+F64*C64</f>
        <v>26.9061387828672</v>
      </c>
      <c r="I64" s="26" t="n">
        <f aca="false">VLOOKUP(MONTH(A64),ScalarTable,3,0)</f>
        <v>0.984674008193689</v>
      </c>
      <c r="J64" s="28" t="n">
        <f aca="false">C64*I64</f>
        <v>26.0938612171328</v>
      </c>
      <c r="K64" s="29" t="n">
        <f aca="false">D64*F64</f>
        <v>22.9514424180539</v>
      </c>
      <c r="L64" s="28" t="n">
        <f aca="false">D64*I64</f>
        <v>22.2585543776004</v>
      </c>
      <c r="M64" s="30" t="n">
        <f aca="false">E64*F64</f>
        <v>21.4233776524809</v>
      </c>
      <c r="O64" s="31"/>
      <c r="P64" s="32"/>
      <c r="Q64" s="33" t="n">
        <v>175219.415867709</v>
      </c>
      <c r="R64" s="33" t="n">
        <v>136116.286361574</v>
      </c>
      <c r="S64" s="33"/>
      <c r="T64" s="34" t="n">
        <f aca="false">IF(Tables!$B$2=1,'NY Curve'!O64,IF(Tables!$B$2=2,P64,IF(Tables!$B$2=4,Q64,IF(Tables!$B$2=5,R64,IF(Tables!$B$2=3,S64,0)))))</f>
        <v>136116.286361574</v>
      </c>
    </row>
    <row r="65" customFormat="false" ht="12.75" hidden="false" customHeight="false" outlineLevel="0" collapsed="false">
      <c r="A65" s="21" t="n">
        <v>38718</v>
      </c>
      <c r="B65" s="22" t="n">
        <v>27.4382738204229</v>
      </c>
      <c r="C65" s="23" t="n">
        <v>31.85</v>
      </c>
      <c r="D65" s="24" t="n">
        <v>25.9987483978271</v>
      </c>
      <c r="E65" s="25" t="n">
        <v>26.5025001525879</v>
      </c>
      <c r="F65" s="26" t="n">
        <f aca="false">VLOOKUP(MONTH(A65),ScalarTable,2,0)</f>
        <v>1.00808025404509</v>
      </c>
      <c r="G65" s="27" t="n">
        <f aca="false">+F65*C65</f>
        <v>32.1073560913362</v>
      </c>
      <c r="I65" s="26" t="n">
        <f aca="false">VLOOKUP(MONTH(A65),ScalarTable,3,0)</f>
        <v>0.991919745954909</v>
      </c>
      <c r="J65" s="28" t="n">
        <f aca="false">C65*I65</f>
        <v>31.5926439086639</v>
      </c>
      <c r="K65" s="29" t="n">
        <f aca="false">D65*F65</f>
        <v>26.208824889736</v>
      </c>
      <c r="L65" s="28" t="n">
        <f aca="false">D65*I65</f>
        <v>25.7886719059183</v>
      </c>
      <c r="M65" s="30" t="n">
        <f aca="false">E65*F65</f>
        <v>26.7166470866509</v>
      </c>
      <c r="O65" s="31"/>
      <c r="P65" s="32"/>
      <c r="Q65" s="33" t="n">
        <v>392143.383847503</v>
      </c>
      <c r="R65" s="33" t="n">
        <v>304979.598698614</v>
      </c>
      <c r="S65" s="33"/>
      <c r="T65" s="34" t="n">
        <f aca="false">IF(Tables!$B$2=1,'NY Curve'!O65,IF(Tables!$B$2=2,P65,IF(Tables!$B$2=4,Q65,IF(Tables!$B$2=5,R65,IF(Tables!$B$2=3,S65,0)))))</f>
        <v>304979.598698614</v>
      </c>
    </row>
    <row r="66" customFormat="false" ht="12.75" hidden="false" customHeight="false" outlineLevel="0" collapsed="false">
      <c r="A66" s="21" t="n">
        <v>38749</v>
      </c>
      <c r="B66" s="22" t="n">
        <v>26.9633922576904</v>
      </c>
      <c r="C66" s="23" t="n">
        <v>31.85</v>
      </c>
      <c r="D66" s="24" t="n">
        <v>24.9962501525879</v>
      </c>
      <c r="E66" s="25" t="n">
        <v>24.4974994659424</v>
      </c>
      <c r="F66" s="26" t="n">
        <f aca="false">VLOOKUP(MONTH(A66),ScalarTable,2,0)</f>
        <v>1.00808025404509</v>
      </c>
      <c r="G66" s="27" t="n">
        <f aca="false">+F66*C66</f>
        <v>32.1073560913362</v>
      </c>
      <c r="I66" s="26" t="n">
        <f aca="false">VLOOKUP(MONTH(A66),ScalarTable,3,0)</f>
        <v>0.991919745954909</v>
      </c>
      <c r="J66" s="28" t="n">
        <f aca="false">C66*I66</f>
        <v>31.5926439086639</v>
      </c>
      <c r="K66" s="29" t="n">
        <f aca="false">D66*F66</f>
        <v>25.1982262039955</v>
      </c>
      <c r="L66" s="28" t="n">
        <f aca="false">D66*I66</f>
        <v>24.7942741011803</v>
      </c>
      <c r="M66" s="30" t="n">
        <f aca="false">E66*F66</f>
        <v>24.6954454850967</v>
      </c>
      <c r="O66" s="31"/>
      <c r="P66" s="32"/>
      <c r="Q66" s="33" t="n">
        <v>357492.756673598</v>
      </c>
      <c r="R66" s="33" t="n">
        <v>297489.419276788</v>
      </c>
      <c r="S66" s="33"/>
      <c r="T66" s="34" t="n">
        <f aca="false">IF(Tables!$B$2=1,'NY Curve'!O66,IF(Tables!$B$2=2,P66,IF(Tables!$B$2=4,Q66,IF(Tables!$B$2=5,R66,IF(Tables!$B$2=3,S66,0)))))</f>
        <v>297489.419276788</v>
      </c>
    </row>
    <row r="67" customFormat="false" ht="12.75" hidden="false" customHeight="false" outlineLevel="0" collapsed="false">
      <c r="A67" s="21" t="n">
        <v>38777</v>
      </c>
      <c r="B67" s="22" t="n">
        <v>22.7022735050746</v>
      </c>
      <c r="C67" s="23" t="n">
        <v>26.85</v>
      </c>
      <c r="D67" s="24" t="n">
        <v>18.1847496032715</v>
      </c>
      <c r="E67" s="25" t="n">
        <v>19.8144989013672</v>
      </c>
      <c r="F67" s="26" t="n">
        <f aca="false">VLOOKUP(MONTH(A67),ScalarTable,2,0)</f>
        <v>1.0080875</v>
      </c>
      <c r="G67" s="27" t="n">
        <f aca="false">+F67*C67</f>
        <v>27.067149375</v>
      </c>
      <c r="I67" s="26" t="n">
        <f aca="false">VLOOKUP(MONTH(A67),ScalarTable,3,0)</f>
        <v>0.9919125</v>
      </c>
      <c r="J67" s="28" t="n">
        <f aca="false">C67*I67</f>
        <v>26.632850625</v>
      </c>
      <c r="K67" s="29" t="n">
        <f aca="false">D67*F67</f>
        <v>18.3318187656879</v>
      </c>
      <c r="L67" s="28" t="n">
        <f aca="false">D67*I67</f>
        <v>18.037680440855</v>
      </c>
      <c r="M67" s="30" t="n">
        <f aca="false">E67*F67</f>
        <v>19.974748661232</v>
      </c>
      <c r="O67" s="31"/>
      <c r="P67" s="32"/>
      <c r="Q67" s="33" t="n">
        <v>217915.552590936</v>
      </c>
      <c r="R67" s="33" t="n">
        <v>206267.450833884</v>
      </c>
      <c r="S67" s="33"/>
      <c r="T67" s="34" t="n">
        <f aca="false">IF(Tables!$B$2=1,'NY Curve'!O67,IF(Tables!$B$2=2,P67,IF(Tables!$B$2=4,Q67,IF(Tables!$B$2=5,R67,IF(Tables!$B$2=3,S67,0)))))</f>
        <v>206267.450833884</v>
      </c>
    </row>
    <row r="68" customFormat="false" ht="12.75" hidden="false" customHeight="false" outlineLevel="0" collapsed="false">
      <c r="A68" s="21" t="n">
        <v>38808</v>
      </c>
      <c r="B68" s="22" t="n">
        <v>22.1717850821359</v>
      </c>
      <c r="C68" s="23" t="n">
        <v>25.6</v>
      </c>
      <c r="D68" s="24" t="n">
        <v>18.8675003051758</v>
      </c>
      <c r="E68" s="25" t="n">
        <v>19.5849990844727</v>
      </c>
      <c r="F68" s="26" t="n">
        <f aca="false">VLOOKUP(MONTH(A68),ScalarTable,2,0)</f>
        <v>1.07269528338234</v>
      </c>
      <c r="G68" s="27" t="n">
        <f aca="false">+F68*C68</f>
        <v>27.4609992545879</v>
      </c>
      <c r="I68" s="26" t="n">
        <f aca="false">VLOOKUP(MONTH(A68),ScalarTable,3,0)</f>
        <v>0.92730471661766</v>
      </c>
      <c r="J68" s="28" t="n">
        <f aca="false">C68*I68</f>
        <v>23.7390007454121</v>
      </c>
      <c r="K68" s="29" t="n">
        <f aca="false">D68*F68</f>
        <v>20.2390785865769</v>
      </c>
      <c r="L68" s="28" t="n">
        <f aca="false">D68*I68</f>
        <v>17.4959220237746</v>
      </c>
      <c r="M68" s="30" t="n">
        <f aca="false">E68*F68</f>
        <v>21.0087361429613</v>
      </c>
      <c r="O68" s="31"/>
      <c r="P68" s="32"/>
      <c r="Q68" s="33" t="n">
        <v>212038.669955615</v>
      </c>
      <c r="R68" s="33" t="n">
        <v>210724.330348441</v>
      </c>
      <c r="S68" s="33"/>
      <c r="T68" s="34" t="n">
        <f aca="false">IF(Tables!$B$2=1,'NY Curve'!O68,IF(Tables!$B$2=2,P68,IF(Tables!$B$2=4,Q68,IF(Tables!$B$2=5,R68,IF(Tables!$B$2=3,S68,0)))))</f>
        <v>210724.330348441</v>
      </c>
    </row>
    <row r="69" customFormat="false" ht="12.75" hidden="false" customHeight="false" outlineLevel="0" collapsed="false">
      <c r="A69" s="21" t="n">
        <v>38838</v>
      </c>
      <c r="B69" s="22" t="n">
        <v>24.2877375284831</v>
      </c>
      <c r="C69" s="23" t="n">
        <v>29.85</v>
      </c>
      <c r="D69" s="24" t="n">
        <v>18.9825000762939</v>
      </c>
      <c r="E69" s="25" t="n">
        <v>20.1149997711182</v>
      </c>
      <c r="F69" s="26" t="n">
        <f aca="false">VLOOKUP(MONTH(A69),ScalarTable,2,0)</f>
        <v>1.05849023799053</v>
      </c>
      <c r="G69" s="27" t="n">
        <f aca="false">+F69*C69</f>
        <v>31.5959336040173</v>
      </c>
      <c r="I69" s="26" t="n">
        <f aca="false">VLOOKUP(MONTH(A69),ScalarTable,3,0)</f>
        <v>0.941509762009471</v>
      </c>
      <c r="J69" s="28" t="n">
        <f aca="false">C69*I69</f>
        <v>28.1040663959827</v>
      </c>
      <c r="K69" s="29" t="n">
        <f aca="false">D69*F69</f>
        <v>20.0927910234116</v>
      </c>
      <c r="L69" s="28" t="n">
        <f aca="false">D69*I69</f>
        <v>17.8722091291763</v>
      </c>
      <c r="M69" s="30" t="n">
        <f aca="false">E69*F69</f>
        <v>21.2915308949103</v>
      </c>
      <c r="O69" s="31"/>
      <c r="P69" s="32"/>
      <c r="Q69" s="33" t="n">
        <v>489187.370612895</v>
      </c>
      <c r="R69" s="33" t="n">
        <v>408020.793758749</v>
      </c>
      <c r="S69" s="33"/>
      <c r="T69" s="34" t="n">
        <f aca="false">IF(Tables!$B$2=1,'NY Curve'!O69,IF(Tables!$B$2=2,P69,IF(Tables!$B$2=4,Q69,IF(Tables!$B$2=5,R69,IF(Tables!$B$2=3,S69,0)))))</f>
        <v>408020.793758749</v>
      </c>
    </row>
    <row r="70" customFormat="false" ht="12.75" hidden="false" customHeight="false" outlineLevel="0" collapsed="false">
      <c r="A70" s="21" t="n">
        <v>38869</v>
      </c>
      <c r="B70" s="22" t="n">
        <v>33.3775591895694</v>
      </c>
      <c r="C70" s="23" t="n">
        <v>48</v>
      </c>
      <c r="D70" s="24" t="n">
        <v>23.4087501525879</v>
      </c>
      <c r="E70" s="25" t="n">
        <v>18.8924995422363</v>
      </c>
      <c r="F70" s="26" t="n">
        <f aca="false">VLOOKUP(MONTH(A70),ScalarTable,2,0)</f>
        <v>1.16938304743531</v>
      </c>
      <c r="G70" s="27" t="n">
        <f aca="false">+F70*C70</f>
        <v>56.1303862768947</v>
      </c>
      <c r="I70" s="26" t="n">
        <f aca="false">VLOOKUP(MONTH(A70),ScalarTable,3,0)</f>
        <v>0.83061695843935</v>
      </c>
      <c r="J70" s="28" t="n">
        <f aca="false">C70*I70</f>
        <v>39.8696140050888</v>
      </c>
      <c r="K70" s="29" t="n">
        <f aca="false">D70*F70</f>
        <v>27.3737955900849</v>
      </c>
      <c r="L70" s="28" t="n">
        <f aca="false">D70*I70</f>
        <v>19.4437048526092</v>
      </c>
      <c r="M70" s="30" t="n">
        <f aca="false">E70*F70</f>
        <v>22.0925686883704</v>
      </c>
      <c r="O70" s="31"/>
      <c r="P70" s="32"/>
      <c r="Q70" s="33" t="n">
        <v>1158060.13166773</v>
      </c>
      <c r="R70" s="33" t="n">
        <v>1040087.67760232</v>
      </c>
      <c r="S70" s="33"/>
      <c r="T70" s="34" t="n">
        <f aca="false">IF(Tables!$B$2=1,'NY Curve'!O70,IF(Tables!$B$2=2,P70,IF(Tables!$B$2=4,Q70,IF(Tables!$B$2=5,R70,IF(Tables!$B$2=3,S70,0)))))</f>
        <v>1040087.67760232</v>
      </c>
    </row>
    <row r="71" customFormat="false" ht="12.75" hidden="false" customHeight="false" outlineLevel="0" collapsed="false">
      <c r="A71" s="21" t="n">
        <v>38899</v>
      </c>
      <c r="B71" s="22" t="n">
        <v>47.7679159800212</v>
      </c>
      <c r="C71" s="23" t="n">
        <v>71.5</v>
      </c>
      <c r="D71" s="24" t="n">
        <v>36.6112495422363</v>
      </c>
      <c r="E71" s="25" t="n">
        <v>28.0974994659424</v>
      </c>
      <c r="F71" s="26" t="n">
        <f aca="false">VLOOKUP(MONTH(A71),ScalarTable,2,0)</f>
        <v>1.22140709971076</v>
      </c>
      <c r="G71" s="27" t="n">
        <f aca="false">+F71*C71</f>
        <v>87.3306076293194</v>
      </c>
      <c r="I71" s="26" t="n">
        <f aca="false">VLOOKUP(MONTH(A71),ScalarTable,3,0)</f>
        <v>0.7785929068923</v>
      </c>
      <c r="J71" s="28" t="n">
        <f aca="false">C71*I71</f>
        <v>55.6693928427994</v>
      </c>
      <c r="K71" s="29" t="n">
        <f aca="false">D71*F71</f>
        <v>44.7172401201698</v>
      </c>
      <c r="L71" s="28" t="n">
        <f aca="false">D71*I71</f>
        <v>28.5052592060492</v>
      </c>
      <c r="M71" s="30" t="n">
        <f aca="false">E71*F71</f>
        <v>34.3184853318213</v>
      </c>
      <c r="O71" s="31"/>
      <c r="P71" s="32"/>
      <c r="Q71" s="33" t="n">
        <v>2777675.97861263</v>
      </c>
      <c r="R71" s="33" t="n">
        <v>2485180.77094304</v>
      </c>
      <c r="S71" s="33"/>
      <c r="T71" s="34" t="n">
        <f aca="false">IF(Tables!$B$2=1,'NY Curve'!O71,IF(Tables!$B$2=2,P71,IF(Tables!$B$2=4,Q71,IF(Tables!$B$2=5,R71,IF(Tables!$B$2=3,S71,0)))))</f>
        <v>2485180.77094304</v>
      </c>
    </row>
    <row r="72" customFormat="false" ht="12.75" hidden="false" customHeight="false" outlineLevel="0" collapsed="false">
      <c r="A72" s="21" t="n">
        <v>38930</v>
      </c>
      <c r="B72" s="22" t="n">
        <v>44.816785249256</v>
      </c>
      <c r="C72" s="23" t="n">
        <v>64</v>
      </c>
      <c r="D72" s="24" t="n">
        <v>38.8724990844727</v>
      </c>
      <c r="E72" s="25" t="n">
        <v>29.5950008392334</v>
      </c>
      <c r="F72" s="26" t="n">
        <f aca="false">VLOOKUP(MONTH(A72),ScalarTable,2,0)</f>
        <v>1.15768142863174</v>
      </c>
      <c r="G72" s="27" t="n">
        <f aca="false">+F72*C72</f>
        <v>74.0916114324313</v>
      </c>
      <c r="I72" s="26" t="n">
        <f aca="false">VLOOKUP(MONTH(A72),ScalarTable,3,0)</f>
        <v>0.842099040746689</v>
      </c>
      <c r="J72" s="28" t="n">
        <f aca="false">C72*I72</f>
        <v>53.8943386077881</v>
      </c>
      <c r="K72" s="29" t="n">
        <f aca="false">D72*F72</f>
        <v>45.0019702745983</v>
      </c>
      <c r="L72" s="28" t="n">
        <f aca="false">D72*I72</f>
        <v>32.734494190461</v>
      </c>
      <c r="M72" s="30" t="n">
        <f aca="false">E72*F72</f>
        <v>34.2615828519212</v>
      </c>
      <c r="O72" s="31"/>
      <c r="P72" s="32"/>
      <c r="Q72" s="33" t="n">
        <v>2962757.43196785</v>
      </c>
      <c r="R72" s="33" t="n">
        <v>2650538.14551563</v>
      </c>
      <c r="S72" s="33"/>
      <c r="T72" s="34" t="n">
        <f aca="false">IF(Tables!$B$2=1,'NY Curve'!O72,IF(Tables!$B$2=2,P72,IF(Tables!$B$2=4,Q72,IF(Tables!$B$2=5,R72,IF(Tables!$B$2=3,S72,0)))))</f>
        <v>2650538.14551563</v>
      </c>
    </row>
    <row r="73" customFormat="false" ht="12.75" hidden="false" customHeight="false" outlineLevel="0" collapsed="false">
      <c r="A73" s="21" t="n">
        <v>38961</v>
      </c>
      <c r="B73" s="22" t="n">
        <v>22.862856683277</v>
      </c>
      <c r="C73" s="23" t="n">
        <v>29.85</v>
      </c>
      <c r="D73" s="24" t="n">
        <v>15.4799995422363</v>
      </c>
      <c r="E73" s="25" t="n">
        <v>13.0600004196167</v>
      </c>
      <c r="F73" s="26" t="n">
        <f aca="false">VLOOKUP(MONTH(A73),ScalarTable,2,0)</f>
        <v>1.09653379232051</v>
      </c>
      <c r="G73" s="27" t="n">
        <f aca="false">+F73*C73</f>
        <v>32.7315337007672</v>
      </c>
      <c r="I73" s="26" t="n">
        <f aca="false">VLOOKUP(MONTH(A73),ScalarTable,3,0)</f>
        <v>0.903466207679489</v>
      </c>
      <c r="J73" s="28" t="n">
        <f aca="false">C73*I73</f>
        <v>26.9684662992328</v>
      </c>
      <c r="K73" s="29" t="n">
        <f aca="false">D73*F73</f>
        <v>16.9743426031682</v>
      </c>
      <c r="L73" s="28" t="n">
        <f aca="false">D73*I73</f>
        <v>13.9856564813045</v>
      </c>
      <c r="M73" s="30" t="n">
        <f aca="false">E73*F73</f>
        <v>14.3207317878298</v>
      </c>
      <c r="O73" s="31"/>
      <c r="P73" s="32"/>
      <c r="Q73" s="33" t="n">
        <v>509690.297835266</v>
      </c>
      <c r="R73" s="33" t="n">
        <v>423846.83752454</v>
      </c>
      <c r="S73" s="33"/>
      <c r="T73" s="34" t="n">
        <f aca="false">IF(Tables!$B$2=1,'NY Curve'!O73,IF(Tables!$B$2=2,P73,IF(Tables!$B$2=4,Q73,IF(Tables!$B$2=5,R73,IF(Tables!$B$2=3,S73,0)))))</f>
        <v>423846.83752454</v>
      </c>
    </row>
    <row r="74" customFormat="false" ht="12.75" hidden="false" customHeight="false" outlineLevel="0" collapsed="false">
      <c r="A74" s="21" t="n">
        <v>38991</v>
      </c>
      <c r="B74" s="22" t="n">
        <v>22.5049759092785</v>
      </c>
      <c r="C74" s="23" t="n">
        <v>25.6</v>
      </c>
      <c r="D74" s="24" t="n">
        <v>20.3505001068115</v>
      </c>
      <c r="E74" s="25" t="n">
        <v>20.3509998321533</v>
      </c>
      <c r="F74" s="26" t="n">
        <f aca="false">VLOOKUP(MONTH(A74),ScalarTable,2,0)</f>
        <v>1.0119875</v>
      </c>
      <c r="G74" s="27" t="n">
        <f aca="false">+F74*C74</f>
        <v>25.90688</v>
      </c>
      <c r="I74" s="26" t="n">
        <f aca="false">VLOOKUP(MONTH(A74),ScalarTable,3,0)</f>
        <v>0.9880125</v>
      </c>
      <c r="J74" s="28" t="n">
        <f aca="false">C74*I74</f>
        <v>25.29312</v>
      </c>
      <c r="K74" s="29" t="n">
        <f aca="false">D74*F74</f>
        <v>20.5944517268419</v>
      </c>
      <c r="L74" s="28" t="n">
        <f aca="false">D74*I74</f>
        <v>20.1065484867811</v>
      </c>
      <c r="M74" s="30" t="n">
        <f aca="false">E74*F74</f>
        <v>20.5949574426413</v>
      </c>
      <c r="O74" s="31"/>
      <c r="P74" s="32"/>
      <c r="Q74" s="33" t="n">
        <v>231060.783062975</v>
      </c>
      <c r="R74" s="33" t="n">
        <v>185311.323127583</v>
      </c>
      <c r="S74" s="33"/>
      <c r="T74" s="34" t="n">
        <f aca="false">IF(Tables!$B$2=1,'NY Curve'!O74,IF(Tables!$B$2=2,P74,IF(Tables!$B$2=4,Q74,IF(Tables!$B$2=5,R74,IF(Tables!$B$2=3,S74,0)))))</f>
        <v>185311.323127583</v>
      </c>
    </row>
    <row r="75" customFormat="false" ht="12.75" hidden="false" customHeight="false" outlineLevel="0" collapsed="false">
      <c r="A75" s="21" t="n">
        <v>39022</v>
      </c>
      <c r="B75" s="22" t="n">
        <v>23.0120354606992</v>
      </c>
      <c r="C75" s="23" t="n">
        <v>26.1</v>
      </c>
      <c r="D75" s="24" t="n">
        <v>21.3547515869141</v>
      </c>
      <c r="E75" s="25" t="n">
        <v>21.3544998168945</v>
      </c>
      <c r="F75" s="26" t="n">
        <f aca="false">VLOOKUP(MONTH(A75),ScalarTable,2,0)</f>
        <v>1.01585</v>
      </c>
      <c r="G75" s="27" t="n">
        <f aca="false">+F75*C75</f>
        <v>26.513685</v>
      </c>
      <c r="I75" s="26" t="n">
        <f aca="false">VLOOKUP(MONTH(A75),ScalarTable,3,0)</f>
        <v>0.98415</v>
      </c>
      <c r="J75" s="28" t="n">
        <f aca="false">C75*I75</f>
        <v>25.686315</v>
      </c>
      <c r="K75" s="29" t="n">
        <f aca="false">D75*F75</f>
        <v>21.6932243995667</v>
      </c>
      <c r="L75" s="28" t="n">
        <f aca="false">D75*I75</f>
        <v>21.0162787742615</v>
      </c>
      <c r="M75" s="30" t="n">
        <f aca="false">E75*F75</f>
        <v>21.6929686389923</v>
      </c>
      <c r="O75" s="31"/>
      <c r="P75" s="32"/>
      <c r="Q75" s="33" t="n">
        <v>238101.538027887</v>
      </c>
      <c r="R75" s="33" t="n">
        <v>169212.286538031</v>
      </c>
      <c r="S75" s="33"/>
      <c r="T75" s="34" t="n">
        <f aca="false">IF(Tables!$B$2=1,'NY Curve'!O75,IF(Tables!$B$2=2,P75,IF(Tables!$B$2=4,Q75,IF(Tables!$B$2=5,R75,IF(Tables!$B$2=3,S75,0)))))</f>
        <v>169212.286538031</v>
      </c>
    </row>
    <row r="76" customFormat="false" ht="12.75" hidden="false" customHeight="false" outlineLevel="0" collapsed="false">
      <c r="A76" s="21" t="n">
        <v>39052</v>
      </c>
      <c r="B76" s="22" t="n">
        <v>23.7888090042841</v>
      </c>
      <c r="C76" s="23" t="n">
        <v>26.6</v>
      </c>
      <c r="D76" s="24" t="n">
        <v>22.8049983978271</v>
      </c>
      <c r="E76" s="25" t="n">
        <v>21.2999992370605</v>
      </c>
      <c r="F76" s="26" t="n">
        <f aca="false">VLOOKUP(MONTH(A76),ScalarTable,2,0)</f>
        <v>1.01532599180631</v>
      </c>
      <c r="G76" s="27" t="n">
        <f aca="false">+F76*C76</f>
        <v>27.0076713820479</v>
      </c>
      <c r="I76" s="26" t="n">
        <f aca="false">VLOOKUP(MONTH(A76),ScalarTable,3,0)</f>
        <v>0.984674008193689</v>
      </c>
      <c r="J76" s="28" t="n">
        <f aca="false">C76*I76</f>
        <v>26.1923286179521</v>
      </c>
      <c r="K76" s="29" t="n">
        <f aca="false">D76*F76</f>
        <v>23.1545076164152</v>
      </c>
      <c r="L76" s="28" t="n">
        <f aca="false">D76*I76</f>
        <v>22.4554891792391</v>
      </c>
      <c r="M76" s="30" t="n">
        <f aca="false">E76*F76</f>
        <v>21.6264428508422</v>
      </c>
      <c r="O76" s="31"/>
      <c r="P76" s="32"/>
      <c r="Q76" s="33" t="n">
        <v>196410.776199089</v>
      </c>
      <c r="R76" s="33" t="n">
        <v>139942.226825294</v>
      </c>
      <c r="S76" s="33"/>
      <c r="T76" s="34" t="n">
        <f aca="false">IF(Tables!$B$2=1,'NY Curve'!O76,IF(Tables!$B$2=2,P76,IF(Tables!$B$2=4,Q76,IF(Tables!$B$2=5,R76,IF(Tables!$B$2=3,S76,0)))))</f>
        <v>139942.226825294</v>
      </c>
    </row>
    <row r="77" customFormat="false" ht="12.75" hidden="false" customHeight="false" outlineLevel="0" collapsed="false">
      <c r="A77" s="21" t="n">
        <v>39083</v>
      </c>
      <c r="B77" s="22" t="n">
        <v>27.5430357251848</v>
      </c>
      <c r="C77" s="23" t="n">
        <v>31.95</v>
      </c>
      <c r="D77" s="24" t="n">
        <v>26.1987483978271</v>
      </c>
      <c r="E77" s="25" t="n">
        <v>26.7025001525879</v>
      </c>
      <c r="F77" s="26" t="n">
        <f aca="false">VLOOKUP(MONTH(A77),ScalarTable,2,0)</f>
        <v>1.00808025404509</v>
      </c>
      <c r="G77" s="27" t="n">
        <f aca="false">+F77*C77</f>
        <v>32.2081641167407</v>
      </c>
      <c r="I77" s="26" t="n">
        <f aca="false">VLOOKUP(MONTH(A77),ScalarTable,3,0)</f>
        <v>0.991919745954909</v>
      </c>
      <c r="J77" s="28" t="n">
        <f aca="false">C77*I77</f>
        <v>31.6918358832593</v>
      </c>
      <c r="K77" s="29" t="n">
        <f aca="false">D77*F77</f>
        <v>26.410440940545</v>
      </c>
      <c r="L77" s="28" t="n">
        <f aca="false">D77*I77</f>
        <v>25.9870558551093</v>
      </c>
      <c r="M77" s="30" t="n">
        <f aca="false">E77*F77</f>
        <v>26.9182631374599</v>
      </c>
      <c r="O77" s="31"/>
      <c r="P77" s="32"/>
      <c r="Q77" s="33" t="n">
        <v>413664.105086736</v>
      </c>
      <c r="R77" s="33" t="n">
        <v>322255.793504806</v>
      </c>
      <c r="S77" s="33"/>
      <c r="T77" s="34" t="n">
        <f aca="false">IF(Tables!$B$2=1,'NY Curve'!O77,IF(Tables!$B$2=2,P77,IF(Tables!$B$2=4,Q77,IF(Tables!$B$2=5,R77,IF(Tables!$B$2=3,S77,0)))))</f>
        <v>322255.793504806</v>
      </c>
    </row>
    <row r="78" customFormat="false" ht="12.75" hidden="false" customHeight="false" outlineLevel="0" collapsed="false">
      <c r="A78" s="21" t="n">
        <v>39114</v>
      </c>
      <c r="B78" s="22" t="n">
        <v>27.0681541624523</v>
      </c>
      <c r="C78" s="23" t="n">
        <v>31.95</v>
      </c>
      <c r="D78" s="24" t="n">
        <v>25.1962501525879</v>
      </c>
      <c r="E78" s="25" t="n">
        <v>24.6974994659424</v>
      </c>
      <c r="F78" s="26" t="n">
        <f aca="false">VLOOKUP(MONTH(A78),ScalarTable,2,0)</f>
        <v>1.00808025404509</v>
      </c>
      <c r="G78" s="27" t="n">
        <f aca="false">+F78*C78</f>
        <v>32.2081641167407</v>
      </c>
      <c r="I78" s="26" t="n">
        <f aca="false">VLOOKUP(MONTH(A78),ScalarTable,3,0)</f>
        <v>0.991919745954909</v>
      </c>
      <c r="J78" s="28" t="n">
        <f aca="false">C78*I78</f>
        <v>31.6918358832593</v>
      </c>
      <c r="K78" s="29" t="n">
        <f aca="false">D78*F78</f>
        <v>25.3998422548045</v>
      </c>
      <c r="L78" s="28" t="n">
        <f aca="false">D78*I78</f>
        <v>24.9926580503713</v>
      </c>
      <c r="M78" s="30" t="n">
        <f aca="false">E78*F78</f>
        <v>24.8970615359057</v>
      </c>
      <c r="O78" s="31"/>
      <c r="P78" s="32"/>
      <c r="Q78" s="33" t="n">
        <v>359772.41769234</v>
      </c>
      <c r="R78" s="33" t="n">
        <v>298931.685144432</v>
      </c>
      <c r="S78" s="33"/>
      <c r="T78" s="34" t="n">
        <f aca="false">IF(Tables!$B$2=1,'NY Curve'!O78,IF(Tables!$B$2=2,P78,IF(Tables!$B$2=4,Q78,IF(Tables!$B$2=5,R78,IF(Tables!$B$2=3,S78,0)))))</f>
        <v>298931.685144432</v>
      </c>
    </row>
    <row r="79" customFormat="false" ht="12.75" hidden="false" customHeight="false" outlineLevel="0" collapsed="false">
      <c r="A79" s="21" t="n">
        <v>39142</v>
      </c>
      <c r="B79" s="22" t="n">
        <v>22.8070354098365</v>
      </c>
      <c r="C79" s="23" t="n">
        <v>26.95</v>
      </c>
      <c r="D79" s="24" t="n">
        <v>18.3847496032715</v>
      </c>
      <c r="E79" s="25" t="n">
        <v>20.0144989013672</v>
      </c>
      <c r="F79" s="26" t="n">
        <f aca="false">VLOOKUP(MONTH(A79),ScalarTable,2,0)</f>
        <v>1.0080875</v>
      </c>
      <c r="G79" s="27" t="n">
        <f aca="false">+F79*C79</f>
        <v>27.167958125</v>
      </c>
      <c r="I79" s="26" t="n">
        <f aca="false">VLOOKUP(MONTH(A79),ScalarTable,3,0)</f>
        <v>0.9919125</v>
      </c>
      <c r="J79" s="28" t="n">
        <f aca="false">C79*I79</f>
        <v>26.732041875</v>
      </c>
      <c r="K79" s="29" t="n">
        <f aca="false">D79*F79</f>
        <v>18.5334362656879</v>
      </c>
      <c r="L79" s="28" t="n">
        <f aca="false">D79*I79</f>
        <v>18.236062940855</v>
      </c>
      <c r="M79" s="30" t="n">
        <f aca="false">E79*F79</f>
        <v>20.176366161232</v>
      </c>
      <c r="O79" s="31"/>
      <c r="P79" s="32"/>
      <c r="Q79" s="33" t="n">
        <v>210549.49364711</v>
      </c>
      <c r="R79" s="33" t="n">
        <v>196901.761741274</v>
      </c>
      <c r="S79" s="33"/>
      <c r="T79" s="34" t="n">
        <f aca="false">IF(Tables!$B$2=1,'NY Curve'!O79,IF(Tables!$B$2=2,P79,IF(Tables!$B$2=4,Q79,IF(Tables!$B$2=5,R79,IF(Tables!$B$2=3,S79,0)))))</f>
        <v>196901.761741274</v>
      </c>
    </row>
    <row r="80" customFormat="false" ht="12.75" hidden="false" customHeight="false" outlineLevel="0" collapsed="false">
      <c r="A80" s="21" t="n">
        <v>39173</v>
      </c>
      <c r="B80" s="22" t="n">
        <v>22.2765469868978</v>
      </c>
      <c r="C80" s="23" t="n">
        <v>25.7</v>
      </c>
      <c r="D80" s="24" t="n">
        <v>19.0675003051758</v>
      </c>
      <c r="E80" s="25" t="n">
        <v>19.7849990844727</v>
      </c>
      <c r="F80" s="26" t="n">
        <f aca="false">VLOOKUP(MONTH(A80),ScalarTable,2,0)</f>
        <v>1.07269528338234</v>
      </c>
      <c r="G80" s="27" t="n">
        <f aca="false">+F80*C80</f>
        <v>27.5682687829261</v>
      </c>
      <c r="I80" s="26" t="n">
        <f aca="false">VLOOKUP(MONTH(A80),ScalarTable,3,0)</f>
        <v>0.92730471661766</v>
      </c>
      <c r="J80" s="28" t="n">
        <f aca="false">C80*I80</f>
        <v>23.8317312170739</v>
      </c>
      <c r="K80" s="29" t="n">
        <f aca="false">D80*F80</f>
        <v>20.4536176432534</v>
      </c>
      <c r="L80" s="28" t="n">
        <f aca="false">D80*I80</f>
        <v>17.6813829670982</v>
      </c>
      <c r="M80" s="30" t="n">
        <f aca="false">E80*F80</f>
        <v>21.2232751996377</v>
      </c>
      <c r="O80" s="31"/>
      <c r="P80" s="32"/>
      <c r="Q80" s="33" t="n">
        <v>221560.984613915</v>
      </c>
      <c r="R80" s="33" t="n">
        <v>217538.942778431</v>
      </c>
      <c r="S80" s="33"/>
      <c r="T80" s="34" t="n">
        <f aca="false">IF(Tables!$B$2=1,'NY Curve'!O80,IF(Tables!$B$2=2,P80,IF(Tables!$B$2=4,Q80,IF(Tables!$B$2=5,R80,IF(Tables!$B$2=3,S80,0)))))</f>
        <v>217538.942778431</v>
      </c>
    </row>
    <row r="81" customFormat="false" ht="12.75" hidden="false" customHeight="false" outlineLevel="0" collapsed="false">
      <c r="A81" s="21" t="n">
        <v>39203</v>
      </c>
      <c r="B81" s="22" t="n">
        <v>24.392499433245</v>
      </c>
      <c r="C81" s="23" t="n">
        <v>29.95</v>
      </c>
      <c r="D81" s="24" t="n">
        <v>19.1825000762939</v>
      </c>
      <c r="E81" s="25" t="n">
        <v>20.3149997711182</v>
      </c>
      <c r="F81" s="26" t="n">
        <f aca="false">VLOOKUP(MONTH(A81),ScalarTable,2,0)</f>
        <v>1.05849023799053</v>
      </c>
      <c r="G81" s="27" t="n">
        <f aca="false">+F81*C81</f>
        <v>31.7017826278163</v>
      </c>
      <c r="I81" s="26" t="n">
        <f aca="false">VLOOKUP(MONTH(A81),ScalarTable,3,0)</f>
        <v>0.941509762009471</v>
      </c>
      <c r="J81" s="28" t="n">
        <f aca="false">C81*I81</f>
        <v>28.1982173721837</v>
      </c>
      <c r="K81" s="29" t="n">
        <f aca="false">D81*F81</f>
        <v>20.3044890710097</v>
      </c>
      <c r="L81" s="28" t="n">
        <f aca="false">D81*I81</f>
        <v>18.0605110815782</v>
      </c>
      <c r="M81" s="30" t="n">
        <f aca="false">E81*F81</f>
        <v>21.5032289425084</v>
      </c>
      <c r="O81" s="31"/>
      <c r="P81" s="32"/>
      <c r="Q81" s="33" t="n">
        <v>483933.191069106</v>
      </c>
      <c r="R81" s="33" t="n">
        <v>403369.057184434</v>
      </c>
      <c r="S81" s="33"/>
      <c r="T81" s="34" t="n">
        <f aca="false">IF(Tables!$B$2=1,'NY Curve'!O81,IF(Tables!$B$2=2,P81,IF(Tables!$B$2=4,Q81,IF(Tables!$B$2=5,R81,IF(Tables!$B$2=3,S81,0)))))</f>
        <v>403369.057184434</v>
      </c>
    </row>
    <row r="82" customFormat="false" ht="12.75" hidden="false" customHeight="false" outlineLevel="0" collapsed="false">
      <c r="A82" s="21" t="n">
        <v>39234</v>
      </c>
      <c r="B82" s="22" t="n">
        <v>33.6727972848075</v>
      </c>
      <c r="C82" s="23" t="n">
        <v>48.5</v>
      </c>
      <c r="D82" s="24" t="n">
        <v>23.6087501525879</v>
      </c>
      <c r="E82" s="25" t="n">
        <v>19.0924995422363</v>
      </c>
      <c r="F82" s="26" t="n">
        <f aca="false">VLOOKUP(MONTH(A82),ScalarTable,2,0)</f>
        <v>1.16938304743531</v>
      </c>
      <c r="G82" s="27" t="n">
        <f aca="false">+F82*C82</f>
        <v>56.7150778006123</v>
      </c>
      <c r="I82" s="26" t="n">
        <f aca="false">VLOOKUP(MONTH(A82),ScalarTable,3,0)</f>
        <v>0.83061695843935</v>
      </c>
      <c r="J82" s="28" t="n">
        <f aca="false">C82*I82</f>
        <v>40.2849224843085</v>
      </c>
      <c r="K82" s="29" t="n">
        <f aca="false">D82*F82</f>
        <v>27.607672199572</v>
      </c>
      <c r="L82" s="28" t="n">
        <f aca="false">D82*I82</f>
        <v>19.6098282442971</v>
      </c>
      <c r="M82" s="30" t="n">
        <f aca="false">E82*F82</f>
        <v>22.3264452978575</v>
      </c>
      <c r="O82" s="31"/>
      <c r="P82" s="32"/>
      <c r="Q82" s="33" t="n">
        <v>1181088.88367842</v>
      </c>
      <c r="R82" s="33" t="n">
        <v>1058657.95302727</v>
      </c>
      <c r="S82" s="33"/>
      <c r="T82" s="34" t="n">
        <f aca="false">IF(Tables!$B$2=1,'NY Curve'!O82,IF(Tables!$B$2=2,P82,IF(Tables!$B$2=4,Q82,IF(Tables!$B$2=5,R82,IF(Tables!$B$2=3,S82,0)))))</f>
        <v>1058657.95302727</v>
      </c>
    </row>
    <row r="83" customFormat="false" ht="12.75" hidden="false" customHeight="false" outlineLevel="0" collapsed="false">
      <c r="A83" s="21" t="n">
        <v>39264</v>
      </c>
      <c r="B83" s="22" t="n">
        <v>48.3012493133545</v>
      </c>
      <c r="C83" s="23" t="n">
        <v>72.5</v>
      </c>
      <c r="D83" s="24" t="n">
        <v>36.8112495422363</v>
      </c>
      <c r="E83" s="25" t="n">
        <v>28.2974994659424</v>
      </c>
      <c r="F83" s="26" t="n">
        <f aca="false">VLOOKUP(MONTH(A83),ScalarTable,2,0)</f>
        <v>1.22140709971076</v>
      </c>
      <c r="G83" s="27" t="n">
        <f aca="false">+F83*C83</f>
        <v>88.5520147290301</v>
      </c>
      <c r="I83" s="26" t="n">
        <f aca="false">VLOOKUP(MONTH(A83),ScalarTable,3,0)</f>
        <v>0.7785929068923</v>
      </c>
      <c r="J83" s="28" t="n">
        <f aca="false">C83*I83</f>
        <v>56.4479857496917</v>
      </c>
      <c r="K83" s="29" t="n">
        <f aca="false">D83*F83</f>
        <v>44.9615215401119</v>
      </c>
      <c r="L83" s="28" t="n">
        <f aca="false">D83*I83</f>
        <v>28.6609777874276</v>
      </c>
      <c r="M83" s="30" t="n">
        <f aca="false">E83*F83</f>
        <v>34.5627667517635</v>
      </c>
      <c r="O83" s="31"/>
      <c r="P83" s="32"/>
      <c r="Q83" s="33" t="n">
        <v>2924677.51144292</v>
      </c>
      <c r="R83" s="33" t="n">
        <v>2608216.23657518</v>
      </c>
      <c r="S83" s="33"/>
      <c r="T83" s="34" t="n">
        <f aca="false">IF(Tables!$B$2=1,'NY Curve'!O83,IF(Tables!$B$2=2,P83,IF(Tables!$B$2=4,Q83,IF(Tables!$B$2=5,R83,IF(Tables!$B$2=3,S83,0)))))</f>
        <v>2608216.23657518</v>
      </c>
    </row>
    <row r="84" customFormat="false" ht="12.75" hidden="false" customHeight="false" outlineLevel="0" collapsed="false">
      <c r="A84" s="21" t="n">
        <v>39295</v>
      </c>
      <c r="B84" s="22" t="n">
        <v>45.3501185825893</v>
      </c>
      <c r="C84" s="23" t="n">
        <v>65</v>
      </c>
      <c r="D84" s="24" t="n">
        <v>39.0724990844727</v>
      </c>
      <c r="E84" s="25" t="n">
        <v>29.7950008392334</v>
      </c>
      <c r="F84" s="26" t="n">
        <f aca="false">VLOOKUP(MONTH(A84),ScalarTable,2,0)</f>
        <v>1.15768142863174</v>
      </c>
      <c r="G84" s="27" t="n">
        <f aca="false">+F84*C84</f>
        <v>75.249292861063</v>
      </c>
      <c r="I84" s="26" t="n">
        <f aca="false">VLOOKUP(MONTH(A84),ScalarTable,3,0)</f>
        <v>0.842099040746689</v>
      </c>
      <c r="J84" s="28" t="n">
        <f aca="false">C84*I84</f>
        <v>54.7364376485348</v>
      </c>
      <c r="K84" s="29" t="n">
        <f aca="false">D84*F84</f>
        <v>45.2335065603246</v>
      </c>
      <c r="L84" s="28" t="n">
        <f aca="false">D84*I84</f>
        <v>32.9029139986103</v>
      </c>
      <c r="M84" s="30" t="n">
        <f aca="false">E84*F84</f>
        <v>34.4931191376476</v>
      </c>
      <c r="O84" s="31"/>
      <c r="P84" s="32"/>
      <c r="Q84" s="33" t="n">
        <v>3069195.86630477</v>
      </c>
      <c r="R84" s="33" t="n">
        <v>2736529.1110688</v>
      </c>
      <c r="S84" s="33"/>
      <c r="T84" s="34" t="n">
        <f aca="false">IF(Tables!$B$2=1,'NY Curve'!O84,IF(Tables!$B$2=2,P84,IF(Tables!$B$2=4,Q84,IF(Tables!$B$2=5,R84,IF(Tables!$B$2=3,S84,0)))))</f>
        <v>2736529.1110688</v>
      </c>
    </row>
    <row r="85" customFormat="false" ht="12.75" hidden="false" customHeight="false" outlineLevel="0" collapsed="false">
      <c r="A85" s="21" t="n">
        <v>39326</v>
      </c>
      <c r="B85" s="22" t="n">
        <v>22.9676185880389</v>
      </c>
      <c r="C85" s="23" t="n">
        <v>29.95</v>
      </c>
      <c r="D85" s="24" t="n">
        <v>15.6799995422363</v>
      </c>
      <c r="E85" s="25" t="n">
        <v>13.2600004196167</v>
      </c>
      <c r="F85" s="26" t="n">
        <f aca="false">VLOOKUP(MONTH(A85),ScalarTable,2,0)</f>
        <v>1.09653379232051</v>
      </c>
      <c r="G85" s="27" t="n">
        <f aca="false">+F85*C85</f>
        <v>32.8411870799993</v>
      </c>
      <c r="I85" s="26" t="n">
        <f aca="false">VLOOKUP(MONTH(A85),ScalarTable,3,0)</f>
        <v>0.903466207679489</v>
      </c>
      <c r="J85" s="28" t="n">
        <f aca="false">C85*I85</f>
        <v>27.0588129200007</v>
      </c>
      <c r="K85" s="29" t="n">
        <f aca="false">D85*F85</f>
        <v>17.1936493616323</v>
      </c>
      <c r="L85" s="28" t="n">
        <f aca="false">D85*I85</f>
        <v>14.1663497228404</v>
      </c>
      <c r="M85" s="30" t="n">
        <f aca="false">E85*F85</f>
        <v>14.5400385462939</v>
      </c>
      <c r="O85" s="31"/>
      <c r="P85" s="32"/>
      <c r="Q85" s="33" t="n">
        <v>476983.38754495</v>
      </c>
      <c r="R85" s="33" t="n">
        <v>396575.752539621</v>
      </c>
      <c r="S85" s="33"/>
      <c r="T85" s="34" t="n">
        <f aca="false">IF(Tables!$B$2=1,'NY Curve'!O85,IF(Tables!$B$2=2,P85,IF(Tables!$B$2=4,Q85,IF(Tables!$B$2=5,R85,IF(Tables!$B$2=3,S85,0)))))</f>
        <v>396575.752539621</v>
      </c>
    </row>
    <row r="86" customFormat="false" ht="12.75" hidden="false" customHeight="false" outlineLevel="0" collapsed="false">
      <c r="A86" s="21" t="n">
        <v>39356</v>
      </c>
      <c r="B86" s="22" t="n">
        <v>22.6097378140404</v>
      </c>
      <c r="C86" s="23" t="n">
        <v>25.7</v>
      </c>
      <c r="D86" s="24" t="n">
        <v>20.5505001068115</v>
      </c>
      <c r="E86" s="25" t="n">
        <v>20.5509998321533</v>
      </c>
      <c r="F86" s="26" t="n">
        <f aca="false">VLOOKUP(MONTH(A86),ScalarTable,2,0)</f>
        <v>1.0119875</v>
      </c>
      <c r="G86" s="27" t="n">
        <f aca="false">+F86*C86</f>
        <v>26.00807875</v>
      </c>
      <c r="I86" s="26" t="n">
        <f aca="false">VLOOKUP(MONTH(A86),ScalarTable,3,0)</f>
        <v>0.9880125</v>
      </c>
      <c r="J86" s="28" t="n">
        <f aca="false">C86*I86</f>
        <v>25.39192125</v>
      </c>
      <c r="K86" s="29" t="n">
        <f aca="false">D86*F86</f>
        <v>20.7968492268419</v>
      </c>
      <c r="L86" s="28" t="n">
        <f aca="false">D86*I86</f>
        <v>20.3041509867811</v>
      </c>
      <c r="M86" s="30" t="n">
        <f aca="false">E86*F86</f>
        <v>20.7973549426413</v>
      </c>
      <c r="O86" s="31"/>
      <c r="P86" s="32"/>
      <c r="Q86" s="33" t="n">
        <v>234418.214496321</v>
      </c>
      <c r="R86" s="33" t="n">
        <v>187951.363320783</v>
      </c>
      <c r="S86" s="33"/>
      <c r="T86" s="34" t="n">
        <f aca="false">IF(Tables!$B$2=1,'NY Curve'!O86,IF(Tables!$B$2=2,P86,IF(Tables!$B$2=4,Q86,IF(Tables!$B$2=5,R86,IF(Tables!$B$2=3,S86,0)))))</f>
        <v>187951.363320783</v>
      </c>
    </row>
    <row r="87" customFormat="false" ht="12.75" hidden="false" customHeight="false" outlineLevel="0" collapsed="false">
      <c r="A87" s="21" t="n">
        <v>39387</v>
      </c>
      <c r="B87" s="22" t="n">
        <v>23.1167973654611</v>
      </c>
      <c r="C87" s="23" t="n">
        <v>26.2</v>
      </c>
      <c r="D87" s="24" t="n">
        <v>21.5547515869141</v>
      </c>
      <c r="E87" s="25" t="n">
        <v>21.5544998168945</v>
      </c>
      <c r="F87" s="26" t="n">
        <f aca="false">VLOOKUP(MONTH(A87),ScalarTable,2,0)</f>
        <v>1.01585</v>
      </c>
      <c r="G87" s="27" t="n">
        <f aca="false">+F87*C87</f>
        <v>26.61527</v>
      </c>
      <c r="I87" s="26" t="n">
        <f aca="false">VLOOKUP(MONTH(A87),ScalarTable,3,0)</f>
        <v>0.98415</v>
      </c>
      <c r="J87" s="28" t="n">
        <f aca="false">C87*I87</f>
        <v>25.78473</v>
      </c>
      <c r="K87" s="29" t="n">
        <f aca="false">D87*F87</f>
        <v>21.8963943995667</v>
      </c>
      <c r="L87" s="28" t="n">
        <f aca="false">D87*I87</f>
        <v>21.2131087742615</v>
      </c>
      <c r="M87" s="30" t="n">
        <f aca="false">E87*F87</f>
        <v>21.8961386389923</v>
      </c>
      <c r="O87" s="31"/>
      <c r="P87" s="32"/>
      <c r="Q87" s="33" t="n">
        <v>230983.517346919</v>
      </c>
      <c r="R87" s="33" t="n">
        <v>164749.87781507</v>
      </c>
      <c r="S87" s="33"/>
      <c r="T87" s="34" t="n">
        <f aca="false">IF(Tables!$B$2=1,'NY Curve'!O87,IF(Tables!$B$2=2,P87,IF(Tables!$B$2=4,Q87,IF(Tables!$B$2=5,R87,IF(Tables!$B$2=3,S87,0)))))</f>
        <v>164749.87781507</v>
      </c>
    </row>
    <row r="88" customFormat="false" ht="12.75" hidden="false" customHeight="false" outlineLevel="0" collapsed="false">
      <c r="A88" s="21" t="n">
        <v>39417</v>
      </c>
      <c r="B88" s="22" t="n">
        <v>23.893570909046</v>
      </c>
      <c r="C88" s="23" t="n">
        <v>26.7</v>
      </c>
      <c r="D88" s="24" t="n">
        <v>23.0049983978271</v>
      </c>
      <c r="E88" s="25" t="n">
        <v>21.4999992370605</v>
      </c>
      <c r="F88" s="26" t="n">
        <f aca="false">VLOOKUP(MONTH(A88),ScalarTable,2,0)</f>
        <v>1.01532599180631</v>
      </c>
      <c r="G88" s="27" t="n">
        <f aca="false">+F88*C88</f>
        <v>27.1092039812285</v>
      </c>
      <c r="I88" s="26" t="n">
        <f aca="false">VLOOKUP(MONTH(A88),ScalarTable,3,0)</f>
        <v>0.984674008193689</v>
      </c>
      <c r="J88" s="28" t="n">
        <f aca="false">C88*I88</f>
        <v>26.2907960187715</v>
      </c>
      <c r="K88" s="29" t="n">
        <f aca="false">D88*F88</f>
        <v>23.3575728147764</v>
      </c>
      <c r="L88" s="28" t="n">
        <f aca="false">D88*I88</f>
        <v>22.6524239808779</v>
      </c>
      <c r="M88" s="30" t="n">
        <f aca="false">E88*F88</f>
        <v>21.8295080492034</v>
      </c>
      <c r="O88" s="31"/>
      <c r="P88" s="32"/>
      <c r="Q88" s="33" t="n">
        <v>190635.062008874</v>
      </c>
      <c r="R88" s="33" t="n">
        <v>136278.372460181</v>
      </c>
      <c r="S88" s="33"/>
      <c r="T88" s="34" t="n">
        <f aca="false">IF(Tables!$B$2=1,'NY Curve'!O88,IF(Tables!$B$2=2,P88,IF(Tables!$B$2=4,Q88,IF(Tables!$B$2=5,R88,IF(Tables!$B$2=3,S88,0)))))</f>
        <v>136278.372460181</v>
      </c>
    </row>
    <row r="89" customFormat="false" ht="12.75" hidden="false" customHeight="false" outlineLevel="0" collapsed="false">
      <c r="A89" s="21" t="n">
        <v>39448</v>
      </c>
      <c r="B89" s="22" t="n">
        <v>27.6477976299468</v>
      </c>
      <c r="C89" s="23" t="n">
        <v>32.05</v>
      </c>
      <c r="D89" s="24" t="n">
        <v>26.3987483978271</v>
      </c>
      <c r="E89" s="25" t="n">
        <v>26.9025001525879</v>
      </c>
      <c r="F89" s="26" t="n">
        <f aca="false">VLOOKUP(MONTH(A89),ScalarTable,2,0)</f>
        <v>1.00808025404509</v>
      </c>
      <c r="G89" s="27" t="n">
        <f aca="false">+F89*C89</f>
        <v>32.3089721421452</v>
      </c>
      <c r="I89" s="26" t="n">
        <f aca="false">VLOOKUP(MONTH(A89),ScalarTable,3,0)</f>
        <v>0.991919745954909</v>
      </c>
      <c r="J89" s="28" t="n">
        <f aca="false">C89*I89</f>
        <v>31.7910278578548</v>
      </c>
      <c r="K89" s="29" t="n">
        <f aca="false">D89*F89</f>
        <v>26.612056991354</v>
      </c>
      <c r="L89" s="28" t="n">
        <f aca="false">D89*I89</f>
        <v>26.1854398043003</v>
      </c>
      <c r="M89" s="30" t="n">
        <f aca="false">E89*F89</f>
        <v>27.1198791882689</v>
      </c>
      <c r="O89" s="31"/>
      <c r="P89" s="32"/>
      <c r="Q89" s="33" t="n">
        <v>405791.802660755</v>
      </c>
      <c r="R89" s="33" t="n">
        <v>315943.88335817</v>
      </c>
      <c r="S89" s="33"/>
      <c r="T89" s="34" t="n">
        <f aca="false">IF(Tables!$B$2=1,'NY Curve'!O89,IF(Tables!$B$2=2,P89,IF(Tables!$B$2=4,Q89,IF(Tables!$B$2=5,R89,IF(Tables!$B$2=3,S89,0)))))</f>
        <v>315943.88335817</v>
      </c>
    </row>
    <row r="90" customFormat="false" ht="12.75" hidden="false" customHeight="false" outlineLevel="0" collapsed="false">
      <c r="A90" s="21" t="n">
        <v>39479</v>
      </c>
      <c r="B90" s="22" t="n">
        <v>27.1729160672142</v>
      </c>
      <c r="C90" s="23" t="n">
        <v>32.05</v>
      </c>
      <c r="D90" s="24" t="n">
        <v>25.3962501525879</v>
      </c>
      <c r="E90" s="25" t="n">
        <v>24.8974994659424</v>
      </c>
      <c r="F90" s="26" t="n">
        <f aca="false">VLOOKUP(MONTH(A90),ScalarTable,2,0)</f>
        <v>1.00808025404509</v>
      </c>
      <c r="G90" s="27" t="n">
        <f aca="false">+F90*C90</f>
        <v>32.3089721421452</v>
      </c>
      <c r="I90" s="26" t="n">
        <f aca="false">VLOOKUP(MONTH(A90),ScalarTable,3,0)</f>
        <v>0.991919745954909</v>
      </c>
      <c r="J90" s="28" t="n">
        <f aca="false">C90*I90</f>
        <v>31.7910278578548</v>
      </c>
      <c r="K90" s="29" t="n">
        <f aca="false">D90*F90</f>
        <v>25.6014583056135</v>
      </c>
      <c r="L90" s="28" t="n">
        <f aca="false">D90*I90</f>
        <v>25.1910419995623</v>
      </c>
      <c r="M90" s="30" t="n">
        <f aca="false">E90*F90</f>
        <v>25.0986775867147</v>
      </c>
      <c r="O90" s="31"/>
      <c r="P90" s="32"/>
      <c r="Q90" s="33" t="n">
        <v>370017.759363797</v>
      </c>
      <c r="R90" s="33" t="n">
        <v>306742.030879827</v>
      </c>
      <c r="S90" s="33"/>
      <c r="T90" s="34" t="n">
        <f aca="false">IF(Tables!$B$2=1,'NY Curve'!O90,IF(Tables!$B$2=2,P90,IF(Tables!$B$2=4,Q90,IF(Tables!$B$2=5,R90,IF(Tables!$B$2=3,S90,0)))))</f>
        <v>306742.030879827</v>
      </c>
    </row>
    <row r="91" customFormat="false" ht="12.75" hidden="false" customHeight="false" outlineLevel="0" collapsed="false">
      <c r="A91" s="21" t="n">
        <v>39508</v>
      </c>
      <c r="B91" s="22" t="n">
        <v>22.9117973145984</v>
      </c>
      <c r="C91" s="23" t="n">
        <v>27.05</v>
      </c>
      <c r="D91" s="24" t="n">
        <v>18.5847496032715</v>
      </c>
      <c r="E91" s="25" t="n">
        <v>20.2144989013672</v>
      </c>
      <c r="F91" s="26" t="n">
        <f aca="false">VLOOKUP(MONTH(A91),ScalarTable,2,0)</f>
        <v>1.0080875</v>
      </c>
      <c r="G91" s="27" t="n">
        <f aca="false">+F91*C91</f>
        <v>27.268766875</v>
      </c>
      <c r="I91" s="26" t="n">
        <f aca="false">VLOOKUP(MONTH(A91),ScalarTable,3,0)</f>
        <v>0.9919125</v>
      </c>
      <c r="J91" s="28" t="n">
        <f aca="false">C91*I91</f>
        <v>26.831233125</v>
      </c>
      <c r="K91" s="29" t="n">
        <f aca="false">D91*F91</f>
        <v>18.7350537656879</v>
      </c>
      <c r="L91" s="28" t="n">
        <f aca="false">D91*I91</f>
        <v>18.434445440855</v>
      </c>
      <c r="M91" s="30" t="n">
        <f aca="false">E91*F91</f>
        <v>20.377983661232</v>
      </c>
      <c r="O91" s="31"/>
      <c r="P91" s="32"/>
      <c r="Q91" s="33" t="n">
        <v>195418.923757455</v>
      </c>
      <c r="R91" s="33" t="n">
        <v>181690.451035787</v>
      </c>
      <c r="S91" s="33"/>
      <c r="T91" s="34" t="n">
        <f aca="false">IF(Tables!$B$2=1,'NY Curve'!O91,IF(Tables!$B$2=2,P91,IF(Tables!$B$2=4,Q91,IF(Tables!$B$2=5,R91,IF(Tables!$B$2=3,S91,0)))))</f>
        <v>181690.451035787</v>
      </c>
    </row>
    <row r="92" customFormat="false" ht="12.75" hidden="false" customHeight="false" outlineLevel="0" collapsed="false">
      <c r="A92" s="21" t="n">
        <v>39539</v>
      </c>
      <c r="B92" s="22" t="n">
        <v>22.3813088916597</v>
      </c>
      <c r="C92" s="23" t="n">
        <v>25.8</v>
      </c>
      <c r="D92" s="24" t="n">
        <v>19.2675003051758</v>
      </c>
      <c r="E92" s="25" t="n">
        <v>19.9849990844727</v>
      </c>
      <c r="F92" s="26" t="n">
        <f aca="false">VLOOKUP(MONTH(A92),ScalarTable,2,0)</f>
        <v>1.07269528338234</v>
      </c>
      <c r="G92" s="27" t="n">
        <f aca="false">+F92*C92</f>
        <v>27.6755383112644</v>
      </c>
      <c r="I92" s="26" t="n">
        <f aca="false">VLOOKUP(MONTH(A92),ScalarTable,3,0)</f>
        <v>0.92730471661766</v>
      </c>
      <c r="J92" s="28" t="n">
        <f aca="false">C92*I92</f>
        <v>23.9244616887356</v>
      </c>
      <c r="K92" s="29" t="n">
        <f aca="false">D92*F92</f>
        <v>20.6681566999299</v>
      </c>
      <c r="L92" s="28" t="n">
        <f aca="false">D92*I92</f>
        <v>17.8668439104217</v>
      </c>
      <c r="M92" s="30" t="n">
        <f aca="false">E92*F92</f>
        <v>21.4378142563142</v>
      </c>
      <c r="O92" s="31"/>
      <c r="P92" s="32"/>
      <c r="Q92" s="33" t="n">
        <v>223861.441520916</v>
      </c>
      <c r="R92" s="33" t="n">
        <v>218745.45388112</v>
      </c>
      <c r="S92" s="33"/>
      <c r="T92" s="34" t="n">
        <f aca="false">IF(Tables!$B$2=1,'NY Curve'!O92,IF(Tables!$B$2=2,P92,IF(Tables!$B$2=4,Q92,IF(Tables!$B$2=5,R92,IF(Tables!$B$2=3,S92,0)))))</f>
        <v>218745.45388112</v>
      </c>
    </row>
    <row r="93" customFormat="false" ht="12.75" hidden="false" customHeight="false" outlineLevel="0" collapsed="false">
      <c r="A93" s="21" t="n">
        <v>39569</v>
      </c>
      <c r="B93" s="22" t="n">
        <v>24.4972613380069</v>
      </c>
      <c r="C93" s="23" t="n">
        <v>30.05</v>
      </c>
      <c r="D93" s="24" t="n">
        <v>19.3825000762939</v>
      </c>
      <c r="E93" s="25" t="n">
        <v>20.5149997711182</v>
      </c>
      <c r="F93" s="26" t="n">
        <f aca="false">VLOOKUP(MONTH(A93),ScalarTable,2,0)</f>
        <v>1.05849023799053</v>
      </c>
      <c r="G93" s="27" t="n">
        <f aca="false">+F93*C93</f>
        <v>31.8076316516154</v>
      </c>
      <c r="I93" s="26" t="n">
        <f aca="false">VLOOKUP(MONTH(A93),ScalarTable,3,0)</f>
        <v>0.941509762009471</v>
      </c>
      <c r="J93" s="28" t="n">
        <f aca="false">C93*I93</f>
        <v>28.2923683483846</v>
      </c>
      <c r="K93" s="29" t="n">
        <f aca="false">D93*F93</f>
        <v>20.5161871186078</v>
      </c>
      <c r="L93" s="28" t="n">
        <f aca="false">D93*I93</f>
        <v>18.2488130339801</v>
      </c>
      <c r="M93" s="30" t="n">
        <f aca="false">E93*F93</f>
        <v>21.7149269901065</v>
      </c>
      <c r="O93" s="31"/>
      <c r="P93" s="32"/>
      <c r="Q93" s="33" t="n">
        <v>449149.655040128</v>
      </c>
      <c r="R93" s="33" t="n">
        <v>373924.52382385</v>
      </c>
      <c r="S93" s="33"/>
      <c r="T93" s="34" t="n">
        <f aca="false">IF(Tables!$B$2=1,'NY Curve'!O93,IF(Tables!$B$2=2,P93,IF(Tables!$B$2=4,Q93,IF(Tables!$B$2=5,R93,IF(Tables!$B$2=3,S93,0)))))</f>
        <v>373924.52382385</v>
      </c>
    </row>
    <row r="94" customFormat="false" ht="12.75" hidden="false" customHeight="false" outlineLevel="0" collapsed="false">
      <c r="A94" s="21" t="n">
        <v>39600</v>
      </c>
      <c r="B94" s="22" t="n">
        <v>34.0870829990932</v>
      </c>
      <c r="C94" s="23" t="n">
        <v>49.25</v>
      </c>
      <c r="D94" s="24" t="n">
        <v>23.8087501525879</v>
      </c>
      <c r="E94" s="25" t="n">
        <v>19.2924995422363</v>
      </c>
      <c r="F94" s="26" t="n">
        <f aca="false">VLOOKUP(MONTH(A94),ScalarTable,2,0)</f>
        <v>1.16938304743531</v>
      </c>
      <c r="G94" s="27" t="n">
        <f aca="false">+F94*C94</f>
        <v>57.5921150861888</v>
      </c>
      <c r="I94" s="26" t="n">
        <f aca="false">VLOOKUP(MONTH(A94),ScalarTable,3,0)</f>
        <v>0.83061695843935</v>
      </c>
      <c r="J94" s="28" t="n">
        <f aca="false">C94*I94</f>
        <v>40.907885203138</v>
      </c>
      <c r="K94" s="29" t="n">
        <f aca="false">D94*F94</f>
        <v>27.841548809059</v>
      </c>
      <c r="L94" s="28" t="n">
        <f aca="false">D94*I94</f>
        <v>19.775951635985</v>
      </c>
      <c r="M94" s="30" t="n">
        <f aca="false">E94*F94</f>
        <v>22.5603219073446</v>
      </c>
      <c r="O94" s="31"/>
      <c r="P94" s="32"/>
      <c r="Q94" s="33" t="n">
        <v>1202120.2010022</v>
      </c>
      <c r="R94" s="33" t="n">
        <v>1078242.89417162</v>
      </c>
      <c r="S94" s="33"/>
      <c r="T94" s="34" t="n">
        <f aca="false">IF(Tables!$B$2=1,'NY Curve'!O94,IF(Tables!$B$2=2,P94,IF(Tables!$B$2=4,Q94,IF(Tables!$B$2=5,R94,IF(Tables!$B$2=3,S94,0)))))</f>
        <v>1078242.89417162</v>
      </c>
    </row>
    <row r="95" customFormat="false" ht="12.75" hidden="false" customHeight="false" outlineLevel="0" collapsed="false">
      <c r="A95" s="21" t="n">
        <v>39630</v>
      </c>
      <c r="B95" s="22" t="n">
        <v>49.0726778847831</v>
      </c>
      <c r="C95" s="23" t="n">
        <v>74</v>
      </c>
      <c r="D95" s="24" t="n">
        <v>37.0112495422363</v>
      </c>
      <c r="E95" s="25" t="n">
        <v>28.4974994659424</v>
      </c>
      <c r="F95" s="26" t="n">
        <f aca="false">VLOOKUP(MONTH(A95),ScalarTable,2,0)</f>
        <v>1.22140709971076</v>
      </c>
      <c r="G95" s="27" t="n">
        <f aca="false">+F95*C95</f>
        <v>90.3841253785963</v>
      </c>
      <c r="I95" s="26" t="n">
        <f aca="false">VLOOKUP(MONTH(A95),ScalarTable,3,0)</f>
        <v>0.7785929068923</v>
      </c>
      <c r="J95" s="28" t="n">
        <f aca="false">C95*I95</f>
        <v>57.6158751100302</v>
      </c>
      <c r="K95" s="29" t="n">
        <f aca="false">D95*F95</f>
        <v>45.2058029600541</v>
      </c>
      <c r="L95" s="28" t="n">
        <f aca="false">D95*I95</f>
        <v>28.8166963688061</v>
      </c>
      <c r="M95" s="30" t="n">
        <f aca="false">E95*F95</f>
        <v>34.8070481717056</v>
      </c>
      <c r="O95" s="31"/>
      <c r="P95" s="32"/>
      <c r="Q95" s="33" t="n">
        <v>3058825.45103398</v>
      </c>
      <c r="R95" s="33" t="n">
        <v>2727838.84571073</v>
      </c>
      <c r="S95" s="33"/>
      <c r="T95" s="34" t="n">
        <f aca="false">IF(Tables!$B$2=1,'NY Curve'!O95,IF(Tables!$B$2=2,P95,IF(Tables!$B$2=4,Q95,IF(Tables!$B$2=5,R95,IF(Tables!$B$2=3,S95,0)))))</f>
        <v>2727838.84571073</v>
      </c>
    </row>
    <row r="96" customFormat="false" ht="12.75" hidden="false" customHeight="false" outlineLevel="0" collapsed="false">
      <c r="A96" s="21" t="n">
        <v>39661</v>
      </c>
      <c r="B96" s="22" t="n">
        <v>46.1215471540179</v>
      </c>
      <c r="C96" s="23" t="n">
        <v>66.5</v>
      </c>
      <c r="D96" s="24" t="n">
        <v>39.2724990844727</v>
      </c>
      <c r="E96" s="25" t="n">
        <v>29.9950008392334</v>
      </c>
      <c r="F96" s="26" t="n">
        <f aca="false">VLOOKUP(MONTH(A96),ScalarTable,2,0)</f>
        <v>1.15768142863174</v>
      </c>
      <c r="G96" s="27" t="n">
        <f aca="false">+F96*C96</f>
        <v>76.9858150040106</v>
      </c>
      <c r="I96" s="26" t="n">
        <f aca="false">VLOOKUP(MONTH(A96),ScalarTable,3,0)</f>
        <v>0.842099040746689</v>
      </c>
      <c r="J96" s="28" t="n">
        <f aca="false">C96*I96</f>
        <v>55.9995862096548</v>
      </c>
      <c r="K96" s="29" t="n">
        <f aca="false">D96*F96</f>
        <v>45.465042846051</v>
      </c>
      <c r="L96" s="28" t="n">
        <f aca="false">D96*I96</f>
        <v>33.0713338067597</v>
      </c>
      <c r="M96" s="30" t="n">
        <f aca="false">E96*F96</f>
        <v>34.7246554233739</v>
      </c>
      <c r="O96" s="31"/>
      <c r="P96" s="32"/>
      <c r="Q96" s="33" t="n">
        <v>3016249.66645675</v>
      </c>
      <c r="R96" s="33" t="n">
        <v>2678779.71037518</v>
      </c>
      <c r="S96" s="33"/>
      <c r="T96" s="34" t="n">
        <f aca="false">IF(Tables!$B$2=1,'NY Curve'!O96,IF(Tables!$B$2=2,P96,IF(Tables!$B$2=4,Q96,IF(Tables!$B$2=5,R96,IF(Tables!$B$2=3,S96,0)))))</f>
        <v>2678779.71037518</v>
      </c>
    </row>
    <row r="97" customFormat="false" ht="12.75" hidden="false" customHeight="false" outlineLevel="0" collapsed="false">
      <c r="A97" s="21" t="n">
        <v>39692</v>
      </c>
      <c r="B97" s="22" t="n">
        <v>23.0723804928008</v>
      </c>
      <c r="C97" s="23" t="n">
        <v>30.05</v>
      </c>
      <c r="D97" s="24" t="n">
        <v>15.8799995422363</v>
      </c>
      <c r="E97" s="25" t="n">
        <v>13.4600004196167</v>
      </c>
      <c r="F97" s="26" t="n">
        <f aca="false">VLOOKUP(MONTH(A97),ScalarTable,2,0)</f>
        <v>1.09653379232051</v>
      </c>
      <c r="G97" s="27" t="n">
        <f aca="false">+F97*C97</f>
        <v>32.9508404592313</v>
      </c>
      <c r="I97" s="26" t="n">
        <f aca="false">VLOOKUP(MONTH(A97),ScalarTable,3,0)</f>
        <v>0.903466207679489</v>
      </c>
      <c r="J97" s="28" t="n">
        <f aca="false">C97*I97</f>
        <v>27.1491595407687</v>
      </c>
      <c r="K97" s="29" t="n">
        <f aca="false">D97*F97</f>
        <v>17.4129561200964</v>
      </c>
      <c r="L97" s="28" t="n">
        <f aca="false">D97*I97</f>
        <v>14.3470429643763</v>
      </c>
      <c r="M97" s="30" t="n">
        <f aca="false">E97*F97</f>
        <v>14.759345304758</v>
      </c>
      <c r="O97" s="31"/>
      <c r="P97" s="32"/>
      <c r="Q97" s="33" t="n">
        <v>511666.023837743</v>
      </c>
      <c r="R97" s="33" t="n">
        <v>425117.908811176</v>
      </c>
      <c r="S97" s="33"/>
      <c r="T97" s="34" t="n">
        <f aca="false">IF(Tables!$B$2=1,'NY Curve'!O97,IF(Tables!$B$2=2,P97,IF(Tables!$B$2=4,Q97,IF(Tables!$B$2=5,R97,IF(Tables!$B$2=3,S97,0)))))</f>
        <v>425117.908811176</v>
      </c>
    </row>
    <row r="98" customFormat="false" ht="12.75" hidden="false" customHeight="false" outlineLevel="0" collapsed="false">
      <c r="A98" s="21" t="n">
        <v>39722</v>
      </c>
      <c r="B98" s="22" t="n">
        <v>22.7144997188023</v>
      </c>
      <c r="C98" s="23" t="n">
        <v>25.8</v>
      </c>
      <c r="D98" s="24" t="n">
        <v>20.7505001068115</v>
      </c>
      <c r="E98" s="25" t="n">
        <v>20.7509998321533</v>
      </c>
      <c r="F98" s="26" t="n">
        <f aca="false">VLOOKUP(MONTH(A98),ScalarTable,2,0)</f>
        <v>1.0119875</v>
      </c>
      <c r="G98" s="27" t="n">
        <f aca="false">+F98*C98</f>
        <v>26.1092775</v>
      </c>
      <c r="I98" s="26" t="n">
        <f aca="false">VLOOKUP(MONTH(A98),ScalarTable,3,0)</f>
        <v>0.9880125</v>
      </c>
      <c r="J98" s="28" t="n">
        <f aca="false">C98*I98</f>
        <v>25.4907225</v>
      </c>
      <c r="K98" s="29" t="n">
        <f aca="false">D98*F98</f>
        <v>20.9992467268419</v>
      </c>
      <c r="L98" s="28" t="n">
        <f aca="false">D98*I98</f>
        <v>20.5017534867811</v>
      </c>
      <c r="M98" s="30" t="n">
        <f aca="false">E98*F98</f>
        <v>20.9997524426413</v>
      </c>
      <c r="O98" s="31"/>
      <c r="P98" s="32"/>
      <c r="Q98" s="33" t="n">
        <v>222116.679735598</v>
      </c>
      <c r="R98" s="33" t="n">
        <v>177828.67903867</v>
      </c>
      <c r="S98" s="33"/>
      <c r="T98" s="34" t="n">
        <f aca="false">IF(Tables!$B$2=1,'NY Curve'!O98,IF(Tables!$B$2=2,P98,IF(Tables!$B$2=4,Q98,IF(Tables!$B$2=5,R98,IF(Tables!$B$2=3,S98,0)))))</f>
        <v>177828.67903867</v>
      </c>
    </row>
    <row r="99" customFormat="false" ht="12.75" hidden="false" customHeight="false" outlineLevel="0" collapsed="false">
      <c r="A99" s="21" t="n">
        <v>39753</v>
      </c>
      <c r="B99" s="22" t="n">
        <v>23.221559270223</v>
      </c>
      <c r="C99" s="23" t="n">
        <v>26.3</v>
      </c>
      <c r="D99" s="24" t="n">
        <v>21.7547515869141</v>
      </c>
      <c r="E99" s="25" t="n">
        <v>21.7544998168945</v>
      </c>
      <c r="F99" s="26" t="n">
        <f aca="false">VLOOKUP(MONTH(A99),ScalarTable,2,0)</f>
        <v>1.01585</v>
      </c>
      <c r="G99" s="27" t="n">
        <f aca="false">+F99*C99</f>
        <v>26.716855</v>
      </c>
      <c r="I99" s="26" t="n">
        <f aca="false">VLOOKUP(MONTH(A99),ScalarTable,3,0)</f>
        <v>0.98415</v>
      </c>
      <c r="J99" s="28" t="n">
        <f aca="false">C99*I99</f>
        <v>25.883145</v>
      </c>
      <c r="K99" s="29" t="n">
        <f aca="false">D99*F99</f>
        <v>22.0995643995667</v>
      </c>
      <c r="L99" s="28" t="n">
        <f aca="false">D99*I99</f>
        <v>21.4099387742615</v>
      </c>
      <c r="M99" s="30" t="n">
        <f aca="false">E99*F99</f>
        <v>22.0993086389923</v>
      </c>
      <c r="O99" s="31"/>
      <c r="P99" s="32"/>
      <c r="Q99" s="33" t="n">
        <v>198209.829913123</v>
      </c>
      <c r="R99" s="33" t="n">
        <v>141792.49087221</v>
      </c>
      <c r="S99" s="33"/>
      <c r="T99" s="34" t="n">
        <f aca="false">IF(Tables!$B$2=1,'NY Curve'!O99,IF(Tables!$B$2=2,P99,IF(Tables!$B$2=4,Q99,IF(Tables!$B$2=5,R99,IF(Tables!$B$2=3,S99,0)))))</f>
        <v>141792.49087221</v>
      </c>
    </row>
    <row r="100" customFormat="false" ht="12.75" hidden="false" customHeight="false" outlineLevel="0" collapsed="false">
      <c r="A100" s="21" t="n">
        <v>39783</v>
      </c>
      <c r="B100" s="22" t="n">
        <v>23.9983328138079</v>
      </c>
      <c r="C100" s="23" t="n">
        <v>26.8</v>
      </c>
      <c r="D100" s="24" t="n">
        <v>23.2049983978271</v>
      </c>
      <c r="E100" s="25" t="n">
        <v>21.6999992370605</v>
      </c>
      <c r="F100" s="26" t="n">
        <f aca="false">VLOOKUP(MONTH(A100),ScalarTable,2,0)</f>
        <v>1.01532599180631</v>
      </c>
      <c r="G100" s="27" t="n">
        <f aca="false">+F100*C100</f>
        <v>27.2107365804091</v>
      </c>
      <c r="I100" s="26" t="n">
        <f aca="false">VLOOKUP(MONTH(A100),ScalarTable,3,0)</f>
        <v>0.984674008193689</v>
      </c>
      <c r="J100" s="28" t="n">
        <f aca="false">C100*I100</f>
        <v>26.3892634195909</v>
      </c>
      <c r="K100" s="29" t="n">
        <f aca="false">D100*F100</f>
        <v>23.5606380131377</v>
      </c>
      <c r="L100" s="28" t="n">
        <f aca="false">D100*I100</f>
        <v>22.8493587825166</v>
      </c>
      <c r="M100" s="30" t="n">
        <f aca="false">E100*F100</f>
        <v>22.0325732475647</v>
      </c>
      <c r="O100" s="31"/>
      <c r="P100" s="32"/>
      <c r="Q100" s="33" t="n">
        <v>199073.612488642</v>
      </c>
      <c r="R100" s="33" t="n">
        <v>142324.232160171</v>
      </c>
      <c r="S100" s="33"/>
      <c r="T100" s="34" t="n">
        <f aca="false">IF(Tables!$B$2=1,'NY Curve'!O100,IF(Tables!$B$2=2,P100,IF(Tables!$B$2=4,Q100,IF(Tables!$B$2=5,R100,IF(Tables!$B$2=3,S100,0)))))</f>
        <v>142324.232160171</v>
      </c>
    </row>
    <row r="101" customFormat="false" ht="12.75" hidden="false" customHeight="false" outlineLevel="0" collapsed="false">
      <c r="A101" s="21" t="n">
        <v>39814</v>
      </c>
      <c r="B101" s="22" t="n">
        <v>27.8001785823277</v>
      </c>
      <c r="C101" s="23" t="n">
        <v>32.15</v>
      </c>
      <c r="D101" s="24" t="n">
        <v>26.5987483978271</v>
      </c>
      <c r="E101" s="25" t="n">
        <v>27.1025001525879</v>
      </c>
      <c r="F101" s="26" t="n">
        <f aca="false">VLOOKUP(MONTH(A101),ScalarTable,2,0)</f>
        <v>1.00808025404509</v>
      </c>
      <c r="G101" s="27" t="n">
        <f aca="false">+F101*C101</f>
        <v>32.4097801675497</v>
      </c>
      <c r="I101" s="26" t="n">
        <f aca="false">VLOOKUP(MONTH(A101),ScalarTable,3,0)</f>
        <v>0.991919745954909</v>
      </c>
      <c r="J101" s="28" t="n">
        <f aca="false">C101*I101</f>
        <v>31.8902198324503</v>
      </c>
      <c r="K101" s="29" t="n">
        <f aca="false">D101*F101</f>
        <v>26.8136730421631</v>
      </c>
      <c r="L101" s="28" t="n">
        <f aca="false">D101*I101</f>
        <v>26.3838237534912</v>
      </c>
      <c r="M101" s="30" t="n">
        <f aca="false">E101*F101</f>
        <v>27.3214952390779</v>
      </c>
      <c r="O101" s="31"/>
      <c r="P101" s="32"/>
      <c r="Q101" s="33" t="n">
        <v>374183.907707723</v>
      </c>
      <c r="R101" s="33" t="n">
        <v>290732.929979556</v>
      </c>
      <c r="S101" s="33"/>
      <c r="T101" s="34" t="n">
        <f aca="false">IF(Tables!$B$2=1,'NY Curve'!O101,IF(Tables!$B$2=2,P101,IF(Tables!$B$2=4,Q101,IF(Tables!$B$2=5,R101,IF(Tables!$B$2=3,S101,0)))))</f>
        <v>290732.929979556</v>
      </c>
    </row>
    <row r="102" customFormat="false" ht="12.75" hidden="false" customHeight="false" outlineLevel="0" collapsed="false">
      <c r="A102" s="21" t="n">
        <v>39845</v>
      </c>
      <c r="B102" s="22" t="n">
        <v>27.3252970195952</v>
      </c>
      <c r="C102" s="23" t="n">
        <v>32.15</v>
      </c>
      <c r="D102" s="24" t="n">
        <v>25.5962501525879</v>
      </c>
      <c r="E102" s="25" t="n">
        <v>25.0974994659424</v>
      </c>
      <c r="F102" s="26" t="n">
        <f aca="false">VLOOKUP(MONTH(A102),ScalarTable,2,0)</f>
        <v>1.00808025404509</v>
      </c>
      <c r="G102" s="27" t="n">
        <f aca="false">+F102*C102</f>
        <v>32.4097801675497</v>
      </c>
      <c r="I102" s="26" t="n">
        <f aca="false">VLOOKUP(MONTH(A102),ScalarTable,3,0)</f>
        <v>0.991919745954909</v>
      </c>
      <c r="J102" s="28" t="n">
        <f aca="false">C102*I102</f>
        <v>31.8902198324503</v>
      </c>
      <c r="K102" s="29" t="n">
        <f aca="false">D102*F102</f>
        <v>25.8030743564225</v>
      </c>
      <c r="L102" s="28" t="n">
        <f aca="false">D102*I102</f>
        <v>25.3894259487533</v>
      </c>
      <c r="M102" s="30" t="n">
        <f aca="false">E102*F102</f>
        <v>25.3002936375237</v>
      </c>
      <c r="O102" s="31"/>
      <c r="P102" s="32"/>
      <c r="Q102" s="33" t="n">
        <v>339928.674978361</v>
      </c>
      <c r="R102" s="33" t="n">
        <v>281018.17143465</v>
      </c>
      <c r="S102" s="33"/>
      <c r="T102" s="34" t="n">
        <f aca="false">IF(Tables!$B$2=1,'NY Curve'!O102,IF(Tables!$B$2=2,P102,IF(Tables!$B$2=4,Q102,IF(Tables!$B$2=5,R102,IF(Tables!$B$2=3,S102,0)))))</f>
        <v>281018.17143465</v>
      </c>
    </row>
    <row r="103" customFormat="false" ht="12.75" hidden="false" customHeight="false" outlineLevel="0" collapsed="false">
      <c r="A103" s="21" t="n">
        <v>39873</v>
      </c>
      <c r="B103" s="22" t="n">
        <v>23.0641782669794</v>
      </c>
      <c r="C103" s="23" t="n">
        <v>27.15</v>
      </c>
      <c r="D103" s="24" t="n">
        <v>18.7847496032715</v>
      </c>
      <c r="E103" s="25" t="n">
        <v>20.4144989013672</v>
      </c>
      <c r="F103" s="26" t="n">
        <f aca="false">VLOOKUP(MONTH(A103),ScalarTable,2,0)</f>
        <v>1.0080875</v>
      </c>
      <c r="G103" s="27" t="n">
        <f aca="false">+F103*C103</f>
        <v>27.369575625</v>
      </c>
      <c r="I103" s="26" t="n">
        <f aca="false">VLOOKUP(MONTH(A103),ScalarTable,3,0)</f>
        <v>0.9919125</v>
      </c>
      <c r="J103" s="28" t="n">
        <f aca="false">C103*I103</f>
        <v>26.930424375</v>
      </c>
      <c r="K103" s="29" t="n">
        <f aca="false">D103*F103</f>
        <v>18.9366712656879</v>
      </c>
      <c r="L103" s="28" t="n">
        <f aca="false">D103*I103</f>
        <v>18.632827940855</v>
      </c>
      <c r="M103" s="30" t="n">
        <f aca="false">E103*F103</f>
        <v>20.579601161232</v>
      </c>
      <c r="O103" s="31"/>
      <c r="P103" s="32"/>
      <c r="Q103" s="33" t="n">
        <v>194380.812159554</v>
      </c>
      <c r="R103" s="33" t="n">
        <v>179973.897858915</v>
      </c>
      <c r="S103" s="33"/>
      <c r="T103" s="34" t="n">
        <f aca="false">IF(Tables!$B$2=1,'NY Curve'!O103,IF(Tables!$B$2=2,P103,IF(Tables!$B$2=4,Q103,IF(Tables!$B$2=5,R103,IF(Tables!$B$2=3,S103,0)))))</f>
        <v>179973.897858915</v>
      </c>
    </row>
    <row r="104" customFormat="false" ht="12.75" hidden="false" customHeight="false" outlineLevel="0" collapsed="false">
      <c r="A104" s="21" t="n">
        <v>39904</v>
      </c>
      <c r="B104" s="22" t="n">
        <v>22.5336898440406</v>
      </c>
      <c r="C104" s="23" t="n">
        <v>25.9</v>
      </c>
      <c r="D104" s="24" t="n">
        <v>19.4675003051758</v>
      </c>
      <c r="E104" s="25" t="n">
        <v>20.1849990844727</v>
      </c>
      <c r="F104" s="26" t="n">
        <f aca="false">VLOOKUP(MONTH(A104),ScalarTable,2,0)</f>
        <v>1.07269528338234</v>
      </c>
      <c r="G104" s="27" t="n">
        <f aca="false">+F104*C104</f>
        <v>27.7828078396026</v>
      </c>
      <c r="I104" s="26" t="n">
        <f aca="false">VLOOKUP(MONTH(A104),ScalarTable,3,0)</f>
        <v>0.92730471661766</v>
      </c>
      <c r="J104" s="28" t="n">
        <f aca="false">C104*I104</f>
        <v>24.0171921603974</v>
      </c>
      <c r="K104" s="29" t="n">
        <f aca="false">D104*F104</f>
        <v>20.8826957566063</v>
      </c>
      <c r="L104" s="28" t="n">
        <f aca="false">D104*I104</f>
        <v>18.0523048537452</v>
      </c>
      <c r="M104" s="30" t="n">
        <f aca="false">E104*F104</f>
        <v>21.6523533129907</v>
      </c>
      <c r="O104" s="31"/>
      <c r="P104" s="32"/>
      <c r="Q104" s="33" t="n">
        <v>211255.89166098</v>
      </c>
      <c r="R104" s="33" t="n">
        <v>205907.232765059</v>
      </c>
      <c r="S104" s="33"/>
      <c r="T104" s="34" t="n">
        <f aca="false">IF(Tables!$B$2=1,'NY Curve'!O104,IF(Tables!$B$2=2,P104,IF(Tables!$B$2=4,Q104,IF(Tables!$B$2=5,R104,IF(Tables!$B$2=3,S104,0)))))</f>
        <v>205907.232765059</v>
      </c>
    </row>
    <row r="105" customFormat="false" ht="12.75" hidden="false" customHeight="false" outlineLevel="0" collapsed="false">
      <c r="A105" s="21" t="n">
        <v>39934</v>
      </c>
      <c r="B105" s="22" t="n">
        <v>24.6496422903878</v>
      </c>
      <c r="C105" s="23" t="n">
        <v>30.15</v>
      </c>
      <c r="D105" s="24" t="n">
        <v>19.5825000762939</v>
      </c>
      <c r="E105" s="25" t="n">
        <v>20.7149997711182</v>
      </c>
      <c r="F105" s="26" t="n">
        <f aca="false">VLOOKUP(MONTH(A105),ScalarTable,2,0)</f>
        <v>1.05849023799053</v>
      </c>
      <c r="G105" s="27" t="n">
        <f aca="false">+F105*C105</f>
        <v>31.9134806754144</v>
      </c>
      <c r="I105" s="26" t="n">
        <f aca="false">VLOOKUP(MONTH(A105),ScalarTable,3,0)</f>
        <v>0.941509762009471</v>
      </c>
      <c r="J105" s="28" t="n">
        <f aca="false">C105*I105</f>
        <v>28.3865193245856</v>
      </c>
      <c r="K105" s="29" t="n">
        <f aca="false">D105*F105</f>
        <v>20.7278851662059</v>
      </c>
      <c r="L105" s="28" t="n">
        <f aca="false">D105*I105</f>
        <v>18.437114986382</v>
      </c>
      <c r="M105" s="30" t="n">
        <f aca="false">E105*F105</f>
        <v>21.9266250377046</v>
      </c>
      <c r="O105" s="31"/>
      <c r="P105" s="32"/>
      <c r="Q105" s="33" t="n">
        <v>410180.609675762</v>
      </c>
      <c r="R105" s="33" t="n">
        <v>340913.258928544</v>
      </c>
      <c r="S105" s="33"/>
      <c r="T105" s="34" t="n">
        <f aca="false">IF(Tables!$B$2=1,'NY Curve'!O105,IF(Tables!$B$2=2,P105,IF(Tables!$B$2=4,Q105,IF(Tables!$B$2=5,R105,IF(Tables!$B$2=3,S105,0)))))</f>
        <v>340913.258928544</v>
      </c>
    </row>
    <row r="106" customFormat="false" ht="12.75" hidden="false" customHeight="false" outlineLevel="0" collapsed="false">
      <c r="A106" s="21" t="n">
        <v>39965</v>
      </c>
      <c r="B106" s="22" t="n">
        <v>34.6680353800456</v>
      </c>
      <c r="C106" s="23" t="n">
        <v>50.25</v>
      </c>
      <c r="D106" s="24" t="n">
        <v>24.0087501525879</v>
      </c>
      <c r="E106" s="25" t="n">
        <v>19.4924995422363</v>
      </c>
      <c r="F106" s="26" t="n">
        <f aca="false">VLOOKUP(MONTH(A106),ScalarTable,2,0)</f>
        <v>1.16938304743531</v>
      </c>
      <c r="G106" s="27" t="n">
        <f aca="false">+F106*C106</f>
        <v>58.7614981336241</v>
      </c>
      <c r="I106" s="26" t="n">
        <f aca="false">VLOOKUP(MONTH(A106),ScalarTable,3,0)</f>
        <v>0.83061695843935</v>
      </c>
      <c r="J106" s="28" t="n">
        <f aca="false">C106*I106</f>
        <v>41.7385021615773</v>
      </c>
      <c r="K106" s="29" t="n">
        <f aca="false">D106*F106</f>
        <v>28.0754254185461</v>
      </c>
      <c r="L106" s="28" t="n">
        <f aca="false">D106*I106</f>
        <v>19.9420750276728</v>
      </c>
      <c r="M106" s="30" t="n">
        <f aca="false">E106*F106</f>
        <v>22.7941985168316</v>
      </c>
      <c r="O106" s="31"/>
      <c r="P106" s="32"/>
      <c r="Q106" s="33" t="n">
        <v>1249968.85141144</v>
      </c>
      <c r="R106" s="33" t="n">
        <v>1123310.18523125</v>
      </c>
      <c r="S106" s="33"/>
      <c r="T106" s="34" t="n">
        <f aca="false">IF(Tables!$B$2=1,'NY Curve'!O106,IF(Tables!$B$2=2,P106,IF(Tables!$B$2=4,Q106,IF(Tables!$B$2=5,R106,IF(Tables!$B$2=3,S106,0)))))</f>
        <v>1123310.18523125</v>
      </c>
    </row>
    <row r="107" customFormat="false" ht="12.75" hidden="false" customHeight="false" outlineLevel="0" collapsed="false">
      <c r="A107" s="21" t="n">
        <v>39995</v>
      </c>
      <c r="B107" s="22" t="n">
        <v>50.1298207419259</v>
      </c>
      <c r="C107" s="23" t="n">
        <v>76</v>
      </c>
      <c r="D107" s="24" t="n">
        <v>37.2112495422363</v>
      </c>
      <c r="E107" s="25" t="n">
        <v>28.6974994659424</v>
      </c>
      <c r="F107" s="26" t="n">
        <f aca="false">VLOOKUP(MONTH(A107),ScalarTable,2,0)</f>
        <v>1.22140709971076</v>
      </c>
      <c r="G107" s="27" t="n">
        <f aca="false">+F107*C107</f>
        <v>92.8269395780178</v>
      </c>
      <c r="I107" s="26" t="n">
        <f aca="false">VLOOKUP(MONTH(A107),ScalarTable,3,0)</f>
        <v>0.7785929068923</v>
      </c>
      <c r="J107" s="28" t="n">
        <f aca="false">C107*I107</f>
        <v>59.1730609238148</v>
      </c>
      <c r="K107" s="29" t="n">
        <f aca="false">D107*F107</f>
        <v>45.4500843799963</v>
      </c>
      <c r="L107" s="28" t="n">
        <f aca="false">D107*I107</f>
        <v>28.9724149501846</v>
      </c>
      <c r="M107" s="30" t="n">
        <f aca="false">E107*F107</f>
        <v>35.0513295916478</v>
      </c>
      <c r="O107" s="31"/>
      <c r="P107" s="32"/>
      <c r="Q107" s="33" t="n">
        <v>3138201.14137945</v>
      </c>
      <c r="R107" s="33" t="n">
        <v>2803037.15820344</v>
      </c>
      <c r="S107" s="33"/>
      <c r="T107" s="34" t="n">
        <f aca="false">IF(Tables!$B$2=1,'NY Curve'!O107,IF(Tables!$B$2=2,P107,IF(Tables!$B$2=4,Q107,IF(Tables!$B$2=5,R107,IF(Tables!$B$2=3,S107,0)))))</f>
        <v>2803037.15820344</v>
      </c>
    </row>
    <row r="108" customFormat="false" ht="12.75" hidden="false" customHeight="false" outlineLevel="0" collapsed="false">
      <c r="A108" s="21" t="n">
        <v>40026</v>
      </c>
      <c r="B108" s="22" t="n">
        <v>47.1786900111607</v>
      </c>
      <c r="C108" s="23" t="n">
        <v>68.5</v>
      </c>
      <c r="D108" s="24" t="n">
        <v>39.4724990844727</v>
      </c>
      <c r="E108" s="25" t="n">
        <v>30.1950008392334</v>
      </c>
      <c r="F108" s="26" t="n">
        <f aca="false">VLOOKUP(MONTH(A108),ScalarTable,2,0)</f>
        <v>1.15768142863174</v>
      </c>
      <c r="G108" s="27" t="n">
        <f aca="false">+F108*C108</f>
        <v>79.3011778612741</v>
      </c>
      <c r="I108" s="26" t="n">
        <f aca="false">VLOOKUP(MONTH(A108),ScalarTable,3,0)</f>
        <v>0.842099040746689</v>
      </c>
      <c r="J108" s="28" t="n">
        <f aca="false">C108*I108</f>
        <v>57.6837842911482</v>
      </c>
      <c r="K108" s="29" t="n">
        <f aca="false">D108*F108</f>
        <v>45.6965791317773</v>
      </c>
      <c r="L108" s="28" t="n">
        <f aca="false">D108*I108</f>
        <v>33.239753614909</v>
      </c>
      <c r="M108" s="30" t="n">
        <f aca="false">E108*F108</f>
        <v>34.9561917091003</v>
      </c>
      <c r="O108" s="31"/>
      <c r="P108" s="32"/>
      <c r="Q108" s="33" t="n">
        <v>3038333.88071991</v>
      </c>
      <c r="R108" s="33" t="n">
        <v>2699102.05117036</v>
      </c>
      <c r="S108" s="33"/>
      <c r="T108" s="34" t="n">
        <f aca="false">IF(Tables!$B$2=1,'NY Curve'!O108,IF(Tables!$B$2=2,P108,IF(Tables!$B$2=4,Q108,IF(Tables!$B$2=5,R108,IF(Tables!$B$2=3,S108,0)))))</f>
        <v>2699102.05117036</v>
      </c>
    </row>
    <row r="109" customFormat="false" ht="12.75" hidden="false" customHeight="false" outlineLevel="0" collapsed="false">
      <c r="A109" s="21" t="n">
        <v>40057</v>
      </c>
      <c r="B109" s="22" t="n">
        <v>23.2247614451817</v>
      </c>
      <c r="C109" s="23" t="n">
        <v>30.15</v>
      </c>
      <c r="D109" s="24" t="n">
        <v>16.0799995422363</v>
      </c>
      <c r="E109" s="25" t="n">
        <v>13.6600004196167</v>
      </c>
      <c r="F109" s="26" t="n">
        <f aca="false">VLOOKUP(MONTH(A109),ScalarTable,2,0)</f>
        <v>1.09653379232051</v>
      </c>
      <c r="G109" s="27" t="n">
        <f aca="false">+F109*C109</f>
        <v>33.0604938384634</v>
      </c>
      <c r="I109" s="26" t="n">
        <f aca="false">VLOOKUP(MONTH(A109),ScalarTable,3,0)</f>
        <v>0.903466207679489</v>
      </c>
      <c r="J109" s="28" t="n">
        <f aca="false">C109*I109</f>
        <v>27.2395061615366</v>
      </c>
      <c r="K109" s="29" t="n">
        <f aca="false">D109*F109</f>
        <v>17.6322628785605</v>
      </c>
      <c r="L109" s="28" t="n">
        <f aca="false">D109*I109</f>
        <v>14.5277362059122</v>
      </c>
      <c r="M109" s="30" t="n">
        <f aca="false">E109*F109</f>
        <v>14.9786520632221</v>
      </c>
      <c r="O109" s="31"/>
      <c r="P109" s="32"/>
      <c r="Q109" s="33" t="n">
        <v>490617.982984397</v>
      </c>
      <c r="R109" s="33" t="n">
        <v>407174.678400288</v>
      </c>
      <c r="S109" s="33"/>
      <c r="T109" s="34" t="n">
        <f aca="false">IF(Tables!$B$2=1,'NY Curve'!O109,IF(Tables!$B$2=2,P109,IF(Tables!$B$2=4,Q109,IF(Tables!$B$2=5,R109,IF(Tables!$B$2=3,S109,0)))))</f>
        <v>407174.678400288</v>
      </c>
    </row>
    <row r="110" customFormat="false" ht="12.75" hidden="false" customHeight="false" outlineLevel="0" collapsed="false">
      <c r="A110" s="21" t="n">
        <v>40087</v>
      </c>
      <c r="B110" s="22" t="n">
        <v>22.8668806711833</v>
      </c>
      <c r="C110" s="23" t="n">
        <v>25.9</v>
      </c>
      <c r="D110" s="24" t="n">
        <v>20.9505001068115</v>
      </c>
      <c r="E110" s="25" t="n">
        <v>20.9509998321533</v>
      </c>
      <c r="F110" s="26" t="n">
        <f aca="false">VLOOKUP(MONTH(A110),ScalarTable,2,0)</f>
        <v>1.0119875</v>
      </c>
      <c r="G110" s="27" t="n">
        <f aca="false">+F110*C110</f>
        <v>26.21047625</v>
      </c>
      <c r="I110" s="26" t="n">
        <f aca="false">VLOOKUP(MONTH(A110),ScalarTable,3,0)</f>
        <v>0.9880125</v>
      </c>
      <c r="J110" s="28" t="n">
        <f aca="false">C110*I110</f>
        <v>25.58952375</v>
      </c>
      <c r="K110" s="29" t="n">
        <f aca="false">D110*F110</f>
        <v>21.2016442268419</v>
      </c>
      <c r="L110" s="28" t="n">
        <f aca="false">D110*I110</f>
        <v>20.6993559867811</v>
      </c>
      <c r="M110" s="30" t="n">
        <f aca="false">E110*F110</f>
        <v>21.2021499426413</v>
      </c>
      <c r="O110" s="31"/>
      <c r="P110" s="32"/>
      <c r="Q110" s="33" t="n">
        <v>197342.786353198</v>
      </c>
      <c r="R110" s="33" t="n">
        <v>157606.01683218</v>
      </c>
      <c r="S110" s="33"/>
      <c r="T110" s="34" t="n">
        <f aca="false">IF(Tables!$B$2=1,'NY Curve'!O110,IF(Tables!$B$2=2,P110,IF(Tables!$B$2=4,Q110,IF(Tables!$B$2=5,R110,IF(Tables!$B$2=3,S110,0)))))</f>
        <v>157606.01683218</v>
      </c>
    </row>
    <row r="111" customFormat="false" ht="12.75" hidden="false" customHeight="false" outlineLevel="0" collapsed="false">
      <c r="A111" s="21" t="n">
        <v>40118</v>
      </c>
      <c r="B111" s="22" t="n">
        <v>23.3739402226039</v>
      </c>
      <c r="C111" s="23" t="n">
        <v>26.4</v>
      </c>
      <c r="D111" s="24" t="n">
        <v>21.9547515869141</v>
      </c>
      <c r="E111" s="25" t="n">
        <v>21.9544998168945</v>
      </c>
      <c r="F111" s="26" t="n">
        <f aca="false">VLOOKUP(MONTH(A111),ScalarTable,2,0)</f>
        <v>1.01585</v>
      </c>
      <c r="G111" s="27" t="n">
        <f aca="false">+F111*C111</f>
        <v>26.81844</v>
      </c>
      <c r="I111" s="26" t="n">
        <f aca="false">VLOOKUP(MONTH(A111),ScalarTable,3,0)</f>
        <v>0.98415</v>
      </c>
      <c r="J111" s="28" t="n">
        <f aca="false">C111*I111</f>
        <v>25.98156</v>
      </c>
      <c r="K111" s="29" t="n">
        <f aca="false">D111*F111</f>
        <v>22.3027343995667</v>
      </c>
      <c r="L111" s="28" t="n">
        <f aca="false">D111*I111</f>
        <v>21.6067687742615</v>
      </c>
      <c r="M111" s="30" t="n">
        <f aca="false">E111*F111</f>
        <v>22.3024786389923</v>
      </c>
      <c r="O111" s="31"/>
      <c r="P111" s="32"/>
      <c r="Q111" s="33" t="n">
        <v>194190.391983587</v>
      </c>
      <c r="R111" s="33" t="n">
        <v>138614.804294136</v>
      </c>
      <c r="S111" s="33"/>
      <c r="T111" s="34" t="n">
        <f aca="false">IF(Tables!$B$2=1,'NY Curve'!O111,IF(Tables!$B$2=2,P111,IF(Tables!$B$2=4,Q111,IF(Tables!$B$2=5,R111,IF(Tables!$B$2=3,S111,0)))))</f>
        <v>138614.804294136</v>
      </c>
    </row>
    <row r="112" customFormat="false" ht="12.75" hidden="false" customHeight="false" outlineLevel="0" collapsed="false">
      <c r="A112" s="21" t="n">
        <v>40148</v>
      </c>
      <c r="B112" s="22" t="n">
        <v>24.1507137661888</v>
      </c>
      <c r="C112" s="23" t="n">
        <v>26.9</v>
      </c>
      <c r="D112" s="24" t="n">
        <v>23.4049983978271</v>
      </c>
      <c r="E112" s="25" t="n">
        <v>21.8999992370605</v>
      </c>
      <c r="F112" s="26" t="n">
        <f aca="false">VLOOKUP(MONTH(A112),ScalarTable,2,0)</f>
        <v>1.01532599180631</v>
      </c>
      <c r="G112" s="27" t="n">
        <f aca="false">+F112*C112</f>
        <v>27.3122691795898</v>
      </c>
      <c r="I112" s="26" t="n">
        <f aca="false">VLOOKUP(MONTH(A112),ScalarTable,3,0)</f>
        <v>0.984674008193689</v>
      </c>
      <c r="J112" s="28" t="n">
        <f aca="false">C112*I112</f>
        <v>26.4877308204102</v>
      </c>
      <c r="K112" s="29" t="n">
        <f aca="false">D112*F112</f>
        <v>23.763703211499</v>
      </c>
      <c r="L112" s="28" t="n">
        <f aca="false">D112*I112</f>
        <v>23.0462935841553</v>
      </c>
      <c r="M112" s="30" t="n">
        <f aca="false">E112*F112</f>
        <v>22.2356384459259</v>
      </c>
      <c r="O112" s="31"/>
      <c r="P112" s="32"/>
      <c r="Q112" s="33" t="n">
        <v>184660.812117363</v>
      </c>
      <c r="R112" s="33" t="n">
        <v>133892.622590718</v>
      </c>
      <c r="S112" s="33"/>
      <c r="T112" s="34" t="n">
        <f aca="false">IF(Tables!$B$2=1,'NY Curve'!O112,IF(Tables!$B$2=2,P112,IF(Tables!$B$2=4,Q112,IF(Tables!$B$2=5,R112,IF(Tables!$B$2=3,S112,0)))))</f>
        <v>133892.622590718</v>
      </c>
    </row>
    <row r="113" customFormat="false" ht="12.75" hidden="false" customHeight="false" outlineLevel="0" collapsed="false">
      <c r="A113" s="21" t="n">
        <v>40179</v>
      </c>
      <c r="B113" s="22" t="n">
        <v>28.0477976299468</v>
      </c>
      <c r="C113" s="23" t="n">
        <v>32.45</v>
      </c>
      <c r="D113" s="24" t="n">
        <v>26.7987483978271</v>
      </c>
      <c r="E113" s="25" t="n">
        <v>27.3025001525879</v>
      </c>
      <c r="F113" s="26" t="n">
        <f aca="false">VLOOKUP(MONTH(A113),ScalarTable,2,0)</f>
        <v>1.00808025404509</v>
      </c>
      <c r="G113" s="27" t="n">
        <f aca="false">+F113*C113</f>
        <v>32.7122042437632</v>
      </c>
      <c r="I113" s="26" t="n">
        <f aca="false">VLOOKUP(MONTH(A113),ScalarTable,3,0)</f>
        <v>0.991919745954909</v>
      </c>
      <c r="J113" s="28" t="n">
        <f aca="false">C113*I113</f>
        <v>32.1877957562368</v>
      </c>
      <c r="K113" s="29" t="n">
        <f aca="false">D113*F113</f>
        <v>27.0152890929721</v>
      </c>
      <c r="L113" s="28" t="n">
        <f aca="false">D113*I113</f>
        <v>26.5822077026822</v>
      </c>
      <c r="M113" s="30" t="n">
        <f aca="false">E113*F113</f>
        <v>27.5231112898869</v>
      </c>
      <c r="O113" s="31"/>
      <c r="P113" s="32"/>
      <c r="Q113" s="33" t="n">
        <v>347514.168755763</v>
      </c>
      <c r="R113" s="33" t="n">
        <v>274938.655106102</v>
      </c>
      <c r="S113" s="33"/>
      <c r="T113" s="34" t="n">
        <f aca="false">IF(Tables!$B$2=1,'NY Curve'!O113,IF(Tables!$B$2=2,P113,IF(Tables!$B$2=4,Q113,IF(Tables!$B$2=5,R113,IF(Tables!$B$2=3,S113,0)))))</f>
        <v>274938.655106102</v>
      </c>
    </row>
    <row r="114" customFormat="false" ht="12.75" hidden="false" customHeight="false" outlineLevel="0" collapsed="false">
      <c r="A114" s="21" t="n">
        <v>40210</v>
      </c>
      <c r="B114" s="22" t="n">
        <v>27.5729160672142</v>
      </c>
      <c r="C114" s="23" t="n">
        <v>32.45</v>
      </c>
      <c r="D114" s="24" t="n">
        <v>25.7962501525879</v>
      </c>
      <c r="E114" s="25" t="n">
        <v>25.2974994659424</v>
      </c>
      <c r="F114" s="26" t="n">
        <f aca="false">VLOOKUP(MONTH(A114),ScalarTable,2,0)</f>
        <v>1.00808025404509</v>
      </c>
      <c r="G114" s="27" t="n">
        <f aca="false">+F114*C114</f>
        <v>32.7122042437632</v>
      </c>
      <c r="I114" s="26" t="n">
        <f aca="false">VLOOKUP(MONTH(A114),ScalarTable,3,0)</f>
        <v>0.991919745954909</v>
      </c>
      <c r="J114" s="28" t="n">
        <f aca="false">C114*I114</f>
        <v>32.1877957562368</v>
      </c>
      <c r="K114" s="29" t="n">
        <f aca="false">D114*F114</f>
        <v>26.0046904072315</v>
      </c>
      <c r="L114" s="28" t="n">
        <f aca="false">D114*I114</f>
        <v>25.5878098979443</v>
      </c>
      <c r="M114" s="30" t="n">
        <f aca="false">E114*F114</f>
        <v>25.5019096883328</v>
      </c>
      <c r="O114" s="31"/>
      <c r="P114" s="32"/>
      <c r="Q114" s="33" t="n">
        <v>331180.511255005</v>
      </c>
      <c r="R114" s="33" t="n">
        <v>273118.350333124</v>
      </c>
      <c r="S114" s="33"/>
      <c r="T114" s="34" t="n">
        <f aca="false">IF(Tables!$B$2=1,'NY Curve'!O114,IF(Tables!$B$2=2,P114,IF(Tables!$B$2=4,Q114,IF(Tables!$B$2=5,R114,IF(Tables!$B$2=3,S114,0)))))</f>
        <v>273118.350333124</v>
      </c>
    </row>
    <row r="115" customFormat="false" ht="12.75" hidden="false" customHeight="false" outlineLevel="0" collapsed="false">
      <c r="A115" s="21" t="n">
        <v>40238</v>
      </c>
      <c r="B115" s="22" t="n">
        <v>23.3117973145984</v>
      </c>
      <c r="C115" s="23" t="n">
        <v>27.45</v>
      </c>
      <c r="D115" s="24" t="n">
        <v>18.9847496032715</v>
      </c>
      <c r="E115" s="25" t="n">
        <v>20.6144989013672</v>
      </c>
      <c r="F115" s="26" t="n">
        <f aca="false">VLOOKUP(MONTH(A115),ScalarTable,2,0)</f>
        <v>1.0080875</v>
      </c>
      <c r="G115" s="27" t="n">
        <f aca="false">+F115*C115</f>
        <v>27.672001875</v>
      </c>
      <c r="I115" s="26" t="n">
        <f aca="false">VLOOKUP(MONTH(A115),ScalarTable,3,0)</f>
        <v>0.9919125</v>
      </c>
      <c r="J115" s="28" t="n">
        <f aca="false">C115*I115</f>
        <v>27.227998125</v>
      </c>
      <c r="K115" s="29" t="n">
        <f aca="false">D115*F115</f>
        <v>19.1382887656879</v>
      </c>
      <c r="L115" s="28" t="n">
        <f aca="false">D115*I115</f>
        <v>18.831210440855</v>
      </c>
      <c r="M115" s="30" t="n">
        <f aca="false">E115*F115</f>
        <v>20.781218661232</v>
      </c>
      <c r="O115" s="31"/>
      <c r="P115" s="32"/>
      <c r="Q115" s="33" t="n">
        <v>196369.768573772</v>
      </c>
      <c r="R115" s="33" t="n">
        <v>181687.421651962</v>
      </c>
      <c r="S115" s="33"/>
      <c r="T115" s="34" t="n">
        <f aca="false">IF(Tables!$B$2=1,'NY Curve'!O115,IF(Tables!$B$2=2,P115,IF(Tables!$B$2=4,Q115,IF(Tables!$B$2=5,R115,IF(Tables!$B$2=3,S115,0)))))</f>
        <v>181687.421651962</v>
      </c>
    </row>
    <row r="116" customFormat="false" ht="12.75" hidden="false" customHeight="false" outlineLevel="0" collapsed="false">
      <c r="A116" s="21" t="n">
        <v>40269</v>
      </c>
      <c r="B116" s="22" t="n">
        <v>22.7813088916597</v>
      </c>
      <c r="C116" s="23" t="n">
        <v>26.2</v>
      </c>
      <c r="D116" s="24" t="n">
        <v>19.6675003051758</v>
      </c>
      <c r="E116" s="25" t="n">
        <v>20.3849990844727</v>
      </c>
      <c r="F116" s="26" t="n">
        <f aca="false">VLOOKUP(MONTH(A116),ScalarTable,2,0)</f>
        <v>1.07269528338234</v>
      </c>
      <c r="G116" s="27" t="n">
        <f aca="false">+F116*C116</f>
        <v>28.1046164246173</v>
      </c>
      <c r="I116" s="26" t="n">
        <f aca="false">VLOOKUP(MONTH(A116),ScalarTable,3,0)</f>
        <v>0.92730471661766</v>
      </c>
      <c r="J116" s="28" t="n">
        <f aca="false">C116*I116</f>
        <v>24.2953835753827</v>
      </c>
      <c r="K116" s="29" t="n">
        <f aca="false">D116*F116</f>
        <v>21.0972348132828</v>
      </c>
      <c r="L116" s="28" t="n">
        <f aca="false">D116*I116</f>
        <v>18.2377657970688</v>
      </c>
      <c r="M116" s="30" t="n">
        <f aca="false">E116*F116</f>
        <v>21.8668923696671</v>
      </c>
      <c r="O116" s="31"/>
      <c r="P116" s="32"/>
      <c r="Q116" s="33" t="n">
        <v>203815.565052853</v>
      </c>
      <c r="R116" s="33" t="n">
        <v>198203.064842316</v>
      </c>
      <c r="S116" s="33"/>
      <c r="T116" s="34" t="n">
        <f aca="false">IF(Tables!$B$2=1,'NY Curve'!O116,IF(Tables!$B$2=2,P116,IF(Tables!$B$2=4,Q116,IF(Tables!$B$2=5,R116,IF(Tables!$B$2=3,S116,0)))))</f>
        <v>198203.064842316</v>
      </c>
    </row>
    <row r="117" customFormat="false" ht="12.75" hidden="false" customHeight="false" outlineLevel="0" collapsed="false">
      <c r="A117" s="21" t="n">
        <v>40299</v>
      </c>
      <c r="B117" s="22" t="n">
        <v>24.992499433245</v>
      </c>
      <c r="C117" s="23" t="n">
        <v>30.65</v>
      </c>
      <c r="D117" s="24" t="n">
        <v>19.7825000762939</v>
      </c>
      <c r="E117" s="25" t="n">
        <v>20.9149997711182</v>
      </c>
      <c r="F117" s="26" t="n">
        <f aca="false">VLOOKUP(MONTH(A117),ScalarTable,2,0)</f>
        <v>1.05849023799053</v>
      </c>
      <c r="G117" s="27" t="n">
        <f aca="false">+F117*C117</f>
        <v>32.4427257944097</v>
      </c>
      <c r="I117" s="26" t="n">
        <f aca="false">VLOOKUP(MONTH(A117),ScalarTable,3,0)</f>
        <v>0.941509762009471</v>
      </c>
      <c r="J117" s="28" t="n">
        <f aca="false">C117*I117</f>
        <v>28.8572742055903</v>
      </c>
      <c r="K117" s="29" t="n">
        <f aca="false">D117*F117</f>
        <v>20.939583213804</v>
      </c>
      <c r="L117" s="28" t="n">
        <f aca="false">D117*I117</f>
        <v>18.6254169387839</v>
      </c>
      <c r="M117" s="30" t="n">
        <f aca="false">E117*F117</f>
        <v>22.1383230853027</v>
      </c>
      <c r="O117" s="31"/>
      <c r="P117" s="32"/>
      <c r="Q117" s="33" t="n">
        <v>404544.388128031</v>
      </c>
      <c r="R117" s="33" t="n">
        <v>335788.132487055</v>
      </c>
      <c r="S117" s="33"/>
      <c r="T117" s="34" t="n">
        <f aca="false">IF(Tables!$B$2=1,'NY Curve'!O117,IF(Tables!$B$2=2,P117,IF(Tables!$B$2=4,Q117,IF(Tables!$B$2=5,R117,IF(Tables!$B$2=3,S117,0)))))</f>
        <v>335788.132487055</v>
      </c>
    </row>
    <row r="118" customFormat="false" ht="12.75" hidden="false" customHeight="false" outlineLevel="0" collapsed="false">
      <c r="A118" s="21" t="n">
        <v>40330</v>
      </c>
      <c r="B118" s="22" t="n">
        <v>35.248987760998</v>
      </c>
      <c r="C118" s="23" t="n">
        <v>51.25</v>
      </c>
      <c r="D118" s="24" t="n">
        <v>24.2087501525879</v>
      </c>
      <c r="E118" s="25" t="n">
        <v>19.6924995422363</v>
      </c>
      <c r="F118" s="26" t="n">
        <f aca="false">VLOOKUP(MONTH(A118),ScalarTable,2,0)</f>
        <v>1.16938304743531</v>
      </c>
      <c r="G118" s="27" t="n">
        <f aca="false">+F118*C118</f>
        <v>59.9308811810594</v>
      </c>
      <c r="I118" s="26" t="n">
        <f aca="false">VLOOKUP(MONTH(A118),ScalarTable,3,0)</f>
        <v>0.83061695843935</v>
      </c>
      <c r="J118" s="28" t="n">
        <f aca="false">C118*I118</f>
        <v>42.5691191200167</v>
      </c>
      <c r="K118" s="29" t="n">
        <f aca="false">D118*F118</f>
        <v>28.3093020280331</v>
      </c>
      <c r="L118" s="28" t="n">
        <f aca="false">D118*I118</f>
        <v>20.1081984193607</v>
      </c>
      <c r="M118" s="30" t="n">
        <f aca="false">E118*F118</f>
        <v>23.0280751263187</v>
      </c>
      <c r="O118" s="31"/>
      <c r="P118" s="32"/>
      <c r="Q118" s="33" t="n">
        <v>1299522.81283358</v>
      </c>
      <c r="R118" s="33" t="n">
        <v>1168509.50466806</v>
      </c>
      <c r="S118" s="33"/>
      <c r="T118" s="34" t="n">
        <f aca="false">IF(Tables!$B$2=1,'NY Curve'!O118,IF(Tables!$B$2=2,P118,IF(Tables!$B$2=4,Q118,IF(Tables!$B$2=5,R118,IF(Tables!$B$2=3,S118,0)))))</f>
        <v>1168509.50466806</v>
      </c>
    </row>
    <row r="119" customFormat="false" ht="12.75" hidden="false" customHeight="false" outlineLevel="0" collapsed="false">
      <c r="A119" s="21" t="n">
        <v>40360</v>
      </c>
      <c r="B119" s="22" t="n">
        <v>51.1869635990688</v>
      </c>
      <c r="C119" s="23" t="n">
        <v>78</v>
      </c>
      <c r="D119" s="24" t="n">
        <v>37.4112495422364</v>
      </c>
      <c r="E119" s="25" t="n">
        <v>28.8974994659424</v>
      </c>
      <c r="F119" s="26" t="n">
        <f aca="false">VLOOKUP(MONTH(A119),ScalarTable,2,0)</f>
        <v>1.22140709971076</v>
      </c>
      <c r="G119" s="27" t="n">
        <f aca="false">+F119*C119</f>
        <v>95.2697537774393</v>
      </c>
      <c r="I119" s="26" t="n">
        <f aca="false">VLOOKUP(MONTH(A119),ScalarTable,3,0)</f>
        <v>0.7785929068923</v>
      </c>
      <c r="J119" s="28" t="n">
        <f aca="false">C119*I119</f>
        <v>60.7302467375994</v>
      </c>
      <c r="K119" s="29" t="n">
        <f aca="false">D119*F119</f>
        <v>45.6943657999384</v>
      </c>
      <c r="L119" s="28" t="n">
        <f aca="false">D119*I119</f>
        <v>29.128133531563</v>
      </c>
      <c r="M119" s="30" t="n">
        <f aca="false">E119*F119</f>
        <v>35.2956110115899</v>
      </c>
      <c r="O119" s="31"/>
      <c r="P119" s="32"/>
      <c r="Q119" s="33" t="n">
        <v>3136213.59128439</v>
      </c>
      <c r="R119" s="33" t="n">
        <v>2793700.83530395</v>
      </c>
      <c r="S119" s="33"/>
      <c r="T119" s="34" t="n">
        <f aca="false">IF(Tables!$B$2=1,'NY Curve'!O119,IF(Tables!$B$2=2,P119,IF(Tables!$B$2=4,Q119,IF(Tables!$B$2=5,R119,IF(Tables!$B$2=3,S119,0)))))</f>
        <v>2793700.83530395</v>
      </c>
    </row>
    <row r="120" customFormat="false" ht="12.75" hidden="false" customHeight="false" outlineLevel="0" collapsed="false">
      <c r="A120" s="21" t="n">
        <v>40391</v>
      </c>
      <c r="B120" s="22" t="n">
        <v>48.2358328683036</v>
      </c>
      <c r="C120" s="23" t="n">
        <v>70.5</v>
      </c>
      <c r="D120" s="24" t="n">
        <v>39.6724990844727</v>
      </c>
      <c r="E120" s="25" t="n">
        <v>30.3950008392334</v>
      </c>
      <c r="F120" s="26" t="n">
        <f aca="false">VLOOKUP(MONTH(A120),ScalarTable,2,0)</f>
        <v>1.15768142863174</v>
      </c>
      <c r="G120" s="27" t="n">
        <f aca="false">+F120*C120</f>
        <v>81.6165407185376</v>
      </c>
      <c r="I120" s="26" t="n">
        <f aca="false">VLOOKUP(MONTH(A120),ScalarTable,3,0)</f>
        <v>0.842099040746689</v>
      </c>
      <c r="J120" s="28" t="n">
        <f aca="false">C120*I120</f>
        <v>59.3679823726416</v>
      </c>
      <c r="K120" s="29" t="n">
        <f aca="false">D120*F120</f>
        <v>45.9281154175037</v>
      </c>
      <c r="L120" s="28" t="n">
        <f aca="false">D120*I120</f>
        <v>33.4081734230583</v>
      </c>
      <c r="M120" s="30" t="n">
        <f aca="false">E120*F120</f>
        <v>35.1877279948266</v>
      </c>
      <c r="O120" s="31"/>
      <c r="P120" s="32"/>
      <c r="Q120" s="33" t="n">
        <v>3182916.65578063</v>
      </c>
      <c r="R120" s="33" t="n">
        <v>2832598.67220173</v>
      </c>
      <c r="S120" s="33"/>
      <c r="T120" s="34" t="n">
        <f aca="false">IF(Tables!$B$2=1,'NY Curve'!O120,IF(Tables!$B$2=2,P120,IF(Tables!$B$2=4,Q120,IF(Tables!$B$2=5,R120,IF(Tables!$B$2=3,S120,0)))))</f>
        <v>2832598.67220173</v>
      </c>
    </row>
    <row r="121" customFormat="false" ht="12.75" hidden="false" customHeight="false" outlineLevel="0" collapsed="false">
      <c r="A121" s="21" t="n">
        <v>40422</v>
      </c>
      <c r="B121" s="22" t="n">
        <v>23.4723804928008</v>
      </c>
      <c r="C121" s="23" t="n">
        <v>30.45</v>
      </c>
      <c r="D121" s="24" t="n">
        <v>16.2799995422363</v>
      </c>
      <c r="E121" s="25" t="n">
        <v>13.8600004196167</v>
      </c>
      <c r="F121" s="26" t="n">
        <f aca="false">VLOOKUP(MONTH(A121),ScalarTable,2,0)</f>
        <v>1.09653379232051</v>
      </c>
      <c r="G121" s="27" t="n">
        <f aca="false">+F121*C121</f>
        <v>33.3894539761595</v>
      </c>
      <c r="I121" s="26" t="n">
        <f aca="false">VLOOKUP(MONTH(A121),ScalarTable,3,0)</f>
        <v>0.903466207679489</v>
      </c>
      <c r="J121" s="28" t="n">
        <f aca="false">C121*I121</f>
        <v>27.5105460238404</v>
      </c>
      <c r="K121" s="29" t="n">
        <f aca="false">D121*F121</f>
        <v>17.8515696370246</v>
      </c>
      <c r="L121" s="28" t="n">
        <f aca="false">D121*I121</f>
        <v>14.7084294474481</v>
      </c>
      <c r="M121" s="30" t="n">
        <f aca="false">E121*F121</f>
        <v>15.1979588216862</v>
      </c>
      <c r="O121" s="31"/>
      <c r="P121" s="32"/>
      <c r="Q121" s="33" t="n">
        <v>476530.241534148</v>
      </c>
      <c r="R121" s="33" t="n">
        <v>395237.578811473</v>
      </c>
      <c r="S121" s="33"/>
      <c r="T121" s="34" t="n">
        <f aca="false">IF(Tables!$B$2=1,'NY Curve'!O121,IF(Tables!$B$2=2,P121,IF(Tables!$B$2=4,Q121,IF(Tables!$B$2=5,R121,IF(Tables!$B$2=3,S121,0)))))</f>
        <v>395237.578811473</v>
      </c>
    </row>
    <row r="122" customFormat="false" ht="12.75" hidden="false" customHeight="false" outlineLevel="0" collapsed="false">
      <c r="A122" s="21" t="n">
        <v>40452</v>
      </c>
      <c r="B122" s="22" t="n">
        <v>23.1144997188023</v>
      </c>
      <c r="C122" s="23" t="n">
        <v>26.2</v>
      </c>
      <c r="D122" s="24" t="n">
        <v>21.1505001068115</v>
      </c>
      <c r="E122" s="25" t="n">
        <v>21.1509998321533</v>
      </c>
      <c r="F122" s="26" t="n">
        <f aca="false">VLOOKUP(MONTH(A122),ScalarTable,2,0)</f>
        <v>1.0119875</v>
      </c>
      <c r="G122" s="27" t="n">
        <f aca="false">+F122*C122</f>
        <v>26.5140725</v>
      </c>
      <c r="I122" s="26" t="n">
        <f aca="false">VLOOKUP(MONTH(A122),ScalarTable,3,0)</f>
        <v>0.9880125</v>
      </c>
      <c r="J122" s="28" t="n">
        <f aca="false">C122*I122</f>
        <v>25.8859275</v>
      </c>
      <c r="K122" s="29" t="n">
        <f aca="false">D122*F122</f>
        <v>21.4040417268419</v>
      </c>
      <c r="L122" s="28" t="n">
        <f aca="false">D122*I122</f>
        <v>20.8969584867811</v>
      </c>
      <c r="M122" s="30" t="n">
        <f aca="false">E122*F122</f>
        <v>21.4045474426413</v>
      </c>
      <c r="O122" s="31"/>
      <c r="P122" s="32"/>
      <c r="Q122" s="33" t="n">
        <v>179520.943579771</v>
      </c>
      <c r="R122" s="33" t="n">
        <v>143205.142469189</v>
      </c>
      <c r="S122" s="33"/>
      <c r="T122" s="34" t="n">
        <f aca="false">IF(Tables!$B$2=1,'NY Curve'!O122,IF(Tables!$B$2=2,P122,IF(Tables!$B$2=4,Q122,IF(Tables!$B$2=5,R122,IF(Tables!$B$2=3,S122,0)))))</f>
        <v>143205.142469189</v>
      </c>
    </row>
    <row r="123" customFormat="false" ht="12.75" hidden="false" customHeight="false" outlineLevel="0" collapsed="false">
      <c r="A123" s="21" t="n">
        <v>40483</v>
      </c>
      <c r="B123" s="22" t="n">
        <v>23.621559270223</v>
      </c>
      <c r="C123" s="23" t="n">
        <v>26.7</v>
      </c>
      <c r="D123" s="24" t="n">
        <v>22.1547515869141</v>
      </c>
      <c r="E123" s="25" t="n">
        <v>22.1544998168945</v>
      </c>
      <c r="F123" s="26" t="n">
        <f aca="false">VLOOKUP(MONTH(A123),ScalarTable,2,0)</f>
        <v>1.01585</v>
      </c>
      <c r="G123" s="27" t="n">
        <f aca="false">+F123*C123</f>
        <v>27.123195</v>
      </c>
      <c r="I123" s="26" t="n">
        <f aca="false">VLOOKUP(MONTH(A123),ScalarTable,3,0)</f>
        <v>0.98415</v>
      </c>
      <c r="J123" s="28" t="n">
        <f aca="false">C123*I123</f>
        <v>26.276805</v>
      </c>
      <c r="K123" s="29" t="n">
        <f aca="false">D123*F123</f>
        <v>22.5059043995666</v>
      </c>
      <c r="L123" s="28" t="n">
        <f aca="false">D123*I123</f>
        <v>21.8035987742615</v>
      </c>
      <c r="M123" s="30" t="n">
        <f aca="false">E123*F123</f>
        <v>22.5056486389923</v>
      </c>
      <c r="O123" s="31"/>
      <c r="P123" s="32"/>
      <c r="Q123" s="33" t="n">
        <v>194514.105044091</v>
      </c>
      <c r="R123" s="33" t="n">
        <v>138880.783564379</v>
      </c>
      <c r="S123" s="33"/>
      <c r="T123" s="34" t="n">
        <f aca="false">IF(Tables!$B$2=1,'NY Curve'!O123,IF(Tables!$B$2=2,P123,IF(Tables!$B$2=4,Q123,IF(Tables!$B$2=5,R123,IF(Tables!$B$2=3,S123,0)))))</f>
        <v>138880.783564379</v>
      </c>
    </row>
    <row r="124" customFormat="false" ht="12.75" hidden="false" customHeight="false" outlineLevel="0" collapsed="false">
      <c r="A124" s="21" t="n">
        <v>40513</v>
      </c>
      <c r="B124" s="22" t="n">
        <v>24.3983328138079</v>
      </c>
      <c r="C124" s="23" t="n">
        <v>27.2</v>
      </c>
      <c r="D124" s="24" t="n">
        <v>23.6049983978271</v>
      </c>
      <c r="E124" s="25" t="n">
        <v>22.0999992370605</v>
      </c>
      <c r="F124" s="26" t="n">
        <f aca="false">VLOOKUP(MONTH(A124),ScalarTable,2,0)</f>
        <v>1.01532599180631</v>
      </c>
      <c r="G124" s="27" t="n">
        <f aca="false">+F124*C124</f>
        <v>27.6168669771317</v>
      </c>
      <c r="I124" s="26" t="n">
        <f aca="false">VLOOKUP(MONTH(A124),ScalarTable,3,0)</f>
        <v>0.984674008193689</v>
      </c>
      <c r="J124" s="28" t="n">
        <f aca="false">C124*I124</f>
        <v>26.7831330228684</v>
      </c>
      <c r="K124" s="29" t="n">
        <f aca="false">D124*F124</f>
        <v>23.9667684098602</v>
      </c>
      <c r="L124" s="28" t="n">
        <f aca="false">D124*I124</f>
        <v>23.2432283857941</v>
      </c>
      <c r="M124" s="30" t="n">
        <f aca="false">E124*F124</f>
        <v>22.4387036442872</v>
      </c>
      <c r="O124" s="31"/>
      <c r="P124" s="32"/>
      <c r="Q124" s="33" t="n">
        <v>183859.430073611</v>
      </c>
      <c r="R124" s="33" t="n">
        <v>130843.422381734</v>
      </c>
      <c r="S124" s="33"/>
      <c r="T124" s="34" t="n">
        <f aca="false">IF(Tables!$B$2=1,'NY Curve'!O124,IF(Tables!$B$2=2,P124,IF(Tables!$B$2=4,Q124,IF(Tables!$B$2=5,R124,IF(Tables!$B$2=3,S124,0)))))</f>
        <v>130843.422381734</v>
      </c>
    </row>
    <row r="125" customFormat="false" ht="12.75" hidden="false" customHeight="false" outlineLevel="0" collapsed="false">
      <c r="A125" s="21" t="n">
        <v>40544</v>
      </c>
      <c r="B125" s="22" t="n">
        <v>28.2954166775658</v>
      </c>
      <c r="C125" s="23" t="n">
        <v>32.75</v>
      </c>
      <c r="D125" s="24" t="n">
        <v>26.9987483978271</v>
      </c>
      <c r="E125" s="25" t="n">
        <v>27.5025001525879</v>
      </c>
      <c r="F125" s="26" t="n">
        <f aca="false">VLOOKUP(MONTH(A125),ScalarTable,2,0)</f>
        <v>1.00808025404509</v>
      </c>
      <c r="G125" s="27" t="n">
        <f aca="false">+F125*C125</f>
        <v>33.0146283199767</v>
      </c>
      <c r="I125" s="26" t="n">
        <f aca="false">VLOOKUP(MONTH(A125),ScalarTable,3,0)</f>
        <v>0.991919745954909</v>
      </c>
      <c r="J125" s="28" t="n">
        <f aca="false">C125*I125</f>
        <v>32.4853716800233</v>
      </c>
      <c r="K125" s="29" t="n">
        <f aca="false">D125*F125</f>
        <v>27.2169051437811</v>
      </c>
      <c r="L125" s="28" t="n">
        <f aca="false">D125*I125</f>
        <v>26.7805916518732</v>
      </c>
      <c r="M125" s="30" t="n">
        <f aca="false">E125*F125</f>
        <v>27.724727340696</v>
      </c>
      <c r="O125" s="31"/>
      <c r="P125" s="32"/>
      <c r="Q125" s="33" t="n">
        <v>348740.041736854</v>
      </c>
      <c r="R125" s="33" t="n">
        <v>269536.345780115</v>
      </c>
      <c r="S125" s="33"/>
      <c r="T125" s="34" t="n">
        <f aca="false">IF(Tables!$B$2=1,'NY Curve'!O125,IF(Tables!$B$2=2,P125,IF(Tables!$B$2=4,Q125,IF(Tables!$B$2=5,R125,IF(Tables!$B$2=3,S125,0)))))</f>
        <v>269536.345780115</v>
      </c>
    </row>
    <row r="126" customFormat="false" ht="12.75" hidden="false" customHeight="false" outlineLevel="0" collapsed="false">
      <c r="A126" s="21" t="n">
        <v>40575</v>
      </c>
      <c r="B126" s="22" t="n">
        <v>27.8205351148333</v>
      </c>
      <c r="C126" s="23" t="n">
        <v>32.75</v>
      </c>
      <c r="D126" s="24" t="n">
        <v>25.9962501525879</v>
      </c>
      <c r="E126" s="25" t="n">
        <v>25.4974994659424</v>
      </c>
      <c r="F126" s="26" t="n">
        <f aca="false">VLOOKUP(MONTH(A126),ScalarTable,2,0)</f>
        <v>1.00808025404509</v>
      </c>
      <c r="G126" s="27" t="n">
        <f aca="false">+F126*C126</f>
        <v>33.0146283199767</v>
      </c>
      <c r="I126" s="26" t="n">
        <f aca="false">VLOOKUP(MONTH(A126),ScalarTable,3,0)</f>
        <v>0.991919745954909</v>
      </c>
      <c r="J126" s="28" t="n">
        <f aca="false">C126*I126</f>
        <v>32.4853716800233</v>
      </c>
      <c r="K126" s="29" t="n">
        <f aca="false">D126*F126</f>
        <v>26.2063064580405</v>
      </c>
      <c r="L126" s="28" t="n">
        <f aca="false">D126*I126</f>
        <v>25.7861938471352</v>
      </c>
      <c r="M126" s="30" t="n">
        <f aca="false">E126*F126</f>
        <v>25.7035257391418</v>
      </c>
      <c r="O126" s="31"/>
      <c r="P126" s="32"/>
      <c r="Q126" s="33" t="n">
        <v>315652.596263159</v>
      </c>
      <c r="R126" s="33" t="n">
        <v>259386.324215017</v>
      </c>
      <c r="S126" s="33"/>
      <c r="T126" s="34" t="n">
        <f aca="false">IF(Tables!$B$2=1,'NY Curve'!O126,IF(Tables!$B$2=2,P126,IF(Tables!$B$2=4,Q126,IF(Tables!$B$2=5,R126,IF(Tables!$B$2=3,S126,0)))))</f>
        <v>259386.324215017</v>
      </c>
    </row>
    <row r="127" customFormat="false" ht="12.75" hidden="false" customHeight="false" outlineLevel="0" collapsed="false">
      <c r="A127" s="21" t="n">
        <v>40603</v>
      </c>
      <c r="B127" s="22" t="n">
        <v>23.5594163622175</v>
      </c>
      <c r="C127" s="23" t="n">
        <v>27.75</v>
      </c>
      <c r="D127" s="24" t="n">
        <v>19.1847496032715</v>
      </c>
      <c r="E127" s="25" t="n">
        <v>20.8144989013672</v>
      </c>
      <c r="F127" s="26" t="n">
        <f aca="false">VLOOKUP(MONTH(A127),ScalarTable,2,0)</f>
        <v>1.0080875</v>
      </c>
      <c r="G127" s="27" t="n">
        <f aca="false">+F127*C127</f>
        <v>27.974428125</v>
      </c>
      <c r="I127" s="26" t="n">
        <f aca="false">VLOOKUP(MONTH(A127),ScalarTable,3,0)</f>
        <v>0.9919125</v>
      </c>
      <c r="J127" s="28" t="n">
        <f aca="false">C127*I127</f>
        <v>27.525571875</v>
      </c>
      <c r="K127" s="29" t="n">
        <f aca="false">D127*F127</f>
        <v>19.3399062656879</v>
      </c>
      <c r="L127" s="28" t="n">
        <f aca="false">D127*I127</f>
        <v>19.029592940855</v>
      </c>
      <c r="M127" s="30" t="n">
        <f aca="false">E127*F127</f>
        <v>20.982836161232</v>
      </c>
      <c r="O127" s="31"/>
      <c r="P127" s="32"/>
      <c r="Q127" s="33" t="n">
        <v>183317.057533223</v>
      </c>
      <c r="R127" s="33" t="n">
        <v>169139.566307402</v>
      </c>
      <c r="S127" s="33"/>
      <c r="T127" s="34" t="n">
        <f aca="false">IF(Tables!$B$2=1,'NY Curve'!O127,IF(Tables!$B$2=2,P127,IF(Tables!$B$2=4,Q127,IF(Tables!$B$2=5,R127,IF(Tables!$B$2=3,S127,0)))))</f>
        <v>169139.566307402</v>
      </c>
    </row>
    <row r="128" customFormat="false" ht="12.75" hidden="false" customHeight="false" outlineLevel="0" collapsed="false">
      <c r="A128" s="21" t="n">
        <v>40634</v>
      </c>
      <c r="B128" s="22" t="n">
        <v>23.0289279392787</v>
      </c>
      <c r="C128" s="23" t="n">
        <v>26.5</v>
      </c>
      <c r="D128" s="24" t="n">
        <v>19.8675003051758</v>
      </c>
      <c r="E128" s="25" t="n">
        <v>20.5849990844727</v>
      </c>
      <c r="F128" s="26" t="n">
        <f aca="false">VLOOKUP(MONTH(A128),ScalarTable,2,0)</f>
        <v>1.07269528338234</v>
      </c>
      <c r="G128" s="27" t="n">
        <f aca="false">+F128*C128</f>
        <v>28.426425009632</v>
      </c>
      <c r="I128" s="26" t="n">
        <f aca="false">VLOOKUP(MONTH(A128),ScalarTable,3,0)</f>
        <v>0.92730471661766</v>
      </c>
      <c r="J128" s="28" t="n">
        <f aca="false">C128*I128</f>
        <v>24.573574990368</v>
      </c>
      <c r="K128" s="29" t="n">
        <f aca="false">D128*F128</f>
        <v>21.3117738699593</v>
      </c>
      <c r="L128" s="28" t="n">
        <f aca="false">D128*I128</f>
        <v>18.4232267403923</v>
      </c>
      <c r="M128" s="30" t="n">
        <f aca="false">E128*F128</f>
        <v>22.0814314263436</v>
      </c>
      <c r="O128" s="31"/>
      <c r="P128" s="32"/>
      <c r="Q128" s="33" t="n">
        <v>181082.021925146</v>
      </c>
      <c r="R128" s="33" t="n">
        <v>175988.406781624</v>
      </c>
      <c r="S128" s="33"/>
      <c r="T128" s="34" t="n">
        <f aca="false">IF(Tables!$B$2=1,'NY Curve'!O128,IF(Tables!$B$2=2,P128,IF(Tables!$B$2=4,Q128,IF(Tables!$B$2=5,R128,IF(Tables!$B$2=3,S128,0)))))</f>
        <v>175988.406781624</v>
      </c>
    </row>
    <row r="129" customFormat="false" ht="12.75" hidden="false" customHeight="false" outlineLevel="0" collapsed="false">
      <c r="A129" s="21" t="n">
        <v>40664</v>
      </c>
      <c r="B129" s="22" t="n">
        <v>25.3353565761021</v>
      </c>
      <c r="C129" s="23" t="n">
        <v>31.15</v>
      </c>
      <c r="D129" s="24" t="n">
        <v>19.9825000762939</v>
      </c>
      <c r="E129" s="25" t="n">
        <v>21.1149997711182</v>
      </c>
      <c r="F129" s="26" t="n">
        <f aca="false">VLOOKUP(MONTH(A129),ScalarTable,2,0)</f>
        <v>1.05849023799053</v>
      </c>
      <c r="G129" s="27" t="n">
        <f aca="false">+F129*C129</f>
        <v>32.971970913405</v>
      </c>
      <c r="I129" s="26" t="n">
        <f aca="false">VLOOKUP(MONTH(A129),ScalarTable,3,0)</f>
        <v>0.941509762009471</v>
      </c>
      <c r="J129" s="28" t="n">
        <f aca="false">C129*I129</f>
        <v>29.328029086595</v>
      </c>
      <c r="K129" s="29" t="n">
        <f aca="false">D129*F129</f>
        <v>21.1512812614021</v>
      </c>
      <c r="L129" s="28" t="n">
        <f aca="false">D129*I129</f>
        <v>18.8137188911857</v>
      </c>
      <c r="M129" s="30" t="n">
        <f aca="false">E129*F129</f>
        <v>22.3500211329008</v>
      </c>
      <c r="O129" s="31"/>
      <c r="P129" s="32"/>
      <c r="Q129" s="33" t="n">
        <v>410106.088891487</v>
      </c>
      <c r="R129" s="33" t="n">
        <v>339680.471833192</v>
      </c>
      <c r="S129" s="33"/>
      <c r="T129" s="34" t="n">
        <f aca="false">IF(Tables!$B$2=1,'NY Curve'!O129,IF(Tables!$B$2=2,P129,IF(Tables!$B$2=4,Q129,IF(Tables!$B$2=5,R129,IF(Tables!$B$2=3,S129,0)))))</f>
        <v>339680.471833192</v>
      </c>
    </row>
    <row r="130" customFormat="false" ht="12.75" hidden="false" customHeight="false" outlineLevel="0" collapsed="false">
      <c r="A130" s="21" t="n">
        <v>40695</v>
      </c>
      <c r="B130" s="22" t="n">
        <v>35.8299401419503</v>
      </c>
      <c r="C130" s="23" t="n">
        <v>52.25</v>
      </c>
      <c r="D130" s="24" t="n">
        <v>24.4087501525879</v>
      </c>
      <c r="E130" s="25" t="n">
        <v>19.8924995422363</v>
      </c>
      <c r="F130" s="26" t="n">
        <f aca="false">VLOOKUP(MONTH(A130),ScalarTable,2,0)</f>
        <v>1.16938304743531</v>
      </c>
      <c r="G130" s="27" t="n">
        <f aca="false">+F130*C130</f>
        <v>61.1002642284947</v>
      </c>
      <c r="I130" s="26" t="n">
        <f aca="false">VLOOKUP(MONTH(A130),ScalarTable,3,0)</f>
        <v>0.83061695843935</v>
      </c>
      <c r="J130" s="28" t="n">
        <f aca="false">C130*I130</f>
        <v>43.399736078456</v>
      </c>
      <c r="K130" s="29" t="n">
        <f aca="false">D130*F130</f>
        <v>28.5431786375202</v>
      </c>
      <c r="L130" s="28" t="n">
        <f aca="false">D130*I130</f>
        <v>20.2743218110486</v>
      </c>
      <c r="M130" s="30" t="n">
        <f aca="false">E130*F130</f>
        <v>23.2619517358057</v>
      </c>
      <c r="O130" s="31"/>
      <c r="P130" s="32"/>
      <c r="Q130" s="33" t="n">
        <v>1300530.01937435</v>
      </c>
      <c r="R130" s="33" t="n">
        <v>1170453.75719721</v>
      </c>
      <c r="S130" s="33"/>
      <c r="T130" s="34" t="n">
        <f aca="false">IF(Tables!$B$2=1,'NY Curve'!O130,IF(Tables!$B$2=2,P130,IF(Tables!$B$2=4,Q130,IF(Tables!$B$2=5,R130,IF(Tables!$B$2=3,S130,0)))))</f>
        <v>1170453.75719721</v>
      </c>
    </row>
    <row r="131" customFormat="false" ht="12.75" hidden="false" customHeight="false" outlineLevel="0" collapsed="false">
      <c r="A131" s="21" t="n">
        <v>40725</v>
      </c>
      <c r="B131" s="22" t="n">
        <v>52.2441064562116</v>
      </c>
      <c r="C131" s="23" t="n">
        <v>80</v>
      </c>
      <c r="D131" s="24" t="n">
        <v>37.6112495422364</v>
      </c>
      <c r="E131" s="25" t="n">
        <v>29.0974994659424</v>
      </c>
      <c r="F131" s="26" t="n">
        <f aca="false">VLOOKUP(MONTH(A131),ScalarTable,2,0)</f>
        <v>1.22140709971076</v>
      </c>
      <c r="G131" s="27" t="n">
        <f aca="false">+F131*C131</f>
        <v>97.7125679768608</v>
      </c>
      <c r="I131" s="26" t="n">
        <f aca="false">VLOOKUP(MONTH(A131),ScalarTable,3,0)</f>
        <v>0.7785929068923</v>
      </c>
      <c r="J131" s="28" t="n">
        <f aca="false">C131*I131</f>
        <v>62.287432551384</v>
      </c>
      <c r="K131" s="29" t="n">
        <f aca="false">D131*F131</f>
        <v>45.9386472198806</v>
      </c>
      <c r="L131" s="28" t="n">
        <f aca="false">D131*I131</f>
        <v>29.2838521129415</v>
      </c>
      <c r="M131" s="30" t="n">
        <f aca="false">E131*F131</f>
        <v>35.5398924315321</v>
      </c>
      <c r="O131" s="31"/>
      <c r="P131" s="32"/>
      <c r="Q131" s="33" t="n">
        <v>3057206.6955854</v>
      </c>
      <c r="R131" s="33" t="n">
        <v>2720887.50072589</v>
      </c>
      <c r="S131" s="33"/>
      <c r="T131" s="34" t="n">
        <f aca="false">IF(Tables!$B$2=1,'NY Curve'!O131,IF(Tables!$B$2=2,P131,IF(Tables!$B$2=4,Q131,IF(Tables!$B$2=5,R131,IF(Tables!$B$2=3,S131,0)))))</f>
        <v>2720887.50072589</v>
      </c>
    </row>
    <row r="132" customFormat="false" ht="12.75" hidden="false" customHeight="false" outlineLevel="0" collapsed="false">
      <c r="A132" s="21" t="n">
        <v>40756</v>
      </c>
      <c r="B132" s="22" t="n">
        <v>49.2929757254464</v>
      </c>
      <c r="C132" s="23" t="n">
        <v>72.5</v>
      </c>
      <c r="D132" s="24" t="n">
        <v>39.8724990844727</v>
      </c>
      <c r="E132" s="25" t="n">
        <v>30.5950008392334</v>
      </c>
      <c r="F132" s="26" t="n">
        <f aca="false">VLOOKUP(MONTH(A132),ScalarTable,2,0)</f>
        <v>1.15768142863174</v>
      </c>
      <c r="G132" s="27" t="n">
        <f aca="false">+F132*C132</f>
        <v>83.9319035758011</v>
      </c>
      <c r="I132" s="26" t="n">
        <f aca="false">VLOOKUP(MONTH(A132),ScalarTable,3,0)</f>
        <v>0.842099040746689</v>
      </c>
      <c r="J132" s="28" t="n">
        <f aca="false">C132*I132</f>
        <v>61.0521804541349</v>
      </c>
      <c r="K132" s="29" t="n">
        <f aca="false">D132*F132</f>
        <v>46.15965170323</v>
      </c>
      <c r="L132" s="28" t="n">
        <f aca="false">D132*I132</f>
        <v>33.5765932312077</v>
      </c>
      <c r="M132" s="30" t="n">
        <f aca="false">E132*F132</f>
        <v>35.419264280553</v>
      </c>
      <c r="O132" s="31"/>
      <c r="P132" s="32"/>
      <c r="Q132" s="33" t="n">
        <v>3257475.93102373</v>
      </c>
      <c r="R132" s="33" t="n">
        <v>2903325.00573103</v>
      </c>
      <c r="S132" s="33"/>
      <c r="T132" s="34" t="n">
        <f aca="false">IF(Tables!$B$2=1,'NY Curve'!O132,IF(Tables!$B$2=2,P132,IF(Tables!$B$2=4,Q132,IF(Tables!$B$2=5,R132,IF(Tables!$B$2=3,S132,0)))))</f>
        <v>2903325.00573103</v>
      </c>
    </row>
    <row r="133" customFormat="false" ht="12.75" hidden="false" customHeight="false" outlineLevel="0" collapsed="false">
      <c r="A133" s="21" t="n">
        <v>40787</v>
      </c>
      <c r="B133" s="22" t="n">
        <v>23.7199995404198</v>
      </c>
      <c r="C133" s="23" t="n">
        <v>30.75</v>
      </c>
      <c r="D133" s="24" t="n">
        <v>16.4799995422363</v>
      </c>
      <c r="E133" s="25" t="n">
        <v>14.0600004196167</v>
      </c>
      <c r="F133" s="26" t="n">
        <f aca="false">VLOOKUP(MONTH(A133),ScalarTable,2,0)</f>
        <v>1.09653379232051</v>
      </c>
      <c r="G133" s="27" t="n">
        <f aca="false">+F133*C133</f>
        <v>33.7184141138557</v>
      </c>
      <c r="I133" s="26" t="n">
        <f aca="false">VLOOKUP(MONTH(A133),ScalarTable,3,0)</f>
        <v>0.903466207679489</v>
      </c>
      <c r="J133" s="28" t="n">
        <f aca="false">C133*I133</f>
        <v>27.7815858861443</v>
      </c>
      <c r="K133" s="29" t="n">
        <f aca="false">D133*F133</f>
        <v>18.0708763954887</v>
      </c>
      <c r="L133" s="28" t="n">
        <f aca="false">D133*I133</f>
        <v>14.889122688984</v>
      </c>
      <c r="M133" s="30" t="n">
        <f aca="false">E133*F133</f>
        <v>15.4172655801503</v>
      </c>
      <c r="O133" s="31"/>
      <c r="P133" s="32"/>
      <c r="Q133" s="33" t="n">
        <v>453960.960931245</v>
      </c>
      <c r="R133" s="33" t="n">
        <v>375889.944478998</v>
      </c>
      <c r="S133" s="33"/>
      <c r="T133" s="34" t="n">
        <f aca="false">IF(Tables!$B$2=1,'NY Curve'!O133,IF(Tables!$B$2=2,P133,IF(Tables!$B$2=4,Q133,IF(Tables!$B$2=5,R133,IF(Tables!$B$2=3,S133,0)))))</f>
        <v>375889.944478998</v>
      </c>
    </row>
    <row r="134" customFormat="false" ht="12.75" hidden="false" customHeight="false" outlineLevel="0" collapsed="false">
      <c r="A134" s="21" t="n">
        <v>40817</v>
      </c>
      <c r="B134" s="22" t="n">
        <v>23.3621187664214</v>
      </c>
      <c r="C134" s="23" t="n">
        <v>26.5</v>
      </c>
      <c r="D134" s="24" t="n">
        <v>21.3505001068115</v>
      </c>
      <c r="E134" s="25" t="n">
        <v>21.3509998321533</v>
      </c>
      <c r="F134" s="26" t="n">
        <f aca="false">VLOOKUP(MONTH(A134),ScalarTable,2,0)</f>
        <v>1.0119875</v>
      </c>
      <c r="G134" s="27" t="n">
        <f aca="false">+F134*C134</f>
        <v>26.81766875</v>
      </c>
      <c r="I134" s="26" t="n">
        <f aca="false">VLOOKUP(MONTH(A134),ScalarTable,3,0)</f>
        <v>0.9880125</v>
      </c>
      <c r="J134" s="28" t="n">
        <f aca="false">C134*I134</f>
        <v>26.18233125</v>
      </c>
      <c r="K134" s="29" t="n">
        <f aca="false">D134*F134</f>
        <v>21.6064392268419</v>
      </c>
      <c r="L134" s="28" t="n">
        <f aca="false">D134*I134</f>
        <v>21.0945609867811</v>
      </c>
      <c r="M134" s="30" t="n">
        <f aca="false">E134*F134</f>
        <v>21.6069449426413</v>
      </c>
      <c r="O134" s="31"/>
      <c r="P134" s="32"/>
      <c r="Q134" s="33" t="n">
        <v>164703.152457885</v>
      </c>
      <c r="R134" s="33" t="n">
        <v>130904.44267856</v>
      </c>
      <c r="S134" s="33"/>
      <c r="T134" s="34" t="n">
        <f aca="false">IF(Tables!$B$2=1,'NY Curve'!O134,IF(Tables!$B$2=2,P134,IF(Tables!$B$2=4,Q134,IF(Tables!$B$2=5,R134,IF(Tables!$B$2=3,S134,0)))))</f>
        <v>130904.44267856</v>
      </c>
    </row>
    <row r="135" customFormat="false" ht="12.75" hidden="false" customHeight="false" outlineLevel="0" collapsed="false">
      <c r="A135" s="21" t="n">
        <v>40848</v>
      </c>
      <c r="B135" s="22" t="n">
        <v>23.869178317842</v>
      </c>
      <c r="C135" s="23" t="n">
        <v>27</v>
      </c>
      <c r="D135" s="24" t="n">
        <v>22.3547515869141</v>
      </c>
      <c r="E135" s="25" t="n">
        <v>22.3544998168945</v>
      </c>
      <c r="F135" s="26" t="n">
        <f aca="false">VLOOKUP(MONTH(A135),ScalarTable,2,0)</f>
        <v>1.01585</v>
      </c>
      <c r="G135" s="27" t="n">
        <f aca="false">+F135*C135</f>
        <v>27.42795</v>
      </c>
      <c r="I135" s="26" t="n">
        <f aca="false">VLOOKUP(MONTH(A135),ScalarTable,3,0)</f>
        <v>0.98415</v>
      </c>
      <c r="J135" s="28" t="n">
        <f aca="false">C135*I135</f>
        <v>26.57205</v>
      </c>
      <c r="K135" s="29" t="n">
        <f aca="false">D135*F135</f>
        <v>22.7090743995666</v>
      </c>
      <c r="L135" s="28" t="n">
        <f aca="false">D135*I135</f>
        <v>22.0004287742615</v>
      </c>
      <c r="M135" s="30" t="n">
        <f aca="false">E135*F135</f>
        <v>22.7088186389923</v>
      </c>
      <c r="O135" s="31"/>
      <c r="P135" s="32"/>
      <c r="Q135" s="33" t="n">
        <v>178988.502754636</v>
      </c>
      <c r="R135" s="33" t="n">
        <v>127183.931119571</v>
      </c>
      <c r="S135" s="33"/>
      <c r="T135" s="34" t="n">
        <f aca="false">IF(Tables!$B$2=1,'NY Curve'!O135,IF(Tables!$B$2=2,P135,IF(Tables!$B$2=4,Q135,IF(Tables!$B$2=5,R135,IF(Tables!$B$2=3,S135,0)))))</f>
        <v>127183.931119571</v>
      </c>
    </row>
    <row r="136" customFormat="false" ht="12.75" hidden="false" customHeight="false" outlineLevel="0" collapsed="false">
      <c r="A136" s="21" t="n">
        <v>40878</v>
      </c>
      <c r="B136" s="22" t="n">
        <v>24.6459518614269</v>
      </c>
      <c r="C136" s="23" t="n">
        <v>27.5</v>
      </c>
      <c r="D136" s="24" t="n">
        <v>23.8049983978271</v>
      </c>
      <c r="E136" s="25" t="n">
        <v>22.2999992370605</v>
      </c>
      <c r="F136" s="26" t="n">
        <f aca="false">VLOOKUP(MONTH(A136),ScalarTable,2,0)</f>
        <v>1.01532599180631</v>
      </c>
      <c r="G136" s="27" t="n">
        <f aca="false">+F136*C136</f>
        <v>27.9214647746735</v>
      </c>
      <c r="I136" s="26" t="n">
        <f aca="false">VLOOKUP(MONTH(A136),ScalarTable,3,0)</f>
        <v>0.984674008193689</v>
      </c>
      <c r="J136" s="28" t="n">
        <f aca="false">C136*I136</f>
        <v>27.0785352253265</v>
      </c>
      <c r="K136" s="29" t="n">
        <f aca="false">D136*F136</f>
        <v>24.1698336082215</v>
      </c>
      <c r="L136" s="28" t="n">
        <f aca="false">D136*I136</f>
        <v>23.4401631874328</v>
      </c>
      <c r="M136" s="30" t="n">
        <f aca="false">E136*F136</f>
        <v>22.6417688426485</v>
      </c>
      <c r="O136" s="31"/>
      <c r="P136" s="32"/>
      <c r="Q136" s="33" t="n">
        <v>153692.157712158</v>
      </c>
      <c r="R136" s="33" t="n">
        <v>108766.522184009</v>
      </c>
      <c r="S136" s="33"/>
      <c r="T136" s="34" t="n">
        <f aca="false">IF(Tables!$B$2=1,'NY Curve'!O136,IF(Tables!$B$2=2,P136,IF(Tables!$B$2=4,Q136,IF(Tables!$B$2=5,R136,IF(Tables!$B$2=3,S136,0)))))</f>
        <v>108766.522184009</v>
      </c>
    </row>
    <row r="137" customFormat="false" ht="12.75" hidden="false" customHeight="false" outlineLevel="0" collapsed="false">
      <c r="A137" s="21" t="n">
        <v>40909</v>
      </c>
      <c r="B137" s="22" t="n">
        <v>28.5430357251848</v>
      </c>
      <c r="C137" s="23" t="n">
        <v>33.05</v>
      </c>
      <c r="D137" s="24" t="n">
        <v>27.1987483978271</v>
      </c>
      <c r="E137" s="25" t="n">
        <v>27.7025001525879</v>
      </c>
      <c r="F137" s="26" t="n">
        <f aca="false">VLOOKUP(MONTH(A137),ScalarTable,2,0)</f>
        <v>1.00808025404509</v>
      </c>
      <c r="G137" s="27" t="n">
        <f aca="false">+F137*C137</f>
        <v>33.3170523961903</v>
      </c>
      <c r="I137" s="26" t="n">
        <f aca="false">VLOOKUP(MONTH(A137),ScalarTable,3,0)</f>
        <v>0.991919745954909</v>
      </c>
      <c r="J137" s="28" t="n">
        <f aca="false">C137*I137</f>
        <v>32.7829476038097</v>
      </c>
      <c r="K137" s="29" t="n">
        <f aca="false">D137*F137</f>
        <v>27.4185211945901</v>
      </c>
      <c r="L137" s="28" t="n">
        <f aca="false">D137*I137</f>
        <v>26.9789756010642</v>
      </c>
      <c r="M137" s="30" t="n">
        <f aca="false">E137*F137</f>
        <v>27.926343391505</v>
      </c>
      <c r="O137" s="31"/>
      <c r="P137" s="32"/>
      <c r="Q137" s="33" t="n">
        <v>328910.169920582</v>
      </c>
      <c r="R137" s="33" t="n">
        <v>253179.627227237</v>
      </c>
      <c r="S137" s="33"/>
      <c r="T137" s="34" t="n">
        <f aca="false">IF(Tables!$B$2=1,'NY Curve'!O137,IF(Tables!$B$2=2,P137,IF(Tables!$B$2=4,Q137,IF(Tables!$B$2=5,R137,IF(Tables!$B$2=3,S137,0)))))</f>
        <v>253179.627227237</v>
      </c>
    </row>
    <row r="138" customFormat="false" ht="12.75" hidden="false" customHeight="false" outlineLevel="0" collapsed="false">
      <c r="A138" s="21" t="n">
        <v>40940</v>
      </c>
      <c r="B138" s="22" t="n">
        <v>28.0681541624523</v>
      </c>
      <c r="C138" s="23" t="n">
        <v>33.05</v>
      </c>
      <c r="D138" s="24" t="n">
        <v>26.1962501525879</v>
      </c>
      <c r="E138" s="25" t="n">
        <v>25.6974994659424</v>
      </c>
      <c r="F138" s="26" t="n">
        <f aca="false">VLOOKUP(MONTH(A138),ScalarTable,2,0)</f>
        <v>1.00808025404509</v>
      </c>
      <c r="G138" s="27" t="n">
        <f aca="false">+F138*C138</f>
        <v>33.3170523961903</v>
      </c>
      <c r="I138" s="26" t="n">
        <f aca="false">VLOOKUP(MONTH(A138),ScalarTable,3,0)</f>
        <v>0.991919745954909</v>
      </c>
      <c r="J138" s="28" t="n">
        <f aca="false">C138*I138</f>
        <v>32.7829476038097</v>
      </c>
      <c r="K138" s="29" t="n">
        <f aca="false">D138*F138</f>
        <v>26.4079225088496</v>
      </c>
      <c r="L138" s="28" t="n">
        <f aca="false">D138*I138</f>
        <v>25.9845777963262</v>
      </c>
      <c r="M138" s="30" t="n">
        <f aca="false">E138*F138</f>
        <v>25.9051417899508</v>
      </c>
      <c r="O138" s="31"/>
      <c r="P138" s="32"/>
      <c r="Q138" s="33" t="n">
        <v>311914.095355181</v>
      </c>
      <c r="R138" s="33" t="n">
        <v>255253.511717809</v>
      </c>
      <c r="S138" s="33"/>
      <c r="T138" s="34" t="n">
        <f aca="false">IF(Tables!$B$2=1,'NY Curve'!O138,IF(Tables!$B$2=2,P138,IF(Tables!$B$2=4,Q138,IF(Tables!$B$2=5,R138,IF(Tables!$B$2=3,S138,0)))))</f>
        <v>255253.511717809</v>
      </c>
    </row>
    <row r="139" customFormat="false" ht="12.75" hidden="false" customHeight="false" outlineLevel="0" collapsed="false">
      <c r="A139" s="21" t="n">
        <v>40969</v>
      </c>
      <c r="B139" s="22" t="n">
        <v>23.8070354098365</v>
      </c>
      <c r="C139" s="23" t="n">
        <v>28.05</v>
      </c>
      <c r="D139" s="24" t="n">
        <v>19.3847496032715</v>
      </c>
      <c r="E139" s="25" t="n">
        <v>21.0144989013672</v>
      </c>
      <c r="F139" s="26" t="n">
        <f aca="false">VLOOKUP(MONTH(A139),ScalarTable,2,0)</f>
        <v>1.0080875</v>
      </c>
      <c r="G139" s="27" t="n">
        <f aca="false">+F139*C139</f>
        <v>28.276854375</v>
      </c>
      <c r="I139" s="26" t="n">
        <f aca="false">VLOOKUP(MONTH(A139),ScalarTable,3,0)</f>
        <v>0.9919125</v>
      </c>
      <c r="J139" s="28" t="n">
        <f aca="false">C139*I139</f>
        <v>27.823145625</v>
      </c>
      <c r="K139" s="29" t="n">
        <f aca="false">D139*F139</f>
        <v>19.5415237656879</v>
      </c>
      <c r="L139" s="28" t="n">
        <f aca="false">D139*I139</f>
        <v>19.227975440855</v>
      </c>
      <c r="M139" s="30" t="n">
        <f aca="false">E139*F139</f>
        <v>21.184453661232</v>
      </c>
      <c r="O139" s="31"/>
      <c r="P139" s="32"/>
      <c r="Q139" s="33" t="n">
        <v>160750.826526667</v>
      </c>
      <c r="R139" s="33" t="n">
        <v>147992.81284113</v>
      </c>
      <c r="S139" s="33"/>
      <c r="T139" s="34" t="n">
        <f aca="false">IF(Tables!$B$2=1,'NY Curve'!O139,IF(Tables!$B$2=2,P139,IF(Tables!$B$2=4,Q139,IF(Tables!$B$2=5,R139,IF(Tables!$B$2=3,S139,0)))))</f>
        <v>147992.81284113</v>
      </c>
    </row>
    <row r="140" customFormat="false" ht="12.75" hidden="false" customHeight="false" outlineLevel="0" collapsed="false">
      <c r="A140" s="21" t="n">
        <v>41000</v>
      </c>
      <c r="B140" s="22" t="n">
        <v>23.2765469868978</v>
      </c>
      <c r="C140" s="23" t="n">
        <v>26.8</v>
      </c>
      <c r="D140" s="24" t="n">
        <v>20.0675003051758</v>
      </c>
      <c r="E140" s="25" t="n">
        <v>20.7849990844727</v>
      </c>
      <c r="F140" s="26" t="n">
        <f aca="false">VLOOKUP(MONTH(A140),ScalarTable,2,0)</f>
        <v>1.07269528338234</v>
      </c>
      <c r="G140" s="27" t="n">
        <f aca="false">+F140*C140</f>
        <v>28.7482335946467</v>
      </c>
      <c r="I140" s="26" t="n">
        <f aca="false">VLOOKUP(MONTH(A140),ScalarTable,3,0)</f>
        <v>0.92730471661766</v>
      </c>
      <c r="J140" s="28" t="n">
        <f aca="false">C140*I140</f>
        <v>24.8517664053533</v>
      </c>
      <c r="K140" s="29" t="n">
        <f aca="false">D140*F140</f>
        <v>21.5263129266357</v>
      </c>
      <c r="L140" s="28" t="n">
        <f aca="false">D140*I140</f>
        <v>18.6086876837158</v>
      </c>
      <c r="M140" s="30" t="n">
        <f aca="false">E140*F140</f>
        <v>22.2959704830201</v>
      </c>
      <c r="O140" s="31"/>
      <c r="P140" s="32"/>
      <c r="Q140" s="33" t="n">
        <v>165629.851773811</v>
      </c>
      <c r="R140" s="33" t="n">
        <v>161046.225491386</v>
      </c>
      <c r="S140" s="33"/>
      <c r="T140" s="34" t="n">
        <f aca="false">IF(Tables!$B$2=1,'NY Curve'!O140,IF(Tables!$B$2=2,P140,IF(Tables!$B$2=4,Q140,IF(Tables!$B$2=5,R140,IF(Tables!$B$2=3,S140,0)))))</f>
        <v>161046.225491386</v>
      </c>
    </row>
    <row r="141" customFormat="false" ht="12.75" hidden="false" customHeight="false" outlineLevel="0" collapsed="false">
      <c r="A141" s="21" t="n">
        <v>41030</v>
      </c>
      <c r="B141" s="22" t="n">
        <v>25.6782137189593</v>
      </c>
      <c r="C141" s="23" t="n">
        <v>31.65</v>
      </c>
      <c r="D141" s="24" t="n">
        <v>20.1825000762939</v>
      </c>
      <c r="E141" s="25" t="n">
        <v>21.3149997711182</v>
      </c>
      <c r="F141" s="26" t="n">
        <f aca="false">VLOOKUP(MONTH(A141),ScalarTable,2,0)</f>
        <v>1.05849023799053</v>
      </c>
      <c r="G141" s="27" t="n">
        <f aca="false">+F141*C141</f>
        <v>33.5012160324002</v>
      </c>
      <c r="I141" s="26" t="n">
        <f aca="false">VLOOKUP(MONTH(A141),ScalarTable,3,0)</f>
        <v>0.941509762009471</v>
      </c>
      <c r="J141" s="28" t="n">
        <f aca="false">C141*I141</f>
        <v>29.7987839675998</v>
      </c>
      <c r="K141" s="29" t="n">
        <f aca="false">D141*F141</f>
        <v>21.3629793090002</v>
      </c>
      <c r="L141" s="28" t="n">
        <f aca="false">D141*I141</f>
        <v>19.0020208435876</v>
      </c>
      <c r="M141" s="30" t="n">
        <f aca="false">E141*F141</f>
        <v>22.5617191804989</v>
      </c>
      <c r="O141" s="31"/>
      <c r="P141" s="32"/>
      <c r="Q141" s="33" t="n">
        <v>410413.825685238</v>
      </c>
      <c r="R141" s="33" t="n">
        <v>339069.325267948</v>
      </c>
      <c r="S141" s="33"/>
      <c r="T141" s="34" t="n">
        <f aca="false">IF(Tables!$B$2=1,'NY Curve'!O141,IF(Tables!$B$2=2,P141,IF(Tables!$B$2=4,Q141,IF(Tables!$B$2=5,R141,IF(Tables!$B$2=3,S141,0)))))</f>
        <v>339069.325267948</v>
      </c>
    </row>
    <row r="142" customFormat="false" ht="12.75" hidden="false" customHeight="false" outlineLevel="0" collapsed="false">
      <c r="A142" s="21" t="n">
        <v>41061</v>
      </c>
      <c r="B142" s="22" t="n">
        <v>36.4108925229027</v>
      </c>
      <c r="C142" s="23" t="n">
        <v>53.25</v>
      </c>
      <c r="D142" s="24" t="n">
        <v>24.6087501525879</v>
      </c>
      <c r="E142" s="25" t="n">
        <v>20.0924995422363</v>
      </c>
      <c r="F142" s="26" t="n">
        <f aca="false">VLOOKUP(MONTH(A142),ScalarTable,2,0)</f>
        <v>1.16938304743531</v>
      </c>
      <c r="G142" s="27" t="n">
        <f aca="false">+F142*C142</f>
        <v>62.26964727593</v>
      </c>
      <c r="I142" s="26" t="n">
        <f aca="false">VLOOKUP(MONTH(A142),ScalarTable,3,0)</f>
        <v>0.83061695843935</v>
      </c>
      <c r="J142" s="28" t="n">
        <f aca="false">C142*I142</f>
        <v>44.2303530368954</v>
      </c>
      <c r="K142" s="29" t="n">
        <f aca="false">D142*F142</f>
        <v>28.7770552470073</v>
      </c>
      <c r="L142" s="28" t="n">
        <f aca="false">D142*I142</f>
        <v>20.4404452027364</v>
      </c>
      <c r="M142" s="30" t="n">
        <f aca="false">E142*F142</f>
        <v>23.4958283452928</v>
      </c>
      <c r="O142" s="31"/>
      <c r="P142" s="32"/>
      <c r="Q142" s="33" t="n">
        <v>1263567.52403815</v>
      </c>
      <c r="R142" s="33" t="n">
        <v>1136461.48878027</v>
      </c>
      <c r="S142" s="33"/>
      <c r="T142" s="34" t="n">
        <f aca="false">IF(Tables!$B$2=1,'NY Curve'!O142,IF(Tables!$B$2=2,P142,IF(Tables!$B$2=4,Q142,IF(Tables!$B$2=5,R142,IF(Tables!$B$2=3,S142,0)))))</f>
        <v>1136461.48878027</v>
      </c>
    </row>
    <row r="143" customFormat="false" ht="12.75" hidden="false" customHeight="false" outlineLevel="0" collapsed="false">
      <c r="A143" s="21" t="n">
        <v>41091</v>
      </c>
      <c r="B143" s="22" t="n">
        <v>53.3012493133545</v>
      </c>
      <c r="C143" s="23" t="n">
        <v>82</v>
      </c>
      <c r="D143" s="24" t="n">
        <v>37.8112495422364</v>
      </c>
      <c r="E143" s="25" t="n">
        <v>29.2974994659424</v>
      </c>
      <c r="F143" s="26" t="n">
        <f aca="false">VLOOKUP(MONTH(A143),ScalarTable,2,0)</f>
        <v>1.22140709971076</v>
      </c>
      <c r="G143" s="27" t="n">
        <f aca="false">+F143*C143</f>
        <v>100.155382176282</v>
      </c>
      <c r="I143" s="26" t="n">
        <f aca="false">VLOOKUP(MONTH(A143),ScalarTable,3,0)</f>
        <v>0.7785929068923</v>
      </c>
      <c r="J143" s="28" t="n">
        <f aca="false">C143*I143</f>
        <v>63.8446183651686</v>
      </c>
      <c r="K143" s="29" t="n">
        <f aca="false">D143*F143</f>
        <v>46.1829286398227</v>
      </c>
      <c r="L143" s="28" t="n">
        <f aca="false">D143*I143</f>
        <v>29.4395706943199</v>
      </c>
      <c r="M143" s="30" t="n">
        <f aca="false">E143*F143</f>
        <v>35.7841738514742</v>
      </c>
      <c r="O143" s="31"/>
      <c r="P143" s="32"/>
      <c r="Q143" s="33" t="n">
        <v>3096452.25428569</v>
      </c>
      <c r="R143" s="33" t="n">
        <v>2761217.98036376</v>
      </c>
      <c r="S143" s="33"/>
      <c r="T143" s="34" t="n">
        <f aca="false">IF(Tables!$B$2=1,'NY Curve'!O143,IF(Tables!$B$2=2,P143,IF(Tables!$B$2=4,Q143,IF(Tables!$B$2=5,R143,IF(Tables!$B$2=3,S143,0)))))</f>
        <v>2761217.98036376</v>
      </c>
    </row>
    <row r="144" customFormat="false" ht="12.75" hidden="false" customHeight="false" outlineLevel="0" collapsed="false">
      <c r="A144" s="21" t="n">
        <v>41122</v>
      </c>
      <c r="B144" s="22" t="n">
        <v>50.3501185825893</v>
      </c>
      <c r="C144" s="23" t="n">
        <v>74.5</v>
      </c>
      <c r="D144" s="24" t="n">
        <v>40.0724990844727</v>
      </c>
      <c r="E144" s="25" t="n">
        <v>30.7950008392334</v>
      </c>
      <c r="F144" s="26" t="n">
        <f aca="false">VLOOKUP(MONTH(A144),ScalarTable,2,0)</f>
        <v>1.15768142863174</v>
      </c>
      <c r="G144" s="27" t="n">
        <f aca="false">+F144*C144</f>
        <v>86.2472664330645</v>
      </c>
      <c r="I144" s="26" t="n">
        <f aca="false">VLOOKUP(MONTH(A144),ScalarTable,3,0)</f>
        <v>0.842099040746689</v>
      </c>
      <c r="J144" s="28" t="n">
        <f aca="false">C144*I144</f>
        <v>62.7363785356283</v>
      </c>
      <c r="K144" s="29" t="n">
        <f aca="false">D144*F144</f>
        <v>46.3911879889564</v>
      </c>
      <c r="L144" s="28" t="n">
        <f aca="false">D144*I144</f>
        <v>33.745013039357</v>
      </c>
      <c r="M144" s="30" t="n">
        <f aca="false">E144*F144</f>
        <v>35.6508005662793</v>
      </c>
      <c r="O144" s="31"/>
      <c r="P144" s="32"/>
      <c r="Q144" s="33" t="n">
        <v>3239698.01057405</v>
      </c>
      <c r="R144" s="33" t="n">
        <v>2888933.86956699</v>
      </c>
      <c r="S144" s="33"/>
      <c r="T144" s="34" t="n">
        <f aca="false">IF(Tables!$B$2=1,'NY Curve'!O144,IF(Tables!$B$2=2,P144,IF(Tables!$B$2=4,Q144,IF(Tables!$B$2=5,R144,IF(Tables!$B$2=3,S144,0)))))</f>
        <v>2888933.86956699</v>
      </c>
    </row>
    <row r="145" customFormat="false" ht="12.75" hidden="false" customHeight="false" outlineLevel="0" collapsed="false">
      <c r="A145" s="21" t="n">
        <v>41153</v>
      </c>
      <c r="B145" s="22" t="n">
        <v>23.9676185880389</v>
      </c>
      <c r="C145" s="23" t="n">
        <v>31.05</v>
      </c>
      <c r="D145" s="24" t="n">
        <v>16.6799995422363</v>
      </c>
      <c r="E145" s="25" t="n">
        <v>14.2600004196167</v>
      </c>
      <c r="F145" s="26" t="n">
        <f aca="false">VLOOKUP(MONTH(A145),ScalarTable,2,0)</f>
        <v>1.09653379232051</v>
      </c>
      <c r="G145" s="27" t="n">
        <f aca="false">+F145*C145</f>
        <v>34.0473742515519</v>
      </c>
      <c r="I145" s="26" t="n">
        <f aca="false">VLOOKUP(MONTH(A145),ScalarTable,3,0)</f>
        <v>0.903466207679489</v>
      </c>
      <c r="J145" s="28" t="n">
        <f aca="false">C145*I145</f>
        <v>28.0526257484481</v>
      </c>
      <c r="K145" s="29" t="n">
        <f aca="false">D145*F145</f>
        <v>18.2901831539528</v>
      </c>
      <c r="L145" s="28" t="n">
        <f aca="false">D145*I145</f>
        <v>15.0698159305199</v>
      </c>
      <c r="M145" s="30" t="n">
        <f aca="false">E145*F145</f>
        <v>15.6365723386144</v>
      </c>
      <c r="O145" s="31"/>
      <c r="P145" s="32"/>
      <c r="Q145" s="33" t="n">
        <v>387353.382165905</v>
      </c>
      <c r="R145" s="33" t="n">
        <v>320082.945025991</v>
      </c>
      <c r="S145" s="33"/>
      <c r="T145" s="34" t="n">
        <f aca="false">IF(Tables!$B$2=1,'NY Curve'!O145,IF(Tables!$B$2=2,P145,IF(Tables!$B$2=4,Q145,IF(Tables!$B$2=5,R145,IF(Tables!$B$2=3,S145,0)))))</f>
        <v>320082.945025991</v>
      </c>
    </row>
    <row r="146" customFormat="false" ht="12.75" hidden="false" customHeight="false" outlineLevel="0" collapsed="false">
      <c r="A146" s="21" t="n">
        <v>41183</v>
      </c>
      <c r="B146" s="22" t="n">
        <v>23.6097378140404</v>
      </c>
      <c r="C146" s="23" t="n">
        <v>26.8</v>
      </c>
      <c r="D146" s="24" t="n">
        <v>21.5505001068115</v>
      </c>
      <c r="E146" s="25" t="n">
        <v>21.5509998321533</v>
      </c>
      <c r="F146" s="26" t="n">
        <f aca="false">VLOOKUP(MONTH(A146),ScalarTable,2,0)</f>
        <v>1.0119875</v>
      </c>
      <c r="G146" s="27" t="n">
        <f aca="false">+F146*C146</f>
        <v>27.121265</v>
      </c>
      <c r="I146" s="26" t="n">
        <f aca="false">VLOOKUP(MONTH(A146),ScalarTable,3,0)</f>
        <v>0.9880125</v>
      </c>
      <c r="J146" s="28" t="n">
        <f aca="false">C146*I146</f>
        <v>26.478735</v>
      </c>
      <c r="K146" s="29" t="n">
        <f aca="false">D146*F146</f>
        <v>21.8088367268419</v>
      </c>
      <c r="L146" s="28" t="n">
        <f aca="false">D146*I146</f>
        <v>21.2921634867811</v>
      </c>
      <c r="M146" s="30" t="n">
        <f aca="false">E146*F146</f>
        <v>21.8093424426413</v>
      </c>
      <c r="O146" s="31"/>
      <c r="P146" s="32"/>
      <c r="Q146" s="33" t="n">
        <v>162585.962669355</v>
      </c>
      <c r="R146" s="33" t="n">
        <v>128636.437773041</v>
      </c>
      <c r="S146" s="33"/>
      <c r="T146" s="34" t="n">
        <f aca="false">IF(Tables!$B$2=1,'NY Curve'!O146,IF(Tables!$B$2=2,P146,IF(Tables!$B$2=4,Q146,IF(Tables!$B$2=5,R146,IF(Tables!$B$2=3,S146,0)))))</f>
        <v>128636.437773041</v>
      </c>
    </row>
    <row r="147" customFormat="false" ht="12.75" hidden="false" customHeight="false" outlineLevel="0" collapsed="false">
      <c r="A147" s="21" t="n">
        <v>41214</v>
      </c>
      <c r="B147" s="22" t="n">
        <v>24.1167973654611</v>
      </c>
      <c r="C147" s="23" t="n">
        <v>27.3</v>
      </c>
      <c r="D147" s="24" t="n">
        <v>22.5547515869141</v>
      </c>
      <c r="E147" s="25" t="n">
        <v>22.5544998168945</v>
      </c>
      <c r="F147" s="26" t="n">
        <f aca="false">VLOOKUP(MONTH(A147),ScalarTable,2,0)</f>
        <v>1.01585</v>
      </c>
      <c r="G147" s="27" t="n">
        <f aca="false">+F147*C147</f>
        <v>27.732705</v>
      </c>
      <c r="I147" s="26" t="n">
        <f aca="false">VLOOKUP(MONTH(A147),ScalarTable,3,0)</f>
        <v>0.98415</v>
      </c>
      <c r="J147" s="28" t="n">
        <f aca="false">C147*I147</f>
        <v>26.867295</v>
      </c>
      <c r="K147" s="29" t="n">
        <f aca="false">D147*F147</f>
        <v>22.9122443995666</v>
      </c>
      <c r="L147" s="28" t="n">
        <f aca="false">D147*I147</f>
        <v>22.1972587742615</v>
      </c>
      <c r="M147" s="30" t="n">
        <f aca="false">E147*F147</f>
        <v>22.9119886389923</v>
      </c>
      <c r="O147" s="31"/>
      <c r="P147" s="32"/>
      <c r="Q147" s="33" t="n">
        <v>161954.221689817</v>
      </c>
      <c r="R147" s="33" t="n">
        <v>114326.042227591</v>
      </c>
      <c r="S147" s="33"/>
      <c r="T147" s="34" t="n">
        <f aca="false">IF(Tables!$B$2=1,'NY Curve'!O147,IF(Tables!$B$2=2,P147,IF(Tables!$B$2=4,Q147,IF(Tables!$B$2=5,R147,IF(Tables!$B$2=3,S147,0)))))</f>
        <v>114326.042227591</v>
      </c>
    </row>
    <row r="148" customFormat="false" ht="12.75" hidden="false" customHeight="false" outlineLevel="0" collapsed="false">
      <c r="A148" s="21" t="n">
        <v>41244</v>
      </c>
      <c r="B148" s="22" t="n">
        <v>24.893570909046</v>
      </c>
      <c r="C148" s="23" t="n">
        <v>27.8</v>
      </c>
      <c r="D148" s="24" t="n">
        <v>24.0049983978271</v>
      </c>
      <c r="E148" s="25" t="n">
        <v>22.4999992370605</v>
      </c>
      <c r="F148" s="26" t="n">
        <f aca="false">VLOOKUP(MONTH(A148),ScalarTable,2,0)</f>
        <v>1.01532599180631</v>
      </c>
      <c r="G148" s="27" t="n">
        <f aca="false">+F148*C148</f>
        <v>28.2260625722154</v>
      </c>
      <c r="I148" s="26" t="n">
        <f aca="false">VLOOKUP(MONTH(A148),ScalarTable,3,0)</f>
        <v>0.984674008193689</v>
      </c>
      <c r="J148" s="28" t="n">
        <f aca="false">C148*I148</f>
        <v>27.3739374277846</v>
      </c>
      <c r="K148" s="29" t="n">
        <f aca="false">D148*F148</f>
        <v>24.3728988065827</v>
      </c>
      <c r="L148" s="28" t="n">
        <f aca="false">D148*I148</f>
        <v>23.6370979890715</v>
      </c>
      <c r="M148" s="30" t="n">
        <f aca="false">E148*F148</f>
        <v>22.8448340410097</v>
      </c>
      <c r="O148" s="31"/>
      <c r="P148" s="32"/>
      <c r="Q148" s="33" t="n">
        <v>131606.043331362</v>
      </c>
      <c r="R148" s="33" t="n">
        <v>92445.0711227281</v>
      </c>
      <c r="S148" s="33"/>
      <c r="T148" s="34" t="n">
        <f aca="false">IF(Tables!$B$2=1,'NY Curve'!O148,IF(Tables!$B$2=2,P148,IF(Tables!$B$2=4,Q148,IF(Tables!$B$2=5,R148,IF(Tables!$B$2=3,S148,0)))))</f>
        <v>92445.0711227281</v>
      </c>
    </row>
    <row r="149" customFormat="false" ht="12.75" hidden="false" customHeight="false" outlineLevel="0" collapsed="false">
      <c r="A149" s="21" t="n">
        <v>41275</v>
      </c>
      <c r="B149" s="22" t="n">
        <v>28.7906547728039</v>
      </c>
      <c r="C149" s="23" t="n">
        <v>33.35</v>
      </c>
      <c r="D149" s="24" t="n">
        <v>27.3987483978271</v>
      </c>
      <c r="E149" s="25" t="n">
        <v>27.9025001525879</v>
      </c>
      <c r="F149" s="26" t="n">
        <f aca="false">VLOOKUP(MONTH(A149),ScalarTable,2,0)</f>
        <v>1.00808025404509</v>
      </c>
      <c r="G149" s="27" t="n">
        <f aca="false">+F149*C149</f>
        <v>33.6194764724038</v>
      </c>
      <c r="I149" s="26" t="n">
        <f aca="false">VLOOKUP(MONTH(A149),ScalarTable,3,0)</f>
        <v>0.991919745954909</v>
      </c>
      <c r="J149" s="28" t="n">
        <f aca="false">C149*I149</f>
        <v>33.0805235275962</v>
      </c>
      <c r="K149" s="29" t="n">
        <f aca="false">D149*F149</f>
        <v>27.6201372453991</v>
      </c>
      <c r="L149" s="28" t="n">
        <f aca="false">D149*I149</f>
        <v>27.1773595502552</v>
      </c>
      <c r="M149" s="30" t="n">
        <f aca="false">E149*F149</f>
        <v>28.127959442314</v>
      </c>
      <c r="O149" s="31"/>
      <c r="P149" s="32"/>
      <c r="Q149" s="33" t="n">
        <v>321142.750426266</v>
      </c>
      <c r="R149" s="33" t="n">
        <v>245942.63499749</v>
      </c>
      <c r="S149" s="33"/>
      <c r="T149" s="34" t="n">
        <f aca="false">IF(Tables!$B$2=1,'NY Curve'!O149,IF(Tables!$B$2=2,P149,IF(Tables!$B$2=4,Q149,IF(Tables!$B$2=5,R149,IF(Tables!$B$2=3,S149,0)))))</f>
        <v>245942.63499749</v>
      </c>
    </row>
    <row r="150" customFormat="false" ht="12.75" hidden="false" customHeight="false" outlineLevel="0" collapsed="false">
      <c r="A150" s="21" t="n">
        <v>41306</v>
      </c>
      <c r="B150" s="22" t="n">
        <v>28.3157732100714</v>
      </c>
      <c r="C150" s="23" t="n">
        <v>33.35</v>
      </c>
      <c r="D150" s="24" t="n">
        <v>26.3962501525879</v>
      </c>
      <c r="E150" s="25" t="n">
        <v>25.8974994659424</v>
      </c>
      <c r="F150" s="26" t="n">
        <f aca="false">VLOOKUP(MONTH(A150),ScalarTable,2,0)</f>
        <v>1.00808025404509</v>
      </c>
      <c r="G150" s="27" t="n">
        <f aca="false">+F150*C150</f>
        <v>33.6194764724038</v>
      </c>
      <c r="I150" s="26" t="n">
        <f aca="false">VLOOKUP(MONTH(A150),ScalarTable,3,0)</f>
        <v>0.991919745954909</v>
      </c>
      <c r="J150" s="28" t="n">
        <f aca="false">C150*I150</f>
        <v>33.0805235275962</v>
      </c>
      <c r="K150" s="29" t="n">
        <f aca="false">D150*F150</f>
        <v>26.6095385596586</v>
      </c>
      <c r="L150" s="28" t="n">
        <f aca="false">D150*I150</f>
        <v>26.1829617455172</v>
      </c>
      <c r="M150" s="30" t="n">
        <f aca="false">E150*F150</f>
        <v>26.1067578407598</v>
      </c>
      <c r="O150" s="31"/>
      <c r="P150" s="32"/>
      <c r="Q150" s="33" t="n">
        <v>276271.049267846</v>
      </c>
      <c r="R150" s="33" t="n">
        <v>225012.369842093</v>
      </c>
      <c r="S150" s="33"/>
      <c r="T150" s="34" t="n">
        <f aca="false">IF(Tables!$B$2=1,'NY Curve'!O150,IF(Tables!$B$2=2,P150,IF(Tables!$B$2=4,Q150,IF(Tables!$B$2=5,R150,IF(Tables!$B$2=3,S150,0)))))</f>
        <v>225012.369842093</v>
      </c>
    </row>
    <row r="151" customFormat="false" ht="12.75" hidden="false" customHeight="false" outlineLevel="0" collapsed="false">
      <c r="A151" s="21" t="n">
        <v>41334</v>
      </c>
      <c r="B151" s="22" t="n">
        <v>24.0546544574556</v>
      </c>
      <c r="C151" s="23" t="n">
        <v>28.35</v>
      </c>
      <c r="D151" s="24" t="n">
        <v>19.5847496032715</v>
      </c>
      <c r="E151" s="25" t="n">
        <v>21.2144989013672</v>
      </c>
      <c r="F151" s="26" t="n">
        <f aca="false">VLOOKUP(MONTH(A151),ScalarTable,2,0)</f>
        <v>1.0080875</v>
      </c>
      <c r="G151" s="27" t="n">
        <f aca="false">+F151*C151</f>
        <v>28.579280625</v>
      </c>
      <c r="I151" s="26" t="n">
        <f aca="false">VLOOKUP(MONTH(A151),ScalarTable,3,0)</f>
        <v>0.9919125</v>
      </c>
      <c r="J151" s="28" t="n">
        <f aca="false">C151*I151</f>
        <v>28.120719375</v>
      </c>
      <c r="K151" s="29" t="n">
        <f aca="false">D151*F151</f>
        <v>19.7431412656879</v>
      </c>
      <c r="L151" s="28" t="n">
        <f aca="false">D151*I151</f>
        <v>19.426357940855</v>
      </c>
      <c r="M151" s="30" t="n">
        <f aca="false">E151*F151</f>
        <v>21.386071161232</v>
      </c>
      <c r="O151" s="31"/>
      <c r="P151" s="32"/>
      <c r="Q151" s="33" t="n">
        <v>138012.011478385</v>
      </c>
      <c r="R151" s="33" t="n">
        <v>126832.875493801</v>
      </c>
      <c r="S151" s="33"/>
      <c r="T151" s="34" t="n">
        <f aca="false">IF(Tables!$B$2=1,'NY Curve'!O151,IF(Tables!$B$2=2,P151,IF(Tables!$B$2=4,Q151,IF(Tables!$B$2=5,R151,IF(Tables!$B$2=3,S151,0)))))</f>
        <v>126832.875493801</v>
      </c>
    </row>
    <row r="152" customFormat="false" ht="12.75" hidden="false" customHeight="false" outlineLevel="0" collapsed="false">
      <c r="A152" s="21" t="n">
        <v>41365</v>
      </c>
      <c r="B152" s="22" t="n">
        <v>23.5241660345168</v>
      </c>
      <c r="C152" s="23" t="n">
        <v>27.1</v>
      </c>
      <c r="D152" s="24" t="n">
        <v>20.2675003051758</v>
      </c>
      <c r="E152" s="25" t="n">
        <v>20.9849990844726</v>
      </c>
      <c r="F152" s="26" t="n">
        <f aca="false">VLOOKUP(MONTH(A152),ScalarTable,2,0)</f>
        <v>1.07269528338234</v>
      </c>
      <c r="G152" s="27" t="n">
        <f aca="false">+F152*C152</f>
        <v>29.0700421796614</v>
      </c>
      <c r="I152" s="26" t="n">
        <f aca="false">VLOOKUP(MONTH(A152),ScalarTable,3,0)</f>
        <v>0.92730471661766</v>
      </c>
      <c r="J152" s="28" t="n">
        <f aca="false">C152*I152</f>
        <v>25.1299578203386</v>
      </c>
      <c r="K152" s="29" t="n">
        <f aca="false">D152*F152</f>
        <v>21.7408519833122</v>
      </c>
      <c r="L152" s="28" t="n">
        <f aca="false">D152*I152</f>
        <v>18.7941486270394</v>
      </c>
      <c r="M152" s="30" t="n">
        <f aca="false">E152*F152</f>
        <v>22.5105095396965</v>
      </c>
      <c r="O152" s="31"/>
      <c r="P152" s="32"/>
      <c r="Q152" s="33" t="n">
        <v>155784.669277564</v>
      </c>
      <c r="R152" s="33" t="n">
        <v>151691.137281479</v>
      </c>
      <c r="S152" s="33"/>
      <c r="T152" s="34" t="n">
        <f aca="false">IF(Tables!$B$2=1,'NY Curve'!O152,IF(Tables!$B$2=2,P152,IF(Tables!$B$2=4,Q152,IF(Tables!$B$2=5,R152,IF(Tables!$B$2=3,S152,0)))))</f>
        <v>151691.137281479</v>
      </c>
    </row>
    <row r="153" customFormat="false" ht="12.75" hidden="false" customHeight="false" outlineLevel="0" collapsed="false">
      <c r="A153" s="21" t="n">
        <v>41395</v>
      </c>
      <c r="B153" s="22" t="n">
        <v>26.0210708618164</v>
      </c>
      <c r="C153" s="23" t="n">
        <v>32.15</v>
      </c>
      <c r="D153" s="24" t="n">
        <v>20.3825000762939</v>
      </c>
      <c r="E153" s="25" t="n">
        <v>21.5149997711182</v>
      </c>
      <c r="F153" s="26" t="n">
        <f aca="false">VLOOKUP(MONTH(A153),ScalarTable,2,0)</f>
        <v>1.05849023799053</v>
      </c>
      <c r="G153" s="27" t="n">
        <f aca="false">+F153*C153</f>
        <v>34.0304611513955</v>
      </c>
      <c r="I153" s="26" t="n">
        <f aca="false">VLOOKUP(MONTH(A153),ScalarTable,3,0)</f>
        <v>0.941509762009471</v>
      </c>
      <c r="J153" s="28" t="n">
        <f aca="false">C153*I153</f>
        <v>30.2695388486045</v>
      </c>
      <c r="K153" s="29" t="n">
        <f aca="false">D153*F153</f>
        <v>21.5746773565983</v>
      </c>
      <c r="L153" s="28" t="n">
        <f aca="false">D153*I153</f>
        <v>19.1903227959895</v>
      </c>
      <c r="M153" s="30" t="n">
        <f aca="false">E153*F153</f>
        <v>22.773417228097</v>
      </c>
      <c r="O153" s="31"/>
      <c r="P153" s="32"/>
      <c r="Q153" s="33" t="n">
        <v>387725.183727092</v>
      </c>
      <c r="R153" s="33" t="n">
        <v>319359.384402774</v>
      </c>
      <c r="S153" s="33"/>
      <c r="T153" s="34" t="n">
        <f aca="false">IF(Tables!$B$2=1,'NY Curve'!O153,IF(Tables!$B$2=2,P153,IF(Tables!$B$2=4,Q153,IF(Tables!$B$2=5,R153,IF(Tables!$B$2=3,S153,0)))))</f>
        <v>319359.384402774</v>
      </c>
    </row>
    <row r="154" customFormat="false" ht="12.75" hidden="false" customHeight="false" outlineLevel="0" collapsed="false">
      <c r="A154" s="21" t="n">
        <v>41426</v>
      </c>
      <c r="B154" s="22" t="n">
        <v>36.9918449038551</v>
      </c>
      <c r="C154" s="23" t="n">
        <v>54.25</v>
      </c>
      <c r="D154" s="24" t="n">
        <v>24.8087501525879</v>
      </c>
      <c r="E154" s="25" t="n">
        <v>20.2924995422363</v>
      </c>
      <c r="F154" s="26" t="n">
        <f aca="false">VLOOKUP(MONTH(A154),ScalarTable,2,0)</f>
        <v>1.16938304743531</v>
      </c>
      <c r="G154" s="27" t="n">
        <f aca="false">+F154*C154</f>
        <v>63.4390303233653</v>
      </c>
      <c r="I154" s="26" t="n">
        <f aca="false">VLOOKUP(MONTH(A154),ScalarTable,3,0)</f>
        <v>0.83061695843935</v>
      </c>
      <c r="J154" s="28" t="n">
        <f aca="false">C154*I154</f>
        <v>45.0609699953347</v>
      </c>
      <c r="K154" s="29" t="n">
        <f aca="false">D154*F154</f>
        <v>29.0109318564943</v>
      </c>
      <c r="L154" s="28" t="n">
        <f aca="false">D154*I154</f>
        <v>20.6065685944243</v>
      </c>
      <c r="M154" s="30" t="n">
        <f aca="false">E154*F154</f>
        <v>23.7297049547799</v>
      </c>
      <c r="O154" s="31"/>
      <c r="P154" s="32"/>
      <c r="Q154" s="33" t="n">
        <v>1211820.30635662</v>
      </c>
      <c r="R154" s="33" t="n">
        <v>1089793.06093667</v>
      </c>
      <c r="S154" s="33"/>
      <c r="T154" s="34" t="n">
        <f aca="false">IF(Tables!$B$2=1,'NY Curve'!O154,IF(Tables!$B$2=2,P154,IF(Tables!$B$2=4,Q154,IF(Tables!$B$2=5,R154,IF(Tables!$B$2=3,S154,0)))))</f>
        <v>1089793.06093667</v>
      </c>
    </row>
    <row r="155" customFormat="false" ht="12.75" hidden="false" customHeight="false" outlineLevel="0" collapsed="false">
      <c r="A155" s="21" t="n">
        <v>41456</v>
      </c>
      <c r="B155" s="22" t="n">
        <v>54.3583921704973</v>
      </c>
      <c r="C155" s="23" t="n">
        <v>84</v>
      </c>
      <c r="D155" s="24" t="n">
        <v>38.0112495422364</v>
      </c>
      <c r="E155" s="25" t="n">
        <v>29.4974994659424</v>
      </c>
      <c r="F155" s="26" t="n">
        <f aca="false">VLOOKUP(MONTH(A155),ScalarTable,2,0)</f>
        <v>1.22140709971076</v>
      </c>
      <c r="G155" s="27" t="n">
        <f aca="false">+F155*C155</f>
        <v>102.598196375704</v>
      </c>
      <c r="I155" s="26" t="n">
        <f aca="false">VLOOKUP(MONTH(A155),ScalarTable,3,0)</f>
        <v>0.7785929068923</v>
      </c>
      <c r="J155" s="28" t="n">
        <f aca="false">C155*I155</f>
        <v>65.4018041789532</v>
      </c>
      <c r="K155" s="29" t="n">
        <f aca="false">D155*F155</f>
        <v>46.4272100597649</v>
      </c>
      <c r="L155" s="28" t="n">
        <f aca="false">D155*I155</f>
        <v>29.5952892756984</v>
      </c>
      <c r="M155" s="30" t="n">
        <f aca="false">E155*F155</f>
        <v>36.0284552714164</v>
      </c>
      <c r="O155" s="31"/>
      <c r="P155" s="32"/>
      <c r="Q155" s="33" t="n">
        <v>3146036.01141244</v>
      </c>
      <c r="R155" s="33" t="n">
        <v>2810150.15226262</v>
      </c>
      <c r="S155" s="33"/>
      <c r="T155" s="34" t="n">
        <f aca="false">IF(Tables!$B$2=1,'NY Curve'!O155,IF(Tables!$B$2=2,P155,IF(Tables!$B$2=4,Q155,IF(Tables!$B$2=5,R155,IF(Tables!$B$2=3,S155,0)))))</f>
        <v>2810150.15226262</v>
      </c>
    </row>
    <row r="156" customFormat="false" ht="12.75" hidden="false" customHeight="false" outlineLevel="0" collapsed="false">
      <c r="A156" s="21" t="n">
        <v>41487</v>
      </c>
      <c r="B156" s="22" t="n">
        <v>51.4072614397321</v>
      </c>
      <c r="C156" s="23" t="n">
        <v>76.5</v>
      </c>
      <c r="D156" s="24" t="n">
        <v>40.2724990844727</v>
      </c>
      <c r="E156" s="25" t="n">
        <v>30.9950008392334</v>
      </c>
      <c r="F156" s="26" t="n">
        <f aca="false">VLOOKUP(MONTH(A156),ScalarTable,2,0)</f>
        <v>1.15768142863174</v>
      </c>
      <c r="G156" s="27" t="n">
        <f aca="false">+F156*C156</f>
        <v>88.562629290328</v>
      </c>
      <c r="I156" s="26" t="n">
        <f aca="false">VLOOKUP(MONTH(A156),ScalarTable,3,0)</f>
        <v>0.842099040746689</v>
      </c>
      <c r="J156" s="28" t="n">
        <f aca="false">C156*I156</f>
        <v>64.4205766171217</v>
      </c>
      <c r="K156" s="29" t="n">
        <f aca="false">D156*F156</f>
        <v>46.6227242746827</v>
      </c>
      <c r="L156" s="28" t="n">
        <f aca="false">D156*I156</f>
        <v>33.9134328475064</v>
      </c>
      <c r="M156" s="30" t="n">
        <f aca="false">E156*F156</f>
        <v>35.8823368520057</v>
      </c>
      <c r="O156" s="31"/>
      <c r="P156" s="32"/>
      <c r="Q156" s="33" t="n">
        <v>3148029.13457259</v>
      </c>
      <c r="R156" s="33" t="n">
        <v>2804886.52538636</v>
      </c>
      <c r="S156" s="33"/>
      <c r="T156" s="34" t="n">
        <f aca="false">IF(Tables!$B$2=1,'NY Curve'!O156,IF(Tables!$B$2=2,P156,IF(Tables!$B$2=4,Q156,IF(Tables!$B$2=5,R156,IF(Tables!$B$2=3,S156,0)))))</f>
        <v>2804886.52538636</v>
      </c>
    </row>
    <row r="157" customFormat="false" ht="12.75" hidden="false" customHeight="false" outlineLevel="0" collapsed="false">
      <c r="A157" s="21" t="n">
        <v>41518</v>
      </c>
      <c r="B157" s="22" t="n">
        <v>24.2152376356579</v>
      </c>
      <c r="C157" s="23" t="n">
        <v>31.35</v>
      </c>
      <c r="D157" s="24" t="n">
        <v>16.8799995422363</v>
      </c>
      <c r="E157" s="25" t="n">
        <v>14.4600004196167</v>
      </c>
      <c r="F157" s="26" t="n">
        <f aca="false">VLOOKUP(MONTH(A157),ScalarTable,2,0)</f>
        <v>1.09653379232051</v>
      </c>
      <c r="G157" s="27" t="n">
        <f aca="false">+F157*C157</f>
        <v>34.376334389248</v>
      </c>
      <c r="I157" s="26" t="n">
        <f aca="false">VLOOKUP(MONTH(A157),ScalarTable,3,0)</f>
        <v>0.903466207679489</v>
      </c>
      <c r="J157" s="28" t="n">
        <f aca="false">C157*I157</f>
        <v>28.323665610752</v>
      </c>
      <c r="K157" s="29" t="n">
        <f aca="false">D157*F157</f>
        <v>18.5094899124169</v>
      </c>
      <c r="L157" s="28" t="n">
        <f aca="false">D157*I157</f>
        <v>15.2505091720558</v>
      </c>
      <c r="M157" s="30" t="n">
        <f aca="false">E157*F157</f>
        <v>15.8558790970785</v>
      </c>
      <c r="O157" s="31"/>
      <c r="P157" s="32"/>
      <c r="Q157" s="33" t="n">
        <v>380419.124258536</v>
      </c>
      <c r="R157" s="33" t="n">
        <v>313584.129285198</v>
      </c>
      <c r="S157" s="33"/>
      <c r="T157" s="34" t="n">
        <f aca="false">IF(Tables!$B$2=1,'NY Curve'!O157,IF(Tables!$B$2=2,P157,IF(Tables!$B$2=4,Q157,IF(Tables!$B$2=5,R157,IF(Tables!$B$2=3,S157,0)))))</f>
        <v>313584.129285198</v>
      </c>
    </row>
    <row r="158" customFormat="false" ht="12.75" hidden="false" customHeight="false" outlineLevel="0" collapsed="false">
      <c r="A158" s="21" t="n">
        <v>41548</v>
      </c>
      <c r="B158" s="22" t="n">
        <v>23.8573568616595</v>
      </c>
      <c r="C158" s="23" t="n">
        <v>27.1</v>
      </c>
      <c r="D158" s="24" t="n">
        <v>21.7505001068115</v>
      </c>
      <c r="E158" s="25" t="n">
        <v>21.7509998321533</v>
      </c>
      <c r="F158" s="26" t="n">
        <f aca="false">VLOOKUP(MONTH(A158),ScalarTable,2,0)</f>
        <v>1.0119875</v>
      </c>
      <c r="G158" s="27" t="n">
        <f aca="false">+F158*C158</f>
        <v>27.42486125</v>
      </c>
      <c r="I158" s="26" t="n">
        <f aca="false">VLOOKUP(MONTH(A158),ScalarTable,3,0)</f>
        <v>0.9880125</v>
      </c>
      <c r="J158" s="28" t="n">
        <f aca="false">C158*I158</f>
        <v>26.77513875</v>
      </c>
      <c r="K158" s="29" t="n">
        <f aca="false">D158*F158</f>
        <v>22.0112342268419</v>
      </c>
      <c r="L158" s="28" t="n">
        <f aca="false">D158*I158</f>
        <v>21.4897659867811</v>
      </c>
      <c r="M158" s="30" t="n">
        <f aca="false">E158*F158</f>
        <v>22.0117399426413</v>
      </c>
      <c r="O158" s="31"/>
      <c r="P158" s="32"/>
      <c r="Q158" s="33" t="n">
        <v>143724.786297806</v>
      </c>
      <c r="R158" s="33" t="n">
        <v>113089.784719375</v>
      </c>
      <c r="S158" s="33"/>
      <c r="T158" s="34" t="n">
        <f aca="false">IF(Tables!$B$2=1,'NY Curve'!O158,IF(Tables!$B$2=2,P158,IF(Tables!$B$2=4,Q158,IF(Tables!$B$2=5,R158,IF(Tables!$B$2=3,S158,0)))))</f>
        <v>113089.784719375</v>
      </c>
    </row>
    <row r="159" customFormat="false" ht="12.75" hidden="false" customHeight="false" outlineLevel="0" collapsed="false">
      <c r="A159" s="21" t="n">
        <v>41579</v>
      </c>
      <c r="B159" s="22" t="n">
        <v>24.3644164130801</v>
      </c>
      <c r="C159" s="23" t="n">
        <v>27.6</v>
      </c>
      <c r="D159" s="24" t="n">
        <v>22.7547515869141</v>
      </c>
      <c r="E159" s="25" t="n">
        <v>22.7544998168945</v>
      </c>
      <c r="F159" s="26" t="n">
        <f aca="false">VLOOKUP(MONTH(A159),ScalarTable,2,0)</f>
        <v>1.01585</v>
      </c>
      <c r="G159" s="27" t="n">
        <f aca="false">+F159*C159</f>
        <v>28.03746</v>
      </c>
      <c r="I159" s="26" t="n">
        <f aca="false">VLOOKUP(MONTH(A159),ScalarTable,3,0)</f>
        <v>0.98415</v>
      </c>
      <c r="J159" s="28" t="n">
        <f aca="false">C159*I159</f>
        <v>27.16254</v>
      </c>
      <c r="K159" s="29" t="n">
        <f aca="false">D159*F159</f>
        <v>23.1154143995666</v>
      </c>
      <c r="L159" s="28" t="n">
        <f aca="false">D159*I159</f>
        <v>22.3940887742615</v>
      </c>
      <c r="M159" s="30" t="n">
        <f aca="false">E159*F159</f>
        <v>23.1151586389923</v>
      </c>
      <c r="O159" s="31"/>
      <c r="P159" s="32"/>
      <c r="Q159" s="33" t="n">
        <v>137025.320659997</v>
      </c>
      <c r="R159" s="33" t="n">
        <v>95919.7827139279</v>
      </c>
      <c r="S159" s="33"/>
      <c r="T159" s="34" t="n">
        <f aca="false">IF(Tables!$B$2=1,'NY Curve'!O159,IF(Tables!$B$2=2,P159,IF(Tables!$B$2=4,Q159,IF(Tables!$B$2=5,R159,IF(Tables!$B$2=3,S159,0)))))</f>
        <v>95919.7827139279</v>
      </c>
    </row>
    <row r="160" customFormat="false" ht="12.75" hidden="false" customHeight="false" outlineLevel="0" collapsed="false">
      <c r="A160" s="21" t="n">
        <v>41609</v>
      </c>
      <c r="B160" s="22" t="n">
        <v>25.141189956665</v>
      </c>
      <c r="C160" s="23" t="n">
        <v>28.1</v>
      </c>
      <c r="D160" s="24" t="n">
        <v>24.2049983978271</v>
      </c>
      <c r="E160" s="25" t="n">
        <v>22.6999992370605</v>
      </c>
      <c r="F160" s="26" t="n">
        <f aca="false">VLOOKUP(MONTH(A160),ScalarTable,2,0)</f>
        <v>1.01532599180631</v>
      </c>
      <c r="G160" s="27" t="n">
        <f aca="false">+F160*C160</f>
        <v>28.5306603697573</v>
      </c>
      <c r="I160" s="26" t="n">
        <f aca="false">VLOOKUP(MONTH(A160),ScalarTable,3,0)</f>
        <v>0.984674008193689</v>
      </c>
      <c r="J160" s="28" t="n">
        <f aca="false">C160*I160</f>
        <v>27.6693396302427</v>
      </c>
      <c r="K160" s="29" t="n">
        <f aca="false">D160*F160</f>
        <v>24.575964004944</v>
      </c>
      <c r="L160" s="28" t="n">
        <f aca="false">D160*I160</f>
        <v>23.8340327907103</v>
      </c>
      <c r="M160" s="30" t="n">
        <f aca="false">E160*F160</f>
        <v>23.047899239371</v>
      </c>
      <c r="O160" s="31"/>
      <c r="P160" s="32"/>
      <c r="Q160" s="33" t="n">
        <v>121825.680336978</v>
      </c>
      <c r="R160" s="33" t="n">
        <v>84777.8438336725</v>
      </c>
      <c r="S160" s="33"/>
      <c r="T160" s="34" t="n">
        <f aca="false">IF(Tables!$B$2=1,'NY Curve'!O160,IF(Tables!$B$2=2,P160,IF(Tables!$B$2=4,Q160,IF(Tables!$B$2=5,R160,IF(Tables!$B$2=3,S160,0)))))</f>
        <v>84777.8438336725</v>
      </c>
    </row>
    <row r="161" customFormat="false" ht="12.75" hidden="false" customHeight="false" outlineLevel="0" collapsed="false">
      <c r="A161" s="21" t="n">
        <v>41640</v>
      </c>
      <c r="B161" s="22" t="n">
        <v>29.0382738204229</v>
      </c>
      <c r="C161" s="23" t="n">
        <v>33.65</v>
      </c>
      <c r="D161" s="24" t="n">
        <v>27.5987483978271</v>
      </c>
      <c r="E161" s="25" t="n">
        <v>28.1025001525879</v>
      </c>
      <c r="F161" s="26" t="n">
        <f aca="false">VLOOKUP(MONTH(A161),ScalarTable,2,0)</f>
        <v>1.00808025404509</v>
      </c>
      <c r="G161" s="27" t="n">
        <f aca="false">+F161*C161</f>
        <v>33.9219005486173</v>
      </c>
      <c r="I161" s="26" t="n">
        <f aca="false">VLOOKUP(MONTH(A161),ScalarTable,3,0)</f>
        <v>0.991919745954909</v>
      </c>
      <c r="J161" s="28" t="n">
        <f aca="false">C161*I161</f>
        <v>33.3780994513827</v>
      </c>
      <c r="K161" s="29" t="n">
        <f aca="false">D161*F161</f>
        <v>27.8217532962081</v>
      </c>
      <c r="L161" s="28" t="n">
        <f aca="false">D161*I161</f>
        <v>27.3757434994462</v>
      </c>
      <c r="M161" s="30" t="n">
        <f aca="false">E161*F161</f>
        <v>28.329575493123</v>
      </c>
      <c r="O161" s="31"/>
      <c r="P161" s="32"/>
      <c r="Q161" s="33" t="n">
        <v>311841.707358757</v>
      </c>
      <c r="R161" s="33" t="n">
        <v>237882.325417316</v>
      </c>
      <c r="S161" s="33"/>
      <c r="T161" s="34" t="n">
        <f aca="false">IF(Tables!$B$2=1,'NY Curve'!O161,IF(Tables!$B$2=2,P161,IF(Tables!$B$2=4,Q161,IF(Tables!$B$2=5,R161,IF(Tables!$B$2=3,S161,0)))))</f>
        <v>237882.325417316</v>
      </c>
    </row>
    <row r="162" customFormat="false" ht="12.75" hidden="false" customHeight="false" outlineLevel="0" collapsed="false">
      <c r="A162" s="21" t="n">
        <v>41671</v>
      </c>
      <c r="B162" s="22" t="n">
        <v>28.5633922576904</v>
      </c>
      <c r="C162" s="23" t="n">
        <v>33.65</v>
      </c>
      <c r="D162" s="24" t="n">
        <v>26.5962501525879</v>
      </c>
      <c r="E162" s="25" t="n">
        <v>26.0974994659424</v>
      </c>
      <c r="F162" s="26" t="n">
        <f aca="false">VLOOKUP(MONTH(A162),ScalarTable,2,0)</f>
        <v>1.00808025404509</v>
      </c>
      <c r="G162" s="27" t="n">
        <f aca="false">+F162*C162</f>
        <v>33.9219005486173</v>
      </c>
      <c r="I162" s="26" t="n">
        <f aca="false">VLOOKUP(MONTH(A162),ScalarTable,3,0)</f>
        <v>0.991919745954909</v>
      </c>
      <c r="J162" s="28" t="n">
        <f aca="false">C162*I162</f>
        <v>33.3780994513827</v>
      </c>
      <c r="K162" s="29" t="n">
        <f aca="false">D162*F162</f>
        <v>26.8111546104676</v>
      </c>
      <c r="L162" s="28" t="n">
        <f aca="false">D162*I162</f>
        <v>26.3813456947082</v>
      </c>
      <c r="M162" s="30" t="n">
        <f aca="false">E162*F162</f>
        <v>26.3083738915688</v>
      </c>
      <c r="O162" s="31"/>
      <c r="P162" s="32"/>
      <c r="Q162" s="33" t="n">
        <v>267848.22317346</v>
      </c>
      <c r="R162" s="33" t="n">
        <v>217155.823964346</v>
      </c>
      <c r="S162" s="33"/>
      <c r="T162" s="34" t="n">
        <f aca="false">IF(Tables!$B$2=1,'NY Curve'!O162,IF(Tables!$B$2=2,P162,IF(Tables!$B$2=4,Q162,IF(Tables!$B$2=5,R162,IF(Tables!$B$2=3,S162,0)))))</f>
        <v>217155.823964346</v>
      </c>
    </row>
    <row r="163" customFormat="false" ht="12.75" hidden="false" customHeight="false" outlineLevel="0" collapsed="false">
      <c r="A163" s="21" t="n">
        <v>41699</v>
      </c>
      <c r="B163" s="22" t="n">
        <v>24.3022735050746</v>
      </c>
      <c r="C163" s="23" t="n">
        <v>28.65</v>
      </c>
      <c r="D163" s="24" t="n">
        <v>19.7847496032715</v>
      </c>
      <c r="E163" s="25" t="n">
        <v>21.4144989013672</v>
      </c>
      <c r="F163" s="26" t="n">
        <f aca="false">VLOOKUP(MONTH(A163),ScalarTable,2,0)</f>
        <v>1.0080875</v>
      </c>
      <c r="G163" s="27" t="n">
        <f aca="false">+F163*C163</f>
        <v>28.881706875</v>
      </c>
      <c r="I163" s="26" t="n">
        <f aca="false">VLOOKUP(MONTH(A163),ScalarTable,3,0)</f>
        <v>0.9919125</v>
      </c>
      <c r="J163" s="28" t="n">
        <f aca="false">C163*I163</f>
        <v>28.418293125</v>
      </c>
      <c r="K163" s="29" t="n">
        <f aca="false">D163*F163</f>
        <v>19.9447587656879</v>
      </c>
      <c r="L163" s="28" t="n">
        <f aca="false">D163*I163</f>
        <v>19.624740440855</v>
      </c>
      <c r="M163" s="30" t="n">
        <f aca="false">E163*F163</f>
        <v>21.587688661232</v>
      </c>
      <c r="O163" s="31"/>
      <c r="P163" s="32"/>
      <c r="Q163" s="33" t="n">
        <v>130145.297102115</v>
      </c>
      <c r="R163" s="33" t="n">
        <v>119151.4850708</v>
      </c>
      <c r="S163" s="33"/>
      <c r="T163" s="34" t="n">
        <f aca="false">IF(Tables!$B$2=1,'NY Curve'!O163,IF(Tables!$B$2=2,P163,IF(Tables!$B$2=4,Q163,IF(Tables!$B$2=5,R163,IF(Tables!$B$2=3,S163,0)))))</f>
        <v>119151.4850708</v>
      </c>
    </row>
    <row r="164" customFormat="false" ht="12.75" hidden="false" customHeight="false" outlineLevel="0" collapsed="false">
      <c r="A164" s="21" t="n">
        <v>41730</v>
      </c>
      <c r="B164" s="22" t="n">
        <v>23.7717850821359</v>
      </c>
      <c r="C164" s="23" t="n">
        <v>27.4</v>
      </c>
      <c r="D164" s="24" t="n">
        <v>20.4675003051758</v>
      </c>
      <c r="E164" s="25" t="n">
        <v>21.1849990844726</v>
      </c>
      <c r="F164" s="26" t="n">
        <f aca="false">VLOOKUP(MONTH(A164),ScalarTable,2,0)</f>
        <v>1.07269528338234</v>
      </c>
      <c r="G164" s="27" t="n">
        <f aca="false">+F164*C164</f>
        <v>29.3918507646761</v>
      </c>
      <c r="I164" s="26" t="n">
        <f aca="false">VLOOKUP(MONTH(A164),ScalarTable,3,0)</f>
        <v>0.92730471661766</v>
      </c>
      <c r="J164" s="28" t="n">
        <f aca="false">C164*I164</f>
        <v>25.4081492353239</v>
      </c>
      <c r="K164" s="29" t="n">
        <f aca="false">D164*F164</f>
        <v>21.9553910399887</v>
      </c>
      <c r="L164" s="28" t="n">
        <f aca="false">D164*I164</f>
        <v>18.9796095703629</v>
      </c>
      <c r="M164" s="30" t="n">
        <f aca="false">E164*F164</f>
        <v>22.725048596373</v>
      </c>
      <c r="O164" s="31"/>
      <c r="P164" s="32"/>
      <c r="Q164" s="33" t="n">
        <v>146580.914881176</v>
      </c>
      <c r="R164" s="33" t="n">
        <v>142627.014259469</v>
      </c>
      <c r="S164" s="33"/>
      <c r="T164" s="34" t="n">
        <f aca="false">IF(Tables!$B$2=1,'NY Curve'!O164,IF(Tables!$B$2=2,P164,IF(Tables!$B$2=4,Q164,IF(Tables!$B$2=5,R164,IF(Tables!$B$2=3,S164,0)))))</f>
        <v>142627.014259469</v>
      </c>
    </row>
    <row r="165" customFormat="false" ht="12.75" hidden="false" customHeight="false" outlineLevel="0" collapsed="false">
      <c r="A165" s="21" t="n">
        <v>41760</v>
      </c>
      <c r="B165" s="22" t="n">
        <v>26.3639280046735</v>
      </c>
      <c r="C165" s="23" t="n">
        <v>32.65</v>
      </c>
      <c r="D165" s="24" t="n">
        <v>20.5825000762939</v>
      </c>
      <c r="E165" s="25" t="n">
        <v>21.7149997711182</v>
      </c>
      <c r="F165" s="26" t="n">
        <f aca="false">VLOOKUP(MONTH(A165),ScalarTable,2,0)</f>
        <v>1.05849023799053</v>
      </c>
      <c r="G165" s="27" t="n">
        <f aca="false">+F165*C165</f>
        <v>34.5597062703908</v>
      </c>
      <c r="I165" s="26" t="n">
        <f aca="false">VLOOKUP(MONTH(A165),ScalarTable,3,0)</f>
        <v>0.941509762009471</v>
      </c>
      <c r="J165" s="28" t="n">
        <f aca="false">C165*I165</f>
        <v>30.7402937296092</v>
      </c>
      <c r="K165" s="29" t="n">
        <f aca="false">D165*F165</f>
        <v>21.7863754041965</v>
      </c>
      <c r="L165" s="28" t="n">
        <f aca="false">D165*I165</f>
        <v>19.3786247483914</v>
      </c>
      <c r="M165" s="30" t="n">
        <f aca="false">E165*F165</f>
        <v>22.9851152756951</v>
      </c>
      <c r="O165" s="31"/>
      <c r="P165" s="32"/>
      <c r="Q165" s="33" t="n">
        <v>363449.365454421</v>
      </c>
      <c r="R165" s="33" t="n">
        <v>298529.481295316</v>
      </c>
      <c r="S165" s="33"/>
      <c r="T165" s="34" t="n">
        <f aca="false">IF(Tables!$B$2=1,'NY Curve'!O165,IF(Tables!$B$2=2,P165,IF(Tables!$B$2=4,Q165,IF(Tables!$B$2=5,R165,IF(Tables!$B$2=3,S165,0)))))</f>
        <v>298529.481295316</v>
      </c>
    </row>
    <row r="166" customFormat="false" ht="12.75" hidden="false" customHeight="false" outlineLevel="0" collapsed="false">
      <c r="A166" s="21" t="n">
        <v>41791</v>
      </c>
      <c r="B166" s="22" t="n">
        <v>37.5727972848075</v>
      </c>
      <c r="C166" s="23" t="n">
        <v>55.25</v>
      </c>
      <c r="D166" s="24" t="n">
        <v>25.0087501525879</v>
      </c>
      <c r="E166" s="25" t="n">
        <v>20.4924995422363</v>
      </c>
      <c r="F166" s="26" t="n">
        <f aca="false">VLOOKUP(MONTH(A166),ScalarTable,2,0)</f>
        <v>1.16938304743531</v>
      </c>
      <c r="G166" s="27" t="n">
        <f aca="false">+F166*C166</f>
        <v>64.6084133708007</v>
      </c>
      <c r="I166" s="26" t="n">
        <f aca="false">VLOOKUP(MONTH(A166),ScalarTable,3,0)</f>
        <v>0.83061695843935</v>
      </c>
      <c r="J166" s="28" t="n">
        <f aca="false">C166*I166</f>
        <v>45.8915869537741</v>
      </c>
      <c r="K166" s="29" t="n">
        <f aca="false">D166*F166</f>
        <v>29.2448084659814</v>
      </c>
      <c r="L166" s="28" t="n">
        <f aca="false">D166*I166</f>
        <v>20.7726919861122</v>
      </c>
      <c r="M166" s="30" t="n">
        <f aca="false">E166*F166</f>
        <v>23.9635815642669</v>
      </c>
      <c r="O166" s="31"/>
      <c r="P166" s="32"/>
      <c r="Q166" s="33" t="n">
        <v>1222402.00715813</v>
      </c>
      <c r="R166" s="33" t="n">
        <v>1102385.28154027</v>
      </c>
      <c r="S166" s="33"/>
      <c r="T166" s="34" t="n">
        <f aca="false">IF(Tables!$B$2=1,'NY Curve'!O166,IF(Tables!$B$2=2,P166,IF(Tables!$B$2=4,Q166,IF(Tables!$B$2=5,R166,IF(Tables!$B$2=3,S166,0)))))</f>
        <v>1102385.28154027</v>
      </c>
    </row>
    <row r="167" customFormat="false" ht="12.75" hidden="false" customHeight="false" outlineLevel="0" collapsed="false">
      <c r="A167" s="21" t="n">
        <v>41821</v>
      </c>
      <c r="B167" s="22" t="n">
        <v>55.4155350276402</v>
      </c>
      <c r="C167" s="23" t="n">
        <v>86</v>
      </c>
      <c r="D167" s="24" t="n">
        <v>38.2112495422364</v>
      </c>
      <c r="E167" s="25" t="n">
        <v>29.6974994659424</v>
      </c>
      <c r="F167" s="26" t="n">
        <f aca="false">VLOOKUP(MONTH(A167),ScalarTable,2,0)</f>
        <v>1.22140709971076</v>
      </c>
      <c r="G167" s="27" t="n">
        <f aca="false">+F167*C167</f>
        <v>105.041010575125</v>
      </c>
      <c r="I167" s="26" t="n">
        <f aca="false">VLOOKUP(MONTH(A167),ScalarTable,3,0)</f>
        <v>0.7785929068923</v>
      </c>
      <c r="J167" s="28" t="n">
        <f aca="false">C167*I167</f>
        <v>66.9589899927378</v>
      </c>
      <c r="K167" s="29" t="n">
        <f aca="false">D167*F167</f>
        <v>46.671491479707</v>
      </c>
      <c r="L167" s="28" t="n">
        <f aca="false">D167*I167</f>
        <v>29.7510078570769</v>
      </c>
      <c r="M167" s="30" t="n">
        <f aca="false">E167*F167</f>
        <v>36.2727366913585</v>
      </c>
      <c r="O167" s="31"/>
      <c r="P167" s="32"/>
      <c r="Q167" s="33" t="n">
        <v>3101913.68054395</v>
      </c>
      <c r="R167" s="33" t="n">
        <v>2771564.1545629</v>
      </c>
      <c r="S167" s="33"/>
      <c r="T167" s="34" t="n">
        <f aca="false">IF(Tables!$B$2=1,'NY Curve'!O167,IF(Tables!$B$2=2,P167,IF(Tables!$B$2=4,Q167,IF(Tables!$B$2=5,R167,IF(Tables!$B$2=3,S167,0)))))</f>
        <v>2771564.1545629</v>
      </c>
    </row>
    <row r="168" customFormat="false" ht="12.75" hidden="false" customHeight="false" outlineLevel="0" collapsed="false">
      <c r="A168" s="21" t="n">
        <v>41852</v>
      </c>
      <c r="B168" s="22" t="n">
        <v>52.464404296875</v>
      </c>
      <c r="C168" s="23" t="n">
        <v>78.5</v>
      </c>
      <c r="D168" s="24" t="n">
        <v>40.4724990844727</v>
      </c>
      <c r="E168" s="25" t="n">
        <v>31.1950008392334</v>
      </c>
      <c r="F168" s="26" t="n">
        <f aca="false">VLOOKUP(MONTH(A168),ScalarTable,2,0)</f>
        <v>1.15768142863174</v>
      </c>
      <c r="G168" s="27" t="n">
        <f aca="false">+F168*C168</f>
        <v>90.8779921475915</v>
      </c>
      <c r="I168" s="26" t="n">
        <f aca="false">VLOOKUP(MONTH(A168),ScalarTable,3,0)</f>
        <v>0.842099040746689</v>
      </c>
      <c r="J168" s="28" t="n">
        <f aca="false">C168*I168</f>
        <v>66.1047746986151</v>
      </c>
      <c r="K168" s="29" t="n">
        <f aca="false">D168*F168</f>
        <v>46.8542605604091</v>
      </c>
      <c r="L168" s="28" t="n">
        <f aca="false">D168*I168</f>
        <v>34.0818526556557</v>
      </c>
      <c r="M168" s="30" t="n">
        <f aca="false">E168*F168</f>
        <v>36.113873137732</v>
      </c>
      <c r="O168" s="31"/>
      <c r="P168" s="32"/>
      <c r="Q168" s="33" t="n">
        <v>3019712.33606709</v>
      </c>
      <c r="R168" s="33" t="n">
        <v>2688272.91593788</v>
      </c>
      <c r="S168" s="33"/>
      <c r="T168" s="34" t="n">
        <f aca="false">IF(Tables!$B$2=1,'NY Curve'!O168,IF(Tables!$B$2=2,P168,IF(Tables!$B$2=4,Q168,IF(Tables!$B$2=5,R168,IF(Tables!$B$2=3,S168,0)))))</f>
        <v>2688272.91593788</v>
      </c>
    </row>
    <row r="169" customFormat="false" ht="12.75" hidden="false" customHeight="false" outlineLevel="0" collapsed="false">
      <c r="A169" s="21" t="n">
        <v>41883</v>
      </c>
      <c r="B169" s="22" t="n">
        <v>24.4628566832769</v>
      </c>
      <c r="C169" s="23" t="n">
        <v>31.65</v>
      </c>
      <c r="D169" s="24" t="n">
        <v>17.0799995422363</v>
      </c>
      <c r="E169" s="25" t="n">
        <v>14.6600004196167</v>
      </c>
      <c r="F169" s="26" t="n">
        <f aca="false">VLOOKUP(MONTH(A169),ScalarTable,2,0)</f>
        <v>1.09653379232051</v>
      </c>
      <c r="G169" s="27" t="n">
        <f aca="false">+F169*C169</f>
        <v>34.7052945269442</v>
      </c>
      <c r="I169" s="26" t="n">
        <f aca="false">VLOOKUP(MONTH(A169),ScalarTable,3,0)</f>
        <v>0.903466207679489</v>
      </c>
      <c r="J169" s="28" t="n">
        <f aca="false">C169*I169</f>
        <v>28.5947054730558</v>
      </c>
      <c r="K169" s="29" t="n">
        <f aca="false">D169*F169</f>
        <v>18.728796670881</v>
      </c>
      <c r="L169" s="28" t="n">
        <f aca="false">D169*I169</f>
        <v>15.4312024135917</v>
      </c>
      <c r="M169" s="30" t="n">
        <f aca="false">E169*F169</f>
        <v>16.0751858555426</v>
      </c>
      <c r="O169" s="31"/>
      <c r="P169" s="32"/>
      <c r="Q169" s="33" t="n">
        <v>386847.850668759</v>
      </c>
      <c r="R169" s="33" t="n">
        <v>318177.356957262</v>
      </c>
      <c r="S169" s="33"/>
      <c r="T169" s="34" t="n">
        <f aca="false">IF(Tables!$B$2=1,'NY Curve'!O169,IF(Tables!$B$2=2,P169,IF(Tables!$B$2=4,Q169,IF(Tables!$B$2=5,R169,IF(Tables!$B$2=3,S169,0)))))</f>
        <v>318177.356957262</v>
      </c>
    </row>
    <row r="170" customFormat="false" ht="12.75" hidden="false" customHeight="false" outlineLevel="0" collapsed="false">
      <c r="A170" s="21" t="n">
        <v>41913</v>
      </c>
      <c r="B170" s="22" t="n">
        <v>24.1049759092785</v>
      </c>
      <c r="C170" s="23" t="n">
        <v>27.4</v>
      </c>
      <c r="D170" s="24" t="n">
        <v>21.9505001068115</v>
      </c>
      <c r="E170" s="25" t="n">
        <v>21.9509998321533</v>
      </c>
      <c r="F170" s="26" t="n">
        <f aca="false">VLOOKUP(MONTH(A170),ScalarTable,2,0)</f>
        <v>1.0119875</v>
      </c>
      <c r="G170" s="27" t="n">
        <f aca="false">+F170*C170</f>
        <v>27.7284575</v>
      </c>
      <c r="I170" s="26" t="n">
        <f aca="false">VLOOKUP(MONTH(A170),ScalarTable,3,0)</f>
        <v>0.9880125</v>
      </c>
      <c r="J170" s="28" t="n">
        <f aca="false">C170*I170</f>
        <v>27.0715425</v>
      </c>
      <c r="K170" s="29" t="n">
        <f aca="false">D170*F170</f>
        <v>22.2136317268419</v>
      </c>
      <c r="L170" s="28" t="n">
        <f aca="false">D170*I170</f>
        <v>21.6873684867811</v>
      </c>
      <c r="M170" s="30" t="n">
        <f aca="false">E170*F170</f>
        <v>22.2141374426413</v>
      </c>
      <c r="O170" s="31"/>
      <c r="P170" s="32"/>
      <c r="Q170" s="33" t="n">
        <v>133194.199730057</v>
      </c>
      <c r="R170" s="33" t="n">
        <v>104285.912377836</v>
      </c>
      <c r="S170" s="33"/>
      <c r="T170" s="34" t="n">
        <f aca="false">IF(Tables!$B$2=1,'NY Curve'!O170,IF(Tables!$B$2=2,P170,IF(Tables!$B$2=4,Q170,IF(Tables!$B$2=5,R170,IF(Tables!$B$2=3,S170,0)))))</f>
        <v>104285.912377836</v>
      </c>
    </row>
    <row r="171" customFormat="false" ht="12.75" hidden="false" customHeight="false" outlineLevel="0" collapsed="false">
      <c r="A171" s="21" t="n">
        <v>41944</v>
      </c>
      <c r="B171" s="22" t="n">
        <v>24.6120354606992</v>
      </c>
      <c r="C171" s="23" t="n">
        <v>27.9</v>
      </c>
      <c r="D171" s="24" t="n">
        <v>22.9547515869141</v>
      </c>
      <c r="E171" s="25" t="n">
        <v>22.9544998168945</v>
      </c>
      <c r="F171" s="26" t="n">
        <f aca="false">VLOOKUP(MONTH(A171),ScalarTable,2,0)</f>
        <v>1.01585</v>
      </c>
      <c r="G171" s="27" t="n">
        <f aca="false">+F171*C171</f>
        <v>28.342215</v>
      </c>
      <c r="I171" s="26" t="n">
        <f aca="false">VLOOKUP(MONTH(A171),ScalarTable,3,0)</f>
        <v>0.98415</v>
      </c>
      <c r="J171" s="28" t="n">
        <f aca="false">C171*I171</f>
        <v>27.457785</v>
      </c>
      <c r="K171" s="29" t="n">
        <f aca="false">D171*F171</f>
        <v>23.3185843995666</v>
      </c>
      <c r="L171" s="28" t="n">
        <f aca="false">D171*I171</f>
        <v>22.5909187742615</v>
      </c>
      <c r="M171" s="30" t="n">
        <f aca="false">E171*F171</f>
        <v>23.3183286389923</v>
      </c>
      <c r="O171" s="31"/>
      <c r="P171" s="32"/>
      <c r="Q171" s="33" t="n">
        <v>121200.102016499</v>
      </c>
      <c r="R171" s="33" t="n">
        <v>79196.6538578343</v>
      </c>
      <c r="S171" s="33"/>
      <c r="T171" s="34" t="n">
        <f aca="false">IF(Tables!$B$2=1,'NY Curve'!O171,IF(Tables!$B$2=2,P171,IF(Tables!$B$2=4,Q171,IF(Tables!$B$2=5,R171,IF(Tables!$B$2=3,S171,0)))))</f>
        <v>79196.6538578343</v>
      </c>
    </row>
    <row r="172" customFormat="false" ht="12.75" hidden="false" customHeight="false" outlineLevel="0" collapsed="false">
      <c r="A172" s="21" t="n">
        <v>41974</v>
      </c>
      <c r="B172" s="22" t="n">
        <v>25.3888090042841</v>
      </c>
      <c r="C172" s="23" t="n">
        <v>28.4</v>
      </c>
      <c r="D172" s="24" t="n">
        <v>24.4049983978271</v>
      </c>
      <c r="E172" s="25" t="n">
        <v>22.8999992370605</v>
      </c>
      <c r="F172" s="26" t="n">
        <f aca="false">VLOOKUP(MONTH(A172),ScalarTable,2,0)</f>
        <v>1.01532599180631</v>
      </c>
      <c r="G172" s="27" t="n">
        <f aca="false">+F172*C172</f>
        <v>28.8352581672992</v>
      </c>
      <c r="I172" s="26" t="n">
        <f aca="false">VLOOKUP(MONTH(A172),ScalarTable,3,0)</f>
        <v>0.984674008193689</v>
      </c>
      <c r="J172" s="28" t="n">
        <f aca="false">C172*I172</f>
        <v>27.9647418327008</v>
      </c>
      <c r="K172" s="29" t="n">
        <f aca="false">D172*F172</f>
        <v>24.7790292033053</v>
      </c>
      <c r="L172" s="28" t="n">
        <f aca="false">D172*I172</f>
        <v>24.030967592349</v>
      </c>
      <c r="M172" s="30" t="n">
        <f aca="false">E172*F172</f>
        <v>23.2509644377322</v>
      </c>
      <c r="O172" s="31"/>
      <c r="P172" s="32"/>
      <c r="Q172" s="33" t="n">
        <v>111041.814920315</v>
      </c>
      <c r="R172" s="33" t="n">
        <v>76455.2705650703</v>
      </c>
      <c r="S172" s="33"/>
      <c r="T172" s="34" t="n">
        <f aca="false">IF(Tables!$B$2=1,'NY Curve'!O172,IF(Tables!$B$2=2,P172,IF(Tables!$B$2=4,Q172,IF(Tables!$B$2=5,R172,IF(Tables!$B$2=3,S172,0)))))</f>
        <v>76455.2705650703</v>
      </c>
    </row>
    <row r="173" customFormat="false" ht="12.75" hidden="false" customHeight="false" outlineLevel="0" collapsed="false">
      <c r="A173" s="21" t="n">
        <v>42005</v>
      </c>
      <c r="B173" s="22" t="n">
        <v>29.285892868042</v>
      </c>
      <c r="C173" s="23" t="n">
        <v>33.95</v>
      </c>
      <c r="D173" s="24" t="n">
        <v>27.7987483978271</v>
      </c>
      <c r="E173" s="25" t="n">
        <v>28.3025001525879</v>
      </c>
      <c r="F173" s="26" t="n">
        <f aca="false">VLOOKUP(MONTH(A173),ScalarTable,2,0)</f>
        <v>1.00808025404509</v>
      </c>
      <c r="G173" s="27" t="n">
        <f aca="false">+F173*C173</f>
        <v>34.2243246248309</v>
      </c>
      <c r="I173" s="26" t="n">
        <f aca="false">VLOOKUP(MONTH(A173),ScalarTable,3,0)</f>
        <v>0.991919745954909</v>
      </c>
      <c r="J173" s="28" t="n">
        <f aca="false">C173*I173</f>
        <v>33.6756753751692</v>
      </c>
      <c r="K173" s="29" t="n">
        <f aca="false">D173*F173</f>
        <v>28.0233693470172</v>
      </c>
      <c r="L173" s="28" t="n">
        <f aca="false">D173*I173</f>
        <v>27.5741274486371</v>
      </c>
      <c r="M173" s="30" t="n">
        <f aca="false">E173*F173</f>
        <v>28.531191543932</v>
      </c>
      <c r="O173" s="31"/>
      <c r="P173" s="32"/>
      <c r="Q173" s="33" t="n">
        <v>259671.360708677</v>
      </c>
      <c r="R173" s="33" t="n">
        <v>196482.161525681</v>
      </c>
      <c r="S173" s="33"/>
      <c r="T173" s="34" t="n">
        <f aca="false">IF(Tables!$B$2=1,'NY Curve'!O173,IF(Tables!$B$2=2,P173,IF(Tables!$B$2=4,Q173,IF(Tables!$B$2=5,R173,IF(Tables!$B$2=3,S173,0)))))</f>
        <v>196482.161525681</v>
      </c>
    </row>
    <row r="174" customFormat="false" ht="12.75" hidden="false" customHeight="false" outlineLevel="0" collapsed="false">
      <c r="A174" s="21" t="n">
        <v>42036</v>
      </c>
      <c r="B174" s="22" t="n">
        <v>28.8110113053095</v>
      </c>
      <c r="C174" s="23" t="n">
        <v>33.95</v>
      </c>
      <c r="D174" s="24" t="n">
        <v>26.7962501525879</v>
      </c>
      <c r="E174" s="25" t="n">
        <v>26.2974994659424</v>
      </c>
      <c r="F174" s="26" t="n">
        <f aca="false">VLOOKUP(MONTH(A174),ScalarTable,2,0)</f>
        <v>1.00808025404509</v>
      </c>
      <c r="G174" s="27" t="n">
        <f aca="false">+F174*C174</f>
        <v>34.2243246248309</v>
      </c>
      <c r="I174" s="26" t="n">
        <f aca="false">VLOOKUP(MONTH(A174),ScalarTable,3,0)</f>
        <v>0.991919745954909</v>
      </c>
      <c r="J174" s="28" t="n">
        <f aca="false">C174*I174</f>
        <v>33.6756753751692</v>
      </c>
      <c r="K174" s="29" t="n">
        <f aca="false">D174*F174</f>
        <v>27.0127706612766</v>
      </c>
      <c r="L174" s="28" t="n">
        <f aca="false">D174*I174</f>
        <v>26.5797296438992</v>
      </c>
      <c r="M174" s="30" t="n">
        <f aca="false">E174*F174</f>
        <v>26.5099899423778</v>
      </c>
      <c r="O174" s="31"/>
      <c r="P174" s="32"/>
      <c r="Q174" s="33" t="n">
        <v>233000.835017872</v>
      </c>
      <c r="R174" s="33" t="n">
        <v>187536.230434121</v>
      </c>
      <c r="S174" s="33"/>
      <c r="T174" s="34" t="n">
        <f aca="false">IF(Tables!$B$2=1,'NY Curve'!O174,IF(Tables!$B$2=2,P174,IF(Tables!$B$2=4,Q174,IF(Tables!$B$2=5,R174,IF(Tables!$B$2=3,S174,0)))))</f>
        <v>187536.230434121</v>
      </c>
    </row>
    <row r="175" customFormat="false" ht="12.75" hidden="false" customHeight="false" outlineLevel="0" collapsed="false">
      <c r="A175" s="21" t="n">
        <v>42064</v>
      </c>
      <c r="B175" s="22" t="n">
        <v>24.5498925526937</v>
      </c>
      <c r="C175" s="23" t="n">
        <v>28.95</v>
      </c>
      <c r="D175" s="24" t="n">
        <v>19.9847496032715</v>
      </c>
      <c r="E175" s="25" t="n">
        <v>21.6144989013672</v>
      </c>
      <c r="F175" s="26" t="n">
        <f aca="false">VLOOKUP(MONTH(A175),ScalarTable,2,0)</f>
        <v>1.0080875</v>
      </c>
      <c r="G175" s="27" t="n">
        <f aca="false">+F175*C175</f>
        <v>29.184133125</v>
      </c>
      <c r="I175" s="26" t="n">
        <f aca="false">VLOOKUP(MONTH(A175),ScalarTable,3,0)</f>
        <v>0.9919125</v>
      </c>
      <c r="J175" s="28" t="n">
        <f aca="false">C175*I175</f>
        <v>28.715866875</v>
      </c>
      <c r="K175" s="29" t="n">
        <f aca="false">D175*F175</f>
        <v>20.1463762656879</v>
      </c>
      <c r="L175" s="28" t="n">
        <f aca="false">D175*I175</f>
        <v>19.823122940855</v>
      </c>
      <c r="M175" s="30" t="n">
        <f aca="false">E175*F175</f>
        <v>21.789306161232</v>
      </c>
      <c r="O175" s="31"/>
      <c r="P175" s="32"/>
      <c r="Q175" s="33" t="n">
        <v>111569.24989621</v>
      </c>
      <c r="R175" s="33" t="n">
        <v>102147.37669047</v>
      </c>
      <c r="S175" s="33"/>
      <c r="T175" s="34" t="n">
        <f aca="false">IF(Tables!$B$2=1,'NY Curve'!O175,IF(Tables!$B$2=2,P175,IF(Tables!$B$2=4,Q175,IF(Tables!$B$2=5,R175,IF(Tables!$B$2=3,S175,0)))))</f>
        <v>102147.37669047</v>
      </c>
    </row>
    <row r="176" customFormat="false" ht="12.75" hidden="false" customHeight="false" outlineLevel="0" collapsed="false">
      <c r="A176" s="21" t="n">
        <v>42095</v>
      </c>
      <c r="B176" s="22" t="n">
        <v>24.0194041297549</v>
      </c>
      <c r="C176" s="23" t="n">
        <v>27.7</v>
      </c>
      <c r="D176" s="24" t="n">
        <v>20.6675003051758</v>
      </c>
      <c r="E176" s="25" t="n">
        <v>21.3849990844726</v>
      </c>
      <c r="F176" s="26" t="n">
        <f aca="false">VLOOKUP(MONTH(A176),ScalarTable,2,0)</f>
        <v>1.07269528338234</v>
      </c>
      <c r="G176" s="27" t="n">
        <f aca="false">+F176*C176</f>
        <v>29.7136593496908</v>
      </c>
      <c r="I176" s="26" t="n">
        <f aca="false">VLOOKUP(MONTH(A176),ScalarTable,3,0)</f>
        <v>0.92730471661766</v>
      </c>
      <c r="J176" s="28" t="n">
        <f aca="false">C176*I176</f>
        <v>25.6863406503092</v>
      </c>
      <c r="K176" s="29" t="n">
        <f aca="false">D176*F176</f>
        <v>22.1699300966651</v>
      </c>
      <c r="L176" s="28" t="n">
        <f aca="false">D176*I176</f>
        <v>19.1650705136864</v>
      </c>
      <c r="M176" s="30" t="n">
        <f aca="false">E176*F176</f>
        <v>22.9395876530495</v>
      </c>
      <c r="O176" s="31"/>
      <c r="P176" s="32"/>
      <c r="Q176" s="33" t="n">
        <v>174232.41418713</v>
      </c>
      <c r="R176" s="33" t="n">
        <v>152359.518154579</v>
      </c>
      <c r="S176" s="33"/>
      <c r="T176" s="34" t="n">
        <f aca="false">IF(Tables!$B$2=1,'NY Curve'!O176,IF(Tables!$B$2=2,P176,IF(Tables!$B$2=4,Q176,IF(Tables!$B$2=5,R176,IF(Tables!$B$2=3,S176,0)))))</f>
        <v>152359.518154579</v>
      </c>
    </row>
    <row r="177" customFormat="false" ht="12.75" hidden="false" customHeight="false" outlineLevel="0" collapsed="false">
      <c r="A177" s="21" t="n">
        <v>42125</v>
      </c>
      <c r="B177" s="22" t="n">
        <v>26.7067851475307</v>
      </c>
      <c r="C177" s="23" t="n">
        <v>33.15</v>
      </c>
      <c r="D177" s="24" t="n">
        <v>20.7825000762939</v>
      </c>
      <c r="E177" s="25" t="n">
        <v>21.9149997711182</v>
      </c>
      <c r="F177" s="26" t="n">
        <f aca="false">VLOOKUP(MONTH(A177),ScalarTable,2,0)</f>
        <v>1.05849023799053</v>
      </c>
      <c r="G177" s="27" t="n">
        <f aca="false">+F177*C177</f>
        <v>35.088951389386</v>
      </c>
      <c r="I177" s="26" t="n">
        <f aca="false">VLOOKUP(MONTH(A177),ScalarTable,3,0)</f>
        <v>0.941509762009471</v>
      </c>
      <c r="J177" s="28" t="n">
        <f aca="false">C177*I177</f>
        <v>31.211048610614</v>
      </c>
      <c r="K177" s="29" t="n">
        <f aca="false">D177*F177</f>
        <v>21.9980734517946</v>
      </c>
      <c r="L177" s="28" t="n">
        <f aca="false">D177*I177</f>
        <v>19.5669267007933</v>
      </c>
      <c r="M177" s="30" t="n">
        <f aca="false">E177*F177</f>
        <v>23.1968133232932</v>
      </c>
      <c r="O177" s="31"/>
      <c r="P177" s="32"/>
      <c r="Q177" s="33" t="n">
        <v>368939.72548306</v>
      </c>
      <c r="R177" s="33" t="n">
        <v>303092.198860779</v>
      </c>
      <c r="S177" s="33"/>
      <c r="T177" s="34" t="n">
        <f aca="false">IF(Tables!$B$2=1,'NY Curve'!O177,IF(Tables!$B$2=2,P177,IF(Tables!$B$2=4,Q177,IF(Tables!$B$2=5,R177,IF(Tables!$B$2=3,S177,0)))))</f>
        <v>303092.198860779</v>
      </c>
    </row>
    <row r="178" customFormat="false" ht="12.75" hidden="false" customHeight="false" outlineLevel="0" collapsed="false">
      <c r="A178" s="21" t="n">
        <v>42156</v>
      </c>
      <c r="B178" s="22" t="n">
        <v>38.1537496657599</v>
      </c>
      <c r="C178" s="23" t="n">
        <v>56.25</v>
      </c>
      <c r="D178" s="24" t="n">
        <v>25.2087501525879</v>
      </c>
      <c r="E178" s="25" t="n">
        <v>20.6924995422363</v>
      </c>
      <c r="F178" s="26" t="n">
        <f aca="false">VLOOKUP(MONTH(A178),ScalarTable,2,0)</f>
        <v>1.16938304743531</v>
      </c>
      <c r="G178" s="27" t="n">
        <f aca="false">+F178*C178</f>
        <v>65.777796418236</v>
      </c>
      <c r="I178" s="26" t="n">
        <f aca="false">VLOOKUP(MONTH(A178),ScalarTable,3,0)</f>
        <v>0.83061695843935</v>
      </c>
      <c r="J178" s="28" t="n">
        <f aca="false">C178*I178</f>
        <v>46.7222039122134</v>
      </c>
      <c r="K178" s="29" t="n">
        <f aca="false">D178*F178</f>
        <v>29.4786850754684</v>
      </c>
      <c r="L178" s="28" t="n">
        <f aca="false">D178*I178</f>
        <v>20.9388153778001</v>
      </c>
      <c r="M178" s="30" t="n">
        <f aca="false">E178*F178</f>
        <v>24.197458173754</v>
      </c>
      <c r="O178" s="31"/>
      <c r="P178" s="32"/>
      <c r="Q178" s="33" t="n">
        <v>1112573.55612877</v>
      </c>
      <c r="R178" s="33" t="n">
        <v>1004676.13280999</v>
      </c>
      <c r="S178" s="33"/>
      <c r="T178" s="34" t="n">
        <f aca="false">IF(Tables!$B$2=1,'NY Curve'!O178,IF(Tables!$B$2=2,P178,IF(Tables!$B$2=4,Q178,IF(Tables!$B$2=5,R178,IF(Tables!$B$2=3,S178,0)))))</f>
        <v>1004676.13280999</v>
      </c>
    </row>
    <row r="179" customFormat="false" ht="12.75" hidden="false" customHeight="false" outlineLevel="0" collapsed="false">
      <c r="A179" s="21" t="n">
        <v>42186</v>
      </c>
      <c r="B179" s="22" t="n">
        <v>56.4726778847831</v>
      </c>
      <c r="C179" s="23" t="n">
        <v>88</v>
      </c>
      <c r="D179" s="24" t="n">
        <v>38.4112495422364</v>
      </c>
      <c r="E179" s="25" t="n">
        <v>29.8974994659424</v>
      </c>
      <c r="F179" s="26" t="n">
        <f aca="false">VLOOKUP(MONTH(A179),ScalarTable,2,0)</f>
        <v>1.22140709971076</v>
      </c>
      <c r="G179" s="27" t="n">
        <f aca="false">+F179*C179</f>
        <v>107.483824774547</v>
      </c>
      <c r="I179" s="26" t="n">
        <f aca="false">VLOOKUP(MONTH(A179),ScalarTable,3,0)</f>
        <v>0.7785929068923</v>
      </c>
      <c r="J179" s="28" t="n">
        <f aca="false">C179*I179</f>
        <v>68.5161758065224</v>
      </c>
      <c r="K179" s="29" t="n">
        <f aca="false">D179*F179</f>
        <v>46.9157728996492</v>
      </c>
      <c r="L179" s="28" t="n">
        <f aca="false">D179*I179</f>
        <v>29.9067264384553</v>
      </c>
      <c r="M179" s="30" t="n">
        <f aca="false">E179*F179</f>
        <v>36.5170181113007</v>
      </c>
      <c r="O179" s="31"/>
      <c r="P179" s="32"/>
      <c r="Q179" s="33" t="n">
        <v>2828711.43755861</v>
      </c>
      <c r="R179" s="33" t="n">
        <v>2529967.55532522</v>
      </c>
      <c r="S179" s="33"/>
      <c r="T179" s="34" t="n">
        <f aca="false">IF(Tables!$B$2=1,'NY Curve'!O179,IF(Tables!$B$2=2,P179,IF(Tables!$B$2=4,Q179,IF(Tables!$B$2=5,R179,IF(Tables!$B$2=3,S179,0)))))</f>
        <v>2529967.55532522</v>
      </c>
    </row>
    <row r="180" customFormat="false" ht="12.75" hidden="false" customHeight="false" outlineLevel="0" collapsed="false">
      <c r="A180" s="21" t="n">
        <v>42217</v>
      </c>
      <c r="B180" s="22" t="n">
        <v>53.5215471540179</v>
      </c>
      <c r="C180" s="23" t="n">
        <v>80.5</v>
      </c>
      <c r="D180" s="24" t="n">
        <v>40.6724990844727</v>
      </c>
      <c r="E180" s="25" t="n">
        <v>31.3950008392334</v>
      </c>
      <c r="F180" s="26" t="n">
        <f aca="false">VLOOKUP(MONTH(A180),ScalarTable,2,0)</f>
        <v>1.15768142863174</v>
      </c>
      <c r="G180" s="27" t="n">
        <f aca="false">+F180*C180</f>
        <v>93.193355004855</v>
      </c>
      <c r="I180" s="26" t="n">
        <f aca="false">VLOOKUP(MONTH(A180),ScalarTable,3,0)</f>
        <v>0.842099040746689</v>
      </c>
      <c r="J180" s="28" t="n">
        <f aca="false">C180*I180</f>
        <v>67.7889727801085</v>
      </c>
      <c r="K180" s="29" t="n">
        <f aca="false">D180*F180</f>
        <v>47.0857968461354</v>
      </c>
      <c r="L180" s="28" t="n">
        <f aca="false">D180*I180</f>
        <v>34.250272463805</v>
      </c>
      <c r="M180" s="30" t="n">
        <f aca="false">E180*F180</f>
        <v>36.3454094234584</v>
      </c>
      <c r="O180" s="31"/>
      <c r="P180" s="32"/>
      <c r="Q180" s="33" t="n">
        <v>2715517.71419766</v>
      </c>
      <c r="R180" s="33" t="n">
        <v>2415359.9839369</v>
      </c>
      <c r="S180" s="33"/>
      <c r="T180" s="34" t="n">
        <f aca="false">IF(Tables!$B$2=1,'NY Curve'!O180,IF(Tables!$B$2=2,P180,IF(Tables!$B$2=4,Q180,IF(Tables!$B$2=5,R180,IF(Tables!$B$2=3,S180,0)))))</f>
        <v>2415359.9839369</v>
      </c>
    </row>
    <row r="181" customFormat="false" ht="12.75" hidden="false" customHeight="false" outlineLevel="0" collapsed="false">
      <c r="A181" s="21" t="n">
        <v>42248</v>
      </c>
      <c r="B181" s="22" t="n">
        <v>24.710475730896</v>
      </c>
      <c r="C181" s="23" t="n">
        <v>31.95</v>
      </c>
      <c r="D181" s="24" t="n">
        <v>17.2799995422363</v>
      </c>
      <c r="E181" s="25" t="n">
        <v>14.8600004196167</v>
      </c>
      <c r="F181" s="26" t="n">
        <f aca="false">VLOOKUP(MONTH(A181),ScalarTable,2,0)</f>
        <v>1.09653379232051</v>
      </c>
      <c r="G181" s="27" t="n">
        <f aca="false">+F181*C181</f>
        <v>35.0342546646403</v>
      </c>
      <c r="I181" s="26" t="n">
        <f aca="false">VLOOKUP(MONTH(A181),ScalarTable,3,0)</f>
        <v>0.903466207679489</v>
      </c>
      <c r="J181" s="28" t="n">
        <f aca="false">C181*I181</f>
        <v>28.8657453353597</v>
      </c>
      <c r="K181" s="29" t="n">
        <f aca="false">D181*F181</f>
        <v>18.9481034293451</v>
      </c>
      <c r="L181" s="28" t="n">
        <f aca="false">D181*I181</f>
        <v>15.6118956551276</v>
      </c>
      <c r="M181" s="30" t="n">
        <f aca="false">E181*F181</f>
        <v>16.2944926140067</v>
      </c>
      <c r="O181" s="31"/>
      <c r="P181" s="32"/>
      <c r="Q181" s="33" t="n">
        <v>404214.07983736</v>
      </c>
      <c r="R181" s="33" t="n">
        <v>332533.449790556</v>
      </c>
      <c r="S181" s="33"/>
      <c r="T181" s="34" t="n">
        <f aca="false">IF(Tables!$B$2=1,'NY Curve'!O181,IF(Tables!$B$2=2,P181,IF(Tables!$B$2=4,Q181,IF(Tables!$B$2=5,R181,IF(Tables!$B$2=3,S181,0)))))</f>
        <v>332533.449790556</v>
      </c>
    </row>
    <row r="182" customFormat="false" ht="12.75" hidden="false" customHeight="false" outlineLevel="0" collapsed="false">
      <c r="A182" s="21" t="n">
        <v>42278</v>
      </c>
      <c r="B182" s="22" t="n">
        <v>24.3525949568976</v>
      </c>
      <c r="C182" s="23" t="n">
        <v>27.7</v>
      </c>
      <c r="D182" s="24" t="n">
        <v>22.1505001068115</v>
      </c>
      <c r="E182" s="25" t="n">
        <v>22.1509998321533</v>
      </c>
      <c r="F182" s="26" t="n">
        <f aca="false">VLOOKUP(MONTH(A182),ScalarTable,2,0)</f>
        <v>1.0119875</v>
      </c>
      <c r="G182" s="27" t="n">
        <f aca="false">+F182*C182</f>
        <v>28.03205375</v>
      </c>
      <c r="I182" s="26" t="n">
        <f aca="false">VLOOKUP(MONTH(A182),ScalarTable,3,0)</f>
        <v>0.9880125</v>
      </c>
      <c r="J182" s="28" t="n">
        <f aca="false">C182*I182</f>
        <v>27.36794625</v>
      </c>
      <c r="K182" s="29" t="n">
        <f aca="false">D182*F182</f>
        <v>22.4160292268419</v>
      </c>
      <c r="L182" s="28" t="n">
        <f aca="false">D182*I182</f>
        <v>21.8849709867811</v>
      </c>
      <c r="M182" s="30" t="n">
        <f aca="false">E182*F182</f>
        <v>22.4165349426413</v>
      </c>
      <c r="O182" s="31"/>
      <c r="P182" s="32"/>
      <c r="Q182" s="33" t="n">
        <v>136163.131166286</v>
      </c>
      <c r="R182" s="33" t="n">
        <v>106558.361735178</v>
      </c>
      <c r="S182" s="33"/>
      <c r="T182" s="34" t="n">
        <f aca="false">IF(Tables!$B$2=1,'NY Curve'!O182,IF(Tables!$B$2=2,P182,IF(Tables!$B$2=4,Q182,IF(Tables!$B$2=5,R182,IF(Tables!$B$2=3,S182,0)))))</f>
        <v>106558.361735178</v>
      </c>
    </row>
    <row r="183" customFormat="false" ht="12.75" hidden="false" customHeight="false" outlineLevel="0" collapsed="false">
      <c r="A183" s="21" t="n">
        <v>42309</v>
      </c>
      <c r="B183" s="22" t="n">
        <v>24.8596545083182</v>
      </c>
      <c r="C183" s="23" t="n">
        <v>28.2</v>
      </c>
      <c r="D183" s="24" t="n">
        <v>23.1547515869141</v>
      </c>
      <c r="E183" s="25" t="n">
        <v>23.1544998168945</v>
      </c>
      <c r="F183" s="26" t="n">
        <f aca="false">VLOOKUP(MONTH(A183),ScalarTable,2,0)</f>
        <v>1.01585</v>
      </c>
      <c r="G183" s="27" t="n">
        <f aca="false">+F183*C183</f>
        <v>28.64697</v>
      </c>
      <c r="I183" s="26" t="n">
        <f aca="false">VLOOKUP(MONTH(A183),ScalarTable,3,0)</f>
        <v>0.98415</v>
      </c>
      <c r="J183" s="28" t="n">
        <f aca="false">C183*I183</f>
        <v>27.75303</v>
      </c>
      <c r="K183" s="29" t="n">
        <f aca="false">D183*F183</f>
        <v>23.5217543995666</v>
      </c>
      <c r="L183" s="28" t="n">
        <f aca="false">D183*I183</f>
        <v>22.7877487742615</v>
      </c>
      <c r="M183" s="30" t="n">
        <f aca="false">E183*F183</f>
        <v>23.5214986389923</v>
      </c>
      <c r="O183" s="31"/>
      <c r="P183" s="32"/>
      <c r="Q183" s="33" t="n">
        <v>102752.687136468</v>
      </c>
      <c r="R183" s="33" t="n">
        <v>65900.2390800407</v>
      </c>
      <c r="S183" s="33"/>
      <c r="T183" s="34" t="n">
        <f aca="false">IF(Tables!$B$2=1,'NY Curve'!O183,IF(Tables!$B$2=2,P183,IF(Tables!$B$2=4,Q183,IF(Tables!$B$2=5,R183,IF(Tables!$B$2=3,S183,0)))))</f>
        <v>65900.2390800407</v>
      </c>
    </row>
    <row r="184" customFormat="false" ht="12.75" hidden="false" customHeight="false" outlineLevel="0" collapsed="false">
      <c r="A184" s="21" t="n">
        <v>42339</v>
      </c>
      <c r="B184" s="22" t="n">
        <v>25.6364280519031</v>
      </c>
      <c r="C184" s="23" t="n">
        <v>28.7</v>
      </c>
      <c r="D184" s="24" t="n">
        <v>24.6049983978271</v>
      </c>
      <c r="E184" s="25" t="n">
        <v>23.0999992370605</v>
      </c>
      <c r="F184" s="26" t="n">
        <f aca="false">VLOOKUP(MONTH(A184),ScalarTable,2,0)</f>
        <v>1.01532599180631</v>
      </c>
      <c r="G184" s="27" t="n">
        <f aca="false">+F184*C184</f>
        <v>29.1398559648411</v>
      </c>
      <c r="I184" s="26" t="n">
        <f aca="false">VLOOKUP(MONTH(A184),ScalarTable,3,0)</f>
        <v>0.984674008193689</v>
      </c>
      <c r="J184" s="28" t="n">
        <f aca="false">C184*I184</f>
        <v>28.2601440351589</v>
      </c>
      <c r="K184" s="29" t="n">
        <f aca="false">D184*F184</f>
        <v>24.9820944016665</v>
      </c>
      <c r="L184" s="28" t="n">
        <f aca="false">D184*I184</f>
        <v>24.2279023939878</v>
      </c>
      <c r="M184" s="30" t="n">
        <f aca="false">E184*F184</f>
        <v>23.4540296360935</v>
      </c>
      <c r="O184" s="31"/>
      <c r="P184" s="55"/>
      <c r="Q184" s="33" t="n">
        <v>87837.7446611005</v>
      </c>
      <c r="R184" s="33" t="n">
        <v>59465.0065275723</v>
      </c>
      <c r="S184" s="33"/>
      <c r="T184" s="34" t="n">
        <f aca="false">IF(Tables!$B$2=1,'NY Curve'!O184,IF(Tables!$B$2=2,P184,IF(Tables!$B$2=4,Q184,IF(Tables!$B$2=5,R184,IF(Tables!$B$2=3,S184,0)))))</f>
        <v>59465.0065275723</v>
      </c>
    </row>
    <row r="185" customFormat="false" ht="12.75" hidden="false" customHeight="false" outlineLevel="0" collapsed="false">
      <c r="A185" s="21" t="n">
        <v>42370</v>
      </c>
      <c r="B185" s="22" t="n">
        <v>29.533511915661</v>
      </c>
      <c r="C185" s="23" t="n">
        <v>34.25</v>
      </c>
      <c r="D185" s="24" t="n">
        <v>27.9987483978271</v>
      </c>
      <c r="E185" s="25" t="n">
        <v>28.5025001525879</v>
      </c>
      <c r="F185" s="26" t="n">
        <f aca="false">VLOOKUP(MONTH(A185),ScalarTable,2,0)</f>
        <v>1.00808025404509</v>
      </c>
      <c r="G185" s="27" t="n">
        <f aca="false">+F185*C185</f>
        <v>34.5267487010444</v>
      </c>
      <c r="I185" s="26" t="n">
        <f aca="false">VLOOKUP(MONTH(A185),ScalarTable,3,0)</f>
        <v>0.991919745954909</v>
      </c>
      <c r="J185" s="28" t="n">
        <f aca="false">C185*I185</f>
        <v>33.9732512989556</v>
      </c>
      <c r="K185" s="29" t="n">
        <f aca="false">D185*F185</f>
        <v>28.2249853978262</v>
      </c>
      <c r="L185" s="28" t="n">
        <f aca="false">D185*I185</f>
        <v>27.7725113978281</v>
      </c>
      <c r="M185" s="30" t="n">
        <f aca="false">E185*F185</f>
        <v>28.732807594741</v>
      </c>
      <c r="O185" s="31"/>
    </row>
    <row r="186" customFormat="false" ht="12.75" hidden="false" customHeight="false" outlineLevel="0" collapsed="false">
      <c r="A186" s="21" t="n">
        <v>42401</v>
      </c>
      <c r="B186" s="22" t="n">
        <v>29.0586303529285</v>
      </c>
      <c r="C186" s="23" t="n">
        <v>34.25</v>
      </c>
      <c r="D186" s="24" t="n">
        <v>26.9962501525879</v>
      </c>
      <c r="E186" s="25" t="n">
        <v>26.4974994659424</v>
      </c>
      <c r="F186" s="26" t="n">
        <f aca="false">VLOOKUP(MONTH(A186),ScalarTable,2,0)</f>
        <v>1.00808025404509</v>
      </c>
      <c r="G186" s="27" t="n">
        <f aca="false">+F186*C186</f>
        <v>34.5267487010444</v>
      </c>
      <c r="I186" s="26" t="n">
        <f aca="false">VLOOKUP(MONTH(A186),ScalarTable,3,0)</f>
        <v>0.991919745954909</v>
      </c>
      <c r="J186" s="28" t="n">
        <f aca="false">C186*I186</f>
        <v>33.9732512989556</v>
      </c>
      <c r="K186" s="29" t="n">
        <f aca="false">D186*F186</f>
        <v>27.2143867120856</v>
      </c>
      <c r="L186" s="28" t="n">
        <f aca="false">D186*I186</f>
        <v>26.7781135930901</v>
      </c>
      <c r="M186" s="30" t="n">
        <f aca="false">E186*F186</f>
        <v>26.7116059931869</v>
      </c>
      <c r="O186" s="31"/>
    </row>
    <row r="187" customFormat="false" ht="12.75" hidden="false" customHeight="false" outlineLevel="0" collapsed="false">
      <c r="A187" s="21" t="n">
        <v>42430</v>
      </c>
      <c r="B187" s="22" t="n">
        <v>24.7975116003127</v>
      </c>
      <c r="C187" s="23" t="n">
        <v>29.25</v>
      </c>
      <c r="D187" s="24" t="n">
        <v>20.1847496032715</v>
      </c>
      <c r="E187" s="25" t="n">
        <v>21.8144989013672</v>
      </c>
      <c r="F187" s="26" t="n">
        <f aca="false">VLOOKUP(MONTH(A187),ScalarTable,2,0)</f>
        <v>1.0080875</v>
      </c>
      <c r="G187" s="27" t="n">
        <f aca="false">+F187*C187</f>
        <v>29.486559375</v>
      </c>
      <c r="I187" s="26" t="n">
        <f aca="false">VLOOKUP(MONTH(A187),ScalarTable,3,0)</f>
        <v>0.9919125</v>
      </c>
      <c r="J187" s="28" t="n">
        <f aca="false">C187*I187</f>
        <v>29.013440625</v>
      </c>
      <c r="K187" s="29" t="n">
        <f aca="false">D187*F187</f>
        <v>20.3479937656879</v>
      </c>
      <c r="L187" s="28" t="n">
        <f aca="false">D187*I187</f>
        <v>20.021505440855</v>
      </c>
      <c r="M187" s="30" t="n">
        <f aca="false">E187*F187</f>
        <v>21.990923661232</v>
      </c>
      <c r="O187" s="31"/>
    </row>
    <row r="188" customFormat="false" ht="12.75" hidden="false" customHeight="false" outlineLevel="0" collapsed="false">
      <c r="A188" s="21" t="n">
        <v>42461</v>
      </c>
      <c r="B188" s="22" t="n">
        <v>24.267023177374</v>
      </c>
      <c r="C188" s="23" t="n">
        <v>28</v>
      </c>
      <c r="D188" s="24" t="n">
        <v>20.8675003051758</v>
      </c>
      <c r="E188" s="25" t="n">
        <v>21.5849990844726</v>
      </c>
      <c r="F188" s="26" t="n">
        <f aca="false">VLOOKUP(MONTH(A188),ScalarTable,2,0)</f>
        <v>1.07269528338234</v>
      </c>
      <c r="G188" s="27" t="n">
        <f aca="false">+F188*C188</f>
        <v>30.0354679347055</v>
      </c>
      <c r="I188" s="26" t="n">
        <f aca="false">VLOOKUP(MONTH(A188),ScalarTable,3,0)</f>
        <v>0.92730471661766</v>
      </c>
      <c r="J188" s="28" t="n">
        <f aca="false">C188*I188</f>
        <v>25.9645320652945</v>
      </c>
      <c r="K188" s="29" t="n">
        <f aca="false">D188*F188</f>
        <v>22.3844691533416</v>
      </c>
      <c r="L188" s="28" t="n">
        <f aca="false">D188*I188</f>
        <v>19.35053145701</v>
      </c>
      <c r="M188" s="30" t="n">
        <f aca="false">E188*F188</f>
        <v>23.1541267097259</v>
      </c>
      <c r="O188" s="31"/>
    </row>
    <row r="189" customFormat="false" ht="12.75" hidden="false" customHeight="false" outlineLevel="0" collapsed="false">
      <c r="A189" s="21" t="n">
        <v>42491</v>
      </c>
      <c r="B189" s="22" t="n">
        <v>27.0496422903878</v>
      </c>
      <c r="C189" s="23" t="n">
        <v>33.65</v>
      </c>
      <c r="D189" s="24" t="n">
        <v>20.9825000762939</v>
      </c>
      <c r="E189" s="25" t="n">
        <v>22.1149997711182</v>
      </c>
      <c r="F189" s="26" t="n">
        <f aca="false">VLOOKUP(MONTH(A189),ScalarTable,2,0)</f>
        <v>1.05849023799053</v>
      </c>
      <c r="G189" s="27" t="n">
        <f aca="false">+F189*C189</f>
        <v>35.6181965083813</v>
      </c>
      <c r="I189" s="26" t="n">
        <f aca="false">VLOOKUP(MONTH(A189),ScalarTable,3,0)</f>
        <v>0.941509762009471</v>
      </c>
      <c r="J189" s="28" t="n">
        <f aca="false">C189*I189</f>
        <v>31.6818034916187</v>
      </c>
      <c r="K189" s="29" t="n">
        <f aca="false">D189*F189</f>
        <v>22.2097714993927</v>
      </c>
      <c r="L189" s="28" t="n">
        <f aca="false">D189*I189</f>
        <v>19.7552286531952</v>
      </c>
      <c r="M189" s="30" t="n">
        <f aca="false">E189*F189</f>
        <v>23.4085113708913</v>
      </c>
      <c r="O189" s="31"/>
    </row>
    <row r="190" customFormat="false" ht="12.75" hidden="false" customHeight="false" outlineLevel="0" collapsed="false">
      <c r="A190" s="21" t="n">
        <v>42522</v>
      </c>
      <c r="B190" s="22" t="n">
        <v>38.7347020467122</v>
      </c>
      <c r="C190" s="23" t="n">
        <v>57.25</v>
      </c>
      <c r="D190" s="24" t="n">
        <v>25.4087501525879</v>
      </c>
      <c r="E190" s="25" t="n">
        <v>20.8924995422363</v>
      </c>
      <c r="F190" s="26" t="n">
        <f aca="false">VLOOKUP(MONTH(A190),ScalarTable,2,0)</f>
        <v>1.16938304743531</v>
      </c>
      <c r="G190" s="27" t="n">
        <f aca="false">+F190*C190</f>
        <v>66.9471794656713</v>
      </c>
      <c r="I190" s="26" t="n">
        <f aca="false">VLOOKUP(MONTH(A190),ScalarTable,3,0)</f>
        <v>0.83061695843935</v>
      </c>
      <c r="J190" s="28" t="n">
        <f aca="false">C190*I190</f>
        <v>47.5528208706528</v>
      </c>
      <c r="K190" s="29" t="n">
        <f aca="false">D190*F190</f>
        <v>29.7125616849555</v>
      </c>
      <c r="L190" s="28" t="n">
        <f aca="false">D190*I190</f>
        <v>21.1049387694879</v>
      </c>
      <c r="M190" s="30" t="n">
        <f aca="false">E190*F190</f>
        <v>24.431334783241</v>
      </c>
      <c r="O190" s="31"/>
    </row>
    <row r="191" customFormat="false" ht="12.75" hidden="false" customHeight="false" outlineLevel="0" collapsed="false">
      <c r="A191" s="21" t="n">
        <v>42552</v>
      </c>
      <c r="B191" s="22" t="n">
        <v>57.5298207419259</v>
      </c>
      <c r="C191" s="23" t="n">
        <v>90</v>
      </c>
      <c r="D191" s="24" t="n">
        <v>38.6112495422364</v>
      </c>
      <c r="E191" s="25" t="n">
        <v>30.0974994659424</v>
      </c>
      <c r="F191" s="26" t="n">
        <f aca="false">VLOOKUP(MONTH(A191),ScalarTable,2,0)</f>
        <v>1.22140709971076</v>
      </c>
      <c r="G191" s="27" t="n">
        <f aca="false">+F191*C191</f>
        <v>109.926638973968</v>
      </c>
      <c r="I191" s="26" t="n">
        <f aca="false">VLOOKUP(MONTH(A191),ScalarTable,3,0)</f>
        <v>0.7785929068923</v>
      </c>
      <c r="J191" s="28" t="n">
        <f aca="false">C191*I191</f>
        <v>70.073361620307</v>
      </c>
      <c r="K191" s="29" t="n">
        <f aca="false">D191*F191</f>
        <v>47.1600543195913</v>
      </c>
      <c r="L191" s="28" t="n">
        <f aca="false">D191*I191</f>
        <v>30.0624450198338</v>
      </c>
      <c r="M191" s="30" t="n">
        <f aca="false">E191*F191</f>
        <v>36.7612995312428</v>
      </c>
      <c r="O191" s="31"/>
    </row>
    <row r="192" customFormat="false" ht="12.75" hidden="false" customHeight="false" outlineLevel="0" collapsed="false">
      <c r="A192" s="21" t="n">
        <v>42583</v>
      </c>
      <c r="B192" s="22" t="n">
        <v>54.5786900111607</v>
      </c>
      <c r="C192" s="23" t="n">
        <v>82.5</v>
      </c>
      <c r="D192" s="24" t="n">
        <v>40.8724990844727</v>
      </c>
      <c r="E192" s="25" t="n">
        <v>31.5950008392334</v>
      </c>
      <c r="F192" s="26" t="n">
        <f aca="false">VLOOKUP(MONTH(A192),ScalarTable,2,0)</f>
        <v>1.15768142863174</v>
      </c>
      <c r="G192" s="27" t="n">
        <f aca="false">+F192*C192</f>
        <v>95.5087178621184</v>
      </c>
      <c r="I192" s="26" t="n">
        <f aca="false">VLOOKUP(MONTH(A192),ScalarTable,3,0)</f>
        <v>0.842099040746689</v>
      </c>
      <c r="J192" s="28" t="n">
        <f aca="false">C192*I192</f>
        <v>69.4731708616018</v>
      </c>
      <c r="K192" s="29" t="n">
        <f aca="false">D192*F192</f>
        <v>47.3173331318618</v>
      </c>
      <c r="L192" s="28" t="n">
        <f aca="false">D192*I192</f>
        <v>34.4186922719544</v>
      </c>
      <c r="M192" s="30" t="n">
        <f aca="false">E192*F192</f>
        <v>36.5769457091847</v>
      </c>
      <c r="O192" s="31"/>
    </row>
    <row r="193" customFormat="false" ht="12.75" hidden="false" customHeight="false" outlineLevel="0" collapsed="false">
      <c r="A193" s="21" t="n">
        <v>42614</v>
      </c>
      <c r="B193" s="22" t="n">
        <v>24.958094778515</v>
      </c>
      <c r="C193" s="23" t="n">
        <v>32.25</v>
      </c>
      <c r="D193" s="24" t="n">
        <v>17.4799995422363</v>
      </c>
      <c r="E193" s="25" t="n">
        <v>15.0600004196167</v>
      </c>
      <c r="F193" s="26" t="n">
        <f aca="false">VLOOKUP(MONTH(A193),ScalarTable,2,0)</f>
        <v>1.09653379232051</v>
      </c>
      <c r="G193" s="27" t="n">
        <f aca="false">+F193*C193</f>
        <v>35.3632148023365</v>
      </c>
      <c r="I193" s="26" t="n">
        <f aca="false">VLOOKUP(MONTH(A193),ScalarTable,3,0)</f>
        <v>0.903466207679489</v>
      </c>
      <c r="J193" s="28" t="n">
        <f aca="false">C193*I193</f>
        <v>29.1367851976635</v>
      </c>
      <c r="K193" s="29" t="n">
        <f aca="false">D193*F193</f>
        <v>19.1674101878092</v>
      </c>
      <c r="L193" s="28" t="n">
        <f aca="false">D193*I193</f>
        <v>15.7925888966635</v>
      </c>
      <c r="M193" s="30" t="n">
        <f aca="false">E193*F193</f>
        <v>16.5137993724708</v>
      </c>
      <c r="O193" s="31"/>
    </row>
    <row r="194" customFormat="false" ht="12.75" hidden="false" customHeight="false" outlineLevel="0" collapsed="false">
      <c r="A194" s="21" t="n">
        <v>42644</v>
      </c>
      <c r="B194" s="22" t="n">
        <v>24.6002140045166</v>
      </c>
      <c r="C194" s="23" t="n">
        <v>28</v>
      </c>
      <c r="D194" s="24" t="n">
        <v>22.3505001068115</v>
      </c>
      <c r="E194" s="25" t="n">
        <v>22.3509998321533</v>
      </c>
      <c r="F194" s="26" t="n">
        <f aca="false">VLOOKUP(MONTH(A194),ScalarTable,2,0)</f>
        <v>1.0119875</v>
      </c>
      <c r="G194" s="27" t="n">
        <f aca="false">+F194*C194</f>
        <v>28.33565</v>
      </c>
      <c r="I194" s="26" t="n">
        <f aca="false">VLOOKUP(MONTH(A194),ScalarTable,3,0)</f>
        <v>0.9880125</v>
      </c>
      <c r="J194" s="28" t="n">
        <f aca="false">C194*I194</f>
        <v>27.66435</v>
      </c>
      <c r="K194" s="29" t="n">
        <f aca="false">D194*F194</f>
        <v>22.6184267268419</v>
      </c>
      <c r="L194" s="28" t="n">
        <f aca="false">D194*I194</f>
        <v>22.0825734867811</v>
      </c>
      <c r="M194" s="30" t="n">
        <f aca="false">E194*F194</f>
        <v>22.6189324426413</v>
      </c>
      <c r="O194" s="31"/>
    </row>
    <row r="195" customFormat="false" ht="12.75" hidden="false" customHeight="false" outlineLevel="0" collapsed="false">
      <c r="A195" s="21" t="n">
        <v>42675</v>
      </c>
      <c r="B195" s="22" t="n">
        <v>25.1072735559373</v>
      </c>
      <c r="C195" s="23" t="n">
        <v>28.5</v>
      </c>
      <c r="D195" s="24" t="n">
        <v>23.3547515869141</v>
      </c>
      <c r="E195" s="25" t="n">
        <v>23.3544998168945</v>
      </c>
      <c r="F195" s="26" t="n">
        <f aca="false">VLOOKUP(MONTH(A195),ScalarTable,2,0)</f>
        <v>1.01585</v>
      </c>
      <c r="G195" s="27" t="n">
        <f aca="false">+F195*C195</f>
        <v>28.951725</v>
      </c>
      <c r="I195" s="26" t="n">
        <f aca="false">VLOOKUP(MONTH(A195),ScalarTable,3,0)</f>
        <v>0.98415</v>
      </c>
      <c r="J195" s="28" t="n">
        <f aca="false">C195*I195</f>
        <v>28.048275</v>
      </c>
      <c r="K195" s="29" t="n">
        <f aca="false">D195*F195</f>
        <v>23.7249243995666</v>
      </c>
      <c r="L195" s="28" t="n">
        <f aca="false">D195*I195</f>
        <v>22.9845787742615</v>
      </c>
      <c r="M195" s="30" t="n">
        <f aca="false">E195*F195</f>
        <v>23.7246686389923</v>
      </c>
      <c r="O195" s="31"/>
    </row>
    <row r="196" customFormat="false" ht="12.75" hidden="false" customHeight="false" outlineLevel="0" collapsed="false">
      <c r="A196" s="21" t="n">
        <v>42705</v>
      </c>
      <c r="B196" s="22" t="n">
        <v>25.8840470995222</v>
      </c>
      <c r="C196" s="23" t="n">
        <v>29</v>
      </c>
      <c r="D196" s="24" t="n">
        <v>24.8049983978271</v>
      </c>
      <c r="E196" s="25" t="n">
        <v>23.2999992370605</v>
      </c>
      <c r="F196" s="26" t="n">
        <f aca="false">VLOOKUP(MONTH(A196),ScalarTable,2,0)</f>
        <v>1.01532599180631</v>
      </c>
      <c r="G196" s="27" t="n">
        <f aca="false">+F196*C196</f>
        <v>29.444453762383</v>
      </c>
      <c r="I196" s="26" t="n">
        <f aca="false">VLOOKUP(MONTH(A196),ScalarTable,3,0)</f>
        <v>0.984674008193689</v>
      </c>
      <c r="J196" s="28" t="n">
        <f aca="false">C196*I196</f>
        <v>28.555546237617</v>
      </c>
      <c r="K196" s="29" t="n">
        <f aca="false">D196*F196</f>
        <v>25.1851596000278</v>
      </c>
      <c r="L196" s="28" t="n">
        <f aca="false">D196*I196</f>
        <v>24.4248371956265</v>
      </c>
      <c r="M196" s="30" t="n">
        <f aca="false">E196*F196</f>
        <v>23.6570948344548</v>
      </c>
      <c r="O196" s="31"/>
    </row>
    <row r="197" customFormat="false" ht="12.75" hidden="false" customHeight="false" outlineLevel="0" collapsed="false">
      <c r="A197" s="21" t="n">
        <v>42736</v>
      </c>
      <c r="B197" s="22" t="n">
        <v>29.7811309632801</v>
      </c>
      <c r="C197" s="23" t="n">
        <v>34.55</v>
      </c>
      <c r="D197" s="24" t="n">
        <v>28.1987483978271</v>
      </c>
      <c r="E197" s="25" t="n">
        <v>28.7025001525879</v>
      </c>
      <c r="F197" s="26" t="n">
        <f aca="false">VLOOKUP(MONTH(A197),ScalarTable,2,0)</f>
        <v>1.00808025404509</v>
      </c>
      <c r="G197" s="27" t="n">
        <f aca="false">+F197*C197</f>
        <v>34.8291727772579</v>
      </c>
      <c r="I197" s="26" t="n">
        <f aca="false">VLOOKUP(MONTH(A197),ScalarTable,3,0)</f>
        <v>0.991919745954909</v>
      </c>
      <c r="J197" s="28" t="n">
        <f aca="false">C197*I197</f>
        <v>34.2708272227421</v>
      </c>
      <c r="K197" s="29" t="n">
        <f aca="false">D197*F197</f>
        <v>28.4266014486352</v>
      </c>
      <c r="L197" s="28" t="n">
        <f aca="false">D197*I197</f>
        <v>27.9708953470191</v>
      </c>
      <c r="M197" s="30" t="n">
        <f aca="false">E197*F197</f>
        <v>28.9344236455501</v>
      </c>
      <c r="O197" s="31"/>
    </row>
    <row r="198" customFormat="false" ht="12.75" hidden="false" customHeight="false" outlineLevel="0" collapsed="false">
      <c r="A198" s="21" t="n">
        <v>42767</v>
      </c>
      <c r="B198" s="22" t="n">
        <v>29.3062494005476</v>
      </c>
      <c r="C198" s="23" t="n">
        <v>34.55</v>
      </c>
      <c r="D198" s="24" t="n">
        <v>27.1962501525879</v>
      </c>
      <c r="E198" s="25" t="n">
        <v>26.6974994659424</v>
      </c>
      <c r="F198" s="26" t="n">
        <f aca="false">VLOOKUP(MONTH(A198),ScalarTable,2,0)</f>
        <v>1.00808025404509</v>
      </c>
      <c r="G198" s="27" t="n">
        <f aca="false">+F198*C198</f>
        <v>34.8291727772579</v>
      </c>
      <c r="I198" s="26" t="n">
        <f aca="false">VLOOKUP(MONTH(A198),ScalarTable,3,0)</f>
        <v>0.991919745954909</v>
      </c>
      <c r="J198" s="28" t="n">
        <f aca="false">C198*I198</f>
        <v>34.2708272227421</v>
      </c>
      <c r="K198" s="29" t="n">
        <f aca="false">D198*F198</f>
        <v>27.4160027628946</v>
      </c>
      <c r="L198" s="28" t="n">
        <f aca="false">D198*I198</f>
        <v>26.9764975422811</v>
      </c>
      <c r="M198" s="30" t="n">
        <f aca="false">E198*F198</f>
        <v>26.9132220439959</v>
      </c>
      <c r="O198" s="31"/>
    </row>
    <row r="199" customFormat="false" ht="12.75" hidden="false" customHeight="false" outlineLevel="0" collapsed="false">
      <c r="A199" s="21" t="n">
        <v>42795</v>
      </c>
      <c r="B199" s="22" t="n">
        <v>25.0451306479318</v>
      </c>
      <c r="C199" s="23" t="n">
        <v>29.55</v>
      </c>
      <c r="D199" s="24" t="n">
        <v>20.3847496032715</v>
      </c>
      <c r="E199" s="25" t="n">
        <v>22.0144989013672</v>
      </c>
      <c r="F199" s="26" t="n">
        <f aca="false">VLOOKUP(MONTH(A199),ScalarTable,2,0)</f>
        <v>1.0080875</v>
      </c>
      <c r="G199" s="27" t="n">
        <f aca="false">+F199*C199</f>
        <v>29.788985625</v>
      </c>
      <c r="I199" s="26" t="n">
        <f aca="false">VLOOKUP(MONTH(A199),ScalarTable,3,0)</f>
        <v>0.9919125</v>
      </c>
      <c r="J199" s="28" t="n">
        <f aca="false">C199*I199</f>
        <v>29.311014375</v>
      </c>
      <c r="K199" s="29" t="n">
        <f aca="false">D199*F199</f>
        <v>20.5496112656879</v>
      </c>
      <c r="L199" s="28" t="n">
        <f aca="false">D199*I199</f>
        <v>20.219887940855</v>
      </c>
      <c r="M199" s="30" t="n">
        <f aca="false">E199*F199</f>
        <v>22.192541161232</v>
      </c>
      <c r="O199" s="31"/>
    </row>
    <row r="200" customFormat="false" ht="12.75" hidden="false" customHeight="false" outlineLevel="0" collapsed="false">
      <c r="A200" s="21" t="n">
        <v>42826</v>
      </c>
      <c r="B200" s="22" t="n">
        <v>24.514642224993</v>
      </c>
      <c r="C200" s="23" t="n">
        <v>28.3</v>
      </c>
      <c r="D200" s="24" t="n">
        <v>21.0675003051758</v>
      </c>
      <c r="E200" s="25" t="n">
        <v>21.7849990844726</v>
      </c>
      <c r="F200" s="26" t="n">
        <f aca="false">VLOOKUP(MONTH(A200),ScalarTable,2,0)</f>
        <v>1.07269528338234</v>
      </c>
      <c r="G200" s="27" t="n">
        <f aca="false">+F200*C200</f>
        <v>30.3572765197202</v>
      </c>
      <c r="I200" s="26" t="n">
        <f aca="false">VLOOKUP(MONTH(A200),ScalarTable,3,0)</f>
        <v>0.92730471661766</v>
      </c>
      <c r="J200" s="28" t="n">
        <f aca="false">C200*I200</f>
        <v>26.2427234802798</v>
      </c>
      <c r="K200" s="29" t="n">
        <f aca="false">D200*F200</f>
        <v>22.5990082100181</v>
      </c>
      <c r="L200" s="28" t="n">
        <f aca="false">D200*I200</f>
        <v>19.5359924003335</v>
      </c>
      <c r="M200" s="30" t="n">
        <f aca="false">E200*F200</f>
        <v>23.3686657664024</v>
      </c>
      <c r="O200" s="31"/>
    </row>
    <row r="201" customFormat="false" ht="12.75" hidden="false" customHeight="false" outlineLevel="0" collapsed="false">
      <c r="A201" s="21" t="n">
        <v>42856</v>
      </c>
      <c r="B201" s="22" t="n">
        <v>27.392499433245</v>
      </c>
      <c r="C201" s="23" t="n">
        <v>34.15</v>
      </c>
      <c r="D201" s="24" t="n">
        <v>21.1825000762939</v>
      </c>
      <c r="E201" s="25" t="n">
        <v>22.3149997711182</v>
      </c>
      <c r="F201" s="26" t="n">
        <f aca="false">VLOOKUP(MONTH(A201),ScalarTable,2,0)</f>
        <v>1.05849023799053</v>
      </c>
      <c r="G201" s="27" t="n">
        <f aca="false">+F201*C201</f>
        <v>36.1474416273766</v>
      </c>
      <c r="I201" s="26" t="n">
        <f aca="false">VLOOKUP(MONTH(A201),ScalarTable,3,0)</f>
        <v>0.941509762009471</v>
      </c>
      <c r="J201" s="28" t="n">
        <f aca="false">C201*I201</f>
        <v>32.1525583726234</v>
      </c>
      <c r="K201" s="29" t="n">
        <f aca="false">D201*F201</f>
        <v>22.4214695469908</v>
      </c>
      <c r="L201" s="28" t="n">
        <f aca="false">D201*I201</f>
        <v>19.9435306055971</v>
      </c>
      <c r="M201" s="30" t="n">
        <f aca="false">E201*F201</f>
        <v>23.6202094184895</v>
      </c>
      <c r="O201" s="31"/>
    </row>
    <row r="202" customFormat="false" ht="12.75" hidden="false" customHeight="false" outlineLevel="0" collapsed="false">
      <c r="A202" s="21" t="n">
        <v>42887</v>
      </c>
      <c r="B202" s="22" t="n">
        <v>39.3156544276646</v>
      </c>
      <c r="C202" s="23" t="n">
        <v>58.25</v>
      </c>
      <c r="D202" s="24" t="n">
        <v>25.6087501525879</v>
      </c>
      <c r="E202" s="25" t="n">
        <v>21.0924995422363</v>
      </c>
      <c r="F202" s="26" t="n">
        <f aca="false">VLOOKUP(MONTH(A202),ScalarTable,2,0)</f>
        <v>1.16938304743531</v>
      </c>
      <c r="G202" s="27" t="n">
        <f aca="false">+F202*C202</f>
        <v>68.1165625131066</v>
      </c>
      <c r="I202" s="26" t="n">
        <f aca="false">VLOOKUP(MONTH(A202),ScalarTable,3,0)</f>
        <v>0.83061695843935</v>
      </c>
      <c r="J202" s="28" t="n">
        <f aca="false">C202*I202</f>
        <v>48.3834378290921</v>
      </c>
      <c r="K202" s="29" t="n">
        <f aca="false">D202*F202</f>
        <v>29.9464382944426</v>
      </c>
      <c r="L202" s="28" t="n">
        <f aca="false">D202*I202</f>
        <v>21.2710621611758</v>
      </c>
      <c r="M202" s="30" t="n">
        <f aca="false">E202*F202</f>
        <v>24.6652113927281</v>
      </c>
      <c r="O202" s="31"/>
    </row>
    <row r="203" customFormat="false" ht="12.75" hidden="false" customHeight="false" outlineLevel="0" collapsed="false">
      <c r="A203" s="21" t="n">
        <v>42917</v>
      </c>
      <c r="B203" s="22" t="n">
        <v>58.5869635990688</v>
      </c>
      <c r="C203" s="23" t="n">
        <v>92</v>
      </c>
      <c r="D203" s="24" t="n">
        <v>38.8112495422364</v>
      </c>
      <c r="E203" s="25" t="n">
        <v>30.2974994659424</v>
      </c>
      <c r="F203" s="26" t="n">
        <f aca="false">VLOOKUP(MONTH(A203),ScalarTable,2,0)</f>
        <v>1.22140709971076</v>
      </c>
      <c r="G203" s="27" t="n">
        <f aca="false">+F203*C203</f>
        <v>112.36945317339</v>
      </c>
      <c r="I203" s="26" t="n">
        <f aca="false">VLOOKUP(MONTH(A203),ScalarTable,3,0)</f>
        <v>0.7785929068923</v>
      </c>
      <c r="J203" s="28" t="n">
        <f aca="false">C203*I203</f>
        <v>71.6305474340916</v>
      </c>
      <c r="K203" s="29" t="n">
        <f aca="false">D203*F203</f>
        <v>47.4043357395335</v>
      </c>
      <c r="L203" s="28" t="n">
        <f aca="false">D203*I203</f>
        <v>30.2181636012122</v>
      </c>
      <c r="M203" s="30" t="n">
        <f aca="false">E203*F203</f>
        <v>37.005580951185</v>
      </c>
      <c r="O203" s="31"/>
    </row>
    <row r="204" customFormat="false" ht="12.75" hidden="false" customHeight="false" outlineLevel="0" collapsed="false">
      <c r="A204" s="21" t="n">
        <v>42948</v>
      </c>
      <c r="B204" s="22" t="n">
        <v>55.6358328683036</v>
      </c>
      <c r="C204" s="23" t="n">
        <v>84.5</v>
      </c>
      <c r="D204" s="24" t="n">
        <v>41.0724990844727</v>
      </c>
      <c r="E204" s="25" t="n">
        <v>31.7950008392334</v>
      </c>
      <c r="F204" s="26" t="n">
        <f aca="false">VLOOKUP(MONTH(A204),ScalarTable,2,0)</f>
        <v>1.15768142863174</v>
      </c>
      <c r="G204" s="27" t="n">
        <f aca="false">+F204*C204</f>
        <v>97.8240807193819</v>
      </c>
      <c r="I204" s="26" t="n">
        <f aca="false">VLOOKUP(MONTH(A204),ScalarTable,3,0)</f>
        <v>0.842099040746689</v>
      </c>
      <c r="J204" s="28" t="n">
        <f aca="false">C204*I204</f>
        <v>71.1573689430952</v>
      </c>
      <c r="K204" s="29" t="n">
        <f aca="false">D204*F204</f>
        <v>47.5488694175881</v>
      </c>
      <c r="L204" s="28" t="n">
        <f aca="false">D204*I204</f>
        <v>34.5871120801037</v>
      </c>
      <c r="M204" s="30" t="n">
        <f aca="false">E204*F204</f>
        <v>36.808481994911</v>
      </c>
      <c r="O204" s="31"/>
    </row>
    <row r="205" customFormat="false" ht="12.75" hidden="false" customHeight="false" outlineLevel="0" collapsed="false">
      <c r="A205" s="21" t="n">
        <v>42979</v>
      </c>
      <c r="B205" s="22" t="n">
        <v>25.2057138261341</v>
      </c>
      <c r="C205" s="23" t="n">
        <v>32.55</v>
      </c>
      <c r="D205" s="24" t="n">
        <v>17.6799995422363</v>
      </c>
      <c r="E205" s="25" t="n">
        <v>15.2600004196167</v>
      </c>
      <c r="F205" s="26" t="n">
        <f aca="false">VLOOKUP(MONTH(A205),ScalarTable,2,0)</f>
        <v>1.09653379232051</v>
      </c>
      <c r="G205" s="27" t="n">
        <f aca="false">+F205*C205</f>
        <v>35.6921749400326</v>
      </c>
      <c r="I205" s="26" t="n">
        <f aca="false">VLOOKUP(MONTH(A205),ScalarTable,3,0)</f>
        <v>0.903466207679489</v>
      </c>
      <c r="J205" s="28" t="n">
        <f aca="false">C205*I205</f>
        <v>29.4078250599674</v>
      </c>
      <c r="K205" s="29" t="n">
        <f aca="false">D205*F205</f>
        <v>19.3867169462733</v>
      </c>
      <c r="L205" s="28" t="n">
        <f aca="false">D205*I205</f>
        <v>15.9732821381994</v>
      </c>
      <c r="M205" s="30" t="n">
        <f aca="false">E205*F205</f>
        <v>16.7331061309349</v>
      </c>
      <c r="O205" s="31"/>
    </row>
    <row r="206" customFormat="false" ht="12.75" hidden="false" customHeight="false" outlineLevel="0" collapsed="false">
      <c r="A206" s="21" t="n">
        <v>43009</v>
      </c>
      <c r="B206" s="22" t="n">
        <v>24.8478330521356</v>
      </c>
      <c r="C206" s="23" t="n">
        <v>28.3</v>
      </c>
      <c r="D206" s="24" t="n">
        <v>22.5505001068115</v>
      </c>
      <c r="E206" s="25" t="n">
        <v>22.5509998321533</v>
      </c>
      <c r="F206" s="26" t="n">
        <f aca="false">VLOOKUP(MONTH(A206),ScalarTable,2,0)</f>
        <v>1.0119875</v>
      </c>
      <c r="G206" s="27" t="n">
        <f aca="false">+F206*C206</f>
        <v>28.63924625</v>
      </c>
      <c r="I206" s="26" t="n">
        <f aca="false">VLOOKUP(MONTH(A206),ScalarTable,3,0)</f>
        <v>0.9880125</v>
      </c>
      <c r="J206" s="28" t="n">
        <f aca="false">C206*I206</f>
        <v>27.96075375</v>
      </c>
      <c r="K206" s="29" t="n">
        <f aca="false">D206*F206</f>
        <v>22.8208242268419</v>
      </c>
      <c r="L206" s="28" t="n">
        <f aca="false">D206*I206</f>
        <v>22.2801759867811</v>
      </c>
      <c r="M206" s="30" t="n">
        <f aca="false">E206*F206</f>
        <v>22.8213299426413</v>
      </c>
      <c r="O206" s="31"/>
    </row>
    <row r="207" customFormat="false" ht="12.75" hidden="false" customHeight="false" outlineLevel="0" collapsed="false">
      <c r="A207" s="21" t="n">
        <v>43040</v>
      </c>
      <c r="B207" s="22" t="n">
        <v>25.3548926035563</v>
      </c>
      <c r="C207" s="23" t="n">
        <v>28.8</v>
      </c>
      <c r="D207" s="24" t="n">
        <v>23.5547515869141</v>
      </c>
      <c r="E207" s="25" t="n">
        <v>23.5544998168945</v>
      </c>
      <c r="F207" s="26" t="n">
        <f aca="false">VLOOKUP(MONTH(A207),ScalarTable,2,0)</f>
        <v>1.01585</v>
      </c>
      <c r="G207" s="27" t="n">
        <f aca="false">+F207*C207</f>
        <v>29.25648</v>
      </c>
      <c r="I207" s="26" t="n">
        <f aca="false">VLOOKUP(MONTH(A207),ScalarTable,3,0)</f>
        <v>0.98415</v>
      </c>
      <c r="J207" s="28" t="n">
        <f aca="false">C207*I207</f>
        <v>28.34352</v>
      </c>
      <c r="K207" s="29" t="n">
        <f aca="false">D207*F207</f>
        <v>23.9280943995666</v>
      </c>
      <c r="L207" s="28" t="n">
        <f aca="false">D207*I207</f>
        <v>23.1814087742615</v>
      </c>
      <c r="M207" s="30" t="n">
        <f aca="false">E207*F207</f>
        <v>23.9278386389923</v>
      </c>
      <c r="O207" s="31"/>
    </row>
    <row r="208" customFormat="false" ht="12.75" hidden="false" customHeight="false" outlineLevel="0" collapsed="false">
      <c r="A208" s="21" t="n">
        <v>43070</v>
      </c>
      <c r="B208" s="22" t="n">
        <v>26.1316661471412</v>
      </c>
      <c r="C208" s="23" t="n">
        <v>29.3</v>
      </c>
      <c r="D208" s="24" t="n">
        <v>25.0049983978271</v>
      </c>
      <c r="E208" s="25" t="n">
        <v>23.4999992370605</v>
      </c>
      <c r="F208" s="26" t="n">
        <f aca="false">VLOOKUP(MONTH(A208),ScalarTable,2,0)</f>
        <v>1.01532599180631</v>
      </c>
      <c r="G208" s="27" t="n">
        <f aca="false">+F208*C208</f>
        <v>29.7490515599249</v>
      </c>
      <c r="I208" s="26" t="n">
        <f aca="false">VLOOKUP(MONTH(A208),ScalarTable,3,0)</f>
        <v>0.984674008193689</v>
      </c>
      <c r="J208" s="28" t="n">
        <f aca="false">C208*I208</f>
        <v>28.8509484400751</v>
      </c>
      <c r="K208" s="29" t="n">
        <f aca="false">D208*F208</f>
        <v>25.388224798389</v>
      </c>
      <c r="L208" s="28" t="n">
        <f aca="false">D208*I208</f>
        <v>24.6217719972652</v>
      </c>
      <c r="M208" s="30" t="n">
        <f aca="false">E208*F208</f>
        <v>23.860160032816</v>
      </c>
      <c r="O208" s="31"/>
    </row>
    <row r="209" customFormat="false" ht="12.75" hidden="false" customHeight="false" outlineLevel="0" collapsed="false">
      <c r="A209" s="21" t="n">
        <v>43101</v>
      </c>
      <c r="B209" s="22" t="n">
        <v>30.0287500108991</v>
      </c>
      <c r="C209" s="23" t="n">
        <v>34.85</v>
      </c>
      <c r="D209" s="24" t="n">
        <v>28.3987483978271</v>
      </c>
      <c r="E209" s="25" t="n">
        <v>28.9025001525879</v>
      </c>
      <c r="F209" s="26" t="n">
        <f aca="false">VLOOKUP(MONTH(A209),ScalarTable,2,0)</f>
        <v>1.00808025404509</v>
      </c>
      <c r="G209" s="27" t="n">
        <f aca="false">+F209*C209</f>
        <v>35.1315968534714</v>
      </c>
      <c r="I209" s="26" t="n">
        <f aca="false">VLOOKUP(MONTH(A209),ScalarTable,3,0)</f>
        <v>0.991919745954909</v>
      </c>
      <c r="J209" s="28" t="n">
        <f aca="false">C209*I209</f>
        <v>34.5684031465286</v>
      </c>
      <c r="K209" s="29" t="n">
        <f aca="false">D209*F209</f>
        <v>28.6282174994442</v>
      </c>
      <c r="L209" s="28" t="n">
        <f aca="false">D209*I209</f>
        <v>28.1692792962101</v>
      </c>
      <c r="M209" s="30" t="n">
        <f aca="false">E209*F209</f>
        <v>29.1360396963591</v>
      </c>
      <c r="O209" s="31"/>
    </row>
    <row r="210" customFormat="false" ht="12.75" hidden="false" customHeight="false" outlineLevel="0" collapsed="false">
      <c r="A210" s="21" t="n">
        <v>43132</v>
      </c>
      <c r="B210" s="22" t="n">
        <v>29.5538684481666</v>
      </c>
      <c r="C210" s="23" t="n">
        <v>34.85</v>
      </c>
      <c r="D210" s="24" t="n">
        <v>27.3962501525879</v>
      </c>
      <c r="E210" s="25" t="n">
        <v>26.8974994659424</v>
      </c>
      <c r="F210" s="26" t="n">
        <f aca="false">VLOOKUP(MONTH(A210),ScalarTable,2,0)</f>
        <v>1.00808025404509</v>
      </c>
      <c r="G210" s="27" t="n">
        <f aca="false">+F210*C210</f>
        <v>35.1315968534714</v>
      </c>
      <c r="I210" s="26" t="n">
        <f aca="false">VLOOKUP(MONTH(A210),ScalarTable,3,0)</f>
        <v>0.991919745954909</v>
      </c>
      <c r="J210" s="28" t="n">
        <f aca="false">C210*I210</f>
        <v>34.5684031465286</v>
      </c>
      <c r="K210" s="29" t="n">
        <f aca="false">D210*F210</f>
        <v>27.6176188137037</v>
      </c>
      <c r="L210" s="28" t="n">
        <f aca="false">D210*I210</f>
        <v>27.1748814914721</v>
      </c>
      <c r="M210" s="30" t="n">
        <f aca="false">E210*F210</f>
        <v>27.1148380948049</v>
      </c>
      <c r="O210" s="31"/>
    </row>
    <row r="211" customFormat="false" ht="12.75" hidden="false" customHeight="false" outlineLevel="0" collapsed="false">
      <c r="A211" s="21" t="n">
        <v>43160</v>
      </c>
      <c r="B211" s="22" t="n">
        <v>25.2927496955508</v>
      </c>
      <c r="C211" s="23" t="n">
        <v>29.85</v>
      </c>
      <c r="D211" s="24" t="n">
        <v>20.5847496032715</v>
      </c>
      <c r="E211" s="25" t="n">
        <v>22.2144989013672</v>
      </c>
      <c r="F211" s="26" t="n">
        <f aca="false">VLOOKUP(MONTH(A211),ScalarTable,2,0)</f>
        <v>1.0080875</v>
      </c>
      <c r="G211" s="27" t="n">
        <f aca="false">+F211*C211</f>
        <v>30.091411875</v>
      </c>
      <c r="I211" s="26" t="n">
        <f aca="false">VLOOKUP(MONTH(A211),ScalarTable,3,0)</f>
        <v>0.9919125</v>
      </c>
      <c r="J211" s="28" t="n">
        <f aca="false">C211*I211</f>
        <v>29.608588125</v>
      </c>
      <c r="K211" s="29" t="n">
        <f aca="false">D211*F211</f>
        <v>20.7512287656879</v>
      </c>
      <c r="L211" s="28" t="n">
        <f aca="false">D211*I211</f>
        <v>20.418270440855</v>
      </c>
      <c r="M211" s="30" t="n">
        <f aca="false">E211*F211</f>
        <v>22.394158661232</v>
      </c>
      <c r="O211" s="31"/>
    </row>
    <row r="212" customFormat="false" ht="12.75" hidden="false" customHeight="false" outlineLevel="0" collapsed="false">
      <c r="A212" s="21" t="n">
        <v>43191</v>
      </c>
      <c r="B212" s="22" t="n">
        <v>24.7622612726121</v>
      </c>
      <c r="C212" s="23" t="n">
        <v>28.6</v>
      </c>
      <c r="D212" s="24" t="n">
        <v>21.2675003051758</v>
      </c>
      <c r="E212" s="25" t="n">
        <v>21.9849990844726</v>
      </c>
      <c r="F212" s="26" t="n">
        <f aca="false">VLOOKUP(MONTH(A212),ScalarTable,2,0)</f>
        <v>1.07269528338234</v>
      </c>
      <c r="G212" s="27" t="n">
        <f aca="false">+F212*C212</f>
        <v>30.6790851047349</v>
      </c>
      <c r="I212" s="26" t="n">
        <f aca="false">VLOOKUP(MONTH(A212),ScalarTable,3,0)</f>
        <v>0.92730471661766</v>
      </c>
      <c r="J212" s="28" t="n">
        <f aca="false">C212*I212</f>
        <v>26.5209148952651</v>
      </c>
      <c r="K212" s="29" t="n">
        <f aca="false">D212*F212</f>
        <v>22.8135472666945</v>
      </c>
      <c r="L212" s="28" t="n">
        <f aca="false">D212*I212</f>
        <v>19.721453343657</v>
      </c>
      <c r="M212" s="30" t="n">
        <f aca="false">E212*F212</f>
        <v>23.5832048230789</v>
      </c>
      <c r="O212" s="31"/>
    </row>
    <row r="213" customFormat="false" ht="12.75" hidden="false" customHeight="false" outlineLevel="0" collapsed="false">
      <c r="A213" s="21" t="n">
        <v>43221</v>
      </c>
      <c r="B213" s="22" t="n">
        <v>27.7353565761021</v>
      </c>
      <c r="C213" s="23" t="n">
        <v>34.65</v>
      </c>
      <c r="D213" s="24" t="n">
        <v>21.3825000762939</v>
      </c>
      <c r="E213" s="25" t="n">
        <v>22.5149997711182</v>
      </c>
      <c r="F213" s="26" t="n">
        <f aca="false">VLOOKUP(MONTH(A213),ScalarTable,2,0)</f>
        <v>1.05849023799053</v>
      </c>
      <c r="G213" s="27" t="n">
        <f aca="false">+F213*C213</f>
        <v>36.6766867463718</v>
      </c>
      <c r="I213" s="26" t="n">
        <f aca="false">VLOOKUP(MONTH(A213),ScalarTable,3,0)</f>
        <v>0.941509762009471</v>
      </c>
      <c r="J213" s="28" t="n">
        <f aca="false">C213*I213</f>
        <v>32.6233132536282</v>
      </c>
      <c r="K213" s="29" t="n">
        <f aca="false">D213*F213</f>
        <v>22.6331675945889</v>
      </c>
      <c r="L213" s="28" t="n">
        <f aca="false">D213*I213</f>
        <v>20.131832557999</v>
      </c>
      <c r="M213" s="30" t="n">
        <f aca="false">E213*F213</f>
        <v>23.8319074660876</v>
      </c>
      <c r="O213" s="31"/>
    </row>
    <row r="214" customFormat="false" ht="12.75" hidden="false" customHeight="false" outlineLevel="0" collapsed="false">
      <c r="A214" s="21" t="n">
        <v>43252</v>
      </c>
      <c r="B214" s="22" t="n">
        <v>39.896606808617</v>
      </c>
      <c r="C214" s="23" t="n">
        <v>59.25</v>
      </c>
      <c r="D214" s="24" t="n">
        <v>25.8087501525879</v>
      </c>
      <c r="E214" s="25" t="n">
        <v>21.2924995422363</v>
      </c>
      <c r="F214" s="26" t="n">
        <f aca="false">VLOOKUP(MONTH(A214),ScalarTable,2,0)</f>
        <v>1.16938304743531</v>
      </c>
      <c r="G214" s="27" t="n">
        <f aca="false">+F214*C214</f>
        <v>69.2859455605419</v>
      </c>
      <c r="I214" s="26" t="n">
        <f aca="false">VLOOKUP(MONTH(A214),ScalarTable,3,0)</f>
        <v>0.83061695843935</v>
      </c>
      <c r="J214" s="28" t="n">
        <f aca="false">C214*I214</f>
        <v>49.2140547875315</v>
      </c>
      <c r="K214" s="29" t="n">
        <f aca="false">D214*F214</f>
        <v>30.1803149039296</v>
      </c>
      <c r="L214" s="28" t="n">
        <f aca="false">D214*I214</f>
        <v>21.4371855528637</v>
      </c>
      <c r="M214" s="30" t="n">
        <f aca="false">E214*F214</f>
        <v>24.8990880022152</v>
      </c>
      <c r="O214" s="31"/>
    </row>
    <row r="215" customFormat="false" ht="12.75" hidden="false" customHeight="false" outlineLevel="0" collapsed="false">
      <c r="A215" s="21" t="n">
        <v>43282</v>
      </c>
      <c r="B215" s="22" t="n">
        <v>59.6441064562116</v>
      </c>
      <c r="C215" s="23" t="n">
        <v>94</v>
      </c>
      <c r="D215" s="24" t="n">
        <v>39.0112495422364</v>
      </c>
      <c r="E215" s="25" t="n">
        <v>30.4974994659424</v>
      </c>
      <c r="F215" s="26" t="n">
        <f aca="false">VLOOKUP(MONTH(A215),ScalarTable,2,0)</f>
        <v>1.22140709971076</v>
      </c>
      <c r="G215" s="27" t="n">
        <f aca="false">+F215*C215</f>
        <v>114.812267372811</v>
      </c>
      <c r="I215" s="26" t="n">
        <f aca="false">VLOOKUP(MONTH(A215),ScalarTable,3,0)</f>
        <v>0.7785929068923</v>
      </c>
      <c r="J215" s="28" t="n">
        <f aca="false">C215*I215</f>
        <v>73.1877332478762</v>
      </c>
      <c r="K215" s="29" t="n">
        <f aca="false">D215*F215</f>
        <v>47.6486171594757</v>
      </c>
      <c r="L215" s="28" t="n">
        <f aca="false">D215*I215</f>
        <v>30.3738821825907</v>
      </c>
      <c r="M215" s="30" t="n">
        <f aca="false">E215*F215</f>
        <v>37.2498623711271</v>
      </c>
      <c r="O215" s="31"/>
    </row>
    <row r="216" customFormat="false" ht="12.75" hidden="false" customHeight="false" outlineLevel="0" collapsed="false">
      <c r="A216" s="21" t="n">
        <v>43313</v>
      </c>
      <c r="B216" s="22" t="n">
        <v>56.6929757254464</v>
      </c>
      <c r="C216" s="23" t="n">
        <v>86.5</v>
      </c>
      <c r="D216" s="24" t="n">
        <v>41.2724990844727</v>
      </c>
      <c r="E216" s="25" t="n">
        <v>31.9950008392334</v>
      </c>
      <c r="F216" s="26" t="n">
        <f aca="false">VLOOKUP(MONTH(A216),ScalarTable,2,0)</f>
        <v>1.15768142863174</v>
      </c>
      <c r="G216" s="27" t="n">
        <f aca="false">+F216*C216</f>
        <v>100.139443576645</v>
      </c>
      <c r="I216" s="26" t="n">
        <f aca="false">VLOOKUP(MONTH(A216),ScalarTable,3,0)</f>
        <v>0.842099040746689</v>
      </c>
      <c r="J216" s="28" t="n">
        <f aca="false">C216*I216</f>
        <v>72.8415670245886</v>
      </c>
      <c r="K216" s="29" t="n">
        <f aca="false">D216*F216</f>
        <v>47.7804057033145</v>
      </c>
      <c r="L216" s="28" t="n">
        <f aca="false">D216*I216</f>
        <v>34.7555318882531</v>
      </c>
      <c r="M216" s="30" t="n">
        <f aca="false">E216*F216</f>
        <v>37.0400182806374</v>
      </c>
      <c r="O216" s="31"/>
    </row>
    <row r="217" customFormat="false" ht="12.75" hidden="false" customHeight="false" outlineLevel="0" collapsed="false">
      <c r="A217" s="21" t="n">
        <v>43344</v>
      </c>
      <c r="B217" s="22" t="n">
        <v>25.4533328737531</v>
      </c>
      <c r="C217" s="23" t="n">
        <v>32.85</v>
      </c>
      <c r="D217" s="24" t="n">
        <v>17.8799995422363</v>
      </c>
      <c r="E217" s="25" t="n">
        <v>15.4600004196167</v>
      </c>
      <c r="F217" s="26" t="n">
        <f aca="false">VLOOKUP(MONTH(A217),ScalarTable,2,0)</f>
        <v>1.09653379232051</v>
      </c>
      <c r="G217" s="27" t="n">
        <f aca="false">+F217*C217</f>
        <v>36.0211350777288</v>
      </c>
      <c r="I217" s="26" t="n">
        <f aca="false">VLOOKUP(MONTH(A217),ScalarTable,3,0)</f>
        <v>0.903466207679489</v>
      </c>
      <c r="J217" s="28" t="n">
        <f aca="false">C217*I217</f>
        <v>29.6788649222712</v>
      </c>
      <c r="K217" s="29" t="n">
        <f aca="false">D217*F217</f>
        <v>19.6060237047374</v>
      </c>
      <c r="L217" s="28" t="n">
        <f aca="false">D217*I217</f>
        <v>16.1539753797353</v>
      </c>
      <c r="M217" s="30" t="n">
        <f aca="false">E217*F217</f>
        <v>16.952412889399</v>
      </c>
      <c r="O217" s="31"/>
    </row>
    <row r="218" customFormat="false" ht="12.75" hidden="false" customHeight="false" outlineLevel="0" collapsed="false">
      <c r="A218" s="21" t="n">
        <v>43374</v>
      </c>
      <c r="B218" s="22"/>
      <c r="C218" s="56"/>
      <c r="D218" s="57"/>
      <c r="E218" s="58"/>
      <c r="F218" s="26" t="n">
        <f aca="false">VLOOKUP(MONTH(A218),ScalarTable,2,0)</f>
        <v>1.0119875</v>
      </c>
      <c r="G218" s="27" t="n">
        <f aca="false">+F218*C218</f>
        <v>0</v>
      </c>
      <c r="I218" s="26" t="n">
        <f aca="false">VLOOKUP(MONTH(A218),ScalarTable,3,0)</f>
        <v>0.9880125</v>
      </c>
      <c r="J218" s="28" t="n">
        <f aca="false">C218*I218</f>
        <v>0</v>
      </c>
      <c r="K218" s="29" t="n">
        <f aca="false">D218*F218</f>
        <v>0</v>
      </c>
      <c r="L218" s="28" t="n">
        <f aca="false">D218*I218</f>
        <v>0</v>
      </c>
      <c r="M218" s="30" t="n">
        <f aca="false">E218*F218</f>
        <v>0</v>
      </c>
      <c r="O218" s="31"/>
    </row>
    <row r="219" customFormat="false" ht="12.75" hidden="false" customHeight="false" outlineLevel="0" collapsed="false">
      <c r="A219" s="21" t="n">
        <v>43405</v>
      </c>
      <c r="B219" s="22"/>
      <c r="C219" s="56"/>
      <c r="D219" s="57"/>
      <c r="E219" s="58"/>
      <c r="F219" s="26" t="n">
        <f aca="false">VLOOKUP(MONTH(A219),ScalarTable,2,0)</f>
        <v>1.01585</v>
      </c>
      <c r="G219" s="27" t="n">
        <f aca="false">+F219*C219</f>
        <v>0</v>
      </c>
      <c r="I219" s="26" t="n">
        <f aca="false">VLOOKUP(MONTH(A219),ScalarTable,3,0)</f>
        <v>0.98415</v>
      </c>
      <c r="J219" s="28" t="n">
        <f aca="false">C219*I219</f>
        <v>0</v>
      </c>
      <c r="K219" s="29" t="n">
        <f aca="false">D219*F219</f>
        <v>0</v>
      </c>
      <c r="L219" s="28" t="n">
        <f aca="false">D219*I219</f>
        <v>0</v>
      </c>
      <c r="M219" s="30" t="n">
        <f aca="false">E219*F219</f>
        <v>0</v>
      </c>
      <c r="O219" s="31"/>
    </row>
    <row r="220" customFormat="false" ht="12.75" hidden="false" customHeight="false" outlineLevel="0" collapsed="false">
      <c r="A220" s="21" t="n">
        <v>43435</v>
      </c>
      <c r="B220" s="22"/>
      <c r="C220" s="56"/>
      <c r="D220" s="57"/>
      <c r="E220" s="58"/>
      <c r="F220" s="26" t="n">
        <f aca="false">VLOOKUP(MONTH(A220),ScalarTable,2,0)</f>
        <v>1.01532599180631</v>
      </c>
      <c r="G220" s="27" t="n">
        <f aca="false">+F220*C220</f>
        <v>0</v>
      </c>
      <c r="I220" s="26" t="n">
        <f aca="false">VLOOKUP(MONTH(A220),ScalarTable,3,0)</f>
        <v>0.984674008193689</v>
      </c>
      <c r="J220" s="28" t="n">
        <f aca="false">C220*I220</f>
        <v>0</v>
      </c>
      <c r="K220" s="29" t="n">
        <f aca="false">D220*F220</f>
        <v>0</v>
      </c>
      <c r="L220" s="28" t="n">
        <f aca="false">D220*I220</f>
        <v>0</v>
      </c>
      <c r="M220" s="30" t="n">
        <f aca="false">E220*F220</f>
        <v>0</v>
      </c>
      <c r="O220" s="31"/>
    </row>
    <row r="221" customFormat="false" ht="12.75" hidden="false" customHeight="false" outlineLevel="0" collapsed="false">
      <c r="A221" s="21" t="n">
        <v>43466</v>
      </c>
      <c r="B221" s="22"/>
      <c r="C221" s="56"/>
      <c r="D221" s="57"/>
      <c r="E221" s="58"/>
      <c r="F221" s="26" t="n">
        <f aca="false">VLOOKUP(MONTH(A221),ScalarTable,2,0)</f>
        <v>1.00808025404509</v>
      </c>
      <c r="G221" s="27" t="n">
        <f aca="false">+F221*C221</f>
        <v>0</v>
      </c>
      <c r="I221" s="26" t="n">
        <f aca="false">VLOOKUP(MONTH(A221),ScalarTable,3,0)</f>
        <v>0.991919745954909</v>
      </c>
      <c r="J221" s="28" t="n">
        <f aca="false">C221*I221</f>
        <v>0</v>
      </c>
      <c r="K221" s="29" t="n">
        <f aca="false">D221*F221</f>
        <v>0</v>
      </c>
      <c r="L221" s="28" t="n">
        <f aca="false">D221*I221</f>
        <v>0</v>
      </c>
      <c r="M221" s="30" t="n">
        <f aca="false">E221*F221</f>
        <v>0</v>
      </c>
      <c r="O221" s="31"/>
    </row>
    <row r="222" customFormat="false" ht="12.75" hidden="false" customHeight="false" outlineLevel="0" collapsed="false">
      <c r="A222" s="21" t="n">
        <v>43497</v>
      </c>
      <c r="B222" s="22"/>
      <c r="C222" s="56"/>
      <c r="D222" s="57"/>
      <c r="E222" s="58"/>
      <c r="F222" s="26" t="n">
        <f aca="false">VLOOKUP(MONTH(A222),ScalarTable,2,0)</f>
        <v>1.00808025404509</v>
      </c>
      <c r="G222" s="27" t="n">
        <f aca="false">+F222*C222</f>
        <v>0</v>
      </c>
      <c r="I222" s="26" t="n">
        <f aca="false">VLOOKUP(MONTH(A222),ScalarTable,3,0)</f>
        <v>0.991919745954909</v>
      </c>
      <c r="J222" s="28" t="n">
        <f aca="false">C222*I222</f>
        <v>0</v>
      </c>
      <c r="K222" s="29" t="n">
        <f aca="false">D222*F222</f>
        <v>0</v>
      </c>
      <c r="L222" s="28" t="n">
        <f aca="false">D222*I222</f>
        <v>0</v>
      </c>
      <c r="M222" s="30" t="n">
        <f aca="false">E222*F222</f>
        <v>0</v>
      </c>
      <c r="O222" s="31"/>
    </row>
    <row r="223" customFormat="false" ht="12.75" hidden="false" customHeight="false" outlineLevel="0" collapsed="false">
      <c r="A223" s="21" t="n">
        <v>43525</v>
      </c>
      <c r="B223" s="22"/>
      <c r="C223" s="56"/>
      <c r="D223" s="57"/>
      <c r="E223" s="58"/>
      <c r="F223" s="26" t="n">
        <f aca="false">VLOOKUP(MONTH(A223),ScalarTable,2,0)</f>
        <v>1.0080875</v>
      </c>
      <c r="G223" s="27" t="n">
        <f aca="false">+F223*C223</f>
        <v>0</v>
      </c>
      <c r="I223" s="26" t="n">
        <f aca="false">VLOOKUP(MONTH(A223),ScalarTable,3,0)</f>
        <v>0.9919125</v>
      </c>
      <c r="J223" s="28" t="n">
        <f aca="false">C223*I223</f>
        <v>0</v>
      </c>
      <c r="K223" s="29" t="n">
        <f aca="false">D223*F223</f>
        <v>0</v>
      </c>
      <c r="L223" s="28" t="n">
        <f aca="false">D223*I223</f>
        <v>0</v>
      </c>
      <c r="M223" s="30" t="n">
        <f aca="false">E223*F223</f>
        <v>0</v>
      </c>
      <c r="O223" s="31"/>
    </row>
    <row r="224" customFormat="false" ht="12.75" hidden="false" customHeight="false" outlineLevel="0" collapsed="false">
      <c r="A224" s="21" t="n">
        <v>43556</v>
      </c>
      <c r="B224" s="22"/>
      <c r="C224" s="56"/>
      <c r="D224" s="57"/>
      <c r="E224" s="58"/>
      <c r="F224" s="26" t="n">
        <f aca="false">VLOOKUP(MONTH(A224),ScalarTable,2,0)</f>
        <v>1.07269528338234</v>
      </c>
      <c r="G224" s="27" t="n">
        <f aca="false">+F224*C224</f>
        <v>0</v>
      </c>
      <c r="I224" s="26" t="n">
        <f aca="false">VLOOKUP(MONTH(A224),ScalarTable,3,0)</f>
        <v>0.92730471661766</v>
      </c>
      <c r="J224" s="28" t="n">
        <f aca="false">C224*I224</f>
        <v>0</v>
      </c>
      <c r="K224" s="29" t="n">
        <f aca="false">D224*F224</f>
        <v>0</v>
      </c>
      <c r="L224" s="28" t="n">
        <f aca="false">D224*I224</f>
        <v>0</v>
      </c>
      <c r="M224" s="30" t="n">
        <f aca="false">E224*F224</f>
        <v>0</v>
      </c>
      <c r="O224" s="31"/>
    </row>
    <row r="225" customFormat="false" ht="12.75" hidden="false" customHeight="false" outlineLevel="0" collapsed="false">
      <c r="A225" s="21" t="n">
        <v>43586</v>
      </c>
      <c r="B225" s="22"/>
      <c r="C225" s="56"/>
      <c r="D225" s="57"/>
      <c r="E225" s="59"/>
      <c r="F225" s="26" t="n">
        <f aca="false">VLOOKUP(MONTH(A225),ScalarTable,2,0)</f>
        <v>1.05849023799053</v>
      </c>
      <c r="G225" s="27" t="n">
        <f aca="false">+F225*C225</f>
        <v>0</v>
      </c>
      <c r="I225" s="26" t="n">
        <f aca="false">VLOOKUP(MONTH(A225),ScalarTable,3,0)</f>
        <v>0.941509762009471</v>
      </c>
      <c r="J225" s="28" t="n">
        <f aca="false">C225*I225</f>
        <v>0</v>
      </c>
      <c r="K225" s="29" t="n">
        <f aca="false">D225*F225</f>
        <v>0</v>
      </c>
      <c r="L225" s="28" t="n">
        <f aca="false">D225*I225</f>
        <v>0</v>
      </c>
      <c r="M225" s="30" t="n">
        <f aca="false">E225*F225</f>
        <v>0</v>
      </c>
      <c r="O225" s="31"/>
    </row>
    <row r="226" customFormat="false" ht="12.75" hidden="false" customHeight="false" outlineLevel="0" collapsed="false">
      <c r="A226" s="21" t="n">
        <v>43617</v>
      </c>
      <c r="B226" s="22"/>
      <c r="C226" s="56"/>
      <c r="D226" s="57"/>
      <c r="E226" s="59"/>
      <c r="F226" s="26" t="n">
        <f aca="false">VLOOKUP(MONTH(A226),ScalarTable,2,0)</f>
        <v>1.16938304743531</v>
      </c>
      <c r="G226" s="27" t="n">
        <f aca="false">+F226*C226</f>
        <v>0</v>
      </c>
      <c r="I226" s="26" t="n">
        <f aca="false">VLOOKUP(MONTH(A226),ScalarTable,3,0)</f>
        <v>0.83061695843935</v>
      </c>
      <c r="J226" s="28" t="n">
        <f aca="false">C226*I226</f>
        <v>0</v>
      </c>
      <c r="K226" s="29" t="n">
        <f aca="false">D226*F226</f>
        <v>0</v>
      </c>
      <c r="L226" s="28" t="n">
        <f aca="false">D226*I226</f>
        <v>0</v>
      </c>
      <c r="M226" s="30" t="n">
        <f aca="false">E226*F226</f>
        <v>0</v>
      </c>
      <c r="O226" s="31"/>
    </row>
    <row r="227" customFormat="false" ht="12.75" hidden="false" customHeight="false" outlineLevel="0" collapsed="false">
      <c r="A227" s="21" t="n">
        <v>43647</v>
      </c>
      <c r="B227" s="22"/>
      <c r="C227" s="56"/>
      <c r="D227" s="57"/>
      <c r="E227" s="59"/>
      <c r="F227" s="26" t="n">
        <f aca="false">VLOOKUP(MONTH(A227),ScalarTable,2,0)</f>
        <v>1.22140709971076</v>
      </c>
      <c r="G227" s="27" t="n">
        <f aca="false">+F227*C227</f>
        <v>0</v>
      </c>
      <c r="I227" s="26" t="n">
        <f aca="false">VLOOKUP(MONTH(A227),ScalarTable,3,0)</f>
        <v>0.7785929068923</v>
      </c>
      <c r="J227" s="28" t="n">
        <f aca="false">C227*I227</f>
        <v>0</v>
      </c>
      <c r="K227" s="29" t="n">
        <f aca="false">D227*F227</f>
        <v>0</v>
      </c>
      <c r="L227" s="28" t="n">
        <f aca="false">D227*I227</f>
        <v>0</v>
      </c>
      <c r="M227" s="30" t="n">
        <f aca="false">E227*F227</f>
        <v>0</v>
      </c>
      <c r="O227" s="31"/>
    </row>
    <row r="228" customFormat="false" ht="12.75" hidden="false" customHeight="false" outlineLevel="0" collapsed="false">
      <c r="A228" s="21" t="n">
        <v>43678</v>
      </c>
      <c r="B228" s="22"/>
      <c r="C228" s="56"/>
      <c r="D228" s="57"/>
      <c r="E228" s="59"/>
      <c r="F228" s="26" t="n">
        <f aca="false">VLOOKUP(MONTH(A228),ScalarTable,2,0)</f>
        <v>1.15768142863174</v>
      </c>
      <c r="G228" s="27" t="n">
        <f aca="false">+F228*C228</f>
        <v>0</v>
      </c>
      <c r="I228" s="26" t="n">
        <f aca="false">VLOOKUP(MONTH(A228),ScalarTable,3,0)</f>
        <v>0.842099040746689</v>
      </c>
      <c r="J228" s="28" t="n">
        <f aca="false">C228*I228</f>
        <v>0</v>
      </c>
      <c r="K228" s="29" t="n">
        <f aca="false">D228*F228</f>
        <v>0</v>
      </c>
      <c r="L228" s="28" t="n">
        <f aca="false">D228*I228</f>
        <v>0</v>
      </c>
      <c r="M228" s="30" t="n">
        <f aca="false">E228*F228</f>
        <v>0</v>
      </c>
      <c r="O228" s="31"/>
    </row>
    <row r="229" customFormat="false" ht="12.75" hidden="false" customHeight="false" outlineLevel="0" collapsed="false">
      <c r="A229" s="21" t="n">
        <v>43709</v>
      </c>
      <c r="B229" s="22"/>
      <c r="C229" s="56"/>
      <c r="D229" s="57"/>
      <c r="E229" s="59"/>
      <c r="F229" s="26" t="n">
        <f aca="false">VLOOKUP(MONTH(A229),ScalarTable,2,0)</f>
        <v>1.09653379232051</v>
      </c>
      <c r="G229" s="27" t="n">
        <f aca="false">+F229*C229</f>
        <v>0</v>
      </c>
      <c r="I229" s="26" t="n">
        <f aca="false">VLOOKUP(MONTH(A229),ScalarTable,3,0)</f>
        <v>0.903466207679489</v>
      </c>
      <c r="J229" s="28" t="n">
        <f aca="false">C229*I229</f>
        <v>0</v>
      </c>
      <c r="K229" s="29" t="n">
        <f aca="false">D229*F229</f>
        <v>0</v>
      </c>
      <c r="L229" s="28" t="n">
        <f aca="false">D229*I229</f>
        <v>0</v>
      </c>
      <c r="M229" s="30" t="n">
        <f aca="false">E229*F229</f>
        <v>0</v>
      </c>
      <c r="O229" s="31"/>
    </row>
    <row r="230" customFormat="false" ht="12.75" hidden="false" customHeight="false" outlineLevel="0" collapsed="false">
      <c r="A230" s="21" t="n">
        <v>43739</v>
      </c>
      <c r="B230" s="22"/>
      <c r="C230" s="56"/>
      <c r="D230" s="57"/>
      <c r="E230" s="59"/>
      <c r="F230" s="26" t="n">
        <f aca="false">VLOOKUP(MONTH(A230),ScalarTable,2,0)</f>
        <v>1.0119875</v>
      </c>
      <c r="G230" s="27" t="n">
        <f aca="false">+F230*C230</f>
        <v>0</v>
      </c>
      <c r="I230" s="26" t="n">
        <f aca="false">VLOOKUP(MONTH(A230),ScalarTable,3,0)</f>
        <v>0.9880125</v>
      </c>
      <c r="J230" s="28" t="n">
        <f aca="false">C230*I230</f>
        <v>0</v>
      </c>
      <c r="K230" s="29" t="n">
        <f aca="false">D230*F230</f>
        <v>0</v>
      </c>
      <c r="L230" s="28" t="n">
        <f aca="false">D230*I230</f>
        <v>0</v>
      </c>
      <c r="M230" s="30" t="n">
        <f aca="false">E230*F230</f>
        <v>0</v>
      </c>
      <c r="O230" s="31"/>
    </row>
    <row r="231" customFormat="false" ht="12.75" hidden="false" customHeight="false" outlineLevel="0" collapsed="false">
      <c r="A231" s="21" t="n">
        <v>43770</v>
      </c>
      <c r="B231" s="22"/>
      <c r="C231" s="56"/>
      <c r="D231" s="57"/>
      <c r="E231" s="59"/>
      <c r="F231" s="26" t="n">
        <f aca="false">VLOOKUP(MONTH(A231),ScalarTable,2,0)</f>
        <v>1.01585</v>
      </c>
      <c r="G231" s="27" t="n">
        <f aca="false">+F231*C231</f>
        <v>0</v>
      </c>
      <c r="I231" s="26" t="n">
        <f aca="false">VLOOKUP(MONTH(A231),ScalarTable,3,0)</f>
        <v>0.98415</v>
      </c>
      <c r="J231" s="28" t="n">
        <f aca="false">C231*I231</f>
        <v>0</v>
      </c>
      <c r="K231" s="29" t="n">
        <f aca="false">D231*F231</f>
        <v>0</v>
      </c>
      <c r="L231" s="28" t="n">
        <f aca="false">D231*I231</f>
        <v>0</v>
      </c>
      <c r="M231" s="30" t="n">
        <f aca="false">E231*F231</f>
        <v>0</v>
      </c>
      <c r="O231" s="31"/>
    </row>
    <row r="232" customFormat="false" ht="12.75" hidden="false" customHeight="false" outlineLevel="0" collapsed="false">
      <c r="A232" s="21" t="n">
        <v>43800</v>
      </c>
      <c r="B232" s="22"/>
      <c r="C232" s="56"/>
      <c r="D232" s="57"/>
      <c r="E232" s="59"/>
      <c r="F232" s="26" t="n">
        <f aca="false">VLOOKUP(MONTH(A232),ScalarTable,2,0)</f>
        <v>1.01532599180631</v>
      </c>
      <c r="G232" s="27" t="n">
        <f aca="false">+F232*C232</f>
        <v>0</v>
      </c>
      <c r="I232" s="26" t="n">
        <f aca="false">VLOOKUP(MONTH(A232),ScalarTable,3,0)</f>
        <v>0.984674008193689</v>
      </c>
      <c r="J232" s="28" t="n">
        <f aca="false">C232*I232</f>
        <v>0</v>
      </c>
      <c r="K232" s="29" t="n">
        <f aca="false">D232*F232</f>
        <v>0</v>
      </c>
      <c r="L232" s="28" t="n">
        <f aca="false">D232*I232</f>
        <v>0</v>
      </c>
      <c r="M232" s="30" t="n">
        <f aca="false">E232*F232</f>
        <v>0</v>
      </c>
      <c r="O232" s="31"/>
    </row>
    <row r="233" customFormat="false" ht="12.75" hidden="false" customHeight="false" outlineLevel="0" collapsed="false">
      <c r="A233" s="21" t="n">
        <v>43831</v>
      </c>
      <c r="B233" s="22"/>
      <c r="C233" s="56"/>
      <c r="D233" s="57"/>
      <c r="E233" s="59"/>
      <c r="F233" s="26" t="n">
        <f aca="false">VLOOKUP(MONTH(A233),ScalarTable,2,0)</f>
        <v>1.00808025404509</v>
      </c>
      <c r="G233" s="27" t="n">
        <f aca="false">+F233*C233</f>
        <v>0</v>
      </c>
      <c r="I233" s="26" t="n">
        <f aca="false">VLOOKUP(MONTH(A233),ScalarTable,3,0)</f>
        <v>0.991919745954909</v>
      </c>
      <c r="J233" s="28" t="n">
        <f aca="false">C233*I233</f>
        <v>0</v>
      </c>
      <c r="K233" s="29" t="n">
        <f aca="false">D233*F233</f>
        <v>0</v>
      </c>
      <c r="L233" s="28" t="n">
        <f aca="false">D233*I233</f>
        <v>0</v>
      </c>
      <c r="M233" s="30" t="n">
        <f aca="false">E233*F233</f>
        <v>0</v>
      </c>
      <c r="O233" s="31"/>
    </row>
    <row r="234" customFormat="false" ht="12.75" hidden="false" customHeight="false" outlineLevel="0" collapsed="false">
      <c r="A234" s="21" t="n">
        <v>43862</v>
      </c>
      <c r="B234" s="22"/>
      <c r="C234" s="56"/>
      <c r="D234" s="57"/>
      <c r="E234" s="59"/>
      <c r="F234" s="26" t="n">
        <f aca="false">VLOOKUP(MONTH(A234),ScalarTable,2,0)</f>
        <v>1.00808025404509</v>
      </c>
      <c r="G234" s="27" t="n">
        <f aca="false">+F234*C234</f>
        <v>0</v>
      </c>
      <c r="I234" s="26" t="n">
        <f aca="false">VLOOKUP(MONTH(A234),ScalarTable,3,0)</f>
        <v>0.991919745954909</v>
      </c>
      <c r="J234" s="28" t="n">
        <f aca="false">C234*I234</f>
        <v>0</v>
      </c>
      <c r="K234" s="29" t="n">
        <f aca="false">D234*F234</f>
        <v>0</v>
      </c>
      <c r="L234" s="28" t="n">
        <f aca="false">D234*I234</f>
        <v>0</v>
      </c>
      <c r="M234" s="30" t="n">
        <f aca="false">E234*F234</f>
        <v>0</v>
      </c>
      <c r="O234" s="31"/>
    </row>
    <row r="235" customFormat="false" ht="12.75" hidden="false" customHeight="false" outlineLevel="0" collapsed="false">
      <c r="A235" s="21" t="n">
        <v>43891</v>
      </c>
      <c r="B235" s="22"/>
      <c r="C235" s="56"/>
      <c r="D235" s="57"/>
      <c r="E235" s="59"/>
      <c r="F235" s="26" t="n">
        <f aca="false">VLOOKUP(MONTH(A235),ScalarTable,2,0)</f>
        <v>1.0080875</v>
      </c>
      <c r="G235" s="27" t="n">
        <f aca="false">+F235*C235</f>
        <v>0</v>
      </c>
      <c r="I235" s="26" t="n">
        <f aca="false">VLOOKUP(MONTH(A235),ScalarTable,3,0)</f>
        <v>0.9919125</v>
      </c>
      <c r="J235" s="28" t="n">
        <f aca="false">C235*I235</f>
        <v>0</v>
      </c>
      <c r="K235" s="29" t="n">
        <f aca="false">D235*F235</f>
        <v>0</v>
      </c>
      <c r="L235" s="28" t="n">
        <f aca="false">D235*I235</f>
        <v>0</v>
      </c>
      <c r="M235" s="30" t="n">
        <f aca="false">E235*F235</f>
        <v>0</v>
      </c>
      <c r="O235" s="31"/>
    </row>
    <row r="236" customFormat="false" ht="12.75" hidden="false" customHeight="false" outlineLevel="0" collapsed="false">
      <c r="A236" s="21" t="n">
        <v>43922</v>
      </c>
      <c r="B236" s="22"/>
      <c r="C236" s="56"/>
      <c r="D236" s="57"/>
      <c r="E236" s="59"/>
      <c r="F236" s="26" t="n">
        <f aca="false">VLOOKUP(MONTH(A236),ScalarTable,2,0)</f>
        <v>1.07269528338234</v>
      </c>
      <c r="G236" s="27" t="n">
        <f aca="false">+F236*C236</f>
        <v>0</v>
      </c>
      <c r="I236" s="26" t="n">
        <f aca="false">VLOOKUP(MONTH(A236),ScalarTable,3,0)</f>
        <v>0.92730471661766</v>
      </c>
      <c r="J236" s="28" t="n">
        <f aca="false">C236*I236</f>
        <v>0</v>
      </c>
      <c r="K236" s="29" t="n">
        <f aca="false">D236*F236</f>
        <v>0</v>
      </c>
      <c r="L236" s="28" t="n">
        <f aca="false">D236*I236</f>
        <v>0</v>
      </c>
      <c r="M236" s="30" t="n">
        <f aca="false">E236*F236</f>
        <v>0</v>
      </c>
      <c r="O236" s="31"/>
    </row>
    <row r="237" customFormat="false" ht="12.75" hidden="false" customHeight="false" outlineLevel="0" collapsed="false">
      <c r="A237" s="21" t="n">
        <v>43952</v>
      </c>
      <c r="B237" s="22"/>
      <c r="C237" s="56"/>
      <c r="D237" s="57"/>
      <c r="E237" s="59"/>
      <c r="F237" s="26" t="n">
        <f aca="false">VLOOKUP(MONTH(A237),ScalarTable,2,0)</f>
        <v>1.05849023799053</v>
      </c>
      <c r="G237" s="27" t="n">
        <f aca="false">+F237*C237</f>
        <v>0</v>
      </c>
      <c r="I237" s="26" t="n">
        <f aca="false">VLOOKUP(MONTH(A237),ScalarTable,3,0)</f>
        <v>0.941509762009471</v>
      </c>
      <c r="J237" s="28" t="n">
        <f aca="false">C237*I237</f>
        <v>0</v>
      </c>
      <c r="K237" s="29" t="n">
        <f aca="false">D237*F237</f>
        <v>0</v>
      </c>
      <c r="L237" s="28" t="n">
        <f aca="false">D237*I237</f>
        <v>0</v>
      </c>
      <c r="M237" s="30" t="n">
        <f aca="false">E237*F237</f>
        <v>0</v>
      </c>
      <c r="O237" s="31"/>
    </row>
    <row r="238" customFormat="false" ht="12.75" hidden="false" customHeight="false" outlineLevel="0" collapsed="false">
      <c r="A238" s="21" t="n">
        <v>43983</v>
      </c>
      <c r="B238" s="22"/>
      <c r="C238" s="56"/>
      <c r="D238" s="57"/>
      <c r="E238" s="59"/>
      <c r="F238" s="26" t="n">
        <f aca="false">VLOOKUP(MONTH(A238),ScalarTable,2,0)</f>
        <v>1.16938304743531</v>
      </c>
      <c r="G238" s="27" t="n">
        <f aca="false">+F238*C238</f>
        <v>0</v>
      </c>
      <c r="I238" s="26" t="n">
        <f aca="false">VLOOKUP(MONTH(A238),ScalarTable,3,0)</f>
        <v>0.83061695843935</v>
      </c>
      <c r="J238" s="28" t="n">
        <f aca="false">C238*I238</f>
        <v>0</v>
      </c>
      <c r="K238" s="29" t="n">
        <f aca="false">D238*F238</f>
        <v>0</v>
      </c>
      <c r="L238" s="28" t="n">
        <f aca="false">D238*I238</f>
        <v>0</v>
      </c>
      <c r="M238" s="30" t="n">
        <f aca="false">E238*F238</f>
        <v>0</v>
      </c>
      <c r="O238" s="31"/>
    </row>
    <row r="239" customFormat="false" ht="12.75" hidden="false" customHeight="false" outlineLevel="0" collapsed="false">
      <c r="A239" s="21" t="n">
        <v>44013</v>
      </c>
      <c r="B239" s="22"/>
      <c r="C239" s="56"/>
      <c r="D239" s="57"/>
      <c r="E239" s="59"/>
      <c r="F239" s="26" t="n">
        <f aca="false">VLOOKUP(MONTH(A239),ScalarTable,2,0)</f>
        <v>1.22140709971076</v>
      </c>
      <c r="G239" s="27" t="n">
        <f aca="false">+F239*C239</f>
        <v>0</v>
      </c>
      <c r="I239" s="26" t="n">
        <f aca="false">VLOOKUP(MONTH(A239),ScalarTable,3,0)</f>
        <v>0.7785929068923</v>
      </c>
      <c r="J239" s="28" t="n">
        <f aca="false">C239*I239</f>
        <v>0</v>
      </c>
      <c r="K239" s="29" t="n">
        <f aca="false">D239*F239</f>
        <v>0</v>
      </c>
      <c r="L239" s="28" t="n">
        <f aca="false">D239*I239</f>
        <v>0</v>
      </c>
      <c r="M239" s="30" t="n">
        <f aca="false">E239*F239</f>
        <v>0</v>
      </c>
      <c r="O239" s="31"/>
    </row>
    <row r="240" customFormat="false" ht="12.75" hidden="false" customHeight="false" outlineLevel="0" collapsed="false">
      <c r="A240" s="21" t="n">
        <v>44044</v>
      </c>
      <c r="B240" s="22"/>
      <c r="C240" s="56"/>
      <c r="D240" s="57"/>
      <c r="E240" s="59"/>
      <c r="F240" s="26" t="n">
        <f aca="false">VLOOKUP(MONTH(A240),ScalarTable,2,0)</f>
        <v>1.15768142863174</v>
      </c>
      <c r="G240" s="27" t="n">
        <f aca="false">+F240*C240</f>
        <v>0</v>
      </c>
      <c r="I240" s="26" t="n">
        <f aca="false">VLOOKUP(MONTH(A240),ScalarTable,3,0)</f>
        <v>0.842099040746689</v>
      </c>
      <c r="J240" s="28" t="n">
        <f aca="false">C240*I240</f>
        <v>0</v>
      </c>
      <c r="K240" s="29" t="n">
        <f aca="false">D240*F240</f>
        <v>0</v>
      </c>
      <c r="L240" s="28" t="n">
        <f aca="false">D240*I240</f>
        <v>0</v>
      </c>
      <c r="M240" s="30" t="n">
        <f aca="false">E240*F240</f>
        <v>0</v>
      </c>
      <c r="O240" s="31"/>
    </row>
    <row r="241" customFormat="false" ht="12.75" hidden="false" customHeight="false" outlineLevel="0" collapsed="false">
      <c r="A241" s="21" t="n">
        <v>44075</v>
      </c>
      <c r="B241" s="22"/>
      <c r="C241" s="56"/>
      <c r="D241" s="57"/>
      <c r="E241" s="59"/>
      <c r="F241" s="26" t="n">
        <f aca="false">VLOOKUP(MONTH(A241),ScalarTable,2,0)</f>
        <v>1.09653379232051</v>
      </c>
      <c r="G241" s="27" t="n">
        <f aca="false">+F241*C241</f>
        <v>0</v>
      </c>
      <c r="I241" s="26" t="n">
        <f aca="false">VLOOKUP(MONTH(A241),ScalarTable,3,0)</f>
        <v>0.903466207679489</v>
      </c>
      <c r="J241" s="28" t="n">
        <f aca="false">C241*I241</f>
        <v>0</v>
      </c>
      <c r="K241" s="29" t="n">
        <f aca="false">D241*F241</f>
        <v>0</v>
      </c>
      <c r="L241" s="28" t="n">
        <f aca="false">D241*I241</f>
        <v>0</v>
      </c>
      <c r="M241" s="30" t="n">
        <f aca="false">E241*F241</f>
        <v>0</v>
      </c>
      <c r="O241" s="31"/>
    </row>
    <row r="242" customFormat="false" ht="12.75" hidden="false" customHeight="false" outlineLevel="0" collapsed="false">
      <c r="A242" s="21" t="n">
        <v>44105</v>
      </c>
      <c r="B242" s="22"/>
      <c r="C242" s="56"/>
      <c r="D242" s="57"/>
      <c r="E242" s="59"/>
      <c r="F242" s="26" t="n">
        <f aca="false">VLOOKUP(MONTH(A242),ScalarTable,2,0)</f>
        <v>1.0119875</v>
      </c>
      <c r="G242" s="27" t="n">
        <f aca="false">+F242*C242</f>
        <v>0</v>
      </c>
      <c r="I242" s="26" t="n">
        <f aca="false">VLOOKUP(MONTH(A242),ScalarTable,3,0)</f>
        <v>0.9880125</v>
      </c>
      <c r="J242" s="28" t="n">
        <f aca="false">C242*I242</f>
        <v>0</v>
      </c>
      <c r="K242" s="29" t="n">
        <f aca="false">D242*F242</f>
        <v>0</v>
      </c>
      <c r="L242" s="28" t="n">
        <f aca="false">D242*I242</f>
        <v>0</v>
      </c>
      <c r="M242" s="30" t="n">
        <f aca="false">E242*F242</f>
        <v>0</v>
      </c>
      <c r="O242" s="31"/>
    </row>
    <row r="243" customFormat="false" ht="12.75" hidden="false" customHeight="false" outlineLevel="0" collapsed="false">
      <c r="A243" s="21" t="n">
        <v>44136</v>
      </c>
      <c r="B243" s="22"/>
      <c r="C243" s="56"/>
      <c r="D243" s="57"/>
      <c r="E243" s="59"/>
      <c r="F243" s="26" t="n">
        <f aca="false">VLOOKUP(MONTH(A243),ScalarTable,2,0)</f>
        <v>1.01585</v>
      </c>
      <c r="G243" s="27" t="n">
        <f aca="false">+F243*C243</f>
        <v>0</v>
      </c>
      <c r="I243" s="26" t="n">
        <f aca="false">VLOOKUP(MONTH(A243),ScalarTable,3,0)</f>
        <v>0.98415</v>
      </c>
      <c r="J243" s="28" t="n">
        <f aca="false">C243*I243</f>
        <v>0</v>
      </c>
      <c r="K243" s="29" t="n">
        <f aca="false">D243*F243</f>
        <v>0</v>
      </c>
      <c r="L243" s="28" t="n">
        <f aca="false">D243*I243</f>
        <v>0</v>
      </c>
      <c r="M243" s="30" t="n">
        <f aca="false">E243*F243</f>
        <v>0</v>
      </c>
      <c r="O243" s="31"/>
    </row>
    <row r="244" customFormat="false" ht="12.75" hidden="false" customHeight="false" outlineLevel="0" collapsed="false">
      <c r="A244" s="21" t="n">
        <v>44166</v>
      </c>
      <c r="B244" s="22"/>
      <c r="C244" s="56"/>
      <c r="D244" s="57"/>
      <c r="E244" s="59"/>
      <c r="F244" s="26" t="n">
        <f aca="false">VLOOKUP(MONTH(A244),ScalarTable,2,0)</f>
        <v>1.01532599180631</v>
      </c>
      <c r="G244" s="27" t="n">
        <f aca="false">+F244*C244</f>
        <v>0</v>
      </c>
      <c r="I244" s="26" t="n">
        <f aca="false">VLOOKUP(MONTH(A244),ScalarTable,3,0)</f>
        <v>0.984674008193689</v>
      </c>
      <c r="J244" s="28" t="n">
        <f aca="false">C244*I244</f>
        <v>0</v>
      </c>
      <c r="K244" s="29" t="n">
        <f aca="false">D244*F244</f>
        <v>0</v>
      </c>
      <c r="L244" s="28" t="n">
        <f aca="false">D244*I244</f>
        <v>0</v>
      </c>
      <c r="M244" s="30" t="n">
        <f aca="false">E244*F244</f>
        <v>0</v>
      </c>
      <c r="O244" s="31"/>
    </row>
    <row r="245" customFormat="false" ht="12.75" hidden="false" customHeight="false" outlineLevel="0" collapsed="false">
      <c r="A245" s="21" t="n">
        <v>44197</v>
      </c>
      <c r="B245" s="22"/>
      <c r="C245" s="56"/>
      <c r="D245" s="57"/>
      <c r="E245" s="59"/>
      <c r="F245" s="26" t="n">
        <f aca="false">VLOOKUP(MONTH(A245),ScalarTable,2,0)</f>
        <v>1.00808025404509</v>
      </c>
      <c r="G245" s="27" t="n">
        <f aca="false">+F245*C245</f>
        <v>0</v>
      </c>
      <c r="I245" s="26" t="n">
        <f aca="false">VLOOKUP(MONTH(A245),ScalarTable,3,0)</f>
        <v>0.991919745954909</v>
      </c>
      <c r="J245" s="28" t="n">
        <f aca="false">C245*I245</f>
        <v>0</v>
      </c>
      <c r="K245" s="29" t="n">
        <f aca="false">D245*F245</f>
        <v>0</v>
      </c>
      <c r="L245" s="28" t="n">
        <f aca="false">D245*I245</f>
        <v>0</v>
      </c>
      <c r="M245" s="30" t="n">
        <f aca="false">E245*F245</f>
        <v>0</v>
      </c>
      <c r="O245" s="31"/>
    </row>
    <row r="246" customFormat="false" ht="12.75" hidden="false" customHeight="false" outlineLevel="0" collapsed="false">
      <c r="A246" s="21" t="n">
        <v>44228</v>
      </c>
      <c r="B246" s="22"/>
      <c r="C246" s="56"/>
      <c r="D246" s="57"/>
      <c r="E246" s="59"/>
      <c r="F246" s="26" t="n">
        <f aca="false">VLOOKUP(MONTH(A246),ScalarTable,2,0)</f>
        <v>1.00808025404509</v>
      </c>
      <c r="G246" s="27" t="n">
        <f aca="false">+F246*C246</f>
        <v>0</v>
      </c>
      <c r="I246" s="26" t="n">
        <f aca="false">VLOOKUP(MONTH(A246),ScalarTable,3,0)</f>
        <v>0.991919745954909</v>
      </c>
      <c r="J246" s="28" t="n">
        <f aca="false">C246*I246</f>
        <v>0</v>
      </c>
      <c r="K246" s="29" t="n">
        <f aca="false">D246*F246</f>
        <v>0</v>
      </c>
      <c r="L246" s="28" t="n">
        <f aca="false">D246*I246</f>
        <v>0</v>
      </c>
      <c r="M246" s="30" t="n">
        <f aca="false">E246*F246</f>
        <v>0</v>
      </c>
      <c r="O246" s="31"/>
    </row>
    <row r="247" customFormat="false" ht="12.75" hidden="false" customHeight="false" outlineLevel="0" collapsed="false">
      <c r="A247" s="21" t="n">
        <v>44256</v>
      </c>
      <c r="B247" s="22"/>
      <c r="C247" s="56"/>
      <c r="D247" s="57"/>
      <c r="E247" s="59"/>
      <c r="F247" s="26" t="n">
        <f aca="false">VLOOKUP(MONTH(A247),ScalarTable,2,0)</f>
        <v>1.0080875</v>
      </c>
      <c r="G247" s="27" t="n">
        <f aca="false">+F247*C247</f>
        <v>0</v>
      </c>
      <c r="I247" s="26" t="n">
        <f aca="false">VLOOKUP(MONTH(A247),ScalarTable,3,0)</f>
        <v>0.9919125</v>
      </c>
      <c r="J247" s="28" t="n">
        <f aca="false">C247*I247</f>
        <v>0</v>
      </c>
      <c r="K247" s="29" t="n">
        <f aca="false">D247*F247</f>
        <v>0</v>
      </c>
      <c r="L247" s="28" t="n">
        <f aca="false">D247*I247</f>
        <v>0</v>
      </c>
      <c r="M247" s="30" t="n">
        <f aca="false">E247*F247</f>
        <v>0</v>
      </c>
      <c r="O247" s="31"/>
    </row>
    <row r="248" customFormat="false" ht="12.75" hidden="false" customHeight="false" outlineLevel="0" collapsed="false">
      <c r="A248" s="21" t="n">
        <v>44287</v>
      </c>
      <c r="B248" s="22"/>
      <c r="C248" s="56"/>
      <c r="D248" s="57"/>
      <c r="E248" s="59"/>
      <c r="F248" s="26" t="n">
        <f aca="false">VLOOKUP(MONTH(A248),ScalarTable,2,0)</f>
        <v>1.07269528338234</v>
      </c>
      <c r="G248" s="27" t="n">
        <f aca="false">+F248*C248</f>
        <v>0</v>
      </c>
      <c r="I248" s="26" t="n">
        <f aca="false">VLOOKUP(MONTH(A248),ScalarTable,3,0)</f>
        <v>0.92730471661766</v>
      </c>
      <c r="J248" s="28" t="n">
        <f aca="false">C248*I248</f>
        <v>0</v>
      </c>
      <c r="K248" s="29" t="n">
        <f aca="false">D248*F248</f>
        <v>0</v>
      </c>
      <c r="L248" s="28" t="n">
        <f aca="false">D248*I248</f>
        <v>0</v>
      </c>
      <c r="M248" s="30" t="n">
        <f aca="false">E248*F248</f>
        <v>0</v>
      </c>
      <c r="O248" s="31"/>
    </row>
    <row r="249" customFormat="false" ht="12.75" hidden="false" customHeight="false" outlineLevel="0" collapsed="false">
      <c r="A249" s="21" t="n">
        <v>44317</v>
      </c>
      <c r="B249" s="22"/>
      <c r="C249" s="56"/>
      <c r="D249" s="57"/>
      <c r="E249" s="59"/>
      <c r="F249" s="26" t="n">
        <f aca="false">VLOOKUP(MONTH(A249),ScalarTable,2,0)</f>
        <v>1.05849023799053</v>
      </c>
      <c r="G249" s="27" t="n">
        <f aca="false">+F249*C249</f>
        <v>0</v>
      </c>
      <c r="I249" s="26" t="n">
        <f aca="false">VLOOKUP(MONTH(A249),ScalarTable,3,0)</f>
        <v>0.941509762009471</v>
      </c>
      <c r="J249" s="28" t="n">
        <f aca="false">C249*I249</f>
        <v>0</v>
      </c>
      <c r="K249" s="29" t="n">
        <f aca="false">D249*F249</f>
        <v>0</v>
      </c>
      <c r="L249" s="28" t="n">
        <f aca="false">D249*I249</f>
        <v>0</v>
      </c>
      <c r="M249" s="30" t="n">
        <f aca="false">E249*F249</f>
        <v>0</v>
      </c>
      <c r="O249" s="31"/>
    </row>
    <row r="250" customFormat="false" ht="12.75" hidden="false" customHeight="false" outlineLevel="0" collapsed="false">
      <c r="A250" s="21" t="n">
        <v>44348</v>
      </c>
      <c r="B250" s="22"/>
      <c r="C250" s="56"/>
      <c r="D250" s="57"/>
      <c r="E250" s="59"/>
      <c r="F250" s="26" t="n">
        <f aca="false">VLOOKUP(MONTH(A250),ScalarTable,2,0)</f>
        <v>1.16938304743531</v>
      </c>
      <c r="G250" s="27" t="n">
        <f aca="false">+F250*C250</f>
        <v>0</v>
      </c>
      <c r="I250" s="26" t="n">
        <f aca="false">VLOOKUP(MONTH(A250),ScalarTable,3,0)</f>
        <v>0.83061695843935</v>
      </c>
      <c r="J250" s="28" t="n">
        <f aca="false">C250*I250</f>
        <v>0</v>
      </c>
      <c r="K250" s="29" t="n">
        <f aca="false">D250*F250</f>
        <v>0</v>
      </c>
      <c r="L250" s="28" t="n">
        <f aca="false">D250*I250</f>
        <v>0</v>
      </c>
      <c r="M250" s="30" t="n">
        <f aca="false">E250*F250</f>
        <v>0</v>
      </c>
      <c r="O250" s="31"/>
    </row>
    <row r="251" customFormat="false" ht="12.75" hidden="false" customHeight="false" outlineLevel="0" collapsed="false">
      <c r="A251" s="21" t="n">
        <v>44378</v>
      </c>
      <c r="B251" s="22"/>
      <c r="C251" s="56"/>
      <c r="D251" s="57"/>
      <c r="E251" s="59"/>
      <c r="F251" s="26" t="n">
        <f aca="false">VLOOKUP(MONTH(A251),ScalarTable,2,0)</f>
        <v>1.22140709971076</v>
      </c>
      <c r="G251" s="27" t="n">
        <f aca="false">+F251*C251</f>
        <v>0</v>
      </c>
      <c r="I251" s="26" t="n">
        <f aca="false">VLOOKUP(MONTH(A251),ScalarTable,3,0)</f>
        <v>0.7785929068923</v>
      </c>
      <c r="J251" s="28" t="n">
        <f aca="false">C251*I251</f>
        <v>0</v>
      </c>
      <c r="K251" s="29" t="n">
        <f aca="false">D251*F251</f>
        <v>0</v>
      </c>
      <c r="L251" s="28" t="n">
        <f aca="false">D251*I251</f>
        <v>0</v>
      </c>
      <c r="M251" s="30" t="n">
        <f aca="false">E251*F251</f>
        <v>0</v>
      </c>
      <c r="O251" s="31"/>
    </row>
    <row r="252" customFormat="false" ht="12.75" hidden="false" customHeight="false" outlineLevel="0" collapsed="false">
      <c r="A252" s="21" t="n">
        <v>44409</v>
      </c>
      <c r="B252" s="22"/>
      <c r="C252" s="56"/>
      <c r="D252" s="57"/>
      <c r="E252" s="59"/>
      <c r="F252" s="26" t="n">
        <f aca="false">VLOOKUP(MONTH(A252),ScalarTable,2,0)</f>
        <v>1.15768142863174</v>
      </c>
      <c r="G252" s="27" t="n">
        <f aca="false">+F252*C252</f>
        <v>0</v>
      </c>
      <c r="I252" s="26" t="n">
        <f aca="false">VLOOKUP(MONTH(A252),ScalarTable,3,0)</f>
        <v>0.842099040746689</v>
      </c>
      <c r="J252" s="28" t="n">
        <f aca="false">C252*I252</f>
        <v>0</v>
      </c>
      <c r="K252" s="29" t="n">
        <f aca="false">D252*F252</f>
        <v>0</v>
      </c>
      <c r="L252" s="28" t="n">
        <f aca="false">D252*I252</f>
        <v>0</v>
      </c>
      <c r="M252" s="30" t="n">
        <f aca="false">E252*F252</f>
        <v>0</v>
      </c>
      <c r="O252" s="31"/>
    </row>
    <row r="253" customFormat="false" ht="12.75" hidden="false" customHeight="false" outlineLevel="0" collapsed="false">
      <c r="A253" s="21" t="n">
        <v>44440</v>
      </c>
      <c r="B253" s="22"/>
      <c r="C253" s="56"/>
      <c r="D253" s="57"/>
      <c r="E253" s="59"/>
      <c r="F253" s="26" t="n">
        <f aca="false">VLOOKUP(MONTH(A253),ScalarTable,2,0)</f>
        <v>1.09653379232051</v>
      </c>
      <c r="G253" s="27" t="n">
        <f aca="false">+F253*C253</f>
        <v>0</v>
      </c>
      <c r="I253" s="26" t="n">
        <f aca="false">VLOOKUP(MONTH(A253),ScalarTable,3,0)</f>
        <v>0.903466207679489</v>
      </c>
      <c r="J253" s="28" t="n">
        <f aca="false">C253*I253</f>
        <v>0</v>
      </c>
      <c r="K253" s="29" t="n">
        <f aca="false">D253*F253</f>
        <v>0</v>
      </c>
      <c r="L253" s="28" t="n">
        <f aca="false">D253*I253</f>
        <v>0</v>
      </c>
      <c r="M253" s="30" t="n">
        <f aca="false">E253*F253</f>
        <v>0</v>
      </c>
      <c r="O253" s="31"/>
    </row>
    <row r="254" customFormat="false" ht="12.75" hidden="false" customHeight="false" outlineLevel="0" collapsed="false">
      <c r="A254" s="21" t="n">
        <v>44470</v>
      </c>
      <c r="B254" s="22"/>
      <c r="C254" s="56"/>
      <c r="D254" s="57"/>
      <c r="E254" s="59"/>
      <c r="F254" s="26" t="n">
        <f aca="false">VLOOKUP(MONTH(A254),ScalarTable,2,0)</f>
        <v>1.0119875</v>
      </c>
      <c r="G254" s="27" t="n">
        <f aca="false">+F254*C254</f>
        <v>0</v>
      </c>
      <c r="I254" s="26" t="n">
        <f aca="false">VLOOKUP(MONTH(A254),ScalarTable,3,0)</f>
        <v>0.9880125</v>
      </c>
      <c r="J254" s="28" t="n">
        <f aca="false">C254*I254</f>
        <v>0</v>
      </c>
      <c r="K254" s="29" t="n">
        <f aca="false">D254*F254</f>
        <v>0</v>
      </c>
      <c r="L254" s="28" t="n">
        <f aca="false">D254*I254</f>
        <v>0</v>
      </c>
      <c r="M254" s="30" t="n">
        <f aca="false">E254*F254</f>
        <v>0</v>
      </c>
      <c r="O254" s="31"/>
    </row>
    <row r="255" customFormat="false" ht="12.75" hidden="false" customHeight="false" outlineLevel="0" collapsed="false">
      <c r="A255" s="21" t="n">
        <v>44501</v>
      </c>
      <c r="B255" s="22"/>
      <c r="C255" s="56"/>
      <c r="D255" s="57"/>
      <c r="E255" s="59"/>
      <c r="F255" s="26" t="n">
        <f aca="false">VLOOKUP(MONTH(A255),ScalarTable,2,0)</f>
        <v>1.01585</v>
      </c>
      <c r="G255" s="27" t="n">
        <f aca="false">+F255*C255</f>
        <v>0</v>
      </c>
      <c r="I255" s="26" t="n">
        <f aca="false">VLOOKUP(MONTH(A255),ScalarTable,3,0)</f>
        <v>0.98415</v>
      </c>
      <c r="J255" s="28" t="n">
        <f aca="false">C255*I255</f>
        <v>0</v>
      </c>
      <c r="K255" s="29" t="n">
        <f aca="false">D255*F255</f>
        <v>0</v>
      </c>
      <c r="L255" s="28" t="n">
        <f aca="false">D255*I255</f>
        <v>0</v>
      </c>
      <c r="M255" s="30" t="n">
        <f aca="false">E255*F255</f>
        <v>0</v>
      </c>
      <c r="O255" s="31"/>
    </row>
    <row r="256" customFormat="false" ht="12.75" hidden="false" customHeight="false" outlineLevel="0" collapsed="false">
      <c r="A256" s="21" t="n">
        <v>44531</v>
      </c>
      <c r="B256" s="60"/>
      <c r="C256" s="61"/>
      <c r="D256" s="62"/>
      <c r="E256" s="59"/>
      <c r="F256" s="26" t="n">
        <f aca="false">VLOOKUP(MONTH(A256),ScalarTable,2,0)</f>
        <v>1.01532599180631</v>
      </c>
      <c r="G256" s="27" t="n">
        <f aca="false">+F256*C256</f>
        <v>0</v>
      </c>
      <c r="I256" s="26" t="n">
        <f aca="false">VLOOKUP(MONTH(A256),ScalarTable,3,0)</f>
        <v>0.984674008193689</v>
      </c>
      <c r="J256" s="63" t="n">
        <f aca="false">C256*I256</f>
        <v>0</v>
      </c>
      <c r="K256" s="29" t="n">
        <f aca="false">D256*F256</f>
        <v>0</v>
      </c>
      <c r="L256" s="28" t="n">
        <f aca="false">D256*I256</f>
        <v>0</v>
      </c>
      <c r="M256" s="30" t="n">
        <f aca="false">E256*F256</f>
        <v>0</v>
      </c>
      <c r="O256" s="31"/>
    </row>
  </sheetData>
  <mergeCells count="2">
    <mergeCell ref="O2:S2"/>
    <mergeCell ref="Y5:AB5"/>
  </mergeCells>
  <printOptions headings="false" gridLines="false" gridLinesSet="true" horizontalCentered="false" verticalCentered="false"/>
  <pageMargins left="0.25" right="0.340277777777778" top="0.984027777777778" bottom="0.984027777777778" header="0.511811023622047" footer="0.511811023622047"/>
  <pageSetup paperSize="5" scale="6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88" width="35.28"/>
    <col collapsed="false" customWidth="false" hidden="false" outlineLevel="0" max="2" min="2" style="288" width="9.14"/>
    <col collapsed="false" customWidth="true" hidden="false" outlineLevel="0" max="3" min="3" style="288" width="11.28"/>
    <col collapsed="false" customWidth="true" hidden="false" outlineLevel="0" max="5" min="4" style="288" width="11.7"/>
    <col collapsed="false" customWidth="false" hidden="false" outlineLevel="0" max="257" min="6" style="288" width="9.14"/>
  </cols>
  <sheetData>
    <row r="1" customFormat="false" ht="12.75" hidden="false" customHeight="false" outlineLevel="0" collapsed="false">
      <c r="A1" s="149" t="s">
        <v>236</v>
      </c>
    </row>
    <row r="2" customFormat="false" ht="12.75" hidden="false" customHeight="false" outlineLevel="0" collapsed="false">
      <c r="B2" s="289" t="n">
        <f aca="false">Tax!C3</f>
        <v>2000</v>
      </c>
      <c r="C2" s="289" t="n">
        <f aca="false">Tax!D3</f>
        <v>2001</v>
      </c>
      <c r="D2" s="289" t="n">
        <f aca="false">Tax!E3</f>
        <v>2002</v>
      </c>
      <c r="E2" s="289" t="n">
        <f aca="false">Tax!F3</f>
        <v>2003</v>
      </c>
      <c r="F2" s="289" t="n">
        <f aca="false">Tax!G3</f>
        <v>2004</v>
      </c>
      <c r="G2" s="289" t="n">
        <f aca="false">Tax!H3</f>
        <v>2005</v>
      </c>
      <c r="H2" s="289" t="n">
        <f aca="false">Tax!I3</f>
        <v>2006</v>
      </c>
      <c r="I2" s="289" t="n">
        <f aca="false">Tax!J3</f>
        <v>2007</v>
      </c>
      <c r="J2" s="289" t="n">
        <f aca="false">Tax!K3</f>
        <v>2008</v>
      </c>
      <c r="K2" s="289" t="n">
        <f aca="false">Tax!L3</f>
        <v>2009</v>
      </c>
      <c r="L2" s="289" t="n">
        <f aca="false">Tax!M3</f>
        <v>2010</v>
      </c>
      <c r="M2" s="289" t="n">
        <f aca="false">Tax!N3</f>
        <v>2011</v>
      </c>
      <c r="N2" s="289" t="n">
        <f aca="false">Tax!O3</f>
        <v>2012</v>
      </c>
      <c r="O2" s="289" t="n">
        <f aca="false">Tax!P3</f>
        <v>2013</v>
      </c>
      <c r="P2" s="289" t="n">
        <f aca="false">Tax!Q3</f>
        <v>2014</v>
      </c>
      <c r="Q2" s="289" t="n">
        <f aca="false">Tax!R3</f>
        <v>2015</v>
      </c>
      <c r="R2" s="289" t="n">
        <f aca="false">Tax!S3</f>
        <v>2016</v>
      </c>
      <c r="S2" s="289" t="n">
        <f aca="false">Tax!T3</f>
        <v>2017</v>
      </c>
      <c r="T2" s="289" t="n">
        <f aca="false">Tax!U3</f>
        <v>2018</v>
      </c>
      <c r="U2" s="289" t="n">
        <f aca="false">Tax!V3</f>
        <v>2019</v>
      </c>
      <c r="V2" s="289" t="n">
        <f aca="false">Tax!W3</f>
        <v>2020</v>
      </c>
      <c r="W2" s="289" t="n">
        <f aca="false">Tax!X3</f>
        <v>2021</v>
      </c>
      <c r="X2" s="289" t="e">
        <f aca="false">#REF!</f>
        <v>#REF!</v>
      </c>
      <c r="Y2" s="289" t="e">
        <f aca="false">#REF!</f>
        <v>#REF!</v>
      </c>
      <c r="Z2" s="289" t="e">
        <f aca="false">#REF!</f>
        <v>#REF!</v>
      </c>
      <c r="AA2" s="289" t="e">
        <f aca="false">#REF!</f>
        <v>#REF!</v>
      </c>
      <c r="AB2" s="290"/>
      <c r="AC2" s="290"/>
      <c r="AD2" s="290"/>
    </row>
    <row r="4" customFormat="false" ht="12.75" hidden="false" customHeight="false" outlineLevel="0" collapsed="false">
      <c r="A4" s="288" t="s">
        <v>237</v>
      </c>
      <c r="B4" s="291" t="n">
        <f aca="false">BS!B20</f>
        <v>178863.623658431</v>
      </c>
      <c r="C4" s="291" t="n">
        <f aca="false">BS!C20</f>
        <v>171661.061631917</v>
      </c>
      <c r="D4" s="291" t="n">
        <f aca="false">BS!D20</f>
        <v>164458.499605403</v>
      </c>
      <c r="E4" s="291" t="n">
        <f aca="false">BS!E20</f>
        <v>157255.937578889</v>
      </c>
      <c r="F4" s="291" t="n">
        <f aca="false">BS!F20</f>
        <v>150053.375552375</v>
      </c>
      <c r="G4" s="291" t="n">
        <f aca="false">BS!G20</f>
        <v>142850.813525861</v>
      </c>
      <c r="H4" s="291" t="n">
        <f aca="false">BS!H20</f>
        <v>135648.251499347</v>
      </c>
      <c r="I4" s="291" t="n">
        <f aca="false">BS!I20</f>
        <v>128445.689472833</v>
      </c>
      <c r="J4" s="291" t="n">
        <f aca="false">BS!J20</f>
        <v>121243.127446319</v>
      </c>
      <c r="K4" s="291" t="n">
        <f aca="false">BS!K20</f>
        <v>114040.565419805</v>
      </c>
      <c r="L4" s="291" t="n">
        <f aca="false">BS!L20</f>
        <v>106838.003393291</v>
      </c>
      <c r="M4" s="291" t="n">
        <f aca="false">BS!M20</f>
        <v>99635.4413667771</v>
      </c>
      <c r="N4" s="291" t="n">
        <f aca="false">BS!N20</f>
        <v>92432.8793402631</v>
      </c>
      <c r="O4" s="291" t="n">
        <f aca="false">BS!O20</f>
        <v>85230.3173137491</v>
      </c>
      <c r="P4" s="291" t="n">
        <f aca="false">BS!P20</f>
        <v>78027.7552872351</v>
      </c>
      <c r="Q4" s="291" t="n">
        <f aca="false">BS!Q20</f>
        <v>70825.1932607211</v>
      </c>
      <c r="R4" s="291" t="n">
        <f aca="false">BS!R20</f>
        <v>0</v>
      </c>
      <c r="S4" s="291" t="n">
        <f aca="false">BS!S20</f>
        <v>0</v>
      </c>
      <c r="T4" s="291" t="n">
        <f aca="false">BS!T20</f>
        <v>0</v>
      </c>
      <c r="U4" s="291" t="n">
        <f aca="false">BS!U20</f>
        <v>0</v>
      </c>
      <c r="V4" s="291" t="e">
        <f aca="false">#REF!</f>
        <v>#REF!</v>
      </c>
      <c r="W4" s="291" t="e">
        <f aca="false">#REF!</f>
        <v>#REF!</v>
      </c>
      <c r="X4" s="291" t="e">
        <f aca="false">#REF!</f>
        <v>#REF!</v>
      </c>
      <c r="Y4" s="291" t="e">
        <f aca="false">#REF!</f>
        <v>#REF!</v>
      </c>
      <c r="Z4" s="291" t="n">
        <f aca="false">BS!M20</f>
        <v>99635.4413667771</v>
      </c>
      <c r="AA4" s="291" t="n">
        <f aca="false">BS!N20</f>
        <v>92432.8793402631</v>
      </c>
      <c r="AB4" s="291"/>
    </row>
    <row r="6" customFormat="false" ht="12.75" hidden="false" customHeight="false" outlineLevel="0" collapsed="false">
      <c r="A6" s="288" t="s">
        <v>238</v>
      </c>
      <c r="B6" s="291" t="n">
        <f aca="false">Tax!C202</f>
        <v>180064.05066285</v>
      </c>
      <c r="C6" s="291" t="e">
        <f aca="false">Tax!D202</f>
        <v>#VALUE!</v>
      </c>
      <c r="D6" s="291" t="e">
        <f aca="false">Tax!E202</f>
        <v>#VALUE!</v>
      </c>
      <c r="E6" s="291" t="e">
        <f aca="false">Tax!F202</f>
        <v>#VALUE!</v>
      </c>
      <c r="F6" s="291" t="e">
        <f aca="false">Tax!G202</f>
        <v>#VALUE!</v>
      </c>
      <c r="G6" s="291" t="e">
        <f aca="false">Tax!H202</f>
        <v>#VALUE!</v>
      </c>
      <c r="H6" s="291" t="e">
        <f aca="false">Tax!I202</f>
        <v>#VALUE!</v>
      </c>
      <c r="I6" s="291" t="e">
        <f aca="false">Tax!J202</f>
        <v>#VALUE!</v>
      </c>
      <c r="J6" s="291" t="e">
        <f aca="false">Tax!K202</f>
        <v>#VALUE!</v>
      </c>
      <c r="K6" s="291" t="e">
        <f aca="false">Tax!L202</f>
        <v>#VALUE!</v>
      </c>
      <c r="L6" s="291" t="e">
        <f aca="false">Tax!M202</f>
        <v>#VALUE!</v>
      </c>
      <c r="M6" s="291" t="e">
        <f aca="false">Tax!N202</f>
        <v>#VALUE!</v>
      </c>
      <c r="N6" s="291" t="e">
        <f aca="false">Tax!O202</f>
        <v>#VALUE!</v>
      </c>
      <c r="O6" s="291" t="e">
        <f aca="false">Tax!P202</f>
        <v>#VALUE!</v>
      </c>
      <c r="P6" s="291" t="e">
        <f aca="false">Tax!Q202</f>
        <v>#VALUE!</v>
      </c>
      <c r="Q6" s="291" t="e">
        <f aca="false">Tax!R202</f>
        <v>#VALUE!</v>
      </c>
      <c r="R6" s="291" t="e">
        <f aca="false">Tax!S202</f>
        <v>#VALUE!</v>
      </c>
      <c r="S6" s="291" t="e">
        <f aca="false">Tax!T202</f>
        <v>#VALUE!</v>
      </c>
      <c r="T6" s="291" t="e">
        <f aca="false">Tax!U202</f>
        <v>#VALUE!</v>
      </c>
      <c r="U6" s="291" t="e">
        <f aca="false">Tax!V202</f>
        <v>#VALUE!</v>
      </c>
      <c r="V6" s="291" t="e">
        <f aca="false">Tax!W202</f>
        <v>#VALUE!</v>
      </c>
      <c r="W6" s="291" t="e">
        <f aca="false">Tax!X202</f>
        <v>#VALUE!</v>
      </c>
      <c r="X6" s="291" t="e">
        <f aca="false">#REF!</f>
        <v>#REF!</v>
      </c>
      <c r="Y6" s="291" t="e">
        <f aca="false">#REF!</f>
        <v>#REF!</v>
      </c>
      <c r="Z6" s="291" t="e">
        <f aca="false">#REF!</f>
        <v>#REF!</v>
      </c>
      <c r="AA6" s="291" t="e">
        <f aca="false">#REF!</f>
        <v>#REF!</v>
      </c>
      <c r="AB6" s="291"/>
      <c r="AC6" s="291"/>
      <c r="AD6" s="291"/>
      <c r="AE6" s="291"/>
      <c r="AF6" s="291"/>
      <c r="AG6" s="291"/>
      <c r="AH6" s="291"/>
      <c r="AI6" s="291"/>
      <c r="AJ6" s="291"/>
      <c r="AK6" s="291"/>
      <c r="AL6" s="291"/>
      <c r="AM6" s="291"/>
      <c r="AN6" s="291"/>
      <c r="AO6" s="291"/>
      <c r="AP6" s="291"/>
      <c r="AQ6" s="291"/>
      <c r="AR6" s="291"/>
      <c r="AS6" s="291"/>
      <c r="AT6" s="291"/>
      <c r="AU6" s="291"/>
      <c r="AV6" s="291"/>
      <c r="AW6" s="291"/>
      <c r="AX6" s="291"/>
      <c r="AY6" s="291"/>
      <c r="AZ6" s="291"/>
      <c r="BA6" s="291"/>
      <c r="BB6" s="291"/>
      <c r="BC6" s="291"/>
      <c r="BD6" s="291"/>
      <c r="BE6" s="291"/>
      <c r="BF6" s="291"/>
      <c r="BG6" s="291"/>
      <c r="BH6" s="291"/>
      <c r="BI6" s="291"/>
      <c r="BJ6" s="291"/>
      <c r="BK6" s="291"/>
      <c r="BL6" s="291"/>
      <c r="BM6" s="291"/>
      <c r="BN6" s="291"/>
      <c r="BO6" s="291"/>
    </row>
    <row r="7" customFormat="false" ht="12.75" hidden="false" customHeight="false" outlineLevel="0" collapsed="false"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  <c r="AO7" s="291"/>
      <c r="AP7" s="291"/>
      <c r="AQ7" s="291"/>
      <c r="AR7" s="291"/>
      <c r="AS7" s="291"/>
      <c r="AT7" s="291"/>
      <c r="AU7" s="291"/>
      <c r="AV7" s="291"/>
      <c r="AW7" s="291"/>
      <c r="AX7" s="291"/>
      <c r="AY7" s="291"/>
      <c r="AZ7" s="291"/>
      <c r="BA7" s="291"/>
      <c r="BB7" s="291"/>
      <c r="BC7" s="291"/>
      <c r="BD7" s="291"/>
      <c r="BE7" s="291"/>
      <c r="BF7" s="291"/>
      <c r="BG7" s="291"/>
      <c r="BH7" s="291"/>
      <c r="BI7" s="291"/>
      <c r="BJ7" s="291"/>
      <c r="BK7" s="291"/>
      <c r="BL7" s="291"/>
      <c r="BM7" s="291"/>
      <c r="BN7" s="291"/>
      <c r="BO7" s="291"/>
    </row>
    <row r="8" customFormat="false" ht="12.75" hidden="false" customHeight="false" outlineLevel="0" collapsed="false">
      <c r="A8" s="288" t="s">
        <v>239</v>
      </c>
      <c r="B8" s="291" t="n">
        <f aca="false">B4-B6</f>
        <v>-1200.42700441901</v>
      </c>
      <c r="C8" s="291" t="e">
        <f aca="false">C4-C6</f>
        <v>#VALUE!</v>
      </c>
      <c r="D8" s="291" t="e">
        <f aca="false">D4-D6</f>
        <v>#VALUE!</v>
      </c>
      <c r="E8" s="291" t="e">
        <f aca="false">E4-E6</f>
        <v>#VALUE!</v>
      </c>
      <c r="F8" s="291" t="e">
        <f aca="false">F4-F6</f>
        <v>#VALUE!</v>
      </c>
      <c r="G8" s="291" t="e">
        <f aca="false">G4-G6</f>
        <v>#VALUE!</v>
      </c>
      <c r="H8" s="291" t="e">
        <f aca="false">H4-H6</f>
        <v>#VALUE!</v>
      </c>
      <c r="I8" s="291" t="e">
        <f aca="false">I4-I6</f>
        <v>#VALUE!</v>
      </c>
      <c r="J8" s="291" t="e">
        <f aca="false">J4-J6</f>
        <v>#VALUE!</v>
      </c>
      <c r="K8" s="291" t="e">
        <f aca="false">K4-K6</f>
        <v>#VALUE!</v>
      </c>
      <c r="L8" s="291" t="e">
        <f aca="false">L4-L6</f>
        <v>#VALUE!</v>
      </c>
      <c r="M8" s="291" t="e">
        <f aca="false">M4-M6</f>
        <v>#VALUE!</v>
      </c>
      <c r="N8" s="291" t="e">
        <f aca="false">N4-N6</f>
        <v>#VALUE!</v>
      </c>
      <c r="O8" s="291" t="e">
        <f aca="false">O4-O6</f>
        <v>#VALUE!</v>
      </c>
      <c r="P8" s="291" t="e">
        <f aca="false">P4-P6</f>
        <v>#VALUE!</v>
      </c>
      <c r="Q8" s="291" t="e">
        <f aca="false">Q4-Q6</f>
        <v>#VALUE!</v>
      </c>
      <c r="R8" s="291" t="e">
        <f aca="false">R4-R6</f>
        <v>#VALUE!</v>
      </c>
      <c r="S8" s="291" t="e">
        <f aca="false">S4-S6</f>
        <v>#VALUE!</v>
      </c>
      <c r="T8" s="291" t="e">
        <f aca="false">T4-T6</f>
        <v>#VALUE!</v>
      </c>
      <c r="U8" s="291" t="e">
        <f aca="false">U4-U6</f>
        <v>#VALUE!</v>
      </c>
      <c r="V8" s="291" t="e">
        <f aca="false">V4-V6</f>
        <v>#VALUE!</v>
      </c>
      <c r="W8" s="291" t="e">
        <f aca="false">W4-W6</f>
        <v>#VALUE!</v>
      </c>
      <c r="X8" s="291" t="e">
        <f aca="false">X4-X6</f>
        <v>#REF!</v>
      </c>
      <c r="Y8" s="291" t="e">
        <f aca="false">Y4-Y6</f>
        <v>#REF!</v>
      </c>
      <c r="Z8" s="291" t="e">
        <f aca="false">Z4-Z6</f>
        <v>#REF!</v>
      </c>
      <c r="AA8" s="291" t="e">
        <f aca="false">AA4-AA6</f>
        <v>#REF!</v>
      </c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</row>
    <row r="9" customFormat="false" ht="12.75" hidden="false" customHeight="false" outlineLevel="0" collapsed="false"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291"/>
      <c r="AP9" s="291"/>
      <c r="AQ9" s="291"/>
      <c r="AR9" s="291"/>
      <c r="AS9" s="291"/>
      <c r="AT9" s="291"/>
      <c r="AU9" s="291"/>
      <c r="AV9" s="291"/>
      <c r="AW9" s="291"/>
      <c r="AX9" s="291"/>
      <c r="AY9" s="291"/>
      <c r="AZ9" s="291"/>
      <c r="BA9" s="291"/>
      <c r="BB9" s="291"/>
      <c r="BC9" s="291"/>
      <c r="BD9" s="291"/>
      <c r="BE9" s="291"/>
      <c r="BF9" s="291"/>
      <c r="BG9" s="291"/>
      <c r="BH9" s="291"/>
      <c r="BI9" s="291"/>
      <c r="BJ9" s="291"/>
      <c r="BK9" s="291"/>
      <c r="BL9" s="291"/>
      <c r="BM9" s="291"/>
      <c r="BN9" s="291"/>
      <c r="BO9" s="291"/>
    </row>
    <row r="10" customFormat="false" ht="12.75" hidden="false" customHeight="false" outlineLevel="0" collapsed="false">
      <c r="A10" s="288" t="s">
        <v>240</v>
      </c>
      <c r="B10" s="288" t="n">
        <v>0</v>
      </c>
      <c r="C10" s="291" t="n">
        <f aca="false">B12</f>
        <v>-451.60063906243</v>
      </c>
      <c r="D10" s="291" t="e">
        <f aca="false">C12</f>
        <v>#VALUE!</v>
      </c>
      <c r="E10" s="291" t="e">
        <f aca="false">D12</f>
        <v>#VALUE!</v>
      </c>
      <c r="F10" s="291" t="e">
        <f aca="false">E12</f>
        <v>#VALUE!</v>
      </c>
      <c r="G10" s="291" t="e">
        <f aca="false">F12</f>
        <v>#VALUE!</v>
      </c>
      <c r="H10" s="291" t="e">
        <f aca="false">G12</f>
        <v>#VALUE!</v>
      </c>
      <c r="I10" s="291" t="e">
        <f aca="false">H12</f>
        <v>#VALUE!</v>
      </c>
      <c r="J10" s="291" t="e">
        <f aca="false">I12</f>
        <v>#VALUE!</v>
      </c>
      <c r="K10" s="291" t="e">
        <f aca="false">J12</f>
        <v>#VALUE!</v>
      </c>
      <c r="L10" s="291" t="e">
        <f aca="false">K12</f>
        <v>#VALUE!</v>
      </c>
      <c r="M10" s="291" t="e">
        <f aca="false">L12</f>
        <v>#VALUE!</v>
      </c>
      <c r="N10" s="291" t="e">
        <f aca="false">M12</f>
        <v>#VALUE!</v>
      </c>
      <c r="O10" s="291" t="e">
        <f aca="false">N12</f>
        <v>#VALUE!</v>
      </c>
      <c r="P10" s="291" t="e">
        <f aca="false">O12</f>
        <v>#VALUE!</v>
      </c>
      <c r="Q10" s="291" t="e">
        <f aca="false">P12</f>
        <v>#VALUE!</v>
      </c>
      <c r="R10" s="291" t="e">
        <f aca="false">Q12</f>
        <v>#VALUE!</v>
      </c>
      <c r="S10" s="291" t="e">
        <f aca="false">R12</f>
        <v>#VALUE!</v>
      </c>
      <c r="T10" s="291" t="e">
        <f aca="false">S12</f>
        <v>#VALUE!</v>
      </c>
      <c r="U10" s="291" t="e">
        <f aca="false">T12</f>
        <v>#VALUE!</v>
      </c>
      <c r="V10" s="291" t="e">
        <f aca="false">U12</f>
        <v>#VALUE!</v>
      </c>
      <c r="W10" s="291" t="e">
        <f aca="false">V12</f>
        <v>#VALUE!</v>
      </c>
      <c r="X10" s="291" t="e">
        <f aca="false">W12</f>
        <v>#VALUE!</v>
      </c>
      <c r="Y10" s="291" t="e">
        <f aca="false">X12</f>
        <v>#REF!</v>
      </c>
      <c r="Z10" s="291" t="e">
        <f aca="false">Y12</f>
        <v>#REF!</v>
      </c>
      <c r="AA10" s="291" t="e">
        <f aca="false">Z12</f>
        <v>#REF!</v>
      </c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  <c r="AR10" s="291"/>
      <c r="AS10" s="291"/>
      <c r="AT10" s="291"/>
      <c r="AU10" s="291"/>
      <c r="AV10" s="291"/>
      <c r="AW10" s="291"/>
      <c r="AX10" s="291"/>
      <c r="AY10" s="291"/>
      <c r="AZ10" s="291"/>
      <c r="BA10" s="291"/>
      <c r="BB10" s="291"/>
      <c r="BC10" s="291"/>
      <c r="BD10" s="291"/>
      <c r="BE10" s="291"/>
      <c r="BF10" s="291"/>
      <c r="BG10" s="291"/>
      <c r="BH10" s="291"/>
      <c r="BI10" s="291"/>
      <c r="BJ10" s="291"/>
      <c r="BK10" s="291"/>
      <c r="BL10" s="291"/>
      <c r="BM10" s="291"/>
      <c r="BN10" s="291"/>
      <c r="BO10" s="291"/>
      <c r="BP10" s="291"/>
      <c r="BQ10" s="291"/>
      <c r="BR10" s="291"/>
      <c r="BS10" s="291"/>
      <c r="BT10" s="291"/>
      <c r="BU10" s="291"/>
      <c r="BV10" s="291"/>
      <c r="BW10" s="291"/>
      <c r="BX10" s="291"/>
      <c r="BY10" s="291"/>
      <c r="BZ10" s="291"/>
      <c r="CA10" s="291"/>
      <c r="CB10" s="291"/>
      <c r="CC10" s="291"/>
      <c r="CD10" s="291"/>
      <c r="CE10" s="291"/>
      <c r="CF10" s="291"/>
      <c r="CG10" s="291"/>
      <c r="CH10" s="291"/>
      <c r="CI10" s="291"/>
      <c r="CJ10" s="291"/>
      <c r="CK10" s="291"/>
      <c r="CL10" s="291"/>
      <c r="CM10" s="291"/>
      <c r="CN10" s="291"/>
      <c r="CO10" s="291"/>
      <c r="CP10" s="291"/>
      <c r="CQ10" s="291"/>
      <c r="CR10" s="291"/>
    </row>
    <row r="11" customFormat="false" ht="12.75" hidden="false" customHeight="false" outlineLevel="0" collapsed="false">
      <c r="C11" s="291"/>
      <c r="D11" s="291"/>
      <c r="E11" s="291"/>
      <c r="F11" s="291"/>
      <c r="G11" s="291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  <c r="Z11" s="291"/>
      <c r="AA11" s="291"/>
      <c r="AB11" s="291"/>
      <c r="AC11" s="291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1"/>
      <c r="AQ11" s="291"/>
      <c r="AR11" s="291"/>
      <c r="AS11" s="291"/>
      <c r="AT11" s="291"/>
      <c r="AU11" s="291"/>
      <c r="AV11" s="291"/>
      <c r="AW11" s="291"/>
      <c r="AX11" s="291"/>
      <c r="AY11" s="291"/>
      <c r="AZ11" s="291"/>
      <c r="BA11" s="291"/>
      <c r="BB11" s="291"/>
      <c r="BC11" s="291"/>
      <c r="BD11" s="291"/>
      <c r="BE11" s="291"/>
      <c r="BF11" s="291"/>
      <c r="BG11" s="291"/>
      <c r="BH11" s="291"/>
      <c r="BI11" s="291"/>
      <c r="BJ11" s="291"/>
      <c r="BK11" s="291"/>
      <c r="BL11" s="291"/>
      <c r="BM11" s="291"/>
      <c r="BN11" s="291"/>
      <c r="BO11" s="291"/>
    </row>
    <row r="12" customFormat="false" ht="12.75" hidden="false" customHeight="false" outlineLevel="0" collapsed="false">
      <c r="A12" s="288" t="s">
        <v>241</v>
      </c>
      <c r="B12" s="291" t="n">
        <f aca="false">B8*((INDEX(FedTaxTable,MATCH("Federal Income Tax after M &amp; P Credit",FedTaxColumn,0),MATCH(B2,FedTaxRow,0)))+(INDEX(ProvTaxTable,MATCH("Provincial Tax Rate",ProvTaxColumn,0),MATCH(B2,ProvTaxRow,0))))</f>
        <v>-451.60063906243</v>
      </c>
      <c r="C12" s="291" t="e">
        <f aca="false">C8*((INDEX(FedTaxTable,MATCH("Federal Income Tax after M &amp; P Credit",FedTaxColumn,0),MATCH(C2,FedTaxRow,0)))+(INDEX(ProvTaxTable,MATCH("Provincial Tax Rate",ProvTaxColumn,0),MATCH(C2,ProvTaxRow,0))))</f>
        <v>#VALUE!</v>
      </c>
      <c r="D12" s="291" t="e">
        <f aca="false">D8*((INDEX(FedTaxTable,MATCH("Federal Income Tax after M &amp; P Credit",FedTaxColumn,0),MATCH(D2,FedTaxRow,0)))+(INDEX(ProvTaxTable,MATCH("Provincial Tax Rate",ProvTaxColumn,0),MATCH(D2,ProvTaxRow,0))))</f>
        <v>#VALUE!</v>
      </c>
      <c r="E12" s="291" t="e">
        <f aca="false">E8*((INDEX(FedTaxTable,MATCH("Federal Income Tax after M &amp; P Credit",FedTaxColumn,0),MATCH(E2,FedTaxRow,0)))+(INDEX(ProvTaxTable,MATCH("Provincial Tax Rate",ProvTaxColumn,0),MATCH(E2,ProvTaxRow,0))))</f>
        <v>#VALUE!</v>
      </c>
      <c r="F12" s="291" t="e">
        <f aca="false">F8*((INDEX(FedTaxTable,MATCH("Federal Income Tax after M &amp; P Credit",FedTaxColumn,0),MATCH(F2,FedTaxRow,0)))+(INDEX(ProvTaxTable,MATCH("Provincial Tax Rate",ProvTaxColumn,0),MATCH(F2,ProvTaxRow,0))))</f>
        <v>#VALUE!</v>
      </c>
      <c r="G12" s="291" t="e">
        <f aca="false">G8*((INDEX(FedTaxTable,MATCH("Federal Income Tax after M &amp; P Credit",FedTaxColumn,0),MATCH(G2,FedTaxRow,0)))+(INDEX(ProvTaxTable,MATCH("Provincial Tax Rate",ProvTaxColumn,0),MATCH(G2,ProvTaxRow,0))))</f>
        <v>#VALUE!</v>
      </c>
      <c r="H12" s="291" t="e">
        <f aca="false">H8*((INDEX(FedTaxTable,MATCH("Federal Income Tax after M &amp; P Credit",FedTaxColumn,0),MATCH(H2,FedTaxRow,0)))+(INDEX(ProvTaxTable,MATCH("Provincial Tax Rate",ProvTaxColumn,0),MATCH(H2,ProvTaxRow,0))))</f>
        <v>#VALUE!</v>
      </c>
      <c r="I12" s="291" t="e">
        <f aca="false">I8*((INDEX(FedTaxTable,MATCH("Federal Income Tax after M &amp; P Credit",FedTaxColumn,0),MATCH(I2,FedTaxRow,0)))+(INDEX(ProvTaxTable,MATCH("Provincial Tax Rate",ProvTaxColumn,0),MATCH(I2,ProvTaxRow,0))))</f>
        <v>#VALUE!</v>
      </c>
      <c r="J12" s="291" t="e">
        <f aca="false">J8*((INDEX(FedTaxTable,MATCH("Federal Income Tax after M &amp; P Credit",FedTaxColumn,0),MATCH(J2,FedTaxRow,0)))+(INDEX(ProvTaxTable,MATCH("Provincial Tax Rate",ProvTaxColumn,0),MATCH(J2,ProvTaxRow,0))))</f>
        <v>#VALUE!</v>
      </c>
      <c r="K12" s="291" t="e">
        <f aca="false">K8*((INDEX(FedTaxTable,MATCH("Federal Income Tax after M &amp; P Credit",FedTaxColumn,0),MATCH(K2,FedTaxRow,0)))+(INDEX(ProvTaxTable,MATCH("Provincial Tax Rate",ProvTaxColumn,0),MATCH(K2,ProvTaxRow,0))))</f>
        <v>#VALUE!</v>
      </c>
      <c r="L12" s="291" t="e">
        <f aca="false">L8*((INDEX(FedTaxTable,MATCH("Federal Income Tax after M &amp; P Credit",FedTaxColumn,0),MATCH(L2,FedTaxRow,0)))+(INDEX(ProvTaxTable,MATCH("Provincial Tax Rate",ProvTaxColumn,0),MATCH(L2,ProvTaxRow,0))))</f>
        <v>#VALUE!</v>
      </c>
      <c r="M12" s="291" t="e">
        <f aca="false">M8*((INDEX(FedTaxTable,MATCH("Federal Income Tax after M &amp; P Credit",FedTaxColumn,0),MATCH(M2,FedTaxRow,0)))+(INDEX(ProvTaxTable,MATCH("Provincial Tax Rate",ProvTaxColumn,0),MATCH(M2,ProvTaxRow,0))))</f>
        <v>#VALUE!</v>
      </c>
      <c r="N12" s="291" t="e">
        <f aca="false">N8*((INDEX(FedTaxTable,MATCH("Federal Income Tax after M &amp; P Credit",FedTaxColumn,0),MATCH(N2,FedTaxRow,0)))+(INDEX(ProvTaxTable,MATCH("Provincial Tax Rate",ProvTaxColumn,0),MATCH(N2,ProvTaxRow,0))))</f>
        <v>#VALUE!</v>
      </c>
      <c r="O12" s="291" t="e">
        <f aca="false">O8*((INDEX(FedTaxTable,MATCH("Federal Income Tax after M &amp; P Credit",FedTaxColumn,0),MATCH(O2,FedTaxRow,0)))+(INDEX(ProvTaxTable,MATCH("Provincial Tax Rate",ProvTaxColumn,0),MATCH(O2,ProvTaxRow,0))))</f>
        <v>#VALUE!</v>
      </c>
      <c r="P12" s="291" t="e">
        <f aca="false">P8*((INDEX(FedTaxTable,MATCH("Federal Income Tax after M &amp; P Credit",FedTaxColumn,0),MATCH(P2,FedTaxRow,0)))+(INDEX(ProvTaxTable,MATCH("Provincial Tax Rate",ProvTaxColumn,0),MATCH(P2,ProvTaxRow,0))))</f>
        <v>#VALUE!</v>
      </c>
      <c r="Q12" s="291" t="e">
        <f aca="false">Q8*((INDEX(FedTaxTable,MATCH("Federal Income Tax after M &amp; P Credit",FedTaxColumn,0),MATCH(Q2,FedTaxRow,0)))+(INDEX(ProvTaxTable,MATCH("Provincial Tax Rate",ProvTaxColumn,0),MATCH(Q2,ProvTaxRow,0))))</f>
        <v>#VALUE!</v>
      </c>
      <c r="R12" s="291" t="e">
        <f aca="false">R8*((INDEX(FedTaxTable,MATCH("Federal Income Tax after M &amp; P Credit",FedTaxColumn,0),MATCH(R2,FedTaxRow,0)))+(INDEX(ProvTaxTable,MATCH("Provincial Tax Rate",ProvTaxColumn,0),MATCH(R2,ProvTaxRow,0))))</f>
        <v>#VALUE!</v>
      </c>
      <c r="S12" s="291" t="e">
        <f aca="false">S8*((INDEX(FedTaxTable,MATCH("Federal Income Tax after M &amp; P Credit",FedTaxColumn,0),MATCH(S2,FedTaxRow,0)))+(INDEX(ProvTaxTable,MATCH("Provincial Tax Rate",ProvTaxColumn,0),MATCH(S2,ProvTaxRow,0))))</f>
        <v>#VALUE!</v>
      </c>
      <c r="T12" s="291" t="e">
        <f aca="false">T8*((INDEX(FedTaxTable,MATCH("Federal Income Tax after M &amp; P Credit",FedTaxColumn,0),MATCH(T2,FedTaxRow,0)))+(INDEX(ProvTaxTable,MATCH("Provincial Tax Rate",ProvTaxColumn,0),MATCH(T2,ProvTaxRow,0))))</f>
        <v>#VALUE!</v>
      </c>
      <c r="U12" s="291" t="e">
        <f aca="false">U8*((INDEX(FedTaxTable,MATCH("Federal Income Tax after M &amp; P Credit",FedTaxColumn,0),MATCH(U2,FedTaxRow,0)))+(INDEX(ProvTaxTable,MATCH("Provincial Tax Rate",ProvTaxColumn,0),MATCH(U2,ProvTaxRow,0))))</f>
        <v>#VALUE!</v>
      </c>
      <c r="V12" s="291" t="e">
        <f aca="false">V8*((INDEX(FedTaxTable,MATCH("Federal Income Tax after M &amp; P Credit",FedTaxColumn,0),MATCH(V2,FedTaxRow,0)))+(INDEX(ProvTaxTable,MATCH("Provincial Tax Rate",ProvTaxColumn,0),MATCH(V2,ProvTaxRow,0))))</f>
        <v>#VALUE!</v>
      </c>
      <c r="W12" s="291" t="e">
        <f aca="false">W8*((INDEX(FedTaxTable,MATCH("Federal Income Tax after M &amp; P Credit",FedTaxColumn,0),MATCH(W2,FedTaxRow,0)))+(INDEX(ProvTaxTable,MATCH("Provincial Tax Rate",ProvTaxColumn,0),MATCH(W2,ProvTaxRow,0))))</f>
        <v>#VALUE!</v>
      </c>
      <c r="X12" s="291" t="e">
        <f aca="false">X8*((INDEX(FedTaxTable,MATCH("Federal Income Tax after M &amp; P Credit",FedTaxColumn,0),MATCH(X2,FedTaxRow,0)))+(INDEX(ProvTaxTable,MATCH("Provincial Tax Rate",ProvTaxColumn,0),MATCH(X2,ProvTaxRow,0))))</f>
        <v>#REF!</v>
      </c>
      <c r="Y12" s="291" t="e">
        <f aca="false">Y8*((INDEX(FedTaxTable,MATCH("Federal Income Tax after M &amp; P Credit",FedTaxColumn,0),MATCH(Y2,FedTaxRow,0)))+(INDEX(ProvTaxTable,MATCH("Provincial Tax Rate",ProvTaxColumn,0),MATCH(Y2,ProvTaxRow,0))))</f>
        <v>#REF!</v>
      </c>
      <c r="Z12" s="291" t="e">
        <f aca="false">Z8*((INDEX(FedTaxTable,MATCH("Federal Income Tax after M &amp; P Credit",FedTaxColumn,0),MATCH(Z2,FedTaxRow,0)))+(INDEX(ProvTaxTable,MATCH("Provincial Tax Rate",ProvTaxColumn,0),MATCH(Z2,ProvTaxRow,0))))</f>
        <v>#REF!</v>
      </c>
      <c r="AA12" s="291" t="e">
        <f aca="false">AA8*((INDEX(FedTaxTable,MATCH("Federal Income Tax after M &amp; P Credit",FedTaxColumn,0),MATCH(AA2,FedTaxRow,0)))+(INDEX(ProvTaxTable,MATCH("Provincial Tax Rate",ProvTaxColumn,0),MATCH(AA2,ProvTaxRow,0))))</f>
        <v>#REF!</v>
      </c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1"/>
      <c r="AR12" s="291"/>
      <c r="AS12" s="291"/>
      <c r="AT12" s="291"/>
      <c r="AU12" s="291"/>
      <c r="AV12" s="291"/>
      <c r="AW12" s="291"/>
      <c r="AX12" s="291"/>
      <c r="AY12" s="291"/>
      <c r="AZ12" s="291"/>
      <c r="BA12" s="291"/>
      <c r="BB12" s="291"/>
      <c r="BC12" s="291"/>
      <c r="BD12" s="291"/>
      <c r="BE12" s="291"/>
      <c r="BF12" s="291"/>
      <c r="BG12" s="291"/>
      <c r="BH12" s="291"/>
      <c r="BI12" s="291"/>
      <c r="BJ12" s="291"/>
      <c r="BK12" s="291"/>
      <c r="BL12" s="291"/>
      <c r="BM12" s="291"/>
      <c r="BN12" s="291"/>
      <c r="BO12" s="291"/>
      <c r="BP12" s="291"/>
      <c r="BQ12" s="291"/>
      <c r="BR12" s="291"/>
      <c r="BS12" s="291"/>
      <c r="BT12" s="291"/>
      <c r="BU12" s="291"/>
      <c r="BV12" s="291"/>
      <c r="BW12" s="291"/>
      <c r="BX12" s="291"/>
      <c r="BY12" s="291"/>
      <c r="BZ12" s="291"/>
      <c r="CA12" s="291"/>
      <c r="CB12" s="291"/>
      <c r="CC12" s="291"/>
      <c r="CD12" s="291"/>
      <c r="CE12" s="291"/>
      <c r="CF12" s="291"/>
      <c r="CG12" s="291"/>
    </row>
    <row r="13" customFormat="false" ht="12.75" hidden="false" customHeight="false" outlineLevel="0" collapsed="false">
      <c r="B13" s="291"/>
      <c r="C13" s="291"/>
    </row>
    <row r="14" customFormat="false" ht="12.75" hidden="false" customHeight="false" outlineLevel="0" collapsed="false">
      <c r="A14" s="288" t="s">
        <v>242</v>
      </c>
      <c r="B14" s="291" t="n">
        <f aca="false">B10+B12</f>
        <v>-451.60063906243</v>
      </c>
      <c r="C14" s="291" t="e">
        <f aca="false">C10+C12</f>
        <v>#VALUE!</v>
      </c>
      <c r="D14" s="292" t="e">
        <f aca="false">D12-D10</f>
        <v>#VALUE!</v>
      </c>
      <c r="E14" s="292" t="e">
        <f aca="false">E12-E10</f>
        <v>#VALUE!</v>
      </c>
      <c r="F14" s="292" t="e">
        <f aca="false">F12-F10</f>
        <v>#VALUE!</v>
      </c>
      <c r="G14" s="292" t="e">
        <f aca="false">G12-G10</f>
        <v>#VALUE!</v>
      </c>
      <c r="H14" s="292" t="e">
        <f aca="false">H12-H10</f>
        <v>#VALUE!</v>
      </c>
      <c r="I14" s="292" t="e">
        <f aca="false">I12-I10</f>
        <v>#VALUE!</v>
      </c>
      <c r="J14" s="292" t="e">
        <f aca="false">J12-J10</f>
        <v>#VALUE!</v>
      </c>
      <c r="K14" s="292" t="e">
        <f aca="false">K12-K10</f>
        <v>#VALUE!</v>
      </c>
      <c r="L14" s="292" t="e">
        <f aca="false">L12-L10</f>
        <v>#VALUE!</v>
      </c>
      <c r="M14" s="292" t="e">
        <f aca="false">M12-M10</f>
        <v>#VALUE!</v>
      </c>
      <c r="N14" s="292" t="e">
        <f aca="false">N12-N10</f>
        <v>#VALUE!</v>
      </c>
      <c r="O14" s="292" t="e">
        <f aca="false">O12-O10</f>
        <v>#VALUE!</v>
      </c>
      <c r="P14" s="292" t="e">
        <f aca="false">P12-P10</f>
        <v>#VALUE!</v>
      </c>
      <c r="Q14" s="292" t="e">
        <f aca="false">Q12-Q10</f>
        <v>#VALUE!</v>
      </c>
      <c r="R14" s="292" t="e">
        <f aca="false">R12-R10</f>
        <v>#VALUE!</v>
      </c>
      <c r="S14" s="292" t="e">
        <f aca="false">S12-S10</f>
        <v>#VALUE!</v>
      </c>
      <c r="T14" s="292" t="e">
        <f aca="false">T12-T10</f>
        <v>#VALUE!</v>
      </c>
      <c r="U14" s="292" t="e">
        <f aca="false">U12-U10</f>
        <v>#VALUE!</v>
      </c>
      <c r="V14" s="292" t="e">
        <f aca="false">V12-V10</f>
        <v>#VALUE!</v>
      </c>
      <c r="W14" s="292" t="e">
        <f aca="false">W12-W10</f>
        <v>#VALUE!</v>
      </c>
      <c r="X14" s="292" t="e">
        <f aca="false">X12-X10</f>
        <v>#VALUE!</v>
      </c>
      <c r="Y14" s="292" t="e">
        <f aca="false">Y12-Y10</f>
        <v>#REF!</v>
      </c>
      <c r="Z14" s="292" t="e">
        <f aca="false">Z12-Z10</f>
        <v>#REF!</v>
      </c>
      <c r="AA14" s="292" t="e">
        <f aca="false">AA12-AA10</f>
        <v>#REF!</v>
      </c>
      <c r="AB14" s="29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O2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85"/>
    <col collapsed="false" customWidth="true" hidden="false" outlineLevel="0" max="17" min="2" style="0" width="12.28"/>
    <col collapsed="false" customWidth="true" hidden="false" outlineLevel="0" max="18" min="18" style="0" width="15.41"/>
    <col collapsed="false" customWidth="true" hidden="false" outlineLevel="0" max="21" min="19" style="0" width="12.28"/>
    <col collapsed="false" customWidth="true" hidden="false" outlineLevel="0" max="25" min="22" style="0" width="11.85"/>
    <col collapsed="false" customWidth="true" hidden="false" outlineLevel="0" max="31" min="26" style="0" width="11.28"/>
  </cols>
  <sheetData>
    <row r="1" customFormat="false" ht="15.75" hidden="false" customHeight="false" outlineLevel="0" collapsed="false">
      <c r="A1" s="293" t="s">
        <v>243</v>
      </c>
      <c r="F1" s="0" t="s">
        <v>244</v>
      </c>
    </row>
    <row r="2" customFormat="false" ht="12.75" hidden="false" customHeight="false" outlineLevel="0" collapsed="false">
      <c r="A2" s="49"/>
      <c r="B2" s="49"/>
      <c r="C2" s="294"/>
      <c r="D2" s="294"/>
      <c r="E2" s="294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288"/>
      <c r="X2" s="288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</row>
    <row r="3" customFormat="false" ht="13.5" hidden="false" customHeight="false" outlineLevel="0" collapsed="false">
      <c r="A3" s="295"/>
      <c r="B3" s="296"/>
      <c r="C3" s="297" t="n">
        <f aca="false">YEAR(Cashflow!C3)</f>
        <v>2000</v>
      </c>
      <c r="D3" s="298" t="n">
        <f aca="false">C3+1</f>
        <v>2001</v>
      </c>
      <c r="E3" s="298" t="n">
        <f aca="false">D3+1</f>
        <v>2002</v>
      </c>
      <c r="F3" s="298" t="n">
        <f aca="false">E3+1</f>
        <v>2003</v>
      </c>
      <c r="G3" s="298" t="n">
        <f aca="false">F3+1</f>
        <v>2004</v>
      </c>
      <c r="H3" s="298" t="n">
        <f aca="false">G3+1</f>
        <v>2005</v>
      </c>
      <c r="I3" s="298" t="n">
        <f aca="false">H3+1</f>
        <v>2006</v>
      </c>
      <c r="J3" s="298" t="n">
        <f aca="false">I3+1</f>
        <v>2007</v>
      </c>
      <c r="K3" s="298" t="n">
        <f aca="false">J3+1</f>
        <v>2008</v>
      </c>
      <c r="L3" s="298" t="n">
        <f aca="false">K3+1</f>
        <v>2009</v>
      </c>
      <c r="M3" s="298" t="n">
        <f aca="false">L3+1</f>
        <v>2010</v>
      </c>
      <c r="N3" s="298" t="n">
        <f aca="false">M3+1</f>
        <v>2011</v>
      </c>
      <c r="O3" s="298" t="n">
        <f aca="false">N3+1</f>
        <v>2012</v>
      </c>
      <c r="P3" s="298" t="n">
        <f aca="false">O3+1</f>
        <v>2013</v>
      </c>
      <c r="Q3" s="298" t="n">
        <f aca="false">P3+1</f>
        <v>2014</v>
      </c>
      <c r="R3" s="298" t="n">
        <f aca="false">Q3+1</f>
        <v>2015</v>
      </c>
      <c r="S3" s="298" t="n">
        <f aca="false">R3+1</f>
        <v>2016</v>
      </c>
      <c r="T3" s="298" t="n">
        <f aca="false">S3+1</f>
        <v>2017</v>
      </c>
      <c r="U3" s="298" t="n">
        <f aca="false">T3+1</f>
        <v>2018</v>
      </c>
      <c r="V3" s="298" t="n">
        <f aca="false">U3+1</f>
        <v>2019</v>
      </c>
      <c r="W3" s="298" t="n">
        <f aca="false">V3+1</f>
        <v>2020</v>
      </c>
      <c r="X3" s="298" t="n">
        <f aca="false">W3+1</f>
        <v>2021</v>
      </c>
      <c r="Y3" s="299"/>
      <c r="Z3" s="300"/>
      <c r="AA3" s="300"/>
      <c r="AB3" s="300"/>
      <c r="AC3" s="300"/>
      <c r="AD3" s="300"/>
      <c r="AE3" s="300"/>
    </row>
    <row r="4" customFormat="false" ht="11.25" hidden="false" customHeight="false" outlineLevel="0" collapsed="false">
      <c r="A4" s="301" t="s">
        <v>245</v>
      </c>
      <c r="B4" s="302"/>
      <c r="C4" s="303" t="n">
        <f aca="false">IF(B4&gt;0,B4+1,IF(Cashflow!$C$3=C3,1,0))</f>
        <v>0</v>
      </c>
      <c r="D4" s="303" t="n">
        <f aca="false">IF(C4&gt;0,C4+1,IF(Cashflow!$C$3=D3,1,0))</f>
        <v>0</v>
      </c>
      <c r="E4" s="303" t="n">
        <f aca="false">IF(D4&gt;0,D4+1,IF(Cashflow!$C$3=E3,1,0))</f>
        <v>0</v>
      </c>
      <c r="F4" s="303" t="n">
        <f aca="false">IF(E4&gt;0,E4+1,IF(Cashflow!$C$3=F3,1,0))</f>
        <v>0</v>
      </c>
      <c r="G4" s="303" t="n">
        <f aca="false">IF(F4&gt;0,F4+1,IF(Cashflow!$C$3=G3,1,0))</f>
        <v>0</v>
      </c>
      <c r="H4" s="303" t="n">
        <f aca="false">IF(G4&gt;0,G4+1,IF(Cashflow!$C$3=H3,1,0))</f>
        <v>0</v>
      </c>
      <c r="I4" s="303" t="n">
        <f aca="false">IF(H4&gt;0,H4+1,IF(Cashflow!$C$3=I3,1,0))</f>
        <v>0</v>
      </c>
      <c r="J4" s="303" t="n">
        <f aca="false">IF(I4&gt;0,I4+1,IF(Cashflow!$C$3=J3,1,0))</f>
        <v>0</v>
      </c>
      <c r="K4" s="303" t="n">
        <f aca="false">IF(J4&gt;0,J4+1,IF(Cashflow!$C$3=K3,1,0))</f>
        <v>0</v>
      </c>
      <c r="L4" s="303" t="n">
        <f aca="false">IF(K4&gt;0,K4+1,IF(Cashflow!$C$3=L3,1,0))</f>
        <v>0</v>
      </c>
      <c r="M4" s="303" t="n">
        <f aca="false">IF(L4&gt;0,L4+1,IF(Cashflow!$C$3=M3,1,0))</f>
        <v>0</v>
      </c>
      <c r="N4" s="303" t="n">
        <f aca="false">IF(M4&gt;0,M4+1,IF(Cashflow!$C$3=N3,1,0))</f>
        <v>0</v>
      </c>
      <c r="O4" s="303" t="n">
        <f aca="false">IF(N4&gt;0,N4+1,IF(Cashflow!$C$3=O3,1,0))</f>
        <v>0</v>
      </c>
      <c r="P4" s="303" t="n">
        <f aca="false">IF(O4&gt;0,O4+1,IF(Cashflow!$C$3=P3,1,0))</f>
        <v>0</v>
      </c>
      <c r="Q4" s="303" t="n">
        <f aca="false">IF(P4&gt;0,P4+1,IF(Cashflow!$C$3=Q3,1,0))</f>
        <v>0</v>
      </c>
      <c r="R4" s="303" t="n">
        <f aca="false">IF(Q4&gt;0,Q4+1,IF(Cashflow!$C$3=R3,1,0))</f>
        <v>0</v>
      </c>
      <c r="S4" s="303" t="n">
        <f aca="false">IF(R4&gt;0,R4+1,IF(Cashflow!$C$3=S3,1,0))</f>
        <v>0</v>
      </c>
      <c r="T4" s="303" t="n">
        <f aca="false">IF(S4&gt;0,S4+1,IF(Cashflow!$C$3=T3,1,0))</f>
        <v>0</v>
      </c>
      <c r="U4" s="303" t="n">
        <f aca="false">IF(T4&gt;0,T4+1,IF(Cashflow!$C$3=U3,1,0))</f>
        <v>0</v>
      </c>
      <c r="V4" s="303" t="n">
        <f aca="false">IF(U4&gt;0,U4+1,IF(Cashflow!$C$3=V3,1,0))</f>
        <v>0</v>
      </c>
      <c r="W4" s="303" t="n">
        <f aca="false">IF(V4&gt;0,V4+1,IF(Cashflow!$C$3=W3,1,0))</f>
        <v>0</v>
      </c>
      <c r="X4" s="303" t="n">
        <f aca="false">IF(W4&gt;0,W4+1,IF(Cashflow!$C$3=X3,1,0))</f>
        <v>0</v>
      </c>
      <c r="Y4" s="302"/>
      <c r="Z4" s="304"/>
      <c r="AA4" s="304"/>
      <c r="AB4" s="304"/>
      <c r="AC4" s="304"/>
      <c r="AD4" s="304"/>
      <c r="AE4" s="304"/>
    </row>
    <row r="5" customFormat="false" ht="12.75" hidden="false" customHeight="false" outlineLevel="0" collapsed="false">
      <c r="B5" s="49"/>
      <c r="Y5" s="288"/>
      <c r="Z5" s="288"/>
      <c r="AA5" s="288"/>
      <c r="AB5" s="288"/>
      <c r="AC5" s="288"/>
      <c r="AD5" s="288"/>
      <c r="AE5" s="288"/>
    </row>
    <row r="6" customFormat="false" ht="11.25" hidden="false" customHeight="false" outlineLevel="0" collapsed="false">
      <c r="A6" s="295" t="s">
        <v>246</v>
      </c>
      <c r="B6" s="305"/>
      <c r="C6" s="136" t="n">
        <f aca="false">INDEX(Income_Statement,MATCH("Operating Income",ISColumn,0),MATCH(C$3,ISRow,0))</f>
        <v>-1646.88123441423</v>
      </c>
      <c r="D6" s="136" t="e">
        <f aca="false">INDEX(Income_Statement,MATCH("Operating Income",ISColumn,0),MATCH(D$3,ISRow,0))</f>
        <v>#VALUE!</v>
      </c>
      <c r="E6" s="136" t="e">
        <f aca="false">INDEX(Income_Statement,MATCH("Operating Income",ISColumn,0),MATCH(E$3,ISRow,0))</f>
        <v>#VALUE!</v>
      </c>
      <c r="F6" s="136" t="e">
        <f aca="false">INDEX(Income_Statement,MATCH("Operating Income",ISColumn,0),MATCH(F$3,ISRow,0))</f>
        <v>#VALUE!</v>
      </c>
      <c r="G6" s="136" t="e">
        <f aca="false">INDEX(Income_Statement,MATCH("Operating Income",ISColumn,0),MATCH(G$3,ISRow,0))</f>
        <v>#VALUE!</v>
      </c>
      <c r="H6" s="136" t="e">
        <f aca="false">INDEX(Income_Statement,MATCH("Operating Income",ISColumn,0),MATCH(H$3,ISRow,0))</f>
        <v>#VALUE!</v>
      </c>
      <c r="I6" s="136" t="e">
        <f aca="false">INDEX(Income_Statement,MATCH("Operating Income",ISColumn,0),MATCH(I$3,ISRow,0))</f>
        <v>#VALUE!</v>
      </c>
      <c r="J6" s="136" t="e">
        <f aca="false">INDEX(Income_Statement,MATCH("Operating Income",ISColumn,0),MATCH(J$3,ISRow,0))</f>
        <v>#VALUE!</v>
      </c>
      <c r="K6" s="136" t="e">
        <f aca="false">INDEX(Income_Statement,MATCH("Operating Income",ISColumn,0),MATCH(K$3,ISRow,0))</f>
        <v>#VALUE!</v>
      </c>
      <c r="L6" s="136" t="e">
        <f aca="false">INDEX(Income_Statement,MATCH("Operating Income",ISColumn,0),MATCH(L$3,ISRow,0))</f>
        <v>#VALUE!</v>
      </c>
      <c r="M6" s="136" t="e">
        <f aca="false">INDEX(Income_Statement,MATCH("Operating Income",ISColumn,0),MATCH(M$3,ISRow,0))</f>
        <v>#VALUE!</v>
      </c>
      <c r="N6" s="136" t="e">
        <f aca="false">INDEX(Income_Statement,MATCH("Operating Income",ISColumn,0),MATCH(N$3,ISRow,0))</f>
        <v>#VALUE!</v>
      </c>
      <c r="O6" s="136" t="e">
        <f aca="false">INDEX(Income_Statement,MATCH("Operating Income",ISColumn,0),MATCH(O$3,ISRow,0))</f>
        <v>#VALUE!</v>
      </c>
      <c r="P6" s="136" t="e">
        <f aca="false">INDEX(Income_Statement,MATCH("Operating Income",ISColumn,0),MATCH(P$3,ISRow,0))</f>
        <v>#VALUE!</v>
      </c>
      <c r="Q6" s="136" t="e">
        <f aca="false">INDEX(Income_Statement,MATCH("Operating Income",ISColumn,0),MATCH(Q$3,ISRow,0))</f>
        <v>#VALUE!</v>
      </c>
      <c r="R6" s="136" t="e">
        <f aca="false">INDEX(Income_Statement,MATCH("Operating Income",ISColumn,0),MATCH(R$3,ISRow,0))</f>
        <v>#VALUE!</v>
      </c>
      <c r="S6" s="136" t="n">
        <f aca="false">INDEX(Income_Statement,MATCH("Operating Income",ISColumn,0),MATCH(S$3,ISRow,0))</f>
        <v>0</v>
      </c>
      <c r="T6" s="136" t="n">
        <f aca="false">INDEX(Income_Statement,MATCH("Operating Income",ISColumn,0),MATCH(T$3,ISRow,0))</f>
        <v>0</v>
      </c>
      <c r="U6" s="136" t="n">
        <f aca="false">INDEX(Income_Statement,MATCH("Operating Income",ISColumn,0),MATCH(U$3,ISRow,0))</f>
        <v>0</v>
      </c>
      <c r="V6" s="136" t="n">
        <f aca="false">INDEX(Income_Statement,MATCH("Operating Income",ISColumn,0),MATCH(V$3,ISRow,0))</f>
        <v>0</v>
      </c>
      <c r="W6" s="136" t="n">
        <f aca="false">INDEX(Income_Statement,MATCH("Operating Income",ISColumn,0),MATCH(W$3,ISRow,0))</f>
        <v>0</v>
      </c>
      <c r="X6" s="136" t="n">
        <f aca="false">INDEX(Income_Statement,MATCH("Operating Income",ISColumn,0),MATCH(X$3,ISRow,0))</f>
        <v>0</v>
      </c>
      <c r="Y6" s="305"/>
      <c r="Z6" s="305"/>
      <c r="AA6" s="305"/>
      <c r="AB6" s="305"/>
      <c r="AC6" s="305"/>
      <c r="AD6" s="305"/>
      <c r="AE6" s="305"/>
      <c r="AF6" s="305"/>
      <c r="AG6" s="305"/>
      <c r="AH6" s="305"/>
      <c r="AI6" s="305"/>
    </row>
    <row r="7" customFormat="false" ht="11.25" hidden="false" customHeight="false" outlineLevel="0" collapsed="false">
      <c r="A7" s="295"/>
      <c r="B7" s="305"/>
      <c r="C7" s="295"/>
      <c r="D7" s="295"/>
      <c r="E7" s="295"/>
      <c r="F7" s="305"/>
      <c r="G7" s="305"/>
      <c r="H7" s="305"/>
      <c r="I7" s="305"/>
      <c r="J7" s="305"/>
      <c r="K7" s="305"/>
      <c r="L7" s="305"/>
      <c r="M7" s="295"/>
      <c r="N7" s="295"/>
      <c r="O7" s="295"/>
      <c r="P7" s="295"/>
      <c r="Q7" s="295"/>
      <c r="R7" s="295"/>
      <c r="S7" s="295"/>
      <c r="T7" s="295"/>
      <c r="U7" s="295"/>
      <c r="V7" s="295"/>
      <c r="W7" s="295"/>
      <c r="X7" s="114"/>
      <c r="Y7" s="114"/>
      <c r="Z7" s="114"/>
      <c r="AA7" s="114"/>
      <c r="AB7" s="114"/>
      <c r="AC7" s="114"/>
      <c r="AD7" s="114"/>
      <c r="AE7" s="114"/>
    </row>
    <row r="8" customFormat="false" ht="11.25" hidden="false" customHeight="false" outlineLevel="0" collapsed="false">
      <c r="A8" s="295" t="s">
        <v>247</v>
      </c>
      <c r="B8" s="305"/>
      <c r="C8" s="295"/>
      <c r="D8" s="295"/>
      <c r="E8" s="295"/>
      <c r="F8" s="305"/>
      <c r="G8" s="305"/>
      <c r="H8" s="305"/>
      <c r="I8" s="305"/>
      <c r="J8" s="305"/>
      <c r="K8" s="305"/>
      <c r="L8" s="30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114"/>
      <c r="Y8" s="114"/>
      <c r="Z8" s="114"/>
      <c r="AA8" s="114"/>
      <c r="AB8" s="114"/>
      <c r="AC8" s="114"/>
      <c r="AD8" s="114"/>
      <c r="AE8" s="114"/>
    </row>
    <row r="9" customFormat="false" ht="11.25" hidden="false" customHeight="false" outlineLevel="0" collapsed="false">
      <c r="A9" s="295" t="s">
        <v>118</v>
      </c>
      <c r="B9" s="305"/>
      <c r="C9" s="136" t="n">
        <f aca="false">INDEX(Income_Statement,MATCH("Depreciation",ISColumn,0),MATCH(C$3,ISRow,0))</f>
        <v>1200.427004419</v>
      </c>
      <c r="D9" s="136" t="n">
        <f aca="false">INDEX(Income_Statement,MATCH("Depreciation",ISColumn,0),MATCH(D$3,ISRow,0))</f>
        <v>7202.56202651401</v>
      </c>
      <c r="E9" s="136" t="n">
        <f aca="false">INDEX(Income_Statement,MATCH("Depreciation",ISColumn,0),MATCH(E$3,ISRow,0))</f>
        <v>7202.56202651401</v>
      </c>
      <c r="F9" s="136" t="n">
        <f aca="false">INDEX(Income_Statement,MATCH("Depreciation",ISColumn,0),MATCH(F$3,ISRow,0))</f>
        <v>7202.56202651401</v>
      </c>
      <c r="G9" s="136" t="n">
        <f aca="false">INDEX(Income_Statement,MATCH("Depreciation",ISColumn,0),MATCH(G$3,ISRow,0))</f>
        <v>7202.56202651401</v>
      </c>
      <c r="H9" s="136" t="n">
        <f aca="false">INDEX(Income_Statement,MATCH("Depreciation",ISColumn,0),MATCH(H$3,ISRow,0))</f>
        <v>7202.56202651401</v>
      </c>
      <c r="I9" s="136" t="n">
        <f aca="false">INDEX(Income_Statement,MATCH("Depreciation",ISColumn,0),MATCH(I$3,ISRow,0))</f>
        <v>7202.56202651401</v>
      </c>
      <c r="J9" s="136" t="n">
        <f aca="false">INDEX(Income_Statement,MATCH("Depreciation",ISColumn,0),MATCH(J$3,ISRow,0))</f>
        <v>7202.56202651401</v>
      </c>
      <c r="K9" s="136" t="n">
        <f aca="false">INDEX(Income_Statement,MATCH("Depreciation",ISColumn,0),MATCH(K$3,ISRow,0))</f>
        <v>7202.56202651401</v>
      </c>
      <c r="L9" s="136" t="n">
        <f aca="false">INDEX(Income_Statement,MATCH("Depreciation",ISColumn,0),MATCH(L$3,ISRow,0))</f>
        <v>7202.56202651401</v>
      </c>
      <c r="M9" s="136" t="n">
        <f aca="false">INDEX(Income_Statement,MATCH("Depreciation",ISColumn,0),MATCH(M$3,ISRow,0))</f>
        <v>7202.56202651401</v>
      </c>
      <c r="N9" s="136" t="n">
        <f aca="false">INDEX(Income_Statement,MATCH("Depreciation",ISColumn,0),MATCH(N$3,ISRow,0))</f>
        <v>7202.56202651401</v>
      </c>
      <c r="O9" s="136" t="n">
        <f aca="false">INDEX(Income_Statement,MATCH("Depreciation",ISColumn,0),MATCH(O$3,ISRow,0))</f>
        <v>7202.56202651401</v>
      </c>
      <c r="P9" s="136" t="n">
        <f aca="false">INDEX(Income_Statement,MATCH("Depreciation",ISColumn,0),MATCH(P$3,ISRow,0))</f>
        <v>7202.56202651401</v>
      </c>
      <c r="Q9" s="136" t="n">
        <f aca="false">INDEX(Income_Statement,MATCH("Depreciation",ISColumn,0),MATCH(Q$3,ISRow,0))</f>
        <v>7202.56202651401</v>
      </c>
      <c r="R9" s="136" t="n">
        <f aca="false">INDEX(Income_Statement,MATCH("Depreciation",ISColumn,0),MATCH(R$3,ISRow,0))</f>
        <v>7202.56202651401</v>
      </c>
      <c r="S9" s="136" t="n">
        <f aca="false">INDEX(Income_Statement,MATCH("Depreciation",ISColumn,0),MATCH(S$3,ISRow,0))</f>
        <v>0</v>
      </c>
      <c r="T9" s="136" t="n">
        <f aca="false">INDEX(Income_Statement,MATCH("Depreciation",ISColumn,0),MATCH(T$3,ISRow,0))</f>
        <v>0</v>
      </c>
      <c r="U9" s="136" t="n">
        <f aca="false">INDEX(Income_Statement,MATCH("Depreciation",ISColumn,0),MATCH(U$3,ISRow,0))</f>
        <v>0</v>
      </c>
      <c r="V9" s="136" t="n">
        <f aca="false">INDEX(Income_Statement,MATCH("Depreciation",ISColumn,0),MATCH(V$3,ISRow,0))</f>
        <v>0</v>
      </c>
      <c r="W9" s="136" t="n">
        <f aca="false">INDEX(Income_Statement,MATCH("Depreciation",ISColumn,0),MATCH(W$3,ISRow,0))</f>
        <v>0</v>
      </c>
      <c r="X9" s="136" t="n">
        <f aca="false">INDEX(Income_Statement,MATCH("Depreciation",ISColumn,0),MATCH(X$3,ISRow,0))</f>
        <v>0</v>
      </c>
      <c r="Y9" s="305"/>
      <c r="Z9" s="305"/>
      <c r="AA9" s="305"/>
      <c r="AB9" s="305"/>
      <c r="AC9" s="305"/>
      <c r="AD9" s="305"/>
      <c r="AE9" s="305"/>
      <c r="AF9" s="305"/>
      <c r="AG9" s="305"/>
      <c r="AH9" s="305"/>
      <c r="AI9" s="305"/>
      <c r="AJ9" s="305"/>
    </row>
    <row r="10" customFormat="false" ht="11.25" hidden="false" customHeight="false" outlineLevel="0" collapsed="false">
      <c r="A10" s="113"/>
      <c r="B10" s="305"/>
      <c r="C10" s="113"/>
      <c r="D10" s="113"/>
      <c r="E10" s="113"/>
      <c r="F10" s="305"/>
      <c r="G10" s="305"/>
      <c r="H10" s="305"/>
      <c r="I10" s="305"/>
      <c r="J10" s="305"/>
      <c r="K10" s="305"/>
      <c r="L10" s="305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42"/>
      <c r="Y10" s="114"/>
      <c r="Z10" s="114"/>
      <c r="AA10" s="114"/>
      <c r="AB10" s="114"/>
      <c r="AC10" s="114"/>
      <c r="AD10" s="114"/>
      <c r="AE10" s="114"/>
    </row>
    <row r="11" customFormat="false" ht="11.25" hidden="false" customHeight="false" outlineLevel="0" collapsed="false">
      <c r="A11" s="113" t="s">
        <v>248</v>
      </c>
      <c r="B11" s="305"/>
      <c r="C11" s="113"/>
      <c r="D11" s="113"/>
      <c r="E11" s="113"/>
      <c r="F11" s="305"/>
      <c r="G11" s="305"/>
      <c r="H11" s="305"/>
      <c r="I11" s="305"/>
      <c r="J11" s="305"/>
      <c r="K11" s="305"/>
      <c r="L11" s="305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42"/>
      <c r="Y11" s="114"/>
      <c r="Z11" s="114"/>
      <c r="AA11" s="114"/>
      <c r="AB11" s="114"/>
      <c r="AC11" s="114"/>
      <c r="AD11" s="114"/>
      <c r="AE11" s="114"/>
    </row>
    <row r="12" customFormat="false" ht="11.25" hidden="false" customHeight="false" outlineLevel="0" collapsed="false">
      <c r="A12" s="113" t="s">
        <v>249</v>
      </c>
      <c r="B12" s="305"/>
      <c r="C12" s="306" t="n">
        <f aca="false">-C123-C135-C147-C159-C171-C183</f>
        <v>-0</v>
      </c>
      <c r="D12" s="306" t="e">
        <f aca="false">-D123-D135-D147-D159-D171-D183</f>
        <v>#VALUE!</v>
      </c>
      <c r="E12" s="306" t="e">
        <f aca="false">-E123-E135-E147-E159-E171-E183</f>
        <v>#VALUE!</v>
      </c>
      <c r="F12" s="306" t="e">
        <f aca="false">-F123-F135-F147-F159-F171-F183</f>
        <v>#VALUE!</v>
      </c>
      <c r="G12" s="306" t="e">
        <f aca="false">-G123-G135-G147-G159-G171-G183</f>
        <v>#VALUE!</v>
      </c>
      <c r="H12" s="306" t="e">
        <f aca="false">-H123-H135-H147-H159-H171-H183</f>
        <v>#VALUE!</v>
      </c>
      <c r="I12" s="306" t="e">
        <f aca="false">-I123-I135-I147-I159-I171-I183</f>
        <v>#VALUE!</v>
      </c>
      <c r="J12" s="306" t="e">
        <f aca="false">-J123-J135-J147-J159-J171-J183</f>
        <v>#VALUE!</v>
      </c>
      <c r="K12" s="306" t="e">
        <f aca="false">-K123-K135-K147-K159-K171-K183</f>
        <v>#VALUE!</v>
      </c>
      <c r="L12" s="306" t="e">
        <f aca="false">-L123-L135-L147-L159-L171-L183</f>
        <v>#VALUE!</v>
      </c>
      <c r="M12" s="306" t="e">
        <f aca="false">-M123-M135-M147-M159-M171-M183</f>
        <v>#VALUE!</v>
      </c>
      <c r="N12" s="306" t="e">
        <f aca="false">-N123-N135-N147-N159-N171-N183</f>
        <v>#VALUE!</v>
      </c>
      <c r="O12" s="306" t="e">
        <f aca="false">-O123-O135-O147-O159-O171-O183</f>
        <v>#VALUE!</v>
      </c>
      <c r="P12" s="306" t="e">
        <f aca="false">-P123-P135-P147-P159-P171-P183</f>
        <v>#VALUE!</v>
      </c>
      <c r="Q12" s="306" t="e">
        <f aca="false">-Q123-Q135-Q147-Q159-Q171-Q183</f>
        <v>#VALUE!</v>
      </c>
      <c r="R12" s="306" t="e">
        <f aca="false">-R123-R135-R147-R159-R171-R183</f>
        <v>#VALUE!</v>
      </c>
      <c r="S12" s="306" t="e">
        <f aca="false">-S123-S135-S147-S159-S171-S183</f>
        <v>#VALUE!</v>
      </c>
      <c r="T12" s="306" t="e">
        <f aca="false">-T123-T135-T147-T159-T171-T183</f>
        <v>#VALUE!</v>
      </c>
      <c r="U12" s="306" t="e">
        <f aca="false">-U123-U135-U147-U159-U171-U183</f>
        <v>#VALUE!</v>
      </c>
      <c r="V12" s="306" t="e">
        <f aca="false">-V123-V135-V147-V159-V171-V183</f>
        <v>#VALUE!</v>
      </c>
      <c r="W12" s="306" t="e">
        <f aca="false">-W123-W135-W147-W159-W171-W183</f>
        <v>#VALUE!</v>
      </c>
      <c r="X12" s="306" t="e">
        <f aca="false">-X123-X135-X147-X159-X171-X183</f>
        <v>#VALUE!</v>
      </c>
      <c r="Y12" s="305"/>
      <c r="Z12" s="114"/>
      <c r="AA12" s="114"/>
      <c r="AB12" s="114"/>
      <c r="AC12" s="114"/>
      <c r="AD12" s="114"/>
      <c r="AE12" s="114"/>
    </row>
    <row r="13" customFormat="false" ht="11.25" hidden="false" customHeight="false" outlineLevel="0" collapsed="false">
      <c r="A13" s="113" t="s">
        <v>250</v>
      </c>
      <c r="B13" s="305"/>
      <c r="C13" s="113"/>
      <c r="D13" s="113"/>
      <c r="E13" s="113"/>
      <c r="F13" s="305" t="n">
        <v>0</v>
      </c>
      <c r="G13" s="305" t="n">
        <v>0</v>
      </c>
      <c r="H13" s="305" t="n">
        <v>0</v>
      </c>
      <c r="I13" s="305" t="n">
        <v>0</v>
      </c>
      <c r="J13" s="305" t="n">
        <v>0</v>
      </c>
      <c r="K13" s="305" t="n">
        <v>0</v>
      </c>
      <c r="L13" s="305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4"/>
      <c r="Z13" s="114"/>
      <c r="AA13" s="114"/>
      <c r="AB13" s="114"/>
      <c r="AC13" s="114"/>
      <c r="AD13" s="114"/>
      <c r="AE13" s="114"/>
    </row>
    <row r="14" customFormat="false" ht="11.25" hidden="false" customHeight="false" outlineLevel="0" collapsed="false">
      <c r="A14" s="113"/>
      <c r="B14" s="305"/>
      <c r="C14" s="195"/>
      <c r="D14" s="195"/>
      <c r="E14" s="195"/>
      <c r="F14" s="307"/>
      <c r="G14" s="307"/>
      <c r="H14" s="307"/>
      <c r="I14" s="307"/>
      <c r="J14" s="307"/>
      <c r="K14" s="307"/>
      <c r="L14" s="307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14"/>
      <c r="Z14" s="114"/>
      <c r="AA14" s="114"/>
      <c r="AB14" s="114"/>
      <c r="AC14" s="114"/>
      <c r="AD14" s="114"/>
      <c r="AE14" s="114"/>
    </row>
    <row r="15" customFormat="false" ht="11.25" hidden="false" customHeight="false" outlineLevel="0" collapsed="false">
      <c r="A15" s="295" t="s">
        <v>251</v>
      </c>
      <c r="B15" s="305"/>
      <c r="C15" s="305" t="n">
        <f aca="false">SUM(C5:C14)</f>
        <v>-446.454229995229</v>
      </c>
      <c r="D15" s="305" t="e">
        <f aca="false">SUM(D5:D14)</f>
        <v>#VALUE!</v>
      </c>
      <c r="E15" s="305" t="e">
        <f aca="false">SUM(E5:E14)</f>
        <v>#VALUE!</v>
      </c>
      <c r="F15" s="305" t="e">
        <f aca="false">SUM(F5:F14)</f>
        <v>#VALUE!</v>
      </c>
      <c r="G15" s="305" t="e">
        <f aca="false">SUM(G5:G14)</f>
        <v>#VALUE!</v>
      </c>
      <c r="H15" s="305" t="e">
        <f aca="false">SUM(H5:H14)</f>
        <v>#VALUE!</v>
      </c>
      <c r="I15" s="305" t="e">
        <f aca="false">SUM(I5:I14)</f>
        <v>#VALUE!</v>
      </c>
      <c r="J15" s="305" t="e">
        <f aca="false">SUM(J5:J14)</f>
        <v>#VALUE!</v>
      </c>
      <c r="K15" s="305" t="e">
        <f aca="false">SUM(K5:K14)</f>
        <v>#VALUE!</v>
      </c>
      <c r="L15" s="305" t="e">
        <f aca="false">SUM(L5:L14)</f>
        <v>#VALUE!</v>
      </c>
      <c r="M15" s="305" t="e">
        <f aca="false">SUM(M5:M14)</f>
        <v>#VALUE!</v>
      </c>
      <c r="N15" s="305" t="e">
        <f aca="false">SUM(N5:N14)</f>
        <v>#VALUE!</v>
      </c>
      <c r="O15" s="305" t="e">
        <f aca="false">SUM(O5:O14)</f>
        <v>#VALUE!</v>
      </c>
      <c r="P15" s="305" t="e">
        <f aca="false">SUM(P5:P14)</f>
        <v>#VALUE!</v>
      </c>
      <c r="Q15" s="305" t="e">
        <f aca="false">SUM(Q5:Q14)</f>
        <v>#VALUE!</v>
      </c>
      <c r="R15" s="305" t="e">
        <f aca="false">SUM(R5:R14)</f>
        <v>#VALUE!</v>
      </c>
      <c r="S15" s="305" t="e">
        <f aca="false">SUM(S5:S14)</f>
        <v>#VALUE!</v>
      </c>
      <c r="T15" s="305" t="e">
        <f aca="false">SUM(T5:T14)</f>
        <v>#VALUE!</v>
      </c>
      <c r="U15" s="305" t="e">
        <f aca="false">SUM(U5:U14)</f>
        <v>#VALUE!</v>
      </c>
      <c r="V15" s="305" t="e">
        <f aca="false">SUM(V5:V14)</f>
        <v>#VALUE!</v>
      </c>
      <c r="W15" s="305" t="e">
        <f aca="false">SUM(W5:W14)</f>
        <v>#VALUE!</v>
      </c>
      <c r="X15" s="305" t="e">
        <f aca="false">SUM(X5:X14)</f>
        <v>#VALUE!</v>
      </c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  <c r="AO15" s="305"/>
      <c r="AP15" s="305"/>
      <c r="AQ15" s="305"/>
      <c r="AR15" s="305"/>
      <c r="AS15" s="305"/>
      <c r="AT15" s="305"/>
      <c r="AU15" s="305"/>
      <c r="AV15" s="305"/>
      <c r="AW15" s="305"/>
      <c r="AX15" s="305"/>
      <c r="AY15" s="305"/>
      <c r="AZ15" s="305"/>
      <c r="BA15" s="305"/>
      <c r="BB15" s="305"/>
      <c r="BC15" s="305"/>
      <c r="BD15" s="305" t="n">
        <f aca="false">SUM(BD5:BD14)</f>
        <v>0</v>
      </c>
    </row>
    <row r="16" customFormat="false" ht="11.25" hidden="false" customHeight="false" outlineLevel="0" collapsed="false">
      <c r="A16" s="295" t="s">
        <v>252</v>
      </c>
      <c r="B16" s="305"/>
      <c r="C16" s="305" t="n">
        <f aca="false">-C87</f>
        <v>-0</v>
      </c>
      <c r="D16" s="305" t="e">
        <f aca="false">-D87</f>
        <v>#VALUE!</v>
      </c>
      <c r="E16" s="305" t="e">
        <f aca="false">-E87</f>
        <v>#VALUE!</v>
      </c>
      <c r="F16" s="305" t="e">
        <f aca="false">-F87</f>
        <v>#VALUE!</v>
      </c>
      <c r="G16" s="305" t="e">
        <f aca="false">-G87</f>
        <v>#VALUE!</v>
      </c>
      <c r="H16" s="305" t="e">
        <f aca="false">-H87</f>
        <v>#VALUE!</v>
      </c>
      <c r="I16" s="305" t="e">
        <f aca="false">-I87</f>
        <v>#VALUE!</v>
      </c>
      <c r="J16" s="305" t="e">
        <f aca="false">IF(Tables!B21=Tax!J4,0,-J87)</f>
        <v>#VALUE!</v>
      </c>
      <c r="K16" s="305" t="e">
        <f aca="false">IF(G17=J15,0,-K87)</f>
        <v>#VALUE!</v>
      </c>
      <c r="L16" s="305" t="e">
        <f aca="false">IF(H17=K15,0,-L87)</f>
        <v>#VALUE!</v>
      </c>
      <c r="M16" s="308" t="e">
        <f aca="false">-M87</f>
        <v>#VALUE!</v>
      </c>
      <c r="N16" s="308" t="e">
        <f aca="false">-N87</f>
        <v>#VALUE!</v>
      </c>
      <c r="O16" s="308" t="e">
        <f aca="false">-O87</f>
        <v>#VALUE!</v>
      </c>
      <c r="P16" s="308" t="e">
        <f aca="false">-P87</f>
        <v>#VALUE!</v>
      </c>
      <c r="Q16" s="308" t="e">
        <f aca="false">-Q87</f>
        <v>#VALUE!</v>
      </c>
      <c r="R16" s="308" t="e">
        <f aca="false">-R87</f>
        <v>#VALUE!</v>
      </c>
      <c r="S16" s="308" t="e">
        <f aca="false">-S87</f>
        <v>#VALUE!</v>
      </c>
      <c r="T16" s="308" t="e">
        <f aca="false">-T87</f>
        <v>#VALUE!</v>
      </c>
      <c r="U16" s="308" t="e">
        <f aca="false">-U87</f>
        <v>#VALUE!</v>
      </c>
      <c r="V16" s="308" t="e">
        <f aca="false">-V87</f>
        <v>#VALUE!</v>
      </c>
      <c r="W16" s="308" t="e">
        <f aca="false">-W87</f>
        <v>#VALUE!</v>
      </c>
      <c r="X16" s="308" t="e">
        <f aca="false">-X87</f>
        <v>#VALUE!</v>
      </c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</row>
    <row r="17" customFormat="false" ht="11.25" hidden="false" customHeight="false" outlineLevel="0" collapsed="false">
      <c r="A17" s="295" t="s">
        <v>253</v>
      </c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5"/>
      <c r="BB17" s="305"/>
      <c r="BC17" s="305"/>
      <c r="BD17" s="305"/>
    </row>
    <row r="18" customFormat="false" ht="11.25" hidden="false" customHeight="false" outlineLevel="0" collapsed="false">
      <c r="A18" s="295" t="s">
        <v>254</v>
      </c>
      <c r="B18" s="305"/>
      <c r="C18" s="309" t="n">
        <f aca="false">C15+C16</f>
        <v>-446.454229995229</v>
      </c>
      <c r="D18" s="309" t="e">
        <f aca="false">D15+D16</f>
        <v>#VALUE!</v>
      </c>
      <c r="E18" s="309" t="e">
        <f aca="false">E15+E16</f>
        <v>#VALUE!</v>
      </c>
      <c r="F18" s="309" t="e">
        <f aca="false">F15+F16+F17</f>
        <v>#VALUE!</v>
      </c>
      <c r="G18" s="309" t="e">
        <f aca="false">G15+G16+G17</f>
        <v>#VALUE!</v>
      </c>
      <c r="H18" s="309" t="e">
        <f aca="false">H15+H16+H17</f>
        <v>#VALUE!</v>
      </c>
      <c r="I18" s="309" t="e">
        <f aca="false">I15+I16+I17</f>
        <v>#VALUE!</v>
      </c>
      <c r="J18" s="309" t="e">
        <f aca="false">J15+J16+J17</f>
        <v>#VALUE!</v>
      </c>
      <c r="K18" s="309" t="e">
        <f aca="false">K15+K16+K17</f>
        <v>#VALUE!</v>
      </c>
      <c r="L18" s="309" t="e">
        <f aca="false">L15+L16+L17</f>
        <v>#VALUE!</v>
      </c>
      <c r="M18" s="309" t="e">
        <f aca="false">M15+M16+M17</f>
        <v>#VALUE!</v>
      </c>
      <c r="N18" s="309" t="e">
        <f aca="false">N15+N16+N17</f>
        <v>#VALUE!</v>
      </c>
      <c r="O18" s="309" t="e">
        <f aca="false">O15+O16+O17</f>
        <v>#VALUE!</v>
      </c>
      <c r="P18" s="309" t="e">
        <f aca="false">P15+P16+P17</f>
        <v>#VALUE!</v>
      </c>
      <c r="Q18" s="309" t="e">
        <f aca="false">Q15+Q16+Q17</f>
        <v>#VALUE!</v>
      </c>
      <c r="R18" s="309" t="e">
        <f aca="false">R15+R16+R17</f>
        <v>#VALUE!</v>
      </c>
      <c r="S18" s="309" t="e">
        <f aca="false">S15+S16+S17</f>
        <v>#VALUE!</v>
      </c>
      <c r="T18" s="309" t="e">
        <f aca="false">T15+T16+T17</f>
        <v>#VALUE!</v>
      </c>
      <c r="U18" s="309" t="e">
        <f aca="false">U15+U16+U17</f>
        <v>#VALUE!</v>
      </c>
      <c r="V18" s="309" t="e">
        <f aca="false">V15+V16+V17</f>
        <v>#VALUE!</v>
      </c>
      <c r="W18" s="309" t="e">
        <f aca="false">W15+W16+W17</f>
        <v>#VALUE!</v>
      </c>
      <c r="X18" s="309" t="e">
        <f aca="false">X15+X16+X17</f>
        <v>#VALUE!</v>
      </c>
      <c r="Y18" s="305"/>
      <c r="Z18" s="305"/>
      <c r="AA18" s="305"/>
      <c r="AB18" s="305"/>
      <c r="AC18" s="305"/>
      <c r="AD18" s="305"/>
      <c r="AE18" s="305"/>
      <c r="AF18" s="305"/>
      <c r="AG18" s="305"/>
      <c r="AH18" s="305"/>
      <c r="AI18" s="305"/>
      <c r="AJ18" s="305"/>
      <c r="AK18" s="305"/>
      <c r="AL18" s="305"/>
      <c r="AM18" s="305"/>
      <c r="AN18" s="305"/>
      <c r="AO18" s="305"/>
      <c r="AP18" s="305"/>
      <c r="AQ18" s="305"/>
      <c r="AR18" s="305"/>
      <c r="AS18" s="305"/>
      <c r="AT18" s="305"/>
      <c r="AU18" s="305"/>
      <c r="AV18" s="305"/>
      <c r="AW18" s="305"/>
      <c r="AX18" s="305"/>
      <c r="AY18" s="305"/>
      <c r="AZ18" s="305"/>
      <c r="BA18" s="305"/>
      <c r="BB18" s="305"/>
      <c r="BC18" s="305"/>
      <c r="BD18" s="305"/>
    </row>
    <row r="19" customFormat="false" ht="11.25" hidden="false" customHeight="false" outlineLevel="0" collapsed="false">
      <c r="A19" s="295"/>
      <c r="B19" s="305"/>
      <c r="C19" s="295"/>
      <c r="D19" s="295"/>
      <c r="E19" s="29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305"/>
      <c r="AP19" s="305"/>
      <c r="AQ19" s="305"/>
      <c r="AR19" s="305"/>
      <c r="AS19" s="305"/>
      <c r="AT19" s="305"/>
      <c r="AU19" s="305"/>
      <c r="AV19" s="305"/>
      <c r="AW19" s="305"/>
      <c r="AX19" s="305"/>
      <c r="AY19" s="305"/>
      <c r="AZ19" s="305"/>
      <c r="BA19" s="305"/>
      <c r="BB19" s="305"/>
      <c r="BC19" s="305"/>
      <c r="BD19" s="305"/>
    </row>
    <row r="20" customFormat="false" ht="11.25" hidden="false" customHeight="false" outlineLevel="0" collapsed="false">
      <c r="A20" s="295"/>
      <c r="B20" s="305"/>
      <c r="C20" s="295"/>
      <c r="D20" s="295"/>
      <c r="E20" s="295"/>
      <c r="F20" s="305"/>
      <c r="G20" s="305"/>
      <c r="H20" s="305"/>
      <c r="I20" s="305"/>
      <c r="J20" s="305"/>
      <c r="K20" s="305"/>
      <c r="L20" s="30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114"/>
      <c r="Z20" s="114"/>
      <c r="AA20" s="114"/>
      <c r="AB20" s="114"/>
      <c r="AC20" s="114"/>
      <c r="AD20" s="114"/>
      <c r="AE20" s="114"/>
    </row>
    <row r="21" customFormat="false" ht="11.25" hidden="false" customHeight="false" outlineLevel="0" collapsed="false">
      <c r="A21" s="295" t="s">
        <v>255</v>
      </c>
      <c r="B21" s="305"/>
      <c r="C21" s="305" t="n">
        <f aca="false">C18*(INDEX(FedTaxTable,MATCH("Federal Income Tax after M &amp; P Credit",FedTaxColumn,0),MATCH(C3,FedTaxRow,0)))</f>
        <v>-98.7556756749447</v>
      </c>
      <c r="D21" s="305" t="e">
        <f aca="false">D18*(INDEX(FedTaxTable,MATCH("Federal Income Tax after M &amp; P Credit",FedTaxColumn,0),MATCH(D3,FedTaxRow,0)))</f>
        <v>#VALUE!</v>
      </c>
      <c r="E21" s="305" t="e">
        <f aca="false">E18*(INDEX(FedTaxTable,MATCH("Federal Income Tax after M &amp; P Credit",FedTaxColumn,0),MATCH(E3,FedTaxRow,0)))</f>
        <v>#VALUE!</v>
      </c>
      <c r="F21" s="305" t="e">
        <f aca="false">F18*(INDEX(FedTaxTable,MATCH("Federal Income Tax after M &amp; P Credit",FedTaxColumn,0),MATCH(F3,FedTaxRow,0)))</f>
        <v>#VALUE!</v>
      </c>
      <c r="G21" s="305" t="e">
        <f aca="false">G18*(INDEX(FedTaxTable,MATCH("Federal Income Tax after M &amp; P Credit",FedTaxColumn,0),MATCH(G3,FedTaxRow,0)))</f>
        <v>#VALUE!</v>
      </c>
      <c r="H21" s="305" t="e">
        <f aca="false">H18*(INDEX(FedTaxTable,MATCH("Federal Income Tax after M &amp; P Credit",FedTaxColumn,0),MATCH(H3,FedTaxRow,0)))</f>
        <v>#VALUE!</v>
      </c>
      <c r="I21" s="305" t="e">
        <f aca="false">I18*(INDEX(FedTaxTable,MATCH("Federal Income Tax after M &amp; P Credit",FedTaxColumn,0),MATCH(I3,FedTaxRow,0)))</f>
        <v>#VALUE!</v>
      </c>
      <c r="J21" s="305" t="e">
        <f aca="false">J18*(INDEX(FedTaxTable,MATCH("Federal Income Tax after M &amp; P Credit",FedTaxColumn,0),MATCH(J3,FedTaxRow,0)))</f>
        <v>#VALUE!</v>
      </c>
      <c r="K21" s="305" t="e">
        <f aca="false">K18*(INDEX(FedTaxTable,MATCH("Federal Income Tax after M &amp; P Credit",FedTaxColumn,0),MATCH(K3,FedTaxRow,0)))</f>
        <v>#VALUE!</v>
      </c>
      <c r="L21" s="305" t="e">
        <f aca="false">L18*(INDEX(FedTaxTable,MATCH("Federal Income Tax after M &amp; P Credit",FedTaxColumn,0),MATCH(L3,FedTaxRow,0)))</f>
        <v>#VALUE!</v>
      </c>
      <c r="M21" s="305" t="e">
        <f aca="false">M18*(INDEX(FedTaxTable,MATCH("Federal Income Tax after M &amp; P Credit",FedTaxColumn,0),MATCH(M3,FedTaxRow,0)))</f>
        <v>#VALUE!</v>
      </c>
      <c r="N21" s="305" t="e">
        <f aca="false">N18*(INDEX(FedTaxTable,MATCH("Federal Income Tax after M &amp; P Credit",FedTaxColumn,0),MATCH(N3,FedTaxRow,0)))</f>
        <v>#VALUE!</v>
      </c>
      <c r="O21" s="305" t="e">
        <f aca="false">O18*(INDEX(FedTaxTable,MATCH("Federal Income Tax after M &amp; P Credit",FedTaxColumn,0),MATCH(O3,FedTaxRow,0)))</f>
        <v>#VALUE!</v>
      </c>
      <c r="P21" s="305" t="e">
        <f aca="false">P18*(INDEX(FedTaxTable,MATCH("Federal Income Tax after M &amp; P Credit",FedTaxColumn,0),MATCH(P3,FedTaxRow,0)))</f>
        <v>#VALUE!</v>
      </c>
      <c r="Q21" s="305" t="e">
        <f aca="false">Q18*(INDEX(FedTaxTable,MATCH("Federal Income Tax after M &amp; P Credit",FedTaxColumn,0),MATCH(Q3,FedTaxRow,0)))</f>
        <v>#VALUE!</v>
      </c>
      <c r="R21" s="305" t="e">
        <f aca="false">R18*(INDEX(FedTaxTable,MATCH("Federal Income Tax after M &amp; P Credit",FedTaxColumn,0),MATCH(R3,FedTaxRow,0)))</f>
        <v>#VALUE!</v>
      </c>
      <c r="S21" s="305" t="e">
        <f aca="false">S18*(INDEX(FedTaxTable,MATCH("Federal Income Tax after M &amp; P Credit",FedTaxColumn,0),MATCH(S3,FedTaxRow,0)))</f>
        <v>#VALUE!</v>
      </c>
      <c r="T21" s="305" t="e">
        <f aca="false">T18*(INDEX(FedTaxTable,MATCH("Federal Income Tax after M &amp; P Credit",FedTaxColumn,0),MATCH(T3,FedTaxRow,0)))</f>
        <v>#VALUE!</v>
      </c>
      <c r="U21" s="305" t="e">
        <f aca="false">U18*(INDEX(FedTaxTable,MATCH("Federal Income Tax after M &amp; P Credit",FedTaxColumn,0),MATCH(U3,FedTaxRow,0)))</f>
        <v>#VALUE!</v>
      </c>
      <c r="V21" s="305" t="e">
        <f aca="false">V18*(INDEX(FedTaxTable,MATCH("Federal Income Tax after M &amp; P Credit",FedTaxColumn,0),MATCH(V3,FedTaxRow,0)))</f>
        <v>#VALUE!</v>
      </c>
      <c r="W21" s="305" t="e">
        <f aca="false">W18*(INDEX(FedTaxTable,MATCH("Federal Income Tax after M &amp; P Credit",FedTaxColumn,0),MATCH(W3,FedTaxRow,0)))</f>
        <v>#VALUE!</v>
      </c>
      <c r="X21" s="305" t="e">
        <f aca="false">X18*(INDEX(FedTaxTable,MATCH("Federal Income Tax after M &amp; P Credit",FedTaxColumn,0),MATCH(X3,FedTaxRow,0)))</f>
        <v>#VALUE!</v>
      </c>
      <c r="Y21" s="305"/>
      <c r="Z21" s="305"/>
      <c r="AA21" s="305"/>
      <c r="AB21" s="305"/>
      <c r="AC21" s="114"/>
      <c r="AD21" s="114"/>
      <c r="AE21" s="114"/>
    </row>
    <row r="22" customFormat="false" ht="11.25" hidden="false" customHeight="false" outlineLevel="0" collapsed="false">
      <c r="A22" s="295" t="s">
        <v>256</v>
      </c>
      <c r="B22" s="305"/>
      <c r="C22" s="305" t="n">
        <f aca="false">C$18*(INDEX(FedTaxTable,MATCH("Federal Surtax",FedTaxColumn,0),MATCH(C3,FedTaxRow,0)))</f>
        <v>-17.8581691998092</v>
      </c>
      <c r="D22" s="305" t="e">
        <f aca="false">D$18*(INDEX(FedTaxTable,MATCH("Federal Surtax",FedTaxColumn,0),MATCH(D3,FedTaxRow,0)))</f>
        <v>#VALUE!</v>
      </c>
      <c r="E22" s="305" t="e">
        <f aca="false">E$18*(INDEX(FedTaxTable,MATCH("Federal Surtax",FedTaxColumn,0),MATCH(E3,FedTaxRow,0)))</f>
        <v>#VALUE!</v>
      </c>
      <c r="F22" s="305" t="e">
        <f aca="false">F$18*(INDEX(FedTaxTable,MATCH("Federal Surtax",FedTaxColumn,0),MATCH(F3,FedTaxRow,0)))</f>
        <v>#VALUE!</v>
      </c>
      <c r="G22" s="305" t="e">
        <f aca="false">G$18*(INDEX(FedTaxTable,MATCH("Federal Surtax",FedTaxColumn,0),MATCH(G3,FedTaxRow,0)))</f>
        <v>#VALUE!</v>
      </c>
      <c r="H22" s="305" t="e">
        <f aca="false">H$18*(INDEX(FedTaxTable,MATCH("Federal Surtax",FedTaxColumn,0),MATCH(H3,FedTaxRow,0)))</f>
        <v>#VALUE!</v>
      </c>
      <c r="I22" s="305" t="e">
        <f aca="false">I$18*(INDEX(FedTaxTable,MATCH("Federal Surtax",FedTaxColumn,0),MATCH(I3,FedTaxRow,0)))</f>
        <v>#VALUE!</v>
      </c>
      <c r="J22" s="305" t="e">
        <f aca="false">J$18*(INDEX(FedTaxTable,MATCH("Federal Surtax",FedTaxColumn,0),MATCH(J3,FedTaxRow,0)))</f>
        <v>#VALUE!</v>
      </c>
      <c r="K22" s="305" t="e">
        <f aca="false">K$18*(INDEX(FedTaxTable,MATCH("Federal Surtax",FedTaxColumn,0),MATCH(K3,FedTaxRow,0)))</f>
        <v>#VALUE!</v>
      </c>
      <c r="L22" s="305" t="e">
        <f aca="false">L$18*(INDEX(FedTaxTable,MATCH("Federal Surtax",FedTaxColumn,0),MATCH(L3,FedTaxRow,0)))</f>
        <v>#VALUE!</v>
      </c>
      <c r="M22" s="305" t="e">
        <f aca="false">M$18*(INDEX(FedTaxTable,MATCH("Federal Surtax",FedTaxColumn,0),MATCH(M3,FedTaxRow,0)))</f>
        <v>#VALUE!</v>
      </c>
      <c r="N22" s="305" t="e">
        <f aca="false">N$18*(INDEX(FedTaxTable,MATCH("Federal Surtax",FedTaxColumn,0),MATCH(N3,FedTaxRow,0)))</f>
        <v>#VALUE!</v>
      </c>
      <c r="O22" s="305" t="e">
        <f aca="false">O$18*(INDEX(FedTaxTable,MATCH("Federal Surtax",FedTaxColumn,0),MATCH(O3,FedTaxRow,0)))</f>
        <v>#VALUE!</v>
      </c>
      <c r="P22" s="305" t="e">
        <f aca="false">P$18*(INDEX(FedTaxTable,MATCH("Federal Surtax",FedTaxColumn,0),MATCH(P3,FedTaxRow,0)))</f>
        <v>#VALUE!</v>
      </c>
      <c r="Q22" s="305" t="e">
        <f aca="false">Q$18*(INDEX(FedTaxTable,MATCH("Federal Surtax",FedTaxColumn,0),MATCH(Q3,FedTaxRow,0)))</f>
        <v>#VALUE!</v>
      </c>
      <c r="R22" s="305" t="e">
        <f aca="false">R$18*(INDEX(FedTaxTable,MATCH("Federal Surtax",FedTaxColumn,0),MATCH(R3,FedTaxRow,0)))</f>
        <v>#VALUE!</v>
      </c>
      <c r="S22" s="305" t="e">
        <f aca="false">S$18*(INDEX(FedTaxTable,MATCH("Federal Surtax",FedTaxColumn,0),MATCH(S3,FedTaxRow,0)))</f>
        <v>#VALUE!</v>
      </c>
      <c r="T22" s="305" t="e">
        <f aca="false">T$18*(INDEX(FedTaxTable,MATCH("Federal Surtax",FedTaxColumn,0),MATCH(T3,FedTaxRow,0)))</f>
        <v>#VALUE!</v>
      </c>
      <c r="U22" s="305" t="e">
        <f aca="false">U$18*(INDEX(FedTaxTable,MATCH("Federal Surtax",FedTaxColumn,0),MATCH(U3,FedTaxRow,0)))</f>
        <v>#VALUE!</v>
      </c>
      <c r="V22" s="305" t="e">
        <f aca="false">V$18*(INDEX(FedTaxTable,MATCH("Federal Surtax",FedTaxColumn,0),MATCH(V3,FedTaxRow,0)))</f>
        <v>#VALUE!</v>
      </c>
      <c r="W22" s="305" t="e">
        <f aca="false">W$18*(INDEX(FedTaxTable,MATCH("Federal Surtax",FedTaxColumn,0),MATCH(W3,FedTaxRow,0)))</f>
        <v>#VALUE!</v>
      </c>
      <c r="X22" s="305" t="e">
        <f aca="false">X$18*(INDEX(FedTaxTable,MATCH("Federal Surtax",FedTaxColumn,0),MATCH(X3,FedTaxRow,0)))</f>
        <v>#VALUE!</v>
      </c>
      <c r="Y22" s="305"/>
      <c r="Z22" s="305"/>
      <c r="AA22" s="305"/>
      <c r="AB22" s="305"/>
      <c r="AC22" s="114"/>
      <c r="AD22" s="114"/>
      <c r="AE22" s="114"/>
    </row>
    <row r="23" customFormat="false" ht="11.25" hidden="false" customHeight="false" outlineLevel="0" collapsed="false">
      <c r="A23" s="295" t="s">
        <v>257</v>
      </c>
      <c r="B23" s="305"/>
      <c r="C23" s="305" t="n">
        <f aca="false">C18*(INDEX(ProvTaxTable,MATCH("Provincial Tax Rate",ProvTaxColumn,0),MATCH(C3,ProvTaxRow,0)))</f>
        <v>-69.2004056492606</v>
      </c>
      <c r="D23" s="305" t="e">
        <f aca="false">D18*(INDEX(ProvTaxTable,MATCH("Provincial Tax Rate",ProvTaxColumn,0),MATCH(D3,ProvTaxRow,0)))</f>
        <v>#VALUE!</v>
      </c>
      <c r="E23" s="305" t="e">
        <f aca="false">E18*(INDEX(ProvTaxTable,MATCH("Provincial Tax Rate",ProvTaxColumn,0),MATCH(E3,ProvTaxRow,0)))</f>
        <v>#VALUE!</v>
      </c>
      <c r="F23" s="305" t="e">
        <f aca="false">F18*(INDEX(ProvTaxTable,MATCH("Provincial Tax Rate",ProvTaxColumn,0),MATCH(F3,ProvTaxRow,0)))</f>
        <v>#VALUE!</v>
      </c>
      <c r="G23" s="305" t="e">
        <f aca="false">G18*(INDEX(ProvTaxTable,MATCH("Provincial Tax Rate",ProvTaxColumn,0),MATCH(G3,ProvTaxRow,0)))</f>
        <v>#VALUE!</v>
      </c>
      <c r="H23" s="305" t="e">
        <f aca="false">H18*(INDEX(ProvTaxTable,MATCH("Provincial Tax Rate",ProvTaxColumn,0),MATCH(H3,ProvTaxRow,0)))</f>
        <v>#VALUE!</v>
      </c>
      <c r="I23" s="305" t="e">
        <f aca="false">I18*(INDEX(ProvTaxTable,MATCH("Provincial Tax Rate",ProvTaxColumn,0),MATCH(I3,ProvTaxRow,0)))</f>
        <v>#VALUE!</v>
      </c>
      <c r="J23" s="305" t="e">
        <f aca="false">J18*(INDEX(ProvTaxTable,MATCH("Provincial Tax Rate",ProvTaxColumn,0),MATCH(J3,ProvTaxRow,0)))</f>
        <v>#VALUE!</v>
      </c>
      <c r="K23" s="305" t="e">
        <f aca="false">K18*(INDEX(ProvTaxTable,MATCH("Provincial Tax Rate",ProvTaxColumn,0),MATCH(K3,ProvTaxRow,0)))</f>
        <v>#VALUE!</v>
      </c>
      <c r="L23" s="305" t="e">
        <f aca="false">L18*(INDEX(ProvTaxTable,MATCH("Provincial Tax Rate",ProvTaxColumn,0),MATCH(L3,ProvTaxRow,0)))</f>
        <v>#VALUE!</v>
      </c>
      <c r="M23" s="305" t="e">
        <f aca="false">M18*(INDEX(ProvTaxTable,MATCH("Provincial Tax Rate",ProvTaxColumn,0),MATCH(M3,ProvTaxRow,0)))</f>
        <v>#VALUE!</v>
      </c>
      <c r="N23" s="305" t="e">
        <f aca="false">N18*(INDEX(ProvTaxTable,MATCH("Provincial Tax Rate",ProvTaxColumn,0),MATCH(N3,ProvTaxRow,0)))</f>
        <v>#VALUE!</v>
      </c>
      <c r="O23" s="305" t="e">
        <f aca="false">O18*(INDEX(ProvTaxTable,MATCH("Provincial Tax Rate",ProvTaxColumn,0),MATCH(O3,ProvTaxRow,0)))</f>
        <v>#VALUE!</v>
      </c>
      <c r="P23" s="305" t="e">
        <f aca="false">P18*(INDEX(ProvTaxTable,MATCH("Provincial Tax Rate",ProvTaxColumn,0),MATCH(P3,ProvTaxRow,0)))</f>
        <v>#VALUE!</v>
      </c>
      <c r="Q23" s="305" t="e">
        <f aca="false">Q18*(INDEX(ProvTaxTable,MATCH("Provincial Tax Rate",ProvTaxColumn,0),MATCH(Q3,ProvTaxRow,0)))</f>
        <v>#VALUE!</v>
      </c>
      <c r="R23" s="305" t="e">
        <f aca="false">R18*(INDEX(ProvTaxTable,MATCH("Provincial Tax Rate",ProvTaxColumn,0),MATCH(R3,ProvTaxRow,0)))</f>
        <v>#VALUE!</v>
      </c>
      <c r="S23" s="305" t="e">
        <f aca="false">S18*(INDEX(ProvTaxTable,MATCH("Provincial Tax Rate",ProvTaxColumn,0),MATCH(S3,ProvTaxRow,0)))</f>
        <v>#VALUE!</v>
      </c>
      <c r="T23" s="305" t="e">
        <f aca="false">T18*(INDEX(ProvTaxTable,MATCH("Provincial Tax Rate",ProvTaxColumn,0),MATCH(T3,ProvTaxRow,0)))</f>
        <v>#VALUE!</v>
      </c>
      <c r="U23" s="305" t="e">
        <f aca="false">U18*(INDEX(ProvTaxTable,MATCH("Provincial Tax Rate",ProvTaxColumn,0),MATCH(U3,ProvTaxRow,0)))</f>
        <v>#VALUE!</v>
      </c>
      <c r="V23" s="305" t="e">
        <f aca="false">V18*(INDEX(ProvTaxTable,MATCH("Provincial Tax Rate",ProvTaxColumn,0),MATCH(V3,ProvTaxRow,0)))</f>
        <v>#VALUE!</v>
      </c>
      <c r="W23" s="305" t="e">
        <f aca="false">W18*(INDEX(ProvTaxTable,MATCH("Provincial Tax Rate",ProvTaxColumn,0),MATCH(W3,ProvTaxRow,0)))</f>
        <v>#VALUE!</v>
      </c>
      <c r="X23" s="305" t="e">
        <f aca="false">X18*(INDEX(ProvTaxTable,MATCH("Provincial Tax Rate",ProvTaxColumn,0),MATCH(X3,ProvTaxRow,0)))</f>
        <v>#VALUE!</v>
      </c>
      <c r="Y23" s="305"/>
      <c r="Z23" s="305"/>
      <c r="AA23" s="305"/>
      <c r="AB23" s="305"/>
      <c r="AC23" s="114"/>
      <c r="AD23" s="114"/>
      <c r="AE23" s="114"/>
    </row>
    <row r="24" customFormat="false" ht="11.25" hidden="false" customHeight="false" outlineLevel="0" collapsed="false">
      <c r="A24" s="310" t="s">
        <v>258</v>
      </c>
      <c r="B24" s="311"/>
      <c r="C24" s="311" t="n">
        <f aca="false">IF(AND(C23&gt;0,(C67+C68))&lt;=C23,-(C67+C68),0)</f>
        <v>0</v>
      </c>
      <c r="D24" s="311" t="e">
        <f aca="false">IF(AND(D23&gt;0,(D67+D68))&lt;=D23,-(D67+D68),0)</f>
        <v>#VALUE!</v>
      </c>
      <c r="E24" s="311" t="e">
        <f aca="false">IF(AND(E23&gt;0,(E67+E68))&lt;=E23,-(E67+E68),0)</f>
        <v>#VALUE!</v>
      </c>
      <c r="F24" s="311" t="e">
        <f aca="false">IF(AND(F23&gt;0,(F67+F68))&lt;=F23,-(F67+F68),0)</f>
        <v>#VALUE!</v>
      </c>
      <c r="G24" s="311" t="e">
        <f aca="false">IF(AND(G23&gt;0,(G67+G68))&lt;=G23,-(G67+G68),0)</f>
        <v>#VALUE!</v>
      </c>
      <c r="H24" s="311" t="e">
        <f aca="false">IF(AND(H23&gt;0,(H67+H68))&lt;=H23,-(H67+H68),0)</f>
        <v>#VALUE!</v>
      </c>
      <c r="I24" s="311" t="e">
        <f aca="false">IF(AND(I23&gt;0,(I67+I68))&lt;=I23,-(I67+I68),0)</f>
        <v>#VALUE!</v>
      </c>
      <c r="J24" s="311" t="e">
        <f aca="false">IF(AND(J23&gt;0,(J67+J68))&lt;=J23,-(J67+J68),0)</f>
        <v>#VALUE!</v>
      </c>
      <c r="K24" s="311" t="e">
        <f aca="false">IF(AND(K23&gt;0,((K67+K68))&lt;K23),-(K67+K68),0)</f>
        <v>#VALUE!</v>
      </c>
      <c r="L24" s="311" t="e">
        <f aca="false">IF(AND(L23&gt;0,(L67+L68))&lt;=L23,-(L67+L68),0)</f>
        <v>#VALUE!</v>
      </c>
      <c r="M24" s="311" t="e">
        <f aca="false">IF(AND(M23&gt;0,(M67+M68))&lt;=M23,-(M67+M68),0)</f>
        <v>#VALUE!</v>
      </c>
      <c r="N24" s="311" t="e">
        <f aca="false">IF(AND(N23&gt;0,(N67+N68))&lt;=N23,-(N67+N68),0)</f>
        <v>#VALUE!</v>
      </c>
      <c r="O24" s="311" t="e">
        <f aca="false">IF(AND(O23&gt;0,(O67+O68))&lt;=O23,-(O67+O68),0)</f>
        <v>#VALUE!</v>
      </c>
      <c r="P24" s="311" t="e">
        <f aca="false">IF(AND(P23&gt;0,(P67+P68))&lt;=P23,-(P67+P68),0)</f>
        <v>#VALUE!</v>
      </c>
      <c r="Q24" s="311" t="e">
        <f aca="false">IF(AND(Q23&gt;0,(Q67+Q68))&lt;=Q23,-(Q67+Q68),0)</f>
        <v>#VALUE!</v>
      </c>
      <c r="R24" s="311" t="e">
        <f aca="false">IF(AND(R23&gt;0,(R67+R68))&lt;=R23,-(R67+R68),0)</f>
        <v>#VALUE!</v>
      </c>
      <c r="S24" s="311" t="e">
        <f aca="false">IF(AND(S23&gt;0,(S67+S68))&lt;=S23,-(S67+S68),0)</f>
        <v>#VALUE!</v>
      </c>
      <c r="T24" s="311" t="e">
        <f aca="false">IF(AND(T23&gt;0,(T67+T68))&lt;=T23,-(T67+T68),0)</f>
        <v>#VALUE!</v>
      </c>
      <c r="U24" s="311" t="e">
        <f aca="false">IF(AND(U23&gt;0,(U67+U68))&lt;=U23,-(U67+U68),0)</f>
        <v>#VALUE!</v>
      </c>
      <c r="V24" s="311" t="e">
        <f aca="false">IF(AND(V23&gt;0,(V67+V68))&lt;=V23,-(V67+V68),0)</f>
        <v>#VALUE!</v>
      </c>
      <c r="W24" s="311" t="e">
        <f aca="false">IF(AND(W23&gt;0,(W67+W68))&lt;=W23,-(W67+W68),0)</f>
        <v>#VALUE!</v>
      </c>
      <c r="X24" s="311" t="e">
        <f aca="false">IF(AND(X23&gt;0,(X67+X68))&lt;=X23,-(X67+X68),0)</f>
        <v>#VALUE!</v>
      </c>
      <c r="Y24" s="305"/>
      <c r="Z24" s="305"/>
      <c r="AA24" s="305"/>
      <c r="AB24" s="305"/>
      <c r="AC24" s="114"/>
      <c r="AD24" s="114"/>
      <c r="AE24" s="114"/>
    </row>
    <row r="25" customFormat="false" ht="11.25" hidden="false" customHeight="false" outlineLevel="0" collapsed="false">
      <c r="A25" s="312" t="s">
        <v>259</v>
      </c>
      <c r="B25" s="311"/>
      <c r="C25" s="311" t="n">
        <f aca="false">C23+C24</f>
        <v>-69.2004056492606</v>
      </c>
      <c r="D25" s="311" t="e">
        <f aca="false">D23+D24</f>
        <v>#VALUE!</v>
      </c>
      <c r="E25" s="311" t="e">
        <f aca="false">E23+E24</f>
        <v>#VALUE!</v>
      </c>
      <c r="F25" s="311" t="e">
        <f aca="false">F23+F24</f>
        <v>#VALUE!</v>
      </c>
      <c r="G25" s="311" t="e">
        <f aca="false">G23+G24</f>
        <v>#VALUE!</v>
      </c>
      <c r="H25" s="311" t="e">
        <f aca="false">H23+H24</f>
        <v>#VALUE!</v>
      </c>
      <c r="I25" s="311" t="e">
        <f aca="false">I23+I24</f>
        <v>#VALUE!</v>
      </c>
      <c r="J25" s="311" t="e">
        <f aca="false">J23+J24</f>
        <v>#VALUE!</v>
      </c>
      <c r="K25" s="311" t="e">
        <f aca="false">K23+K24</f>
        <v>#VALUE!</v>
      </c>
      <c r="L25" s="311" t="e">
        <f aca="false">L23+L24</f>
        <v>#VALUE!</v>
      </c>
      <c r="M25" s="311" t="e">
        <f aca="false">M23+M24</f>
        <v>#VALUE!</v>
      </c>
      <c r="N25" s="311" t="e">
        <f aca="false">N23+N24</f>
        <v>#VALUE!</v>
      </c>
      <c r="O25" s="311" t="e">
        <f aca="false">O23+O24</f>
        <v>#VALUE!</v>
      </c>
      <c r="P25" s="311" t="e">
        <f aca="false">P23+P24</f>
        <v>#VALUE!</v>
      </c>
      <c r="Q25" s="311" t="e">
        <f aca="false">Q23+Q24</f>
        <v>#VALUE!</v>
      </c>
      <c r="R25" s="311" t="e">
        <f aca="false">R23+R24</f>
        <v>#VALUE!</v>
      </c>
      <c r="S25" s="311" t="e">
        <f aca="false">S23+S24</f>
        <v>#VALUE!</v>
      </c>
      <c r="T25" s="311" t="e">
        <f aca="false">T23+T24</f>
        <v>#VALUE!</v>
      </c>
      <c r="U25" s="311" t="e">
        <f aca="false">U23+U24</f>
        <v>#VALUE!</v>
      </c>
      <c r="V25" s="311" t="e">
        <f aca="false">V23+V24</f>
        <v>#VALUE!</v>
      </c>
      <c r="W25" s="311" t="e">
        <f aca="false">W23+W24</f>
        <v>#VALUE!</v>
      </c>
      <c r="X25" s="311" t="e">
        <f aca="false">X23+X24</f>
        <v>#VALUE!</v>
      </c>
      <c r="Y25" s="305"/>
      <c r="Z25" s="305"/>
      <c r="AA25" s="305"/>
      <c r="AB25" s="305"/>
      <c r="AC25" s="114"/>
      <c r="AD25" s="114"/>
      <c r="AE25" s="114"/>
    </row>
    <row r="26" customFormat="false" ht="11.25" hidden="false" customHeight="false" outlineLevel="0" collapsed="false">
      <c r="A26" s="310" t="s">
        <v>260</v>
      </c>
      <c r="B26" s="311"/>
      <c r="C26" s="313" t="n">
        <f aca="false">SUBTOTAL(9,C21:C22,C25)</f>
        <v>-185.814250524014</v>
      </c>
      <c r="D26" s="313" t="e">
        <f aca="false">SUBTOTAL(9,D21:D22,D25)</f>
        <v>#VALUE!</v>
      </c>
      <c r="E26" s="313" t="e">
        <f aca="false">SUBTOTAL(9,E21:E22,E25)</f>
        <v>#VALUE!</v>
      </c>
      <c r="F26" s="313" t="e">
        <f aca="false">SUBTOTAL(9,F21:F22,F25)</f>
        <v>#VALUE!</v>
      </c>
      <c r="G26" s="313" t="e">
        <f aca="false">SUBTOTAL(9,G21:G22,G25)</f>
        <v>#VALUE!</v>
      </c>
      <c r="H26" s="313" t="e">
        <f aca="false">SUBTOTAL(9,H21:H22,H25)</f>
        <v>#VALUE!</v>
      </c>
      <c r="I26" s="313" t="e">
        <f aca="false">SUBTOTAL(9,I21:I22,I25)</f>
        <v>#VALUE!</v>
      </c>
      <c r="J26" s="313" t="e">
        <f aca="false">SUBTOTAL(9,J21:J22,J25)</f>
        <v>#VALUE!</v>
      </c>
      <c r="K26" s="313" t="e">
        <f aca="false">SUBTOTAL(9,K21:K22,K25)</f>
        <v>#VALUE!</v>
      </c>
      <c r="L26" s="313" t="e">
        <f aca="false">SUBTOTAL(9,L21:L22,L25)</f>
        <v>#VALUE!</v>
      </c>
      <c r="M26" s="313" t="e">
        <f aca="false">SUBTOTAL(9,M21:M22,M25)</f>
        <v>#VALUE!</v>
      </c>
      <c r="N26" s="313" t="e">
        <f aca="false">SUBTOTAL(9,N21:N22,N25)</f>
        <v>#VALUE!</v>
      </c>
      <c r="O26" s="313" t="e">
        <f aca="false">SUBTOTAL(9,O21:O22,O25)</f>
        <v>#VALUE!</v>
      </c>
      <c r="P26" s="313" t="e">
        <f aca="false">SUBTOTAL(9,P21:P22,P25)</f>
        <v>#VALUE!</v>
      </c>
      <c r="Q26" s="313" t="e">
        <f aca="false">SUBTOTAL(9,Q21:Q22,Q25)</f>
        <v>#VALUE!</v>
      </c>
      <c r="R26" s="313" t="e">
        <f aca="false">SUBTOTAL(9,R21:R22,R25)</f>
        <v>#VALUE!</v>
      </c>
      <c r="S26" s="313" t="e">
        <f aca="false">SUBTOTAL(9,S21:S22,S25)</f>
        <v>#VALUE!</v>
      </c>
      <c r="T26" s="313" t="e">
        <f aca="false">SUBTOTAL(9,T21:T22,T25)</f>
        <v>#VALUE!</v>
      </c>
      <c r="U26" s="313" t="e">
        <f aca="false">SUBTOTAL(9,U21:U22,U25)</f>
        <v>#VALUE!</v>
      </c>
      <c r="V26" s="313" t="e">
        <f aca="false">SUBTOTAL(9,V21:V22,V25)</f>
        <v>#VALUE!</v>
      </c>
      <c r="W26" s="313" t="e">
        <f aca="false">SUBTOTAL(9,W21:W22,W25)</f>
        <v>#VALUE!</v>
      </c>
      <c r="X26" s="313" t="e">
        <f aca="false">SUBTOTAL(9,X21:X22,X25)</f>
        <v>#VALUE!</v>
      </c>
      <c r="Y26" s="305"/>
      <c r="Z26" s="305"/>
      <c r="AA26" s="305"/>
      <c r="AB26" s="305"/>
      <c r="AC26" s="114"/>
      <c r="AD26" s="114"/>
      <c r="AE26" s="114"/>
    </row>
    <row r="27" customFormat="false" ht="11.25" hidden="false" customHeight="false" outlineLevel="0" collapsed="false">
      <c r="A27" s="295"/>
      <c r="B27" s="305"/>
      <c r="C27" s="295"/>
      <c r="D27" s="295"/>
      <c r="E27" s="29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05"/>
      <c r="AA27" s="305"/>
      <c r="AB27" s="305"/>
      <c r="AC27" s="114"/>
      <c r="AD27" s="114"/>
      <c r="AE27" s="114"/>
    </row>
    <row r="28" customFormat="false" ht="11.25" hidden="false" customHeight="false" outlineLevel="0" collapsed="false">
      <c r="A28" s="295" t="s">
        <v>261</v>
      </c>
      <c r="B28" s="305"/>
      <c r="C28" s="305" t="e">
        <f aca="false">C58</f>
        <v>#VALUE!</v>
      </c>
      <c r="D28" s="305" t="e">
        <f aca="false">D58</f>
        <v>#VALUE!</v>
      </c>
      <c r="E28" s="305" t="e">
        <f aca="false">E58</f>
        <v>#VALUE!</v>
      </c>
      <c r="F28" s="305" t="e">
        <f aca="false">F58</f>
        <v>#VALUE!</v>
      </c>
      <c r="G28" s="305" t="e">
        <f aca="false">G58</f>
        <v>#VALUE!</v>
      </c>
      <c r="H28" s="305" t="n">
        <v>0</v>
      </c>
      <c r="I28" s="305" t="e">
        <f aca="false">I58</f>
        <v>#VALUE!</v>
      </c>
      <c r="J28" s="305" t="e">
        <f aca="false">J58</f>
        <v>#VALUE!</v>
      </c>
      <c r="K28" s="305" t="e">
        <f aca="false">K58</f>
        <v>#VALUE!</v>
      </c>
      <c r="L28" s="305" t="e">
        <f aca="false">L58</f>
        <v>#VALUE!</v>
      </c>
      <c r="M28" s="305" t="e">
        <f aca="false">M58</f>
        <v>#VALUE!</v>
      </c>
      <c r="N28" s="305" t="e">
        <f aca="false">N58</f>
        <v>#VALUE!</v>
      </c>
      <c r="O28" s="305" t="e">
        <f aca="false">O58</f>
        <v>#VALUE!</v>
      </c>
      <c r="P28" s="305" t="e">
        <f aca="false">P58</f>
        <v>#VALUE!</v>
      </c>
      <c r="Q28" s="305" t="e">
        <f aca="false">Q58</f>
        <v>#VALUE!</v>
      </c>
      <c r="R28" s="305" t="e">
        <f aca="false">R58</f>
        <v>#VALUE!</v>
      </c>
      <c r="S28" s="305" t="e">
        <f aca="false">S58</f>
        <v>#VALUE!</v>
      </c>
      <c r="T28" s="305" t="e">
        <f aca="false">T58</f>
        <v>#VALUE!</v>
      </c>
      <c r="U28" s="305" t="e">
        <f aca="false">U58</f>
        <v>#VALUE!</v>
      </c>
      <c r="V28" s="305" t="e">
        <f aca="false">V58</f>
        <v>#VALUE!</v>
      </c>
      <c r="W28" s="305" t="e">
        <f aca="false">W58</f>
        <v>#VALUE!</v>
      </c>
      <c r="X28" s="305" t="e">
        <f aca="false">X58</f>
        <v>#VALUE!</v>
      </c>
      <c r="Y28" s="305"/>
      <c r="Z28" s="305"/>
      <c r="AA28" s="305"/>
      <c r="AB28" s="305"/>
      <c r="AC28" s="114"/>
      <c r="AD28" s="114"/>
      <c r="AE28" s="114"/>
    </row>
    <row r="29" customFormat="false" ht="11.25" hidden="false" customHeight="false" outlineLevel="0" collapsed="false">
      <c r="A29" s="295" t="s">
        <v>262</v>
      </c>
      <c r="B29" s="305"/>
      <c r="C29" s="305" t="n">
        <f aca="false">C53</f>
        <v>534.952002320608</v>
      </c>
      <c r="D29" s="305" t="n">
        <f aca="false">D53</f>
        <v>600.939847895577</v>
      </c>
      <c r="E29" s="305" t="n">
        <f aca="false">E53</f>
        <v>643.419343169395</v>
      </c>
      <c r="F29" s="305" t="n">
        <f aca="false">F53</f>
        <v>674.847637155803</v>
      </c>
      <c r="G29" s="305" t="n">
        <f aca="false">G53</f>
        <v>694.974531356089</v>
      </c>
      <c r="H29" s="305" t="n">
        <f aca="false">H53</f>
        <v>709.261115473309</v>
      </c>
      <c r="I29" s="305" t="n">
        <f aca="false">I53</f>
        <v>724.130235206044</v>
      </c>
      <c r="J29" s="305" t="n">
        <f aca="false">J53</f>
        <v>739.017826809129</v>
      </c>
      <c r="K29" s="305" t="n">
        <f aca="false">K53</f>
        <v>751.459652050459</v>
      </c>
      <c r="L29" s="305" t="n">
        <f aca="false">L53</f>
        <v>764.374987751689</v>
      </c>
      <c r="M29" s="305" t="n">
        <f aca="false">M53</f>
        <v>776.576084642422</v>
      </c>
      <c r="N29" s="305" t="n">
        <f aca="false">N53</f>
        <v>788.833237343414</v>
      </c>
      <c r="O29" s="305" t="n">
        <f aca="false">O53</f>
        <v>801.189122621207</v>
      </c>
      <c r="P29" s="305" t="n">
        <f aca="false">P53</f>
        <v>814.70512962573</v>
      </c>
      <c r="Q29" s="305" t="n">
        <f aca="false">Q53</f>
        <v>828.059013604036</v>
      </c>
      <c r="R29" s="305" t="n">
        <f aca="false">R53</f>
        <v>822.379730635062</v>
      </c>
      <c r="S29" s="305" t="n">
        <f aca="false">S53</f>
        <v>0</v>
      </c>
      <c r="T29" s="305" t="n">
        <f aca="false">T53</f>
        <v>0</v>
      </c>
      <c r="U29" s="305" t="n">
        <f aca="false">U53</f>
        <v>0</v>
      </c>
      <c r="V29" s="305" t="n">
        <f aca="false">V53</f>
        <v>0</v>
      </c>
      <c r="W29" s="305" t="n">
        <f aca="false">W53</f>
        <v>286.067859063549</v>
      </c>
      <c r="X29" s="305" t="n">
        <f aca="false">X53</f>
        <v>286.067859063549</v>
      </c>
      <c r="Y29" s="305"/>
      <c r="Z29" s="305"/>
      <c r="AA29" s="305"/>
      <c r="AB29" s="305"/>
      <c r="AC29" s="114"/>
      <c r="AD29" s="114"/>
      <c r="AE29" s="114"/>
    </row>
    <row r="30" customFormat="false" ht="11.25" hidden="false" customHeight="false" outlineLevel="0" collapsed="false">
      <c r="A30" s="295"/>
      <c r="B30" s="305"/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114"/>
      <c r="AD30" s="114"/>
      <c r="AE30" s="114"/>
    </row>
    <row r="31" customFormat="false" ht="11.25" hidden="false" customHeight="false" outlineLevel="0" collapsed="false">
      <c r="A31" s="295" t="s">
        <v>263</v>
      </c>
      <c r="B31" s="305"/>
      <c r="C31" s="305" t="n">
        <f aca="false">IF(AND(C6&gt;0,(C15+C16)&lt;=1),C6*INDEX(ProvTaxTable,MATCH("Corporate Minimum Tax",ProvTaxColumn,0),MATCH(C3,ProvTaxRow,0)),0)</f>
        <v>0</v>
      </c>
      <c r="D31" s="305" t="e">
        <f aca="false">IF(AND(D6&gt;0,(D15+D16)&lt;=1),D6*INDEX(ProvTaxTable,MATCH("Corporate Minimum Tax",ProvTaxColumn,0),MATCH(D3,ProvTaxRow,0)),0)</f>
        <v>#VALUE!</v>
      </c>
      <c r="E31" s="305" t="e">
        <f aca="false">IF(AND(E6&gt;0,(E15+E16)&lt;=1),E6*INDEX(ProvTaxTable,MATCH("Corporate Minimum Tax",ProvTaxColumn,0),MATCH(E3,ProvTaxRow,0)),0)</f>
        <v>#VALUE!</v>
      </c>
      <c r="F31" s="305" t="e">
        <f aca="false">IF(AND(F6&gt;0,(F15+F16)&lt;=1),F6*INDEX(ProvTaxTable,MATCH("Corporate Minimum Tax",ProvTaxColumn,0),MATCH(F3,ProvTaxRow,0)),0)</f>
        <v>#VALUE!</v>
      </c>
      <c r="G31" s="305" t="e">
        <f aca="false">IF(AND(G6&gt;0,(G15+G16)&lt;=1),G6*INDEX(ProvTaxTable,MATCH("Corporate Minimum Tax",ProvTaxColumn,0),MATCH(G3,ProvTaxRow,0)),0)</f>
        <v>#VALUE!</v>
      </c>
      <c r="H31" s="305" t="e">
        <f aca="false">IF(AND(H6&gt;0,(H15+H16)&lt;=1),H6*INDEX(ProvTaxTable,MATCH("Corporate Minimum Tax",ProvTaxColumn,0),MATCH(H3,ProvTaxRow,0)),0)</f>
        <v>#VALUE!</v>
      </c>
      <c r="I31" s="305" t="e">
        <f aca="false">IF(AND(I6&gt;0,(I15+I16)&lt;=1),I6*INDEX(ProvTaxTable,MATCH("Corporate Minimum Tax",ProvTaxColumn,0),MATCH(I3,ProvTaxRow,0)),0)</f>
        <v>#VALUE!</v>
      </c>
      <c r="J31" s="305" t="e">
        <f aca="false">IF(AND(J6&gt;0,(J15+J16)&lt;=1),J6*INDEX(ProvTaxTable,MATCH("Corporate Minimum Tax",ProvTaxColumn,0),MATCH(J3,ProvTaxRow,0)),0)</f>
        <v>#VALUE!</v>
      </c>
      <c r="K31" s="305" t="e">
        <f aca="false">IF(AND(K6&gt;0,(K15+K16)&lt;=1),K6*INDEX(ProvTaxTable,MATCH("Corporate Minimum Tax",ProvTaxColumn,0),MATCH(K3,ProvTaxRow,0)),0)</f>
        <v>#VALUE!</v>
      </c>
      <c r="L31" s="305" t="e">
        <f aca="false">IF(AND(L6&gt;0,(L15+L16)&lt;=1),L6*INDEX(ProvTaxTable,MATCH("Corporate Minimum Tax",ProvTaxColumn,0),MATCH(L3,ProvTaxRow,0)),0)</f>
        <v>#VALUE!</v>
      </c>
      <c r="M31" s="305" t="e">
        <f aca="false">IF(AND(M6&gt;0,(M15+M16)&lt;=1),M6*INDEX(ProvTaxTable,MATCH("Corporate Minimum Tax",ProvTaxColumn,0),MATCH(M3,ProvTaxRow,0)),0)</f>
        <v>#VALUE!</v>
      </c>
      <c r="N31" s="305" t="e">
        <f aca="false">IF(AND(N6&gt;0,(N15+N16)&lt;=1),N6*INDEX(ProvTaxTable,MATCH("Corporate Minimum Tax",ProvTaxColumn,0),MATCH(N3,ProvTaxRow,0)),0)</f>
        <v>#VALUE!</v>
      </c>
      <c r="O31" s="305" t="e">
        <f aca="false">IF(AND(O6&gt;0,(O15+O16)&lt;=1),O6*INDEX(ProvTaxTable,MATCH("Corporate Minimum Tax",ProvTaxColumn,0),MATCH(O3,ProvTaxRow,0)),0)</f>
        <v>#VALUE!</v>
      </c>
      <c r="P31" s="305" t="e">
        <f aca="false">IF(AND(P6&gt;0,(P15+P16)&lt;=1),P6*INDEX(ProvTaxTable,MATCH("Corporate Minimum Tax",ProvTaxColumn,0),MATCH(P3,ProvTaxRow,0)),0)</f>
        <v>#VALUE!</v>
      </c>
      <c r="Q31" s="305" t="e">
        <f aca="false">IF(AND(Q6&gt;0,(Q15+Q16)&lt;=1),Q6*INDEX(ProvTaxTable,MATCH("Corporate Minimum Tax",ProvTaxColumn,0),MATCH(Q3,ProvTaxRow,0)),0)</f>
        <v>#VALUE!</v>
      </c>
      <c r="R31" s="305" t="e">
        <f aca="false">IF(AND(R6&gt;0,(R15+R16)&lt;=1),R6*INDEX(ProvTaxTable,MATCH("Corporate Minimum Tax",ProvTaxColumn,0),MATCH(R3,ProvTaxRow,0)),0)</f>
        <v>#VALUE!</v>
      </c>
      <c r="S31" s="305" t="e">
        <f aca="false">IF(AND(S6&gt;0,(S15+S16)&lt;=1),S6*INDEX(ProvTaxTable,MATCH("Corporate Minimum Tax",ProvTaxColumn,0),MATCH(S3,ProvTaxRow,0)),0)</f>
        <v>#VALUE!</v>
      </c>
      <c r="T31" s="305" t="e">
        <f aca="false">IF(AND(T6&gt;0,(T15+T16)&lt;=1),T6*INDEX(ProvTaxTable,MATCH("Corporate Minimum Tax",ProvTaxColumn,0),MATCH(T3,ProvTaxRow,0)),0)</f>
        <v>#VALUE!</v>
      </c>
      <c r="U31" s="305" t="e">
        <f aca="false">IF(AND(U6&gt;0,(U15+U16)&lt;=1),U6*INDEX(ProvTaxTable,MATCH("Corporate Minimum Tax",ProvTaxColumn,0),MATCH(U3,ProvTaxRow,0)),0)</f>
        <v>#VALUE!</v>
      </c>
      <c r="V31" s="305" t="e">
        <f aca="false">IF(AND(V6&gt;0,(V15+V16)&lt;=1),V6*INDEX(ProvTaxTable,MATCH("Corporate Minimum Tax",ProvTaxColumn,0),MATCH(V3,ProvTaxRow,0)),0)</f>
        <v>#VALUE!</v>
      </c>
      <c r="W31" s="305" t="e">
        <f aca="false">IF(AND(W6&gt;0,(W15+W16)&lt;=1),W6*INDEX(ProvTaxTable,MATCH("Corporate Minimum Tax",ProvTaxColumn,0),MATCH(W3,ProvTaxRow,0)),0)</f>
        <v>#VALUE!</v>
      </c>
      <c r="X31" s="305" t="e">
        <f aca="false">IF(AND(X6&gt;0,(X15+X16)&lt;=1),X6*INDEX(ProvTaxTable,MATCH("Corporate Minimum Tax",ProvTaxColumn,0),MATCH(X3,ProvTaxRow,0)),0)</f>
        <v>#VALUE!</v>
      </c>
      <c r="Y31" s="305"/>
      <c r="Z31" s="305"/>
      <c r="AA31" s="305"/>
      <c r="AB31" s="305"/>
      <c r="AC31" s="114"/>
      <c r="AD31" s="114"/>
      <c r="AE31" s="114"/>
    </row>
    <row r="32" customFormat="false" ht="11.25" hidden="false" customHeight="false" outlineLevel="0" collapsed="false">
      <c r="A32" s="295"/>
      <c r="B32" s="305"/>
      <c r="C32" s="305"/>
      <c r="D32" s="305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  <c r="T32" s="305"/>
      <c r="U32" s="305"/>
      <c r="V32" s="305"/>
      <c r="W32" s="305"/>
      <c r="X32" s="305"/>
      <c r="Y32" s="305"/>
      <c r="Z32" s="305"/>
      <c r="AA32" s="305"/>
      <c r="AB32" s="305"/>
      <c r="AC32" s="114"/>
      <c r="AD32" s="114"/>
      <c r="AE32" s="114"/>
    </row>
    <row r="33" customFormat="false" ht="11.25" hidden="false" customHeight="false" outlineLevel="0" collapsed="false">
      <c r="A33" s="295" t="s">
        <v>264</v>
      </c>
      <c r="B33" s="305"/>
      <c r="C33" s="305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5"/>
      <c r="U33" s="305"/>
      <c r="V33" s="305"/>
      <c r="W33" s="305"/>
      <c r="X33" s="305"/>
      <c r="Y33" s="305"/>
      <c r="Z33" s="305"/>
      <c r="AA33" s="305"/>
      <c r="AB33" s="305"/>
      <c r="AC33" s="114"/>
      <c r="AD33" s="114"/>
      <c r="AE33" s="114"/>
    </row>
    <row r="34" customFormat="false" ht="11.25" hidden="false" customHeight="false" outlineLevel="0" collapsed="false">
      <c r="A34" s="295"/>
      <c r="B34" s="305"/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5"/>
      <c r="U34" s="305"/>
      <c r="V34" s="305"/>
      <c r="W34" s="305"/>
      <c r="X34" s="305"/>
      <c r="Y34" s="305"/>
      <c r="Z34" s="305"/>
      <c r="AA34" s="305"/>
      <c r="AB34" s="305"/>
      <c r="AC34" s="114"/>
      <c r="AD34" s="114"/>
      <c r="AE34" s="114"/>
    </row>
    <row r="35" customFormat="false" ht="11.25" hidden="false" customHeight="false" outlineLevel="0" collapsed="false">
      <c r="A35" s="113"/>
      <c r="B35" s="305"/>
      <c r="C35" s="305"/>
      <c r="D35" s="113"/>
      <c r="E35" s="113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305"/>
      <c r="Y35" s="305"/>
      <c r="Z35" s="305"/>
      <c r="AA35" s="305"/>
      <c r="AB35" s="305"/>
      <c r="AC35" s="114"/>
      <c r="AD35" s="114"/>
      <c r="AE35" s="114"/>
    </row>
    <row r="36" customFormat="false" ht="11.25" hidden="false" customHeight="false" outlineLevel="0" collapsed="false">
      <c r="A36" s="113" t="s">
        <v>265</v>
      </c>
      <c r="B36" s="305"/>
      <c r="C36" s="314" t="e">
        <f aca="false">IF(C38-C26-C28-C29&lt;0,0,C38-C26-C28-C29)</f>
        <v>#VALUE!</v>
      </c>
      <c r="D36" s="314" t="e">
        <f aca="false">IF(D38-D26-D28-D29&lt;0,0,D38-D26-D28-D29)</f>
        <v>#VALUE!</v>
      </c>
      <c r="E36" s="314" t="e">
        <f aca="false">IF(E38-E26-E28-E29&lt;0,0,E38-E26-E28-E29)</f>
        <v>#VALUE!</v>
      </c>
      <c r="F36" s="314" t="e">
        <f aca="false">IF(F38-F26-F28-F29&lt;0,0,F38-F26-F28-F29)</f>
        <v>#VALUE!</v>
      </c>
      <c r="G36" s="314" t="e">
        <f aca="false">IF(G38-G26-G28-G29&lt;0,0,G38-G26-G28-G29)</f>
        <v>#VALUE!</v>
      </c>
      <c r="H36" s="314" t="e">
        <f aca="false">IF(H38-H26-H28-H29&lt;0,0,H38-H26-H28-H29)</f>
        <v>#VALUE!</v>
      </c>
      <c r="I36" s="314" t="e">
        <f aca="false">IF(I38-I26-I28-I29&lt;0,0,I38-I26-I28-I29)</f>
        <v>#VALUE!</v>
      </c>
      <c r="J36" s="314" t="e">
        <f aca="false">IF(J38-J26-J28-J29&lt;0,0,J38-J26-J28-J29)</f>
        <v>#VALUE!</v>
      </c>
      <c r="K36" s="314" t="e">
        <f aca="false">IF(K38-K26-K28-K29&lt;0,0,K38-K26-K28-K29)</f>
        <v>#VALUE!</v>
      </c>
      <c r="L36" s="314" t="e">
        <f aca="false">IF(L38-L26-L28-L29&lt;0,0,L38-L26-L28-L29)</f>
        <v>#VALUE!</v>
      </c>
      <c r="M36" s="314" t="e">
        <f aca="false">IF(M38-M26-M28-M29&lt;0,0,M38-M26-M28-M29)</f>
        <v>#VALUE!</v>
      </c>
      <c r="N36" s="314" t="e">
        <f aca="false">IF(N38-N26-N28-N29&lt;0,0,N38-N26-N28-N29)</f>
        <v>#VALUE!</v>
      </c>
      <c r="O36" s="314" t="e">
        <f aca="false">IF(O38-O26-O28-O29&lt;0,0,O38-O26-O28-O29)</f>
        <v>#VALUE!</v>
      </c>
      <c r="P36" s="314" t="e">
        <f aca="false">IF(P38-P26-P28-P29&lt;0,0,P38-P26-P28-P29)</f>
        <v>#VALUE!</v>
      </c>
      <c r="Q36" s="314" t="e">
        <f aca="false">IF(Q38-Q26-Q28-Q29&lt;0,0,Q38-Q26-Q28-Q29)</f>
        <v>#VALUE!</v>
      </c>
      <c r="R36" s="314" t="e">
        <f aca="false">IF(R38-R26-R28-R29&lt;0,0,R38-R26-R28-R29)</f>
        <v>#VALUE!</v>
      </c>
      <c r="S36" s="314" t="e">
        <f aca="false">IF(S38-S26-S28-S29&lt;0,0,S38-S26-S28-S29)</f>
        <v>#VALUE!</v>
      </c>
      <c r="T36" s="314" t="e">
        <f aca="false">IF(T38-T26-T28-T29&lt;0,0,T38-T26-T28-T29)</f>
        <v>#VALUE!</v>
      </c>
      <c r="U36" s="314" t="e">
        <f aca="false">IF(U38-U26-U28-U29&lt;0,0,U38-U26-U28-U29)</f>
        <v>#VALUE!</v>
      </c>
      <c r="V36" s="314" t="e">
        <f aca="false">IF(V38-V26-V28-V29&lt;0,0,V38-V26-V28-V29)</f>
        <v>#VALUE!</v>
      </c>
      <c r="W36" s="314" t="e">
        <f aca="false">IF(W38-W26-W28-W29&lt;0,0,W38-W26-W28-W29)</f>
        <v>#VALUE!</v>
      </c>
      <c r="X36" s="314" t="e">
        <f aca="false">IF(X38-X26-X28-X29&lt;0,0,X38-X26-X28-X29)</f>
        <v>#VALUE!</v>
      </c>
      <c r="Y36" s="305"/>
      <c r="Z36" s="305"/>
      <c r="AA36" s="305"/>
      <c r="AB36" s="305"/>
      <c r="AC36" s="114"/>
      <c r="AD36" s="114"/>
      <c r="AE36" s="114"/>
    </row>
    <row r="37" customFormat="false" ht="11.25" hidden="false" customHeight="false" outlineLevel="0" collapsed="false">
      <c r="A37" s="113"/>
      <c r="B37" s="305"/>
      <c r="C37" s="305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305"/>
      <c r="X37" s="305"/>
      <c r="Y37" s="305"/>
      <c r="Z37" s="305"/>
      <c r="AA37" s="305"/>
      <c r="AB37" s="305"/>
      <c r="AC37" s="114"/>
      <c r="AD37" s="114"/>
      <c r="AE37" s="114"/>
    </row>
    <row r="38" customFormat="false" ht="12" hidden="false" customHeight="false" outlineLevel="0" collapsed="false">
      <c r="A38" s="113" t="s">
        <v>266</v>
      </c>
      <c r="B38" s="305"/>
      <c r="C38" s="315" t="e">
        <f aca="false">(((INDEX(FedTaxTable,MATCH("Federal Surtax",FedTaxColumn,0),MATCH(C$3,FedTaxRow,0)))+(INDEX(FedTaxTable,MATCH("Federal Income Tax after M &amp; P Credit",FedTaxColumn,0),MATCH(C$3,FedTaxRow,0)))+INDEX(ProvTaxTable,MATCH("Provincial Tax Rate",ProvTaxColumn,0),MATCH(C$3,ProvTaxRow,0)))*C6)+C28+C29</f>
        <v>#VALUE!</v>
      </c>
      <c r="D38" s="315" t="e">
        <f aca="false">(((INDEX(FedTaxTable,MATCH("Federal Surtax",FedTaxColumn,0),MATCH(D$3,FedTaxRow,0)))+(INDEX(FedTaxTable,MATCH("Federal Income Tax after M &amp; P Credit",FedTaxColumn,0),MATCH(D$3,FedTaxRow,0)))+INDEX(ProvTaxTable,MATCH("Provincial Tax Rate",ProvTaxColumn,0),MATCH(D$3,ProvTaxRow,0)))*D6)+D28+D29</f>
        <v>#VALUE!</v>
      </c>
      <c r="E38" s="315" t="e">
        <f aca="false">(((INDEX(FedTaxTable,MATCH("Federal Surtax",FedTaxColumn,0),MATCH(E$3,FedTaxRow,0)))+(INDEX(FedTaxTable,MATCH("Federal Income Tax after M &amp; P Credit",FedTaxColumn,0),MATCH(E$3,FedTaxRow,0)))+INDEX(ProvTaxTable,MATCH("Provincial Tax Rate",ProvTaxColumn,0),MATCH(E$3,ProvTaxRow,0)))*E6)+E28+E29</f>
        <v>#VALUE!</v>
      </c>
      <c r="F38" s="315" t="e">
        <f aca="false">(((INDEX(FedTaxTable,MATCH("Federal Surtax",FedTaxColumn,0),MATCH(F$3,FedTaxRow,0)))+(INDEX(FedTaxTable,MATCH("Federal Income Tax after M &amp; P Credit",FedTaxColumn,0),MATCH(F$3,FedTaxRow,0)))+INDEX(ProvTaxTable,MATCH("Provincial Tax Rate",ProvTaxColumn,0),MATCH(F$3,ProvTaxRow,0)))*F6)+F28+F29</f>
        <v>#VALUE!</v>
      </c>
      <c r="G38" s="315" t="e">
        <f aca="false">(((INDEX(FedTaxTable,MATCH("Federal Surtax",FedTaxColumn,0),MATCH(G$3,FedTaxRow,0)))+(INDEX(FedTaxTable,MATCH("Federal Income Tax after M &amp; P Credit",FedTaxColumn,0),MATCH(G$3,FedTaxRow,0)))+INDEX(ProvTaxTable,MATCH("Provincial Tax Rate",ProvTaxColumn,0),MATCH(G$3,ProvTaxRow,0)))*G6)+G28+G29</f>
        <v>#VALUE!</v>
      </c>
      <c r="H38" s="315" t="e">
        <f aca="false">(((INDEX(FedTaxTable,MATCH("Federal Surtax",FedTaxColumn,0),MATCH(H$3,FedTaxRow,0)))+(INDEX(FedTaxTable,MATCH("Federal Income Tax after M &amp; P Credit",FedTaxColumn,0),MATCH(H$3,FedTaxRow,0)))+INDEX(ProvTaxTable,MATCH("Provincial Tax Rate",ProvTaxColumn,0),MATCH(H$3,ProvTaxRow,0)))*H6)+H28+H29</f>
        <v>#VALUE!</v>
      </c>
      <c r="I38" s="315" t="e">
        <f aca="false">(((INDEX(FedTaxTable,MATCH("Federal Surtax",FedTaxColumn,0),MATCH(I$3,FedTaxRow,0)))+(INDEX(FedTaxTable,MATCH("Federal Income Tax after M &amp; P Credit",FedTaxColumn,0),MATCH(I$3,FedTaxRow,0)))+INDEX(ProvTaxTable,MATCH("Provincial Tax Rate",ProvTaxColumn,0),MATCH(I$3,ProvTaxRow,0)))*I6)+I28+I29</f>
        <v>#VALUE!</v>
      </c>
      <c r="J38" s="315" t="e">
        <f aca="false">(((INDEX(FedTaxTable,MATCH("Federal Surtax",FedTaxColumn,0),MATCH(J$3,FedTaxRow,0)))+(INDEX(FedTaxTable,MATCH("Federal Income Tax after M &amp; P Credit",FedTaxColumn,0),MATCH(J$3,FedTaxRow,0)))+INDEX(ProvTaxTable,MATCH("Provincial Tax Rate",ProvTaxColumn,0),MATCH(J$3,ProvTaxRow,0)))*J6)+J28+J29</f>
        <v>#VALUE!</v>
      </c>
      <c r="K38" s="315" t="e">
        <f aca="false">(((INDEX(FedTaxTable,MATCH("Federal Surtax",FedTaxColumn,0),MATCH(K$3,FedTaxRow,0)))+(INDEX(FedTaxTable,MATCH("Federal Income Tax after M &amp; P Credit",FedTaxColumn,0),MATCH(K$3,FedTaxRow,0)))+INDEX(ProvTaxTable,MATCH("Provincial Tax Rate",ProvTaxColumn,0),MATCH(K$3,ProvTaxRow,0)))*K6)+K28+K29</f>
        <v>#VALUE!</v>
      </c>
      <c r="L38" s="315" t="e">
        <f aca="false">(((INDEX(FedTaxTable,MATCH("Federal Surtax",FedTaxColumn,0),MATCH(L$3,FedTaxRow,0)))+(INDEX(FedTaxTable,MATCH("Federal Income Tax after M &amp; P Credit",FedTaxColumn,0),MATCH(L$3,FedTaxRow,0)))+INDEX(ProvTaxTable,MATCH("Provincial Tax Rate",ProvTaxColumn,0),MATCH(L$3,ProvTaxRow,0)))*L6)+L28+L29</f>
        <v>#VALUE!</v>
      </c>
      <c r="M38" s="315" t="e">
        <f aca="false">(((INDEX(FedTaxTable,MATCH("Federal Surtax",FedTaxColumn,0),MATCH(M$3,FedTaxRow,0)))+(INDEX(FedTaxTable,MATCH("Federal Income Tax after M &amp; P Credit",FedTaxColumn,0),MATCH(M$3,FedTaxRow,0)))+INDEX(ProvTaxTable,MATCH("Provincial Tax Rate",ProvTaxColumn,0),MATCH(M$3,ProvTaxRow,0)))*M6)+M28+M29</f>
        <v>#VALUE!</v>
      </c>
      <c r="N38" s="315" t="e">
        <f aca="false">(((INDEX(FedTaxTable,MATCH("Federal Surtax",FedTaxColumn,0),MATCH(N$3,FedTaxRow,0)))+(INDEX(FedTaxTable,MATCH("Federal Income Tax after M &amp; P Credit",FedTaxColumn,0),MATCH(N$3,FedTaxRow,0)))+INDEX(ProvTaxTable,MATCH("Provincial Tax Rate",ProvTaxColumn,0),MATCH(N$3,ProvTaxRow,0)))*N6)+N28+N29</f>
        <v>#VALUE!</v>
      </c>
      <c r="O38" s="315" t="e">
        <f aca="false">(((INDEX(FedTaxTable,MATCH("Federal Surtax",FedTaxColumn,0),MATCH(O$3,FedTaxRow,0)))+(INDEX(FedTaxTable,MATCH("Federal Income Tax after M &amp; P Credit",FedTaxColumn,0),MATCH(O$3,FedTaxRow,0)))+INDEX(ProvTaxTable,MATCH("Provincial Tax Rate",ProvTaxColumn,0),MATCH(O$3,ProvTaxRow,0)))*O6)+O28+O29</f>
        <v>#VALUE!</v>
      </c>
      <c r="P38" s="315" t="e">
        <f aca="false">(((INDEX(FedTaxTable,MATCH("Federal Surtax",FedTaxColumn,0),MATCH(P$3,FedTaxRow,0)))+(INDEX(FedTaxTable,MATCH("Federal Income Tax after M &amp; P Credit",FedTaxColumn,0),MATCH(P$3,FedTaxRow,0)))+INDEX(ProvTaxTable,MATCH("Provincial Tax Rate",ProvTaxColumn,0),MATCH(P$3,ProvTaxRow,0)))*P6)+P28+P29</f>
        <v>#VALUE!</v>
      </c>
      <c r="Q38" s="315" t="e">
        <f aca="false">(((INDEX(FedTaxTable,MATCH("Federal Surtax",FedTaxColumn,0),MATCH(Q$3,FedTaxRow,0)))+(INDEX(FedTaxTable,MATCH("Federal Income Tax after M &amp; P Credit",FedTaxColumn,0),MATCH(Q$3,FedTaxRow,0)))+INDEX(ProvTaxTable,MATCH("Provincial Tax Rate",ProvTaxColumn,0),MATCH(Q$3,ProvTaxRow,0)))*Q6)+Q28+Q29</f>
        <v>#VALUE!</v>
      </c>
      <c r="R38" s="315" t="e">
        <f aca="false">(((INDEX(FedTaxTable,MATCH("Federal Surtax",FedTaxColumn,0),MATCH(R$3,FedTaxRow,0)))+(INDEX(FedTaxTable,MATCH("Federal Income Tax after M &amp; P Credit",FedTaxColumn,0),MATCH(R$3,FedTaxRow,0)))+INDEX(ProvTaxTable,MATCH("Provincial Tax Rate",ProvTaxColumn,0),MATCH(R$3,ProvTaxRow,0)))*R6)+R28+R29</f>
        <v>#VALUE!</v>
      </c>
      <c r="S38" s="315" t="e">
        <f aca="false">(((INDEX(FedTaxTable,MATCH("Federal Surtax",FedTaxColumn,0),MATCH(S$3,FedTaxRow,0)))+(INDEX(FedTaxTable,MATCH("Federal Income Tax after M &amp; P Credit",FedTaxColumn,0),MATCH(S$3,FedTaxRow,0)))+INDEX(ProvTaxTable,MATCH("Provincial Tax Rate",ProvTaxColumn,0),MATCH(S$3,ProvTaxRow,0)))*S6)+S28+S29</f>
        <v>#VALUE!</v>
      </c>
      <c r="T38" s="315" t="e">
        <f aca="false">(((INDEX(FedTaxTable,MATCH("Federal Surtax",FedTaxColumn,0),MATCH(T$3,FedTaxRow,0)))+(INDEX(FedTaxTable,MATCH("Federal Income Tax after M &amp; P Credit",FedTaxColumn,0),MATCH(T$3,FedTaxRow,0)))+INDEX(ProvTaxTable,MATCH("Provincial Tax Rate",ProvTaxColumn,0),MATCH(T$3,ProvTaxRow,0)))*T6)+T28+T29</f>
        <v>#VALUE!</v>
      </c>
      <c r="U38" s="315" t="e">
        <f aca="false">(((INDEX(FedTaxTable,MATCH("Federal Surtax",FedTaxColumn,0),MATCH(U$3,FedTaxRow,0)))+(INDEX(FedTaxTable,MATCH("Federal Income Tax after M &amp; P Credit",FedTaxColumn,0),MATCH(U$3,FedTaxRow,0)))+INDEX(ProvTaxTable,MATCH("Provincial Tax Rate",ProvTaxColumn,0),MATCH(U$3,ProvTaxRow,0)))*U6)+U28+U29</f>
        <v>#VALUE!</v>
      </c>
      <c r="V38" s="315" t="e">
        <f aca="false">(((INDEX(FedTaxTable,MATCH("Federal Surtax",FedTaxColumn,0),MATCH(V$3,FedTaxRow,0)))+(INDEX(FedTaxTable,MATCH("Federal Income Tax after M &amp; P Credit",FedTaxColumn,0),MATCH(V$3,FedTaxRow,0)))+INDEX(ProvTaxTable,MATCH("Provincial Tax Rate",ProvTaxColumn,0),MATCH(V$3,ProvTaxRow,0)))*V6)+V28+V29</f>
        <v>#VALUE!</v>
      </c>
      <c r="W38" s="315" t="e">
        <f aca="false">(((INDEX(FedTaxTable,MATCH("Federal Surtax",FedTaxColumn,0),MATCH(W$3,FedTaxRow,0)))+(INDEX(FedTaxTable,MATCH("Federal Income Tax after M &amp; P Credit",FedTaxColumn,0),MATCH(W$3,FedTaxRow,0)))+INDEX(ProvTaxTable,MATCH("Provincial Tax Rate",ProvTaxColumn,0),MATCH(W$3,ProvTaxRow,0)))*W6)+W28+W29</f>
        <v>#VALUE!</v>
      </c>
      <c r="X38" s="315" t="e">
        <f aca="false">(((INDEX(FedTaxTable,MATCH("Federal Surtax",FedTaxColumn,0),MATCH(X$3,FedTaxRow,0)))+(INDEX(FedTaxTable,MATCH("Federal Income Tax after M &amp; P Credit",FedTaxColumn,0),MATCH(X$3,FedTaxRow,0)))+INDEX(ProvTaxTable,MATCH("Provincial Tax Rate",ProvTaxColumn,0),MATCH(X$3,ProvTaxRow,0)))*X6)+X28+X29</f>
        <v>#VALUE!</v>
      </c>
      <c r="Y38" s="305"/>
      <c r="Z38" s="305"/>
      <c r="AA38" s="305"/>
      <c r="AB38" s="305"/>
      <c r="AC38" s="114"/>
      <c r="AD38" s="114"/>
      <c r="AE38" s="114"/>
    </row>
    <row r="39" customFormat="false" ht="12" hidden="false" customHeight="false" outlineLevel="0" collapsed="false">
      <c r="A39" s="113"/>
      <c r="B39" s="305"/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5"/>
      <c r="U39" s="305"/>
      <c r="V39" s="305"/>
      <c r="W39" s="305"/>
      <c r="X39" s="305"/>
      <c r="Y39" s="305"/>
      <c r="Z39" s="305"/>
      <c r="AA39" s="305"/>
      <c r="AB39" s="305"/>
      <c r="AC39" s="114"/>
      <c r="AD39" s="114"/>
      <c r="AE39" s="114"/>
    </row>
    <row r="40" customFormat="false" ht="12" hidden="false" customHeight="false" outlineLevel="0" collapsed="false">
      <c r="A40" s="113" t="s">
        <v>267</v>
      </c>
      <c r="B40" s="305"/>
      <c r="C40" s="316" t="e">
        <f aca="false">C6-C38</f>
        <v>#VALUE!</v>
      </c>
      <c r="D40" s="316" t="e">
        <f aca="false">D6-D38</f>
        <v>#VALUE!</v>
      </c>
      <c r="E40" s="316" t="e">
        <f aca="false">E6-E38</f>
        <v>#VALUE!</v>
      </c>
      <c r="F40" s="316" t="e">
        <f aca="false">F6-F38</f>
        <v>#VALUE!</v>
      </c>
      <c r="G40" s="316" t="e">
        <f aca="false">G6-G38</f>
        <v>#VALUE!</v>
      </c>
      <c r="H40" s="316" t="e">
        <f aca="false">H6-H38</f>
        <v>#VALUE!</v>
      </c>
      <c r="I40" s="316" t="e">
        <f aca="false">I6-I38</f>
        <v>#VALUE!</v>
      </c>
      <c r="J40" s="316" t="e">
        <f aca="false">J6-J38</f>
        <v>#VALUE!</v>
      </c>
      <c r="K40" s="316" t="e">
        <f aca="false">L6-L38</f>
        <v>#VALUE!</v>
      </c>
      <c r="L40" s="316" t="e">
        <f aca="false">L6-L38</f>
        <v>#VALUE!</v>
      </c>
      <c r="M40" s="316" t="e">
        <f aca="false">M6-M38</f>
        <v>#VALUE!</v>
      </c>
      <c r="N40" s="316" t="e">
        <f aca="false">N6-N38</f>
        <v>#VALUE!</v>
      </c>
      <c r="O40" s="316" t="e">
        <f aca="false">O6-O38</f>
        <v>#VALUE!</v>
      </c>
      <c r="P40" s="316" t="e">
        <f aca="false">P6-P38</f>
        <v>#VALUE!</v>
      </c>
      <c r="Q40" s="316" t="e">
        <f aca="false">Q6-Q38</f>
        <v>#VALUE!</v>
      </c>
      <c r="R40" s="316" t="e">
        <f aca="false">R6-R38</f>
        <v>#VALUE!</v>
      </c>
      <c r="S40" s="316" t="e">
        <f aca="false">S6-S38</f>
        <v>#VALUE!</v>
      </c>
      <c r="T40" s="316" t="e">
        <f aca="false">T6-T38</f>
        <v>#VALUE!</v>
      </c>
      <c r="U40" s="316" t="e">
        <f aca="false">U6-U38</f>
        <v>#VALUE!</v>
      </c>
      <c r="V40" s="316" t="e">
        <f aca="false">V6-V38</f>
        <v>#VALUE!</v>
      </c>
      <c r="W40" s="316" t="e">
        <f aca="false">W6-W38</f>
        <v>#VALUE!</v>
      </c>
      <c r="X40" s="316" t="e">
        <f aca="false">X6-X38</f>
        <v>#VALUE!</v>
      </c>
      <c r="Y40" s="305"/>
      <c r="Z40" s="305"/>
      <c r="AA40" s="305"/>
      <c r="AB40" s="305"/>
      <c r="AC40" s="114"/>
      <c r="AD40" s="114"/>
      <c r="AE40" s="114"/>
    </row>
    <row r="41" customFormat="false" ht="12" hidden="false" customHeight="false" outlineLevel="0" collapsed="false">
      <c r="A41" s="113"/>
      <c r="B41" s="305"/>
      <c r="C41" s="113"/>
      <c r="D41" s="113"/>
      <c r="E41" s="113"/>
      <c r="F41" s="305"/>
      <c r="G41" s="305"/>
      <c r="H41" s="305"/>
      <c r="I41" s="305"/>
      <c r="J41" s="305"/>
      <c r="K41" s="305"/>
      <c r="L41" s="305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42"/>
      <c r="Y41" s="114"/>
      <c r="Z41" s="114"/>
      <c r="AA41" s="114"/>
      <c r="AB41" s="114"/>
      <c r="AC41" s="114"/>
      <c r="AD41" s="114"/>
      <c r="AE41" s="114"/>
    </row>
    <row r="42" customFormat="false" ht="11.25" hidden="false" customHeight="false" outlineLevel="0" collapsed="false">
      <c r="A42" s="124" t="s">
        <v>268</v>
      </c>
      <c r="B42" s="305"/>
      <c r="C42" s="317" t="e">
        <f aca="false">C26+C28+C29+C31</f>
        <v>#VALUE!</v>
      </c>
      <c r="D42" s="317" t="e">
        <f aca="false">D26+D28+D29+D31</f>
        <v>#VALUE!</v>
      </c>
      <c r="E42" s="317" t="e">
        <f aca="false">E26+E28+E29+E31</f>
        <v>#VALUE!</v>
      </c>
      <c r="F42" s="317" t="e">
        <f aca="false">F26+F28+F29+F31</f>
        <v>#VALUE!</v>
      </c>
      <c r="G42" s="317" t="e">
        <f aca="false">G26+G28+G29+G31</f>
        <v>#VALUE!</v>
      </c>
      <c r="H42" s="317" t="e">
        <f aca="false">H26+H28+H29+H31</f>
        <v>#VALUE!</v>
      </c>
      <c r="I42" s="317" t="e">
        <f aca="false">I26+I28+I29+I31</f>
        <v>#VALUE!</v>
      </c>
      <c r="J42" s="317" t="e">
        <f aca="false">J26+J28+J29+J31</f>
        <v>#VALUE!</v>
      </c>
      <c r="K42" s="317" t="e">
        <f aca="false">K26+K28+K29+K31</f>
        <v>#VALUE!</v>
      </c>
      <c r="L42" s="317" t="e">
        <f aca="false">L26+L28+L29+L31</f>
        <v>#VALUE!</v>
      </c>
      <c r="M42" s="317" t="e">
        <f aca="false">M26+M28+M29+M31</f>
        <v>#VALUE!</v>
      </c>
      <c r="N42" s="317" t="e">
        <f aca="false">N26+N28+N29+N31</f>
        <v>#VALUE!</v>
      </c>
      <c r="O42" s="317" t="e">
        <f aca="false">O26+O28+O29+O31</f>
        <v>#VALUE!</v>
      </c>
      <c r="P42" s="317" t="e">
        <f aca="false">P26+P28+P29+P31</f>
        <v>#VALUE!</v>
      </c>
      <c r="Q42" s="317" t="e">
        <f aca="false">Q26+Q28+Q29+Q31</f>
        <v>#VALUE!</v>
      </c>
      <c r="R42" s="317" t="e">
        <f aca="false">R26+R28+R29+R31</f>
        <v>#VALUE!</v>
      </c>
      <c r="S42" s="317" t="e">
        <f aca="false">S26+S28+S29+S31</f>
        <v>#VALUE!</v>
      </c>
      <c r="T42" s="317" t="e">
        <f aca="false">T26+T28+T29+T31</f>
        <v>#VALUE!</v>
      </c>
      <c r="U42" s="317" t="e">
        <f aca="false">U26+U28+U29+U31</f>
        <v>#VALUE!</v>
      </c>
      <c r="V42" s="317" t="e">
        <f aca="false">V26+V28+V29+V31</f>
        <v>#VALUE!</v>
      </c>
      <c r="W42" s="317" t="e">
        <f aca="false">W26+W28+W29+W31</f>
        <v>#VALUE!</v>
      </c>
      <c r="X42" s="317" t="e">
        <f aca="false">X26+X28+X29+X31</f>
        <v>#VALUE!</v>
      </c>
      <c r="Y42" s="114"/>
      <c r="Z42" s="114"/>
      <c r="AA42" s="114"/>
      <c r="AB42" s="114"/>
      <c r="AC42" s="114"/>
      <c r="AD42" s="114"/>
      <c r="AE42" s="114"/>
    </row>
    <row r="43" customFormat="false" ht="11.25" hidden="false" customHeight="false" outlineLevel="0" collapsed="false">
      <c r="A43" s="113"/>
      <c r="B43" s="305"/>
      <c r="C43" s="113"/>
      <c r="D43" s="113"/>
      <c r="E43" s="113"/>
      <c r="F43" s="305"/>
      <c r="G43" s="305"/>
      <c r="H43" s="305"/>
      <c r="I43" s="305"/>
      <c r="J43" s="305"/>
      <c r="K43" s="305"/>
      <c r="L43" s="305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42"/>
      <c r="Y43" s="114"/>
      <c r="Z43" s="114"/>
      <c r="AA43" s="114"/>
      <c r="AB43" s="114"/>
      <c r="AC43" s="114"/>
      <c r="AD43" s="114"/>
      <c r="AE43" s="114"/>
    </row>
    <row r="44" customFormat="false" ht="12.75" hidden="false" customHeight="false" outlineLevel="0" collapsed="false">
      <c r="B44" s="318"/>
      <c r="F44" s="318"/>
      <c r="G44" s="318"/>
      <c r="H44" s="318"/>
      <c r="I44" s="318"/>
      <c r="J44" s="318"/>
      <c r="K44" s="318"/>
      <c r="L44" s="318"/>
      <c r="X44" s="49"/>
      <c r="Y44" s="288"/>
      <c r="Z44" s="288"/>
      <c r="AA44" s="288"/>
      <c r="AB44" s="288"/>
      <c r="AC44" s="288"/>
      <c r="AD44" s="288"/>
      <c r="AE44" s="288"/>
    </row>
    <row r="45" customFormat="false" ht="12.75" hidden="false" customHeight="false" outlineLevel="0" collapsed="false">
      <c r="A45" s="9" t="s">
        <v>269</v>
      </c>
      <c r="B45" s="318"/>
      <c r="F45" s="318"/>
      <c r="G45" s="318"/>
      <c r="H45" s="318"/>
      <c r="I45" s="318"/>
      <c r="J45" s="318"/>
      <c r="K45" s="318"/>
      <c r="L45" s="318"/>
      <c r="Y45" s="288"/>
      <c r="Z45" s="288"/>
      <c r="AA45" s="288"/>
      <c r="AB45" s="288"/>
      <c r="AC45" s="288"/>
      <c r="AD45" s="288"/>
      <c r="AE45" s="288"/>
    </row>
    <row r="46" customFormat="false" ht="12.75" hidden="false" customHeight="false" outlineLevel="0" collapsed="false">
      <c r="A46" s="295" t="s">
        <v>270</v>
      </c>
      <c r="B46" s="318"/>
      <c r="C46" s="173" t="n">
        <v>178317.334106869</v>
      </c>
      <c r="D46" s="173" t="n">
        <v>200313.282631859</v>
      </c>
      <c r="E46" s="173" t="n">
        <v>214473.114389798</v>
      </c>
      <c r="F46" s="173" t="n">
        <v>224949.212385268</v>
      </c>
      <c r="G46" s="173" t="n">
        <v>231658.177118696</v>
      </c>
      <c r="H46" s="173" t="n">
        <v>236420.371824436</v>
      </c>
      <c r="I46" s="173" t="n">
        <v>241376.745068681</v>
      </c>
      <c r="J46" s="173" t="n">
        <v>246339.275603043</v>
      </c>
      <c r="K46" s="173" t="n">
        <v>250486.550683486</v>
      </c>
      <c r="L46" s="173" t="n">
        <v>254791.662583896</v>
      </c>
      <c r="M46" s="173" t="n">
        <v>258858.694880807</v>
      </c>
      <c r="N46" s="173" t="n">
        <v>262944.412447805</v>
      </c>
      <c r="O46" s="173" t="n">
        <v>267063.040873736</v>
      </c>
      <c r="P46" s="173" t="n">
        <v>271568.37654191</v>
      </c>
      <c r="Q46" s="173" t="n">
        <v>276019.671201345</v>
      </c>
      <c r="R46" s="173" t="n">
        <v>274126.576878354</v>
      </c>
      <c r="S46" s="173" t="n">
        <v>0</v>
      </c>
      <c r="T46" s="173" t="n">
        <v>0</v>
      </c>
      <c r="U46" s="173" t="n">
        <v>0</v>
      </c>
      <c r="V46" s="173" t="n">
        <v>0</v>
      </c>
      <c r="W46" s="173" t="n">
        <v>95355.9530211831</v>
      </c>
      <c r="X46" s="173" t="n">
        <v>95355.9530211831</v>
      </c>
      <c r="Y46" s="288"/>
      <c r="Z46" s="288"/>
      <c r="AA46" s="288"/>
      <c r="AB46" s="288"/>
      <c r="AC46" s="288"/>
      <c r="AD46" s="288"/>
      <c r="AE46" s="288"/>
    </row>
    <row r="47" customFormat="false" ht="12.75" hidden="false" customHeight="false" outlineLevel="0" collapsed="false">
      <c r="A47" s="113" t="s">
        <v>271</v>
      </c>
      <c r="B47" s="318"/>
      <c r="C47" s="319" t="n">
        <v>0</v>
      </c>
      <c r="D47" s="319" t="n">
        <v>0</v>
      </c>
      <c r="E47" s="319" t="n">
        <v>0</v>
      </c>
      <c r="F47" s="319" t="n">
        <v>0</v>
      </c>
      <c r="G47" s="319" t="n">
        <v>0</v>
      </c>
      <c r="H47" s="319" t="n">
        <v>0</v>
      </c>
      <c r="I47" s="319" t="n">
        <v>0</v>
      </c>
      <c r="J47" s="319" t="n">
        <v>0</v>
      </c>
      <c r="K47" s="319" t="n">
        <v>0</v>
      </c>
      <c r="L47" s="319" t="n">
        <v>0</v>
      </c>
      <c r="M47" s="319" t="n">
        <v>0</v>
      </c>
      <c r="N47" s="319" t="n">
        <v>0</v>
      </c>
      <c r="O47" s="319" t="n">
        <v>0</v>
      </c>
      <c r="P47" s="319" t="n">
        <v>0</v>
      </c>
      <c r="Q47" s="319" t="n">
        <v>0</v>
      </c>
      <c r="R47" s="319" t="n">
        <v>0</v>
      </c>
      <c r="S47" s="319" t="n">
        <v>0</v>
      </c>
      <c r="T47" s="319" t="n">
        <v>0</v>
      </c>
      <c r="U47" s="319" t="n">
        <v>0</v>
      </c>
      <c r="V47" s="319" t="n">
        <v>0</v>
      </c>
      <c r="W47" s="319" t="n">
        <v>0</v>
      </c>
      <c r="X47" s="319" t="n">
        <v>0</v>
      </c>
      <c r="Y47" s="288"/>
      <c r="Z47" s="288"/>
      <c r="AA47" s="288"/>
      <c r="AB47" s="288"/>
      <c r="AC47" s="288"/>
      <c r="AD47" s="288"/>
      <c r="AE47" s="288"/>
    </row>
    <row r="48" customFormat="false" ht="12.75" hidden="false" customHeight="false" outlineLevel="0" collapsed="false">
      <c r="A48" s="113"/>
      <c r="B48" s="318"/>
      <c r="C48" s="305" t="n">
        <f aca="false">SUM(C46:C47)</f>
        <v>178317.334106869</v>
      </c>
      <c r="D48" s="305" t="n">
        <f aca="false">SUM(D46:D47)</f>
        <v>200313.282631859</v>
      </c>
      <c r="E48" s="305" t="n">
        <f aca="false">SUM(E46:E47)</f>
        <v>214473.114389798</v>
      </c>
      <c r="F48" s="305" t="n">
        <f aca="false">SUM(F46:F47)</f>
        <v>224949.212385268</v>
      </c>
      <c r="G48" s="305" t="n">
        <f aca="false">SUM(G46:G47)</f>
        <v>231658.177118696</v>
      </c>
      <c r="H48" s="305" t="n">
        <f aca="false">SUM(H46:H47)</f>
        <v>236420.371824436</v>
      </c>
      <c r="I48" s="305" t="n">
        <f aca="false">SUM(I46:I47)</f>
        <v>241376.745068681</v>
      </c>
      <c r="J48" s="305" t="n">
        <f aca="false">SUM(L46:L47)</f>
        <v>254791.662583896</v>
      </c>
      <c r="K48" s="305" t="n">
        <f aca="false">SUM(L46:L47)</f>
        <v>254791.662583896</v>
      </c>
      <c r="L48" s="305" t="n">
        <f aca="false">SUM(L46:L47)</f>
        <v>254791.662583896</v>
      </c>
      <c r="M48" s="305" t="n">
        <f aca="false">SUM(M46:M47)</f>
        <v>258858.694880807</v>
      </c>
      <c r="N48" s="305" t="n">
        <f aca="false">SUM(N46:N47)</f>
        <v>262944.412447805</v>
      </c>
      <c r="O48" s="305" t="n">
        <f aca="false">SUM(O46:O47)</f>
        <v>267063.040873736</v>
      </c>
      <c r="P48" s="305" t="n">
        <f aca="false">SUM(P46:P47)</f>
        <v>271568.37654191</v>
      </c>
      <c r="Q48" s="305" t="n">
        <f aca="false">SUM(Q46:Q47)</f>
        <v>276019.671201345</v>
      </c>
      <c r="R48" s="305" t="n">
        <f aca="false">SUM(R46:R47)</f>
        <v>274126.576878354</v>
      </c>
      <c r="S48" s="305" t="n">
        <f aca="false">SUM(S46:S47)</f>
        <v>0</v>
      </c>
      <c r="T48" s="305" t="n">
        <f aca="false">SUM(T46:T47)</f>
        <v>0</v>
      </c>
      <c r="U48" s="305" t="n">
        <f aca="false">SUM(U46:U47)</f>
        <v>0</v>
      </c>
      <c r="V48" s="305" t="n">
        <f aca="false">SUM(V46:V47)</f>
        <v>0</v>
      </c>
      <c r="W48" s="305" t="n">
        <f aca="false">SUM(W46:W47)</f>
        <v>95355.9530211831</v>
      </c>
      <c r="X48" s="305" t="n">
        <f aca="false">SUM(X46:X47)</f>
        <v>95355.9530211831</v>
      </c>
      <c r="Y48" s="288"/>
      <c r="Z48" s="288"/>
      <c r="AA48" s="288"/>
      <c r="AB48" s="288"/>
      <c r="AC48" s="288"/>
      <c r="AD48" s="288"/>
      <c r="AE48" s="288"/>
    </row>
    <row r="49" customFormat="false" ht="13.5" hidden="false" customHeight="false" outlineLevel="0" collapsed="false">
      <c r="A49" s="113" t="s">
        <v>272</v>
      </c>
      <c r="B49" s="318"/>
      <c r="C49" s="320" t="n">
        <f aca="false">INDEX(FedTaxTable,MATCH("Federal Large Corporations Tax",FedTaxColumn,0),MATCH(C3,FedTaxRow,0))*C48</f>
        <v>401.214001740456</v>
      </c>
      <c r="D49" s="320" t="n">
        <f aca="false">INDEX(FedTaxTable,MATCH("Federal Large Corporations Tax",FedTaxColumn,0),MATCH(D3,FedTaxRow,0))*D48</f>
        <v>450.704885921683</v>
      </c>
      <c r="E49" s="320" t="n">
        <f aca="false">INDEX(FedTaxTable,MATCH("Federal Large Corporations Tax",FedTaxColumn,0),MATCH(E3,FedTaxRow,0))*E48</f>
        <v>482.564507377046</v>
      </c>
      <c r="F49" s="320" t="n">
        <f aca="false">INDEX(FedTaxTable,MATCH("Federal Large Corporations Tax",FedTaxColumn,0),MATCH(F3,FedTaxRow,0))*F48</f>
        <v>506.135727866852</v>
      </c>
      <c r="G49" s="320" t="n">
        <f aca="false">INDEX(FedTaxTable,MATCH("Federal Large Corporations Tax",FedTaxColumn,0),MATCH(G3,FedTaxRow,0))*G48</f>
        <v>521.230898517067</v>
      </c>
      <c r="H49" s="320" t="n">
        <f aca="false">INDEX(FedTaxTable,MATCH("Federal Large Corporations Tax",FedTaxColumn,0),MATCH(H3,FedTaxRow,0))*H48</f>
        <v>531.945836604982</v>
      </c>
      <c r="I49" s="320" t="n">
        <f aca="false">INDEX(FedTaxTable,MATCH("Federal Large Corporations Tax",FedTaxColumn,0),MATCH(I3,FedTaxRow,0))*I48</f>
        <v>543.097676404533</v>
      </c>
      <c r="J49" s="320" t="n">
        <f aca="false">INDEX(FedTaxTable,MATCH("Federal Large Corporations Tax",FedTaxColumn,0),MATCH(J3,FedTaxRow,0))*J48</f>
        <v>573.281240813767</v>
      </c>
      <c r="K49" s="320" t="n">
        <f aca="false">INDEX(FedTaxTable,MATCH("Federal Large Corporations Tax",FedTaxColumn,0),MATCH(K3,FedTaxRow,0))*K48</f>
        <v>573.281240813767</v>
      </c>
      <c r="L49" s="320" t="n">
        <f aca="false">INDEX(FedTaxTable,MATCH("Federal Large Corporations Tax",FedTaxColumn,0),MATCH(L3,FedTaxRow,0))*L48</f>
        <v>573.281240813767</v>
      </c>
      <c r="M49" s="320" t="n">
        <f aca="false">INDEX(FedTaxTable,MATCH("Federal Large Corporations Tax",FedTaxColumn,0),MATCH(M3,FedTaxRow,0))*M48</f>
        <v>582.432063481817</v>
      </c>
      <c r="N49" s="320" t="n">
        <f aca="false">INDEX(FedTaxTable,MATCH("Federal Large Corporations Tax",FedTaxColumn,0),MATCH(N3,FedTaxRow,0))*N48</f>
        <v>591.624928007561</v>
      </c>
      <c r="O49" s="320" t="n">
        <f aca="false">INDEX(FedTaxTable,MATCH("Federal Large Corporations Tax",FedTaxColumn,0),MATCH(O3,FedTaxRow,0))*O48</f>
        <v>600.891841965905</v>
      </c>
      <c r="P49" s="320" t="n">
        <f aca="false">INDEX(FedTaxTable,MATCH("Federal Large Corporations Tax",FedTaxColumn,0),MATCH(P3,FedTaxRow,0))*P48</f>
        <v>611.028847219297</v>
      </c>
      <c r="Q49" s="320" t="n">
        <f aca="false">INDEX(FedTaxTable,MATCH("Federal Large Corporations Tax",FedTaxColumn,0),MATCH(Q3,FedTaxRow,0))*Q48</f>
        <v>621.044260203027</v>
      </c>
      <c r="R49" s="320" t="n">
        <f aca="false">INDEX(FedTaxTable,MATCH("Federal Large Corporations Tax",FedTaxColumn,0),MATCH(R3,FedTaxRow,0))*R48</f>
        <v>616.784797976297</v>
      </c>
      <c r="S49" s="320" t="n">
        <f aca="false">INDEX(FedTaxTable,MATCH("Federal Large Corporations Tax",FedTaxColumn,0),MATCH(S3,FedTaxRow,0))*S48</f>
        <v>0</v>
      </c>
      <c r="T49" s="320" t="n">
        <f aca="false">INDEX(FedTaxTable,MATCH("Federal Large Corporations Tax",FedTaxColumn,0),MATCH(T3,FedTaxRow,0))*T48</f>
        <v>0</v>
      </c>
      <c r="U49" s="320" t="n">
        <f aca="false">INDEX(FedTaxTable,MATCH("Federal Large Corporations Tax",FedTaxColumn,0),MATCH(U3,FedTaxRow,0))*U48</f>
        <v>0</v>
      </c>
      <c r="V49" s="320" t="n">
        <f aca="false">INDEX(FedTaxTable,MATCH("Federal Large Corporations Tax",FedTaxColumn,0),MATCH(V3,FedTaxRow,0))*V48</f>
        <v>0</v>
      </c>
      <c r="W49" s="320" t="n">
        <f aca="false">INDEX(FedTaxTable,MATCH("Federal Large Corporations Tax",FedTaxColumn,0),MATCH(W3,FedTaxRow,0))*W48</f>
        <v>214.550894297662</v>
      </c>
      <c r="X49" s="320" t="n">
        <f aca="false">INDEX(FedTaxTable,MATCH("Federal Large Corporations Tax",FedTaxColumn,0),MATCH(X3,FedTaxRow,0))*X48</f>
        <v>214.550894297662</v>
      </c>
      <c r="Y49" s="288"/>
      <c r="Z49" s="288"/>
      <c r="AA49" s="288"/>
      <c r="AB49" s="288"/>
      <c r="AC49" s="288"/>
      <c r="AD49" s="288"/>
      <c r="AE49" s="288"/>
    </row>
    <row r="50" customFormat="false" ht="13.5" hidden="false" customHeight="false" outlineLevel="0" collapsed="false">
      <c r="A50" s="321" t="s">
        <v>273</v>
      </c>
      <c r="B50" s="322"/>
      <c r="C50" s="323" t="e">
        <f aca="false">IF(SUM(C22:E22)&gt;C49,-C49,IF(SUM(C22:E22)&gt;0,-SUM(C22:E22),0))</f>
        <v>#VALUE!</v>
      </c>
      <c r="D50" s="323" t="e">
        <f aca="false">IF(SUM(D22:F22)&gt;D49,-D49,IF(SUM(D22:F22)&gt;0,-SUM(D22:F22),0))</f>
        <v>#VALUE!</v>
      </c>
      <c r="E50" s="323" t="e">
        <f aca="false">IF(SUM(E22:G22)&gt;E49,-E49,IF(SUM(E22:G22)&gt;0,-SUM(E22:G22),0))</f>
        <v>#VALUE!</v>
      </c>
      <c r="F50" s="323" t="e">
        <f aca="false">IF(SUM(F22:H22)&gt;F49,-F49,IF(SUM(F22:H22)&gt;0,-SUM(F22:H22),0))</f>
        <v>#VALUE!</v>
      </c>
      <c r="G50" s="323" t="e">
        <f aca="false">IF(SUM(G22:I22)&gt;G49,-G49,IF(SUM(G22:I22)&gt;0,-SUM(G22:I22),0))</f>
        <v>#VALUE!</v>
      </c>
      <c r="H50" s="323" t="e">
        <f aca="false">IF(SUM(H22:J22)&gt;H49,-H49,IF(SUM(H22:J22)&gt;0,-SUM(H22:J22),0))</f>
        <v>#VALUE!</v>
      </c>
      <c r="I50" s="323" t="e">
        <f aca="false">IF(SUM(I22:K22)&gt;I49,-I49,IF(SUM(I22:K22)&gt;0,-SUM(I22:K22),0))</f>
        <v>#VALUE!</v>
      </c>
      <c r="J50" s="323" t="e">
        <f aca="false">IF(SUM(J22:L22)&gt;J49,-J49,IF(SUM(J22:L22)&gt;0,-SUM(J22:L22),0))</f>
        <v>#VALUE!</v>
      </c>
      <c r="K50" s="323" t="e">
        <f aca="false">IF(SUM(K22:M22)&gt;K49,-K49,IF(SUM(K22:M22)&gt;0,-SUM(K22:M22),0))</f>
        <v>#VALUE!</v>
      </c>
      <c r="L50" s="323" t="e">
        <f aca="false">IF(SUM(L22:N22)&gt;L49,-L49,IF(SUM(L22:N22)&gt;0,-SUM(L22:N22),0))</f>
        <v>#VALUE!</v>
      </c>
      <c r="M50" s="323" t="e">
        <f aca="false">IF(SUM(M22:O22)&gt;M49,-M49,IF(SUM(M22:O22)&gt;0,-SUM(M22:O22),0))</f>
        <v>#VALUE!</v>
      </c>
      <c r="N50" s="323" t="e">
        <f aca="false">IF(SUM(N22:P22)&gt;N49,-N49,IF(SUM(N22:P22)&gt;0,-SUM(N22:P22),0))</f>
        <v>#VALUE!</v>
      </c>
      <c r="O50" s="323" t="e">
        <f aca="false">IF(SUM(O22:Q22)&gt;O49,-O49,IF(SUM(O22:Q22)&gt;0,-SUM(O22:Q22),0))</f>
        <v>#VALUE!</v>
      </c>
      <c r="P50" s="323" t="e">
        <f aca="false">IF(SUM(P22:R22)&gt;P49,-P49,IF(SUM(P22:R22)&gt;0,-SUM(P22:R22),0))</f>
        <v>#VALUE!</v>
      </c>
      <c r="Q50" s="323" t="e">
        <f aca="false">IF(SUM(Q22:S22)&gt;Q49,-Q49,IF(SUM(Q22:S22)&gt;0,-SUM(Q22:S22),0))</f>
        <v>#VALUE!</v>
      </c>
      <c r="R50" s="323" t="e">
        <f aca="false">IF(SUM(R22:T22)&gt;R49,-R49,IF(SUM(R22:T22)&gt;0,-SUM(R22:T22),0))</f>
        <v>#VALUE!</v>
      </c>
      <c r="S50" s="323" t="e">
        <f aca="false">IF(SUM(S22:U22)&gt;S49,-S49,IF(SUM(S22:U22)&gt;0,-SUM(S22:U22),0))</f>
        <v>#VALUE!</v>
      </c>
      <c r="T50" s="323" t="e">
        <f aca="false">IF(SUM(T22:V22)&gt;T49,-T49,IF(SUM(T22:V22)&gt;0,-SUM(T22:V22),0))</f>
        <v>#VALUE!</v>
      </c>
      <c r="U50" s="323" t="e">
        <f aca="false">IF(SUM(U22:W22)&gt;U49,-U49,IF(SUM(U22:W22)&gt;0,-SUM(U22:W22),0))</f>
        <v>#VALUE!</v>
      </c>
      <c r="V50" s="323" t="e">
        <f aca="false">IF(SUM(V22:X22)&gt;V49,-V49,IF(SUM(V22:X22)&gt;0,-SUM(V22:X22),0))</f>
        <v>#VALUE!</v>
      </c>
      <c r="W50" s="323" t="e">
        <f aca="false">IF(SUM(W22:Y22)&gt;W49,-W49,IF(SUM(W22:Y22)&gt;0,-SUM(W22:Y22),0))</f>
        <v>#VALUE!</v>
      </c>
      <c r="X50" s="323" t="e">
        <f aca="false">IF(SUM(X22:Z22)&gt;X49,-X49,IF(SUM(X22:Z22)&gt;0,-SUM(X22:Z22),0))</f>
        <v>#VALUE!</v>
      </c>
      <c r="Y50" s="324"/>
      <c r="Z50" s="324"/>
      <c r="AA50" s="324"/>
      <c r="AB50" s="324"/>
      <c r="AC50" s="324"/>
      <c r="AD50" s="324"/>
      <c r="AE50" s="324"/>
    </row>
    <row r="51" customFormat="false" ht="12.75" hidden="false" customHeight="false" outlineLevel="0" collapsed="false">
      <c r="A51" s="310" t="s">
        <v>274</v>
      </c>
      <c r="B51" s="325"/>
      <c r="C51" s="326"/>
      <c r="D51" s="326"/>
      <c r="E51" s="326"/>
      <c r="F51" s="311" t="n">
        <v>0</v>
      </c>
      <c r="G51" s="311" t="n">
        <v>0</v>
      </c>
      <c r="H51" s="311" t="n">
        <v>0</v>
      </c>
      <c r="I51" s="311"/>
      <c r="J51" s="311"/>
      <c r="K51" s="311"/>
      <c r="L51" s="311"/>
      <c r="M51" s="311"/>
      <c r="N51" s="311"/>
      <c r="O51" s="311"/>
      <c r="P51" s="311"/>
      <c r="Q51" s="311"/>
      <c r="R51" s="311"/>
      <c r="S51" s="311"/>
      <c r="T51" s="311"/>
      <c r="U51" s="311"/>
      <c r="V51" s="311"/>
      <c r="W51" s="311"/>
      <c r="X51" s="311"/>
      <c r="Y51" s="288"/>
      <c r="Z51" s="288"/>
      <c r="AA51" s="288"/>
      <c r="AB51" s="288"/>
      <c r="AC51" s="288"/>
      <c r="AD51" s="288"/>
      <c r="AE51" s="288"/>
    </row>
    <row r="52" customFormat="false" ht="12.75" hidden="false" customHeight="false" outlineLevel="0" collapsed="false">
      <c r="A52" s="310" t="s">
        <v>275</v>
      </c>
      <c r="B52" s="325"/>
      <c r="C52" s="326"/>
      <c r="D52" s="326"/>
      <c r="E52" s="326"/>
      <c r="F52" s="311"/>
      <c r="G52" s="311"/>
      <c r="H52" s="311"/>
      <c r="I52" s="311"/>
      <c r="J52" s="311"/>
      <c r="K52" s="311"/>
      <c r="L52" s="311"/>
      <c r="M52" s="311"/>
      <c r="N52" s="311"/>
      <c r="O52" s="311"/>
      <c r="P52" s="311"/>
      <c r="Q52" s="311"/>
      <c r="R52" s="311"/>
      <c r="S52" s="311"/>
      <c r="T52" s="311"/>
      <c r="U52" s="311"/>
      <c r="V52" s="311"/>
      <c r="W52" s="311"/>
      <c r="X52" s="311"/>
      <c r="Y52" s="288"/>
      <c r="Z52" s="288"/>
      <c r="AA52" s="288"/>
      <c r="AB52" s="288"/>
      <c r="AC52" s="288"/>
      <c r="AD52" s="288"/>
      <c r="AE52" s="288"/>
    </row>
    <row r="53" customFormat="false" ht="12.75" hidden="false" customHeight="false" outlineLevel="0" collapsed="false">
      <c r="A53" s="113" t="s">
        <v>262</v>
      </c>
      <c r="B53" s="318"/>
      <c r="C53" s="305" t="n">
        <f aca="false">C46*(INDEX(ProvTaxTable,MATCH("Provincial Capital Tax",ProvTaxColumn,0),MATCH(C3,ProvTaxRow,0)))</f>
        <v>534.952002320608</v>
      </c>
      <c r="D53" s="305" t="n">
        <f aca="false">D46*(INDEX(ProvTaxTable,MATCH("Provincial Capital Tax",ProvTaxColumn,0),MATCH(D3,ProvTaxRow,0)))</f>
        <v>600.939847895577</v>
      </c>
      <c r="E53" s="305" t="n">
        <f aca="false">E46*(INDEX(ProvTaxTable,MATCH("Provincial Capital Tax",ProvTaxColumn,0),MATCH(E3,ProvTaxRow,0)))</f>
        <v>643.419343169395</v>
      </c>
      <c r="F53" s="305" t="n">
        <f aca="false">F46*(INDEX(ProvTaxTable,MATCH("Provincial Capital Tax",ProvTaxColumn,0),MATCH(F3,ProvTaxRow,0)))</f>
        <v>674.847637155803</v>
      </c>
      <c r="G53" s="305" t="n">
        <f aca="false">G46*(INDEX(ProvTaxTable,MATCH("Provincial Capital Tax",ProvTaxColumn,0),MATCH(G3,ProvTaxRow,0)))</f>
        <v>694.974531356089</v>
      </c>
      <c r="H53" s="305" t="n">
        <f aca="false">H46*(INDEX(ProvTaxTable,MATCH("Provincial Capital Tax",ProvTaxColumn,0),MATCH(H3,ProvTaxRow,0)))</f>
        <v>709.261115473309</v>
      </c>
      <c r="I53" s="305" t="n">
        <f aca="false">I46*(INDEX(ProvTaxTable,MATCH("Provincial Capital Tax",ProvTaxColumn,0),MATCH(I3,ProvTaxRow,0)))</f>
        <v>724.130235206044</v>
      </c>
      <c r="J53" s="305" t="n">
        <f aca="false">J46*(INDEX(ProvTaxTable,MATCH("Provincial Capital Tax",ProvTaxColumn,0),MATCH(J3,ProvTaxRow,0)))</f>
        <v>739.017826809129</v>
      </c>
      <c r="K53" s="305" t="n">
        <f aca="false">K46*(INDEX(ProvTaxTable,MATCH("Provincial Capital Tax",ProvTaxColumn,0),MATCH(K3,ProvTaxRow,0)))</f>
        <v>751.459652050459</v>
      </c>
      <c r="L53" s="305" t="n">
        <f aca="false">L46*(INDEX(ProvTaxTable,MATCH("Provincial Capital Tax",ProvTaxColumn,0),MATCH(L3,ProvTaxRow,0)))</f>
        <v>764.374987751689</v>
      </c>
      <c r="M53" s="305" t="n">
        <f aca="false">M46*(INDEX(ProvTaxTable,MATCH("Provincial Capital Tax",ProvTaxColumn,0),MATCH(M3,ProvTaxRow,0)))</f>
        <v>776.576084642422</v>
      </c>
      <c r="N53" s="305" t="n">
        <f aca="false">N46*(INDEX(ProvTaxTable,MATCH("Provincial Capital Tax",ProvTaxColumn,0),MATCH(N3,ProvTaxRow,0)))</f>
        <v>788.833237343414</v>
      </c>
      <c r="O53" s="305" t="n">
        <f aca="false">O46*(INDEX(ProvTaxTable,MATCH("Provincial Capital Tax",ProvTaxColumn,0),MATCH(O3,ProvTaxRow,0)))</f>
        <v>801.189122621207</v>
      </c>
      <c r="P53" s="305" t="n">
        <f aca="false">P46*(INDEX(ProvTaxTable,MATCH("Provincial Capital Tax",ProvTaxColumn,0),MATCH(P3,ProvTaxRow,0)))</f>
        <v>814.70512962573</v>
      </c>
      <c r="Q53" s="305" t="n">
        <f aca="false">Q46*(INDEX(ProvTaxTable,MATCH("Provincial Capital Tax",ProvTaxColumn,0),MATCH(Q3,ProvTaxRow,0)))</f>
        <v>828.059013604036</v>
      </c>
      <c r="R53" s="305" t="n">
        <f aca="false">R46*(INDEX(ProvTaxTable,MATCH("Provincial Capital Tax",ProvTaxColumn,0),MATCH(R3,ProvTaxRow,0)))</f>
        <v>822.379730635062</v>
      </c>
      <c r="S53" s="305" t="n">
        <f aca="false">S46*(INDEX(ProvTaxTable,MATCH("Provincial Capital Tax",ProvTaxColumn,0),MATCH(S3,ProvTaxRow,0)))</f>
        <v>0</v>
      </c>
      <c r="T53" s="305" t="n">
        <f aca="false">T46*(INDEX(ProvTaxTable,MATCH("Provincial Capital Tax",ProvTaxColumn,0),MATCH(T3,ProvTaxRow,0)))</f>
        <v>0</v>
      </c>
      <c r="U53" s="305" t="n">
        <f aca="false">U46*(INDEX(ProvTaxTable,MATCH("Provincial Capital Tax",ProvTaxColumn,0),MATCH(U3,ProvTaxRow,0)))</f>
        <v>0</v>
      </c>
      <c r="V53" s="305" t="n">
        <f aca="false">V46*(INDEX(ProvTaxTable,MATCH("Provincial Capital Tax",ProvTaxColumn,0),MATCH(V3,ProvTaxRow,0)))</f>
        <v>0</v>
      </c>
      <c r="W53" s="305" t="n">
        <f aca="false">W46*(INDEX(ProvTaxTable,MATCH("Provincial Capital Tax",ProvTaxColumn,0),MATCH(W3,ProvTaxRow,0)))</f>
        <v>286.067859063549</v>
      </c>
      <c r="X53" s="305" t="n">
        <f aca="false">X46*(INDEX(ProvTaxTable,MATCH("Provincial Capital Tax",ProvTaxColumn,0),MATCH(X3,ProvTaxRow,0)))</f>
        <v>286.067859063549</v>
      </c>
      <c r="Y53" s="288"/>
      <c r="Z53" s="288"/>
      <c r="AA53" s="288"/>
      <c r="AB53" s="288"/>
      <c r="AC53" s="288"/>
      <c r="AD53" s="288"/>
      <c r="AE53" s="288"/>
    </row>
    <row r="54" customFormat="false" ht="12.75" hidden="false" customHeight="false" outlineLevel="0" collapsed="false">
      <c r="A54" s="113"/>
      <c r="B54" s="318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305"/>
      <c r="T54" s="305"/>
      <c r="U54" s="305"/>
      <c r="V54" s="305"/>
      <c r="W54" s="305"/>
      <c r="X54" s="305"/>
      <c r="Y54" s="288"/>
      <c r="Z54" s="288"/>
      <c r="AA54" s="288"/>
      <c r="AB54" s="288"/>
      <c r="AC54" s="288"/>
      <c r="AD54" s="288"/>
      <c r="AE54" s="288"/>
    </row>
    <row r="55" customFormat="false" ht="12.75" hidden="false" customHeight="false" outlineLevel="0" collapsed="false">
      <c r="A55" s="113"/>
      <c r="B55" s="318"/>
      <c r="F55" s="305"/>
      <c r="G55" s="305"/>
      <c r="H55" s="305"/>
      <c r="I55" s="305"/>
      <c r="J55" s="305"/>
      <c r="K55" s="305"/>
      <c r="L55" s="305"/>
      <c r="M55" s="305"/>
      <c r="N55" s="305"/>
      <c r="O55" s="305"/>
      <c r="P55" s="305"/>
      <c r="Q55" s="305"/>
      <c r="R55" s="305"/>
      <c r="S55" s="305"/>
      <c r="T55" s="305"/>
      <c r="U55" s="305"/>
      <c r="V55" s="305"/>
      <c r="W55" s="305"/>
      <c r="X55" s="305"/>
      <c r="Y55" s="288"/>
      <c r="Z55" s="288"/>
      <c r="AA55" s="288"/>
      <c r="AB55" s="288"/>
      <c r="AC55" s="288"/>
      <c r="AD55" s="288"/>
      <c r="AE55" s="288"/>
    </row>
    <row r="56" customFormat="false" ht="12.75" hidden="false" customHeight="false" outlineLevel="0" collapsed="false">
      <c r="A56" s="113"/>
      <c r="B56" s="318"/>
      <c r="F56" s="305"/>
      <c r="G56" s="305"/>
      <c r="H56" s="305"/>
      <c r="I56" s="305"/>
      <c r="J56" s="305"/>
      <c r="K56" s="305"/>
      <c r="L56" s="305"/>
      <c r="M56" s="305"/>
      <c r="N56" s="305"/>
      <c r="O56" s="305"/>
      <c r="P56" s="305"/>
      <c r="Q56" s="305"/>
      <c r="R56" s="305"/>
      <c r="S56" s="305"/>
      <c r="T56" s="305"/>
      <c r="U56" s="305"/>
      <c r="V56" s="305"/>
      <c r="W56" s="305"/>
      <c r="X56" s="305"/>
      <c r="Y56" s="288"/>
      <c r="Z56" s="288"/>
      <c r="AA56" s="288"/>
      <c r="AB56" s="288"/>
      <c r="AC56" s="288"/>
      <c r="AD56" s="288"/>
      <c r="AE56" s="288"/>
    </row>
    <row r="57" customFormat="false" ht="16.5" hidden="false" customHeight="true" outlineLevel="0" collapsed="false">
      <c r="A57" s="295"/>
      <c r="B57" s="318"/>
      <c r="C57" s="112"/>
      <c r="D57" s="112"/>
      <c r="E57" s="112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5"/>
      <c r="U57" s="305"/>
      <c r="V57" s="305"/>
      <c r="W57" s="305"/>
      <c r="X57" s="305"/>
      <c r="Y57" s="288"/>
      <c r="Z57" s="288"/>
      <c r="AA57" s="288"/>
      <c r="AB57" s="288"/>
      <c r="AC57" s="288"/>
      <c r="AD57" s="288"/>
      <c r="AE57" s="288"/>
    </row>
    <row r="58" customFormat="false" ht="13.5" hidden="false" customHeight="false" outlineLevel="0" collapsed="false">
      <c r="A58" s="295" t="s">
        <v>261</v>
      </c>
      <c r="B58" s="318"/>
      <c r="C58" s="316" t="e">
        <f aca="false">C49+C50+C52+C51</f>
        <v>#VALUE!</v>
      </c>
      <c r="D58" s="316" t="e">
        <f aca="false">D49+D50+D52+D51</f>
        <v>#VALUE!</v>
      </c>
      <c r="E58" s="316" t="e">
        <f aca="false">E49+E50+E52+E51</f>
        <v>#VALUE!</v>
      </c>
      <c r="F58" s="316" t="e">
        <f aca="false">F49+F50+F52+F51</f>
        <v>#VALUE!</v>
      </c>
      <c r="G58" s="316" t="e">
        <f aca="false">G49+G50+G52+G51</f>
        <v>#VALUE!</v>
      </c>
      <c r="H58" s="316" t="e">
        <f aca="false">H49+H50+H52+H51</f>
        <v>#VALUE!</v>
      </c>
      <c r="I58" s="316" t="e">
        <f aca="false">I49+I50+I52+I51</f>
        <v>#VALUE!</v>
      </c>
      <c r="J58" s="316" t="e">
        <f aca="false">J49+J50+J52+J51</f>
        <v>#VALUE!</v>
      </c>
      <c r="K58" s="316" t="e">
        <f aca="false">K49+K50+K52+K51</f>
        <v>#VALUE!</v>
      </c>
      <c r="L58" s="316" t="e">
        <f aca="false">L49+L50+L52+L51</f>
        <v>#VALUE!</v>
      </c>
      <c r="M58" s="316" t="e">
        <f aca="false">M49+M50+M52+M51</f>
        <v>#VALUE!</v>
      </c>
      <c r="N58" s="316" t="e">
        <f aca="false">N49+N50+N52+N51</f>
        <v>#VALUE!</v>
      </c>
      <c r="O58" s="316" t="e">
        <f aca="false">O49+O50+O52+O51</f>
        <v>#VALUE!</v>
      </c>
      <c r="P58" s="316" t="e">
        <f aca="false">P49+P50+P52+P51</f>
        <v>#VALUE!</v>
      </c>
      <c r="Q58" s="316" t="e">
        <f aca="false">Q49+Q50+Q52+Q51</f>
        <v>#VALUE!</v>
      </c>
      <c r="R58" s="316" t="e">
        <f aca="false">R49+R50+R52+R51</f>
        <v>#VALUE!</v>
      </c>
      <c r="S58" s="316" t="e">
        <f aca="false">S49+S50+S52+S51</f>
        <v>#VALUE!</v>
      </c>
      <c r="T58" s="316" t="e">
        <f aca="false">T49+T50+T52+T51</f>
        <v>#VALUE!</v>
      </c>
      <c r="U58" s="316" t="e">
        <f aca="false">U49+U50+U52+U51</f>
        <v>#VALUE!</v>
      </c>
      <c r="V58" s="316" t="e">
        <f aca="false">V49+V50+V52+V51</f>
        <v>#VALUE!</v>
      </c>
      <c r="W58" s="316" t="e">
        <f aca="false">W49+W50+W52+W51</f>
        <v>#VALUE!</v>
      </c>
      <c r="X58" s="316" t="e">
        <f aca="false">X49+X50+X52+X51</f>
        <v>#VALUE!</v>
      </c>
      <c r="Y58" s="288"/>
      <c r="Z58" s="288"/>
      <c r="AA58" s="288"/>
      <c r="AB58" s="288"/>
      <c r="AC58" s="288"/>
      <c r="AD58" s="288"/>
      <c r="AE58" s="288"/>
    </row>
    <row r="59" customFormat="false" ht="13.5" hidden="false" customHeight="false" outlineLevel="0" collapsed="false">
      <c r="A59" s="295"/>
      <c r="B59" s="318"/>
      <c r="C59" s="112"/>
      <c r="D59" s="112"/>
      <c r="E59" s="112"/>
      <c r="F59" s="305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5"/>
      <c r="R59" s="305"/>
      <c r="S59" s="305"/>
      <c r="T59" s="305"/>
      <c r="U59" s="305"/>
      <c r="V59" s="305"/>
      <c r="W59" s="305"/>
      <c r="X59" s="305"/>
      <c r="Y59" s="288"/>
      <c r="Z59" s="288"/>
      <c r="AA59" s="288"/>
      <c r="AB59" s="288"/>
      <c r="AC59" s="288"/>
      <c r="AD59" s="288"/>
      <c r="AE59" s="288"/>
    </row>
    <row r="60" customFormat="false" ht="12.75" hidden="false" customHeight="false" outlineLevel="0" collapsed="false">
      <c r="A60" s="295" t="s">
        <v>275</v>
      </c>
      <c r="B60" s="318"/>
      <c r="C60" s="112"/>
      <c r="D60" s="112"/>
      <c r="E60" s="112"/>
      <c r="F60" s="305"/>
      <c r="G60" s="305"/>
      <c r="H60" s="305"/>
      <c r="I60" s="305"/>
      <c r="J60" s="305"/>
      <c r="K60" s="305"/>
      <c r="L60" s="305"/>
      <c r="M60" s="305"/>
      <c r="N60" s="305"/>
      <c r="O60" s="305" t="n">
        <v>-49</v>
      </c>
      <c r="P60" s="305" t="n">
        <v>-106</v>
      </c>
      <c r="Q60" s="305"/>
      <c r="R60" s="305"/>
      <c r="S60" s="305"/>
      <c r="T60" s="305" t="e">
        <f aca="false">U28</f>
        <v>#VALUE!</v>
      </c>
      <c r="U60" s="305"/>
      <c r="V60" s="305"/>
      <c r="W60" s="305"/>
      <c r="X60" s="305"/>
      <c r="Y60" s="288"/>
      <c r="Z60" s="288"/>
      <c r="AA60" s="288"/>
      <c r="AB60" s="288"/>
      <c r="AC60" s="288"/>
      <c r="AD60" s="288"/>
      <c r="AE60" s="288"/>
    </row>
    <row r="61" customFormat="false" ht="12.75" hidden="false" customHeight="false" outlineLevel="0" collapsed="false">
      <c r="A61" s="295" t="s">
        <v>276</v>
      </c>
      <c r="B61" s="318"/>
      <c r="C61" s="327" t="n">
        <f aca="false">C22-C49</f>
        <v>-419.072170940265</v>
      </c>
      <c r="D61" s="327" t="e">
        <f aca="false">D22-D49</f>
        <v>#VALUE!</v>
      </c>
      <c r="E61" s="327" t="e">
        <f aca="false">E22-E49</f>
        <v>#VALUE!</v>
      </c>
      <c r="F61" s="305"/>
      <c r="G61" s="305"/>
      <c r="H61" s="305"/>
      <c r="I61" s="305"/>
      <c r="J61" s="305"/>
      <c r="K61" s="305"/>
      <c r="L61" s="305"/>
      <c r="M61" s="305"/>
      <c r="N61" s="305"/>
      <c r="O61" s="305"/>
      <c r="P61" s="305"/>
      <c r="Q61" s="305"/>
      <c r="R61" s="305"/>
      <c r="S61" s="305"/>
      <c r="T61" s="305"/>
      <c r="U61" s="305"/>
      <c r="V61" s="305"/>
      <c r="W61" s="305"/>
      <c r="X61" s="305"/>
      <c r="Y61" s="288"/>
      <c r="Z61" s="288"/>
      <c r="AA61" s="288"/>
      <c r="AB61" s="288"/>
      <c r="AC61" s="288"/>
      <c r="AD61" s="288"/>
      <c r="AE61" s="288"/>
    </row>
    <row r="62" customFormat="false" ht="12.75" hidden="false" customHeight="false" outlineLevel="0" collapsed="false">
      <c r="A62" s="295" t="s">
        <v>277</v>
      </c>
      <c r="B62" s="318"/>
      <c r="C62" s="309" t="n">
        <f aca="false">C49+C60+C61</f>
        <v>-17.8581691998092</v>
      </c>
      <c r="D62" s="309" t="e">
        <f aca="false">D49+D60+D61</f>
        <v>#VALUE!</v>
      </c>
      <c r="E62" s="309" t="e">
        <f aca="false">E49+E60+E61</f>
        <v>#VALUE!</v>
      </c>
      <c r="F62" s="309" t="n">
        <f aca="false">F49+F60+F61</f>
        <v>506.135727866852</v>
      </c>
      <c r="G62" s="309" t="n">
        <f aca="false">G49+G60+G61</f>
        <v>521.230898517067</v>
      </c>
      <c r="H62" s="309" t="n">
        <f aca="false">H49+H60+H61</f>
        <v>531.945836604982</v>
      </c>
      <c r="I62" s="309" t="n">
        <f aca="false">I49+I60+I61</f>
        <v>543.097676404533</v>
      </c>
      <c r="J62" s="309" t="n">
        <f aca="false">J49+J60+J61</f>
        <v>573.281240813767</v>
      </c>
      <c r="K62" s="309" t="n">
        <f aca="false">K49+K60+K61</f>
        <v>573.281240813767</v>
      </c>
      <c r="L62" s="309" t="n">
        <f aca="false">L49+L60+L61</f>
        <v>573.281240813767</v>
      </c>
      <c r="M62" s="309" t="n">
        <f aca="false">M49+M60+M61</f>
        <v>582.432063481817</v>
      </c>
      <c r="N62" s="309" t="n">
        <f aca="false">N49+N60+N61</f>
        <v>591.624928007561</v>
      </c>
      <c r="O62" s="309" t="n">
        <f aca="false">O49+O60+O61</f>
        <v>551.891841965905</v>
      </c>
      <c r="P62" s="309" t="n">
        <f aca="false">P49+P60+P61</f>
        <v>505.028847219297</v>
      </c>
      <c r="Q62" s="309" t="e">
        <f aca="false">ROUND(Q49+Q60+Q61+Q50,0)</f>
        <v>#VALUE!</v>
      </c>
      <c r="R62" s="309" t="n">
        <v>0</v>
      </c>
      <c r="S62" s="309" t="n">
        <v>0</v>
      </c>
      <c r="T62" s="309" t="e">
        <f aca="false">ROUND(T49+T60+T61+T50,0)</f>
        <v>#VALUE!</v>
      </c>
      <c r="U62" s="309" t="n">
        <v>0</v>
      </c>
      <c r="V62" s="309" t="n">
        <v>0</v>
      </c>
      <c r="W62" s="309" t="n">
        <v>0</v>
      </c>
      <c r="X62" s="309" t="n">
        <v>0</v>
      </c>
      <c r="Y62" s="288"/>
      <c r="Z62" s="288"/>
      <c r="AA62" s="288"/>
      <c r="AB62" s="288"/>
      <c r="AC62" s="288"/>
      <c r="AD62" s="288"/>
      <c r="AE62" s="288"/>
    </row>
    <row r="63" customFormat="false" ht="12.75" hidden="false" customHeight="false" outlineLevel="0" collapsed="false">
      <c r="A63" s="295"/>
      <c r="B63" s="318"/>
      <c r="C63" s="112"/>
      <c r="D63" s="112"/>
      <c r="E63" s="112"/>
      <c r="F63" s="305"/>
      <c r="G63" s="305"/>
      <c r="H63" s="305"/>
      <c r="I63" s="305"/>
      <c r="J63" s="305"/>
      <c r="K63" s="305"/>
      <c r="L63" s="305"/>
      <c r="M63" s="305"/>
      <c r="N63" s="305"/>
      <c r="O63" s="305"/>
      <c r="P63" s="305"/>
      <c r="Q63" s="305"/>
      <c r="R63" s="305"/>
      <c r="S63" s="305"/>
      <c r="T63" s="305"/>
      <c r="U63" s="305"/>
      <c r="V63" s="305"/>
      <c r="W63" s="305"/>
      <c r="X63" s="305"/>
      <c r="Y63" s="288"/>
      <c r="Z63" s="288"/>
      <c r="AA63" s="288"/>
      <c r="AB63" s="288"/>
      <c r="AC63" s="288"/>
      <c r="AD63" s="288"/>
      <c r="AE63" s="288"/>
    </row>
    <row r="64" customFormat="false" ht="12.75" hidden="false" customHeight="false" outlineLevel="0" collapsed="false">
      <c r="A64" s="113"/>
      <c r="B64" s="318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305"/>
      <c r="R64" s="305"/>
      <c r="S64" s="305"/>
      <c r="T64" s="305"/>
      <c r="U64" s="305"/>
      <c r="V64" s="305"/>
      <c r="W64" s="305"/>
      <c r="X64" s="305"/>
      <c r="Y64" s="288"/>
      <c r="Z64" s="288"/>
      <c r="AA64" s="288"/>
      <c r="AB64" s="288"/>
      <c r="AC64" s="288"/>
      <c r="AD64" s="288"/>
      <c r="AE64" s="288"/>
    </row>
    <row r="65" customFormat="false" ht="15.75" hidden="false" customHeight="false" outlineLevel="0" collapsed="false">
      <c r="A65" s="293" t="s">
        <v>278</v>
      </c>
      <c r="B65" s="318"/>
      <c r="F65" s="305"/>
      <c r="G65" s="305"/>
      <c r="H65" s="305"/>
      <c r="I65" s="305"/>
      <c r="J65" s="305"/>
      <c r="K65" s="305"/>
      <c r="L65" s="305"/>
      <c r="M65" s="305"/>
      <c r="N65" s="305"/>
      <c r="O65" s="305"/>
      <c r="P65" s="305"/>
      <c r="Q65" s="305"/>
      <c r="R65" s="305"/>
      <c r="S65" s="305"/>
      <c r="T65" s="305"/>
      <c r="U65" s="305"/>
      <c r="V65" s="305"/>
      <c r="W65" s="305"/>
      <c r="X65" s="305"/>
    </row>
    <row r="66" customFormat="false" ht="12.75" hidden="false" customHeight="false" outlineLevel="0" collapsed="false">
      <c r="A66" s="113"/>
      <c r="B66" s="318"/>
      <c r="F66" s="305"/>
      <c r="G66" s="305"/>
      <c r="H66" s="305"/>
      <c r="I66" s="305"/>
      <c r="J66" s="305"/>
      <c r="K66" s="305"/>
      <c r="L66" s="305"/>
      <c r="M66" s="305"/>
      <c r="N66" s="305"/>
      <c r="O66" s="305"/>
      <c r="P66" s="305"/>
      <c r="Q66" s="305"/>
      <c r="R66" s="305"/>
      <c r="S66" s="305"/>
      <c r="T66" s="305"/>
      <c r="U66" s="305"/>
      <c r="V66" s="305"/>
      <c r="W66" s="305"/>
      <c r="X66" s="305"/>
    </row>
    <row r="67" customFormat="false" ht="12.75" hidden="false" customHeight="false" outlineLevel="0" collapsed="false">
      <c r="A67" s="305" t="s">
        <v>279</v>
      </c>
      <c r="B67" s="305"/>
      <c r="C67" s="305" t="n">
        <v>0</v>
      </c>
      <c r="D67" s="305" t="n">
        <f aca="false">C71</f>
        <v>0</v>
      </c>
      <c r="E67" s="305" t="e">
        <f aca="false">D71</f>
        <v>#VALUE!</v>
      </c>
      <c r="F67" s="305" t="e">
        <f aca="false">E71</f>
        <v>#VALUE!</v>
      </c>
      <c r="G67" s="305" t="e">
        <f aca="false">F71</f>
        <v>#VALUE!</v>
      </c>
      <c r="H67" s="305" t="e">
        <f aca="false">G71</f>
        <v>#VALUE!</v>
      </c>
      <c r="I67" s="305" t="e">
        <f aca="false">H71</f>
        <v>#VALUE!</v>
      </c>
      <c r="J67" s="305" t="e">
        <f aca="false">I71</f>
        <v>#VALUE!</v>
      </c>
      <c r="K67" s="305" t="e">
        <f aca="false">J71</f>
        <v>#VALUE!</v>
      </c>
      <c r="L67" s="305" t="e">
        <f aca="false">K71</f>
        <v>#VALUE!</v>
      </c>
      <c r="M67" s="305" t="e">
        <f aca="false">L71</f>
        <v>#VALUE!</v>
      </c>
      <c r="N67" s="305" t="e">
        <f aca="false">M71</f>
        <v>#VALUE!</v>
      </c>
      <c r="O67" s="305" t="e">
        <f aca="false">N71</f>
        <v>#VALUE!</v>
      </c>
      <c r="P67" s="305" t="e">
        <f aca="false">O71</f>
        <v>#VALUE!</v>
      </c>
      <c r="Q67" s="305" t="e">
        <f aca="false">P71</f>
        <v>#VALUE!</v>
      </c>
      <c r="R67" s="305" t="e">
        <f aca="false">Q71</f>
        <v>#VALUE!</v>
      </c>
      <c r="S67" s="305" t="e">
        <f aca="false">R71</f>
        <v>#VALUE!</v>
      </c>
      <c r="T67" s="305" t="e">
        <f aca="false">S71</f>
        <v>#VALUE!</v>
      </c>
      <c r="U67" s="305" t="e">
        <f aca="false">T71</f>
        <v>#VALUE!</v>
      </c>
      <c r="V67" s="305" t="e">
        <f aca="false">U71</f>
        <v>#VALUE!</v>
      </c>
      <c r="W67" s="305" t="e">
        <f aca="false">V71</f>
        <v>#VALUE!</v>
      </c>
      <c r="X67" s="305" t="e">
        <f aca="false">W71</f>
        <v>#VALUE!</v>
      </c>
      <c r="Y67" s="305"/>
      <c r="Z67" s="305"/>
      <c r="AA67" s="305"/>
      <c r="AB67" s="305"/>
      <c r="AC67" s="305"/>
      <c r="AD67" s="305"/>
      <c r="AE67" s="305"/>
      <c r="AF67" s="305"/>
      <c r="AG67" s="305"/>
      <c r="AH67" s="305"/>
      <c r="AI67" s="305"/>
      <c r="AJ67" s="305"/>
      <c r="AK67" s="305"/>
      <c r="AL67" s="305"/>
      <c r="AM67" s="305"/>
      <c r="AN67" s="305"/>
      <c r="AO67" s="305"/>
      <c r="AP67" s="305"/>
      <c r="AQ67" s="305"/>
      <c r="AR67" s="305"/>
      <c r="AS67" s="305"/>
      <c r="AT67" s="305"/>
      <c r="AU67" s="305"/>
      <c r="AV67" s="305"/>
      <c r="AW67" s="305"/>
      <c r="AX67" s="305"/>
      <c r="AY67" s="305"/>
      <c r="AZ67" s="305"/>
      <c r="BA67" s="305"/>
      <c r="BB67" s="305"/>
      <c r="BC67" s="305"/>
      <c r="BD67" s="305"/>
      <c r="BE67" s="305"/>
      <c r="BF67" s="305"/>
      <c r="BG67" s="305"/>
      <c r="BH67" s="305"/>
      <c r="BI67" s="305"/>
      <c r="BJ67" s="305"/>
      <c r="BK67" s="305"/>
      <c r="BL67" s="305"/>
      <c r="BM67" s="305"/>
      <c r="BN67" s="305"/>
      <c r="BO67" s="305"/>
      <c r="BP67" s="305"/>
      <c r="BQ67" s="305"/>
      <c r="BR67" s="305"/>
      <c r="BS67" s="305"/>
      <c r="BT67" s="305"/>
      <c r="BU67" s="305"/>
      <c r="BV67" s="305"/>
      <c r="BW67" s="305"/>
      <c r="BX67" s="305"/>
      <c r="BY67" s="305"/>
      <c r="BZ67" s="305"/>
      <c r="CA67" s="305"/>
      <c r="CB67" s="305"/>
      <c r="CC67" s="305"/>
      <c r="CD67" s="305"/>
      <c r="CE67" s="305"/>
      <c r="CF67" s="305"/>
      <c r="CG67" s="305"/>
      <c r="CH67" s="305"/>
      <c r="CI67" s="305"/>
      <c r="CJ67" s="305"/>
      <c r="CK67" s="305"/>
      <c r="CL67" s="305"/>
      <c r="CM67" s="305"/>
      <c r="CN67" s="305"/>
      <c r="CO67" s="305"/>
      <c r="CP67" s="305"/>
      <c r="CQ67" s="305"/>
      <c r="CR67" s="305"/>
      <c r="CS67" s="305"/>
      <c r="CT67" s="305"/>
      <c r="CU67" s="305"/>
      <c r="CV67" s="305"/>
      <c r="CW67" s="305"/>
      <c r="CX67" s="305"/>
      <c r="CY67" s="305"/>
      <c r="CZ67" s="305"/>
      <c r="DA67" s="305"/>
      <c r="DB67" s="305"/>
      <c r="DC67" s="305"/>
      <c r="DD67" s="305"/>
      <c r="DE67" s="305"/>
      <c r="DF67" s="305"/>
      <c r="DG67" s="305"/>
      <c r="DH67" s="305"/>
      <c r="DI67" s="305"/>
      <c r="DJ67" s="305"/>
      <c r="DK67" s="305"/>
      <c r="DL67" s="305"/>
      <c r="DM67" s="305"/>
      <c r="DN67" s="305"/>
      <c r="DO67" s="305"/>
      <c r="DP67" s="305"/>
      <c r="DQ67" s="305"/>
      <c r="DR67" s="305"/>
      <c r="DS67" s="305"/>
      <c r="DT67" s="305"/>
      <c r="DU67" s="305"/>
      <c r="DV67" s="305"/>
      <c r="DW67" s="305"/>
      <c r="DX67" s="305"/>
      <c r="DY67" s="305"/>
      <c r="DZ67" s="305"/>
      <c r="EA67" s="305"/>
      <c r="EB67" s="305"/>
      <c r="EC67" s="305"/>
      <c r="ED67" s="305"/>
      <c r="EE67" s="305"/>
      <c r="EF67" s="305"/>
      <c r="EG67" s="305"/>
      <c r="EH67" s="305"/>
      <c r="EI67" s="305"/>
      <c r="EJ67" s="305"/>
      <c r="EK67" s="305"/>
      <c r="EL67" s="305"/>
      <c r="EM67" s="305"/>
      <c r="EN67" s="305"/>
      <c r="EO67" s="305"/>
      <c r="EP67" s="305"/>
      <c r="EQ67" s="305"/>
      <c r="ER67" s="305"/>
      <c r="ES67" s="305"/>
      <c r="ET67" s="305"/>
      <c r="EU67" s="305"/>
      <c r="EV67" s="305"/>
      <c r="EW67" s="305"/>
      <c r="EX67" s="305"/>
      <c r="EY67" s="305"/>
      <c r="EZ67" s="305"/>
      <c r="FA67" s="305"/>
      <c r="FB67" s="305"/>
      <c r="FC67" s="305"/>
      <c r="FD67" s="305"/>
      <c r="FE67" s="305"/>
      <c r="FF67" s="305"/>
      <c r="FG67" s="305"/>
      <c r="FH67" s="305"/>
      <c r="FI67" s="305"/>
      <c r="FJ67" s="305"/>
      <c r="FK67" s="305"/>
      <c r="FL67" s="305"/>
      <c r="FM67" s="305"/>
      <c r="FN67" s="305"/>
      <c r="FO67" s="305"/>
      <c r="FP67" s="305"/>
      <c r="FQ67" s="305"/>
      <c r="FR67" s="305"/>
      <c r="FS67" s="305"/>
      <c r="FT67" s="305"/>
      <c r="FU67" s="305"/>
      <c r="FV67" s="305"/>
      <c r="FW67" s="305"/>
      <c r="FX67" s="305"/>
      <c r="FY67" s="305"/>
      <c r="FZ67" s="305"/>
      <c r="GA67" s="305"/>
      <c r="GB67" s="305"/>
      <c r="GC67" s="305"/>
      <c r="GD67" s="305"/>
      <c r="GE67" s="305"/>
      <c r="GF67" s="305"/>
      <c r="GG67" s="305"/>
      <c r="GH67" s="305"/>
      <c r="GI67" s="305"/>
      <c r="GJ67" s="305"/>
      <c r="GK67" s="305"/>
      <c r="GL67" s="305"/>
      <c r="GM67" s="305"/>
      <c r="GN67" s="305"/>
      <c r="GO67" s="305"/>
      <c r="GP67" s="305"/>
      <c r="GQ67" s="305"/>
      <c r="GR67" s="305"/>
      <c r="GS67" s="305"/>
      <c r="GT67" s="305"/>
      <c r="GU67" s="305"/>
      <c r="GV67" s="305"/>
      <c r="GW67" s="305"/>
      <c r="GX67" s="305"/>
      <c r="GY67" s="305"/>
      <c r="GZ67" s="305"/>
      <c r="HA67" s="305"/>
      <c r="HB67" s="305"/>
      <c r="HC67" s="305"/>
      <c r="HD67" s="305"/>
      <c r="HE67" s="305"/>
      <c r="HF67" s="305"/>
      <c r="HG67" s="305"/>
      <c r="HH67" s="305"/>
      <c r="HI67" s="305"/>
      <c r="HJ67" s="305"/>
      <c r="HK67" s="305"/>
      <c r="HL67" s="305"/>
      <c r="HM67" s="305"/>
      <c r="HN67" s="305"/>
      <c r="HO67" s="305"/>
      <c r="HP67" s="305"/>
      <c r="HQ67" s="305"/>
      <c r="HR67" s="305"/>
      <c r="HS67" s="305"/>
      <c r="HT67" s="305"/>
      <c r="HU67" s="305"/>
      <c r="HV67" s="305"/>
      <c r="HW67" s="305"/>
      <c r="HX67" s="305"/>
      <c r="HY67" s="305"/>
      <c r="HZ67" s="305"/>
      <c r="IA67" s="305"/>
      <c r="IB67" s="305"/>
      <c r="IC67" s="305"/>
      <c r="ID67" s="305"/>
      <c r="IE67" s="305"/>
      <c r="IF67" s="305"/>
      <c r="IG67" s="305"/>
      <c r="IH67" s="305"/>
      <c r="II67" s="305"/>
      <c r="IJ67" s="305"/>
      <c r="IK67" s="305"/>
      <c r="IL67" s="305"/>
      <c r="IM67" s="305"/>
      <c r="IN67" s="305"/>
      <c r="IO67" s="305"/>
    </row>
    <row r="68" customFormat="false" ht="12.75" hidden="false" customHeight="false" outlineLevel="0" collapsed="false">
      <c r="A68" s="305" t="s">
        <v>280</v>
      </c>
      <c r="B68" s="305"/>
      <c r="C68" s="305" t="n">
        <f aca="false">C31</f>
        <v>0</v>
      </c>
      <c r="D68" s="305" t="e">
        <f aca="false">D31</f>
        <v>#VALUE!</v>
      </c>
      <c r="E68" s="305" t="e">
        <f aca="false">E31</f>
        <v>#VALUE!</v>
      </c>
      <c r="F68" s="305" t="e">
        <f aca="false">F31</f>
        <v>#VALUE!</v>
      </c>
      <c r="G68" s="305" t="e">
        <f aca="false">G31</f>
        <v>#VALUE!</v>
      </c>
      <c r="H68" s="305" t="e">
        <f aca="false">H31</f>
        <v>#VALUE!</v>
      </c>
      <c r="I68" s="305" t="e">
        <f aca="false">I31</f>
        <v>#VALUE!</v>
      </c>
      <c r="J68" s="305" t="e">
        <f aca="false">J31</f>
        <v>#VALUE!</v>
      </c>
      <c r="K68" s="305" t="e">
        <f aca="false">K31</f>
        <v>#VALUE!</v>
      </c>
      <c r="L68" s="305" t="e">
        <f aca="false">L31</f>
        <v>#VALUE!</v>
      </c>
      <c r="M68" s="305" t="e">
        <f aca="false">M31</f>
        <v>#VALUE!</v>
      </c>
      <c r="N68" s="305" t="e">
        <f aca="false">N31</f>
        <v>#VALUE!</v>
      </c>
      <c r="O68" s="305" t="e">
        <f aca="false">O31</f>
        <v>#VALUE!</v>
      </c>
      <c r="P68" s="305" t="e">
        <f aca="false">P31</f>
        <v>#VALUE!</v>
      </c>
      <c r="Q68" s="305" t="e">
        <f aca="false">Q31</f>
        <v>#VALUE!</v>
      </c>
      <c r="R68" s="305" t="e">
        <f aca="false">R31</f>
        <v>#VALUE!</v>
      </c>
      <c r="S68" s="305" t="e">
        <f aca="false">S31</f>
        <v>#VALUE!</v>
      </c>
      <c r="T68" s="305" t="e">
        <f aca="false">T31</f>
        <v>#VALUE!</v>
      </c>
      <c r="U68" s="305" t="e">
        <f aca="false">U31</f>
        <v>#VALUE!</v>
      </c>
      <c r="V68" s="305" t="e">
        <f aca="false">V31</f>
        <v>#VALUE!</v>
      </c>
      <c r="W68" s="305" t="e">
        <f aca="false">W31</f>
        <v>#VALUE!</v>
      </c>
      <c r="X68" s="305" t="e">
        <f aca="false">X31</f>
        <v>#VALUE!</v>
      </c>
      <c r="Y68" s="305"/>
      <c r="Z68" s="305"/>
      <c r="AA68" s="305"/>
      <c r="AB68" s="305"/>
      <c r="AC68" s="305"/>
      <c r="AD68" s="305"/>
      <c r="AE68" s="305"/>
      <c r="AF68" s="305"/>
      <c r="AG68" s="305"/>
      <c r="AH68" s="305"/>
      <c r="AI68" s="305"/>
      <c r="AJ68" s="305"/>
      <c r="AK68" s="305"/>
      <c r="AL68" s="305"/>
      <c r="AM68" s="305"/>
      <c r="AN68" s="305"/>
      <c r="AO68" s="305"/>
      <c r="AP68" s="305"/>
      <c r="AQ68" s="305"/>
      <c r="AR68" s="305"/>
      <c r="AS68" s="305"/>
      <c r="AT68" s="305"/>
      <c r="AU68" s="305"/>
      <c r="AV68" s="305"/>
      <c r="AW68" s="305"/>
      <c r="AX68" s="305"/>
      <c r="AY68" s="305"/>
      <c r="AZ68" s="305"/>
      <c r="BA68" s="305"/>
      <c r="BB68" s="305"/>
      <c r="BC68" s="305"/>
      <c r="BD68" s="305"/>
      <c r="BE68" s="305"/>
      <c r="BF68" s="305"/>
      <c r="BG68" s="305"/>
      <c r="BH68" s="305"/>
      <c r="BI68" s="305"/>
      <c r="BJ68" s="305"/>
      <c r="BK68" s="305"/>
      <c r="BL68" s="305"/>
      <c r="BM68" s="305"/>
      <c r="BN68" s="305"/>
      <c r="BO68" s="305"/>
      <c r="BP68" s="305"/>
      <c r="BQ68" s="305"/>
      <c r="BR68" s="305"/>
      <c r="BS68" s="305"/>
      <c r="BT68" s="305"/>
      <c r="BU68" s="305"/>
      <c r="BV68" s="305"/>
      <c r="BW68" s="305"/>
      <c r="BX68" s="305"/>
      <c r="BY68" s="305"/>
      <c r="BZ68" s="305"/>
      <c r="CA68" s="305"/>
      <c r="CB68" s="305"/>
      <c r="CC68" s="305"/>
      <c r="CD68" s="305"/>
      <c r="CE68" s="305"/>
      <c r="CF68" s="305"/>
      <c r="CG68" s="305"/>
      <c r="CH68" s="305"/>
      <c r="CI68" s="305"/>
      <c r="CJ68" s="305"/>
      <c r="CK68" s="305"/>
      <c r="CL68" s="305"/>
      <c r="CM68" s="305"/>
      <c r="CN68" s="305"/>
      <c r="CO68" s="305"/>
      <c r="CP68" s="305"/>
      <c r="CQ68" s="305"/>
      <c r="CR68" s="305"/>
      <c r="CS68" s="305"/>
      <c r="CT68" s="305"/>
      <c r="CU68" s="305"/>
      <c r="CV68" s="305"/>
      <c r="CW68" s="305"/>
      <c r="CX68" s="305"/>
      <c r="CY68" s="305"/>
      <c r="CZ68" s="305"/>
      <c r="DA68" s="305"/>
      <c r="DB68" s="305"/>
      <c r="DC68" s="305"/>
      <c r="DD68" s="305"/>
      <c r="DE68" s="305"/>
      <c r="DF68" s="305"/>
      <c r="DG68" s="305"/>
      <c r="DH68" s="305"/>
      <c r="DI68" s="305"/>
      <c r="DJ68" s="305"/>
      <c r="DK68" s="305"/>
      <c r="DL68" s="305"/>
      <c r="DM68" s="305"/>
      <c r="DN68" s="305"/>
      <c r="DO68" s="305"/>
      <c r="DP68" s="305"/>
      <c r="DQ68" s="305"/>
      <c r="DR68" s="305"/>
      <c r="DS68" s="305"/>
      <c r="DT68" s="305"/>
      <c r="DU68" s="305"/>
      <c r="DV68" s="305"/>
      <c r="DW68" s="305"/>
      <c r="DX68" s="305"/>
      <c r="DY68" s="305"/>
      <c r="DZ68" s="305"/>
      <c r="EA68" s="305"/>
      <c r="EB68" s="305"/>
      <c r="EC68" s="305"/>
      <c r="ED68" s="305"/>
      <c r="EE68" s="305"/>
      <c r="EF68" s="305"/>
      <c r="EG68" s="305"/>
      <c r="EH68" s="305"/>
      <c r="EI68" s="305"/>
      <c r="EJ68" s="305"/>
      <c r="EK68" s="305"/>
      <c r="EL68" s="305"/>
      <c r="EM68" s="305"/>
      <c r="EN68" s="305"/>
      <c r="EO68" s="305"/>
      <c r="EP68" s="305"/>
      <c r="EQ68" s="305"/>
      <c r="ER68" s="305"/>
      <c r="ES68" s="305"/>
      <c r="ET68" s="305"/>
      <c r="EU68" s="305"/>
      <c r="EV68" s="305"/>
      <c r="EW68" s="305"/>
      <c r="EX68" s="305"/>
      <c r="EY68" s="305"/>
      <c r="EZ68" s="305"/>
      <c r="FA68" s="305"/>
      <c r="FB68" s="305"/>
      <c r="FC68" s="305"/>
      <c r="FD68" s="305"/>
      <c r="FE68" s="305"/>
      <c r="FF68" s="305"/>
      <c r="FG68" s="305"/>
      <c r="FH68" s="305"/>
      <c r="FI68" s="305"/>
      <c r="FJ68" s="305"/>
      <c r="FK68" s="305"/>
      <c r="FL68" s="305"/>
      <c r="FM68" s="305"/>
      <c r="FN68" s="305"/>
      <c r="FO68" s="305"/>
      <c r="FP68" s="305"/>
      <c r="FQ68" s="305"/>
      <c r="FR68" s="305"/>
      <c r="FS68" s="305"/>
      <c r="FT68" s="305"/>
      <c r="FU68" s="305"/>
      <c r="FV68" s="305"/>
      <c r="FW68" s="305"/>
      <c r="FX68" s="305"/>
      <c r="FY68" s="305"/>
      <c r="FZ68" s="305"/>
      <c r="GA68" s="305"/>
      <c r="GB68" s="305"/>
      <c r="GC68" s="305"/>
      <c r="GD68" s="305"/>
      <c r="GE68" s="305"/>
      <c r="GF68" s="305"/>
      <c r="GG68" s="305"/>
      <c r="GH68" s="305"/>
      <c r="GI68" s="305"/>
      <c r="GJ68" s="305"/>
      <c r="GK68" s="305"/>
      <c r="GL68" s="305"/>
      <c r="GM68" s="305"/>
      <c r="GN68" s="305"/>
      <c r="GO68" s="305"/>
      <c r="GP68" s="305"/>
      <c r="GQ68" s="305"/>
      <c r="GR68" s="305"/>
      <c r="GS68" s="305"/>
      <c r="GT68" s="305"/>
      <c r="GU68" s="305"/>
      <c r="GV68" s="305"/>
      <c r="GW68" s="305"/>
      <c r="GX68" s="305"/>
      <c r="GY68" s="305"/>
      <c r="GZ68" s="305"/>
      <c r="HA68" s="305"/>
      <c r="HB68" s="305"/>
      <c r="HC68" s="305"/>
      <c r="HD68" s="305"/>
      <c r="HE68" s="305"/>
      <c r="HF68" s="305"/>
      <c r="HG68" s="305"/>
      <c r="HH68" s="305"/>
      <c r="HI68" s="305"/>
      <c r="HJ68" s="305"/>
      <c r="HK68" s="305"/>
      <c r="HL68" s="305"/>
      <c r="HM68" s="305"/>
      <c r="HN68" s="305"/>
      <c r="HO68" s="305"/>
      <c r="HP68" s="305"/>
      <c r="HQ68" s="305"/>
      <c r="HR68" s="305"/>
      <c r="HS68" s="305"/>
      <c r="HT68" s="305"/>
      <c r="HU68" s="305"/>
      <c r="HV68" s="305"/>
      <c r="HW68" s="305"/>
      <c r="HX68" s="305"/>
      <c r="HY68" s="305"/>
      <c r="HZ68" s="305"/>
      <c r="IA68" s="305"/>
      <c r="IB68" s="305"/>
      <c r="IC68" s="305"/>
      <c r="ID68" s="305"/>
      <c r="IE68" s="305"/>
      <c r="IF68" s="305"/>
      <c r="IG68" s="305"/>
      <c r="IH68" s="305"/>
      <c r="II68" s="305"/>
      <c r="IJ68" s="305"/>
      <c r="IK68" s="305"/>
      <c r="IL68" s="305"/>
      <c r="IM68" s="305"/>
      <c r="IN68" s="305"/>
      <c r="IO68" s="305"/>
    </row>
    <row r="69" customFormat="false" ht="12.75" hidden="false" customHeight="false" outlineLevel="0" collapsed="false">
      <c r="A69" s="305" t="s">
        <v>281</v>
      </c>
      <c r="B69" s="305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5" t="e">
        <f aca="false">-F68</f>
        <v>#VALUE!</v>
      </c>
      <c r="Q69" s="305" t="e">
        <f aca="false">-G68</f>
        <v>#VALUE!</v>
      </c>
      <c r="R69" s="305" t="e">
        <f aca="false">-H68</f>
        <v>#VALUE!</v>
      </c>
      <c r="S69" s="305" t="e">
        <f aca="false">-I68</f>
        <v>#VALUE!</v>
      </c>
      <c r="T69" s="305"/>
      <c r="U69" s="305"/>
      <c r="V69" s="305"/>
      <c r="W69" s="305"/>
      <c r="X69" s="305"/>
      <c r="Y69" s="305"/>
      <c r="Z69" s="305"/>
      <c r="AA69" s="305"/>
      <c r="AB69" s="305"/>
      <c r="AC69" s="305"/>
      <c r="AD69" s="305"/>
      <c r="AE69" s="305"/>
      <c r="AF69" s="305"/>
      <c r="AG69" s="305"/>
      <c r="AH69" s="305"/>
      <c r="AI69" s="305"/>
      <c r="AJ69" s="305"/>
      <c r="AK69" s="305"/>
      <c r="AL69" s="305"/>
      <c r="AM69" s="305"/>
      <c r="AN69" s="305"/>
      <c r="AO69" s="305"/>
      <c r="AP69" s="305"/>
      <c r="AQ69" s="305"/>
      <c r="AR69" s="305"/>
      <c r="AS69" s="305"/>
      <c r="AT69" s="305"/>
      <c r="AU69" s="305"/>
      <c r="AV69" s="305"/>
      <c r="AW69" s="305"/>
      <c r="AX69" s="305"/>
      <c r="AY69" s="305"/>
      <c r="AZ69" s="305"/>
      <c r="BA69" s="305"/>
      <c r="BB69" s="305"/>
      <c r="BC69" s="305"/>
      <c r="BD69" s="305"/>
      <c r="BE69" s="305"/>
      <c r="BF69" s="305"/>
      <c r="BG69" s="305"/>
      <c r="BH69" s="305"/>
      <c r="BI69" s="305"/>
      <c r="BJ69" s="305"/>
      <c r="BK69" s="305"/>
      <c r="BL69" s="305"/>
      <c r="BM69" s="305"/>
      <c r="BN69" s="305"/>
      <c r="BO69" s="305"/>
      <c r="BP69" s="305"/>
      <c r="BQ69" s="305"/>
      <c r="BR69" s="305"/>
      <c r="BS69" s="305"/>
      <c r="BT69" s="305"/>
      <c r="BU69" s="305"/>
      <c r="BV69" s="305"/>
      <c r="BW69" s="305"/>
      <c r="BX69" s="305"/>
      <c r="BY69" s="305"/>
      <c r="BZ69" s="305"/>
      <c r="CA69" s="305"/>
      <c r="CB69" s="305"/>
      <c r="CC69" s="305"/>
      <c r="CD69" s="305"/>
      <c r="CE69" s="305"/>
      <c r="CF69" s="305"/>
      <c r="CG69" s="305"/>
      <c r="CH69" s="305"/>
      <c r="CI69" s="305"/>
      <c r="CJ69" s="305"/>
      <c r="CK69" s="305"/>
      <c r="CL69" s="305"/>
      <c r="CM69" s="305"/>
      <c r="CN69" s="305"/>
      <c r="CO69" s="305"/>
      <c r="CP69" s="305"/>
      <c r="CQ69" s="305"/>
      <c r="CR69" s="305"/>
      <c r="CS69" s="305"/>
      <c r="CT69" s="305"/>
      <c r="CU69" s="305"/>
      <c r="CV69" s="305"/>
      <c r="CW69" s="305"/>
      <c r="CX69" s="305"/>
      <c r="CY69" s="305"/>
      <c r="CZ69" s="305"/>
      <c r="DA69" s="305"/>
      <c r="DB69" s="305"/>
      <c r="DC69" s="305"/>
      <c r="DD69" s="305"/>
      <c r="DE69" s="305"/>
      <c r="DF69" s="305"/>
      <c r="DG69" s="305"/>
      <c r="DH69" s="305"/>
      <c r="DI69" s="305"/>
      <c r="DJ69" s="305"/>
      <c r="DK69" s="305"/>
      <c r="DL69" s="305"/>
      <c r="DM69" s="305"/>
      <c r="DN69" s="305"/>
      <c r="DO69" s="305"/>
      <c r="DP69" s="305"/>
      <c r="DQ69" s="305"/>
      <c r="DR69" s="305"/>
      <c r="DS69" s="305"/>
      <c r="DT69" s="305"/>
      <c r="DU69" s="305"/>
      <c r="DV69" s="305"/>
      <c r="DW69" s="305"/>
      <c r="DX69" s="305"/>
      <c r="DY69" s="305"/>
      <c r="DZ69" s="305"/>
      <c r="EA69" s="305"/>
      <c r="EB69" s="305"/>
      <c r="EC69" s="305"/>
      <c r="ED69" s="305"/>
      <c r="EE69" s="305"/>
      <c r="EF69" s="305"/>
      <c r="EG69" s="305"/>
      <c r="EH69" s="305"/>
      <c r="EI69" s="305"/>
      <c r="EJ69" s="305"/>
      <c r="EK69" s="305"/>
      <c r="EL69" s="305"/>
      <c r="EM69" s="305"/>
      <c r="EN69" s="305"/>
      <c r="EO69" s="305"/>
      <c r="EP69" s="305"/>
      <c r="EQ69" s="305"/>
      <c r="ER69" s="305"/>
      <c r="ES69" s="305"/>
      <c r="ET69" s="305"/>
      <c r="EU69" s="305"/>
      <c r="EV69" s="305"/>
      <c r="EW69" s="305"/>
      <c r="EX69" s="305"/>
      <c r="EY69" s="305"/>
      <c r="EZ69" s="305"/>
      <c r="FA69" s="305"/>
      <c r="FB69" s="305"/>
      <c r="FC69" s="305"/>
      <c r="FD69" s="305"/>
      <c r="FE69" s="305"/>
      <c r="FF69" s="305"/>
      <c r="FG69" s="305"/>
      <c r="FH69" s="305"/>
      <c r="FI69" s="305"/>
      <c r="FJ69" s="305"/>
      <c r="FK69" s="305"/>
      <c r="FL69" s="305"/>
      <c r="FM69" s="305"/>
      <c r="FN69" s="305"/>
      <c r="FO69" s="305"/>
      <c r="FP69" s="305"/>
      <c r="FQ69" s="305"/>
      <c r="FR69" s="305"/>
      <c r="FS69" s="305"/>
      <c r="FT69" s="305"/>
      <c r="FU69" s="305"/>
      <c r="FV69" s="305"/>
      <c r="FW69" s="305"/>
      <c r="FX69" s="305"/>
      <c r="FY69" s="305"/>
      <c r="FZ69" s="305"/>
      <c r="GA69" s="305"/>
      <c r="GB69" s="305"/>
      <c r="GC69" s="305"/>
      <c r="GD69" s="305"/>
      <c r="GE69" s="305"/>
      <c r="GF69" s="305"/>
      <c r="GG69" s="305"/>
      <c r="GH69" s="305"/>
      <c r="GI69" s="305"/>
      <c r="GJ69" s="305"/>
      <c r="GK69" s="305"/>
      <c r="GL69" s="305"/>
      <c r="GM69" s="305"/>
      <c r="GN69" s="305"/>
      <c r="GO69" s="305"/>
      <c r="GP69" s="305"/>
      <c r="GQ69" s="305"/>
      <c r="GR69" s="305"/>
      <c r="GS69" s="305"/>
      <c r="GT69" s="305"/>
      <c r="GU69" s="305"/>
      <c r="GV69" s="305"/>
      <c r="GW69" s="305"/>
      <c r="GX69" s="305"/>
      <c r="GY69" s="305"/>
      <c r="GZ69" s="305"/>
      <c r="HA69" s="305"/>
      <c r="HB69" s="305"/>
      <c r="HC69" s="305"/>
      <c r="HD69" s="305"/>
      <c r="HE69" s="305"/>
      <c r="HF69" s="305"/>
      <c r="HG69" s="305"/>
      <c r="HH69" s="305"/>
      <c r="HI69" s="305"/>
      <c r="HJ69" s="305"/>
      <c r="HK69" s="305"/>
      <c r="HL69" s="305"/>
      <c r="HM69" s="305"/>
      <c r="HN69" s="305"/>
      <c r="HO69" s="305"/>
      <c r="HP69" s="305"/>
      <c r="HQ69" s="305"/>
      <c r="HR69" s="305"/>
      <c r="HS69" s="305"/>
      <c r="HT69" s="305"/>
      <c r="HU69" s="305"/>
      <c r="HV69" s="305"/>
      <c r="HW69" s="305"/>
      <c r="HX69" s="305"/>
      <c r="HY69" s="305"/>
      <c r="HZ69" s="305"/>
      <c r="IA69" s="305"/>
      <c r="IB69" s="305"/>
      <c r="IC69" s="305"/>
      <c r="ID69" s="305"/>
      <c r="IE69" s="305"/>
      <c r="IF69" s="305"/>
      <c r="IG69" s="305"/>
      <c r="IH69" s="305"/>
      <c r="II69" s="305"/>
      <c r="IJ69" s="305"/>
      <c r="IK69" s="305"/>
      <c r="IL69" s="305"/>
      <c r="IM69" s="305"/>
      <c r="IN69" s="305"/>
      <c r="IO69" s="305"/>
    </row>
    <row r="70" customFormat="false" ht="12.75" hidden="false" customHeight="false" outlineLevel="0" collapsed="false">
      <c r="A70" s="113" t="s">
        <v>282</v>
      </c>
      <c r="B70" s="318"/>
      <c r="E70" s="328" t="e">
        <f aca="false">E24</f>
        <v>#VALUE!</v>
      </c>
      <c r="F70" s="328" t="e">
        <f aca="false">F24</f>
        <v>#VALUE!</v>
      </c>
      <c r="G70" s="328" t="e">
        <f aca="false">G24</f>
        <v>#VALUE!</v>
      </c>
      <c r="H70" s="328" t="e">
        <f aca="false">H24</f>
        <v>#VALUE!</v>
      </c>
      <c r="I70" s="328" t="e">
        <f aca="false">I24</f>
        <v>#VALUE!</v>
      </c>
      <c r="J70" s="328" t="e">
        <f aca="false">J24</f>
        <v>#VALUE!</v>
      </c>
      <c r="K70" s="328" t="e">
        <f aca="false">K24</f>
        <v>#VALUE!</v>
      </c>
      <c r="L70" s="328" t="e">
        <f aca="false">L24</f>
        <v>#VALUE!</v>
      </c>
      <c r="M70" s="328" t="e">
        <f aca="false">M24</f>
        <v>#VALUE!</v>
      </c>
      <c r="N70" s="328" t="e">
        <f aca="false">N24</f>
        <v>#VALUE!</v>
      </c>
      <c r="O70" s="328" t="e">
        <f aca="false">O24</f>
        <v>#VALUE!</v>
      </c>
      <c r="P70" s="328" t="e">
        <f aca="false">P24</f>
        <v>#VALUE!</v>
      </c>
      <c r="Q70" s="328" t="e">
        <f aca="false">Q24</f>
        <v>#VALUE!</v>
      </c>
      <c r="R70" s="328" t="e">
        <f aca="false">R24</f>
        <v>#VALUE!</v>
      </c>
      <c r="S70" s="328" t="e">
        <f aca="false">S24</f>
        <v>#VALUE!</v>
      </c>
      <c r="T70" s="328" t="e">
        <f aca="false">T24</f>
        <v>#VALUE!</v>
      </c>
      <c r="U70" s="328" t="e">
        <f aca="false">U24</f>
        <v>#VALUE!</v>
      </c>
      <c r="V70" s="328" t="e">
        <f aca="false">V24</f>
        <v>#VALUE!</v>
      </c>
      <c r="W70" s="328" t="e">
        <f aca="false">W24</f>
        <v>#VALUE!</v>
      </c>
      <c r="X70" s="328" t="e">
        <f aca="false">X24</f>
        <v>#VALUE!</v>
      </c>
    </row>
    <row r="71" customFormat="false" ht="12.75" hidden="false" customHeight="false" outlineLevel="0" collapsed="false">
      <c r="A71" s="305" t="s">
        <v>283</v>
      </c>
      <c r="B71" s="305"/>
      <c r="C71" s="305" t="n">
        <f aca="false">SUM(C67:C70)</f>
        <v>0</v>
      </c>
      <c r="D71" s="305" t="e">
        <f aca="false">SUM(D67:D70)</f>
        <v>#VALUE!</v>
      </c>
      <c r="E71" s="305" t="e">
        <f aca="false">SUM(E67:E70)</f>
        <v>#VALUE!</v>
      </c>
      <c r="F71" s="305" t="e">
        <f aca="false">SUM(F67:F70)</f>
        <v>#VALUE!</v>
      </c>
      <c r="G71" s="305" t="e">
        <f aca="false">SUM(G67:G70)</f>
        <v>#VALUE!</v>
      </c>
      <c r="H71" s="305" t="e">
        <f aca="false">SUM(H67:H70)</f>
        <v>#VALUE!</v>
      </c>
      <c r="I71" s="305" t="e">
        <f aca="false">SUM(I67:I70)</f>
        <v>#VALUE!</v>
      </c>
      <c r="J71" s="305" t="e">
        <f aca="false">SUM(J67:J70)</f>
        <v>#VALUE!</v>
      </c>
      <c r="K71" s="305" t="e">
        <f aca="false">SUM(K67:K70)</f>
        <v>#VALUE!</v>
      </c>
      <c r="L71" s="305" t="e">
        <f aca="false">SUM(L67:L70)</f>
        <v>#VALUE!</v>
      </c>
      <c r="M71" s="305" t="e">
        <f aca="false">SUM(M67:M70)</f>
        <v>#VALUE!</v>
      </c>
      <c r="N71" s="305" t="e">
        <f aca="false">SUM(N67:N70)</f>
        <v>#VALUE!</v>
      </c>
      <c r="O71" s="305" t="e">
        <f aca="false">SUM(O67:O70)</f>
        <v>#VALUE!</v>
      </c>
      <c r="P71" s="305" t="e">
        <f aca="false">SUM(P67:P70)</f>
        <v>#VALUE!</v>
      </c>
      <c r="Q71" s="305" t="e">
        <f aca="false">SUM(Q67:Q70)</f>
        <v>#VALUE!</v>
      </c>
      <c r="R71" s="305" t="e">
        <f aca="false">SUM(R67:R70)</f>
        <v>#VALUE!</v>
      </c>
      <c r="S71" s="305" t="e">
        <f aca="false">SUM(S67:S70)</f>
        <v>#VALUE!</v>
      </c>
      <c r="T71" s="305" t="e">
        <f aca="false">SUM(T67:T70)</f>
        <v>#VALUE!</v>
      </c>
      <c r="U71" s="305" t="e">
        <f aca="false">SUM(U67:U70)</f>
        <v>#VALUE!</v>
      </c>
      <c r="V71" s="305" t="e">
        <f aca="false">SUM(V67:V70)</f>
        <v>#VALUE!</v>
      </c>
      <c r="W71" s="305" t="e">
        <f aca="false">SUM(W67:W70)</f>
        <v>#VALUE!</v>
      </c>
      <c r="X71" s="305" t="e">
        <f aca="false">SUM(X67:X70)</f>
        <v>#VALUE!</v>
      </c>
      <c r="Y71" s="305"/>
      <c r="Z71" s="305"/>
      <c r="AA71" s="305"/>
      <c r="AB71" s="305"/>
      <c r="AC71" s="305"/>
      <c r="AD71" s="305"/>
      <c r="AE71" s="305"/>
      <c r="AF71" s="305"/>
      <c r="AG71" s="305"/>
      <c r="AH71" s="305"/>
      <c r="AI71" s="305"/>
      <c r="AJ71" s="305"/>
      <c r="AK71" s="305"/>
      <c r="AL71" s="305"/>
      <c r="AM71" s="305"/>
      <c r="AN71" s="305"/>
      <c r="AO71" s="305"/>
      <c r="AP71" s="305"/>
      <c r="AQ71" s="305"/>
      <c r="AR71" s="305"/>
      <c r="AS71" s="305"/>
      <c r="AT71" s="305"/>
      <c r="AU71" s="305"/>
      <c r="AV71" s="305"/>
      <c r="AW71" s="305"/>
      <c r="AX71" s="305"/>
      <c r="AY71" s="305"/>
      <c r="AZ71" s="305"/>
      <c r="BA71" s="305"/>
      <c r="BB71" s="305"/>
      <c r="BC71" s="305"/>
      <c r="BD71" s="305"/>
      <c r="BE71" s="305"/>
      <c r="BF71" s="305"/>
      <c r="BG71" s="305"/>
      <c r="BH71" s="305"/>
      <c r="BI71" s="305"/>
      <c r="BJ71" s="305"/>
      <c r="BK71" s="305"/>
      <c r="BL71" s="305"/>
      <c r="BM71" s="305"/>
      <c r="BN71" s="305"/>
      <c r="BO71" s="305"/>
      <c r="BP71" s="305"/>
      <c r="BQ71" s="305"/>
      <c r="BR71" s="305"/>
      <c r="BS71" s="305"/>
      <c r="BT71" s="305"/>
      <c r="BU71" s="305"/>
      <c r="BV71" s="305"/>
      <c r="BW71" s="305"/>
      <c r="BX71" s="305"/>
      <c r="BY71" s="305"/>
      <c r="BZ71" s="305"/>
      <c r="CA71" s="305"/>
      <c r="CB71" s="305"/>
      <c r="CC71" s="305"/>
      <c r="CD71" s="305"/>
      <c r="CE71" s="305"/>
      <c r="CF71" s="305"/>
      <c r="CG71" s="305"/>
      <c r="CH71" s="305"/>
      <c r="CI71" s="305"/>
      <c r="CJ71" s="305"/>
      <c r="CK71" s="305"/>
      <c r="CL71" s="305"/>
      <c r="CM71" s="305"/>
      <c r="CN71" s="305"/>
      <c r="CO71" s="305"/>
      <c r="CP71" s="305"/>
      <c r="CQ71" s="305"/>
      <c r="CR71" s="305"/>
      <c r="CS71" s="305"/>
      <c r="CT71" s="305"/>
      <c r="CU71" s="305"/>
      <c r="CV71" s="305"/>
      <c r="CW71" s="305"/>
      <c r="CX71" s="305"/>
      <c r="CY71" s="305"/>
      <c r="CZ71" s="305"/>
      <c r="DA71" s="305"/>
      <c r="DB71" s="305"/>
      <c r="DC71" s="305"/>
      <c r="DD71" s="305"/>
      <c r="DE71" s="305"/>
      <c r="DF71" s="305"/>
      <c r="DG71" s="305"/>
      <c r="DH71" s="305"/>
      <c r="DI71" s="305"/>
      <c r="DJ71" s="305"/>
      <c r="DK71" s="305"/>
      <c r="DL71" s="305"/>
      <c r="DM71" s="305"/>
      <c r="DN71" s="305"/>
      <c r="DO71" s="305"/>
      <c r="DP71" s="305"/>
      <c r="DQ71" s="305"/>
      <c r="DR71" s="305"/>
      <c r="DS71" s="305"/>
      <c r="DT71" s="305"/>
      <c r="DU71" s="305"/>
      <c r="DV71" s="305"/>
      <c r="DW71" s="305"/>
      <c r="DX71" s="305"/>
      <c r="DY71" s="305"/>
      <c r="DZ71" s="305"/>
      <c r="EA71" s="305"/>
      <c r="EB71" s="305"/>
      <c r="EC71" s="305"/>
      <c r="ED71" s="305"/>
      <c r="EE71" s="305"/>
      <c r="EF71" s="305"/>
      <c r="EG71" s="305"/>
      <c r="EH71" s="305"/>
      <c r="EI71" s="305"/>
      <c r="EJ71" s="305"/>
      <c r="EK71" s="305"/>
      <c r="EL71" s="305"/>
      <c r="EM71" s="305"/>
      <c r="EN71" s="305"/>
      <c r="EO71" s="305"/>
      <c r="EP71" s="305"/>
      <c r="EQ71" s="305"/>
      <c r="ER71" s="305"/>
      <c r="ES71" s="305"/>
      <c r="ET71" s="305"/>
      <c r="EU71" s="305"/>
      <c r="EV71" s="305"/>
      <c r="EW71" s="305"/>
      <c r="EX71" s="305"/>
      <c r="EY71" s="305"/>
      <c r="EZ71" s="305"/>
      <c r="FA71" s="305"/>
      <c r="FB71" s="305"/>
      <c r="FC71" s="305"/>
      <c r="FD71" s="305"/>
      <c r="FE71" s="305"/>
      <c r="FF71" s="305"/>
      <c r="FG71" s="305"/>
      <c r="FH71" s="305"/>
      <c r="FI71" s="305"/>
      <c r="FJ71" s="305"/>
      <c r="FK71" s="305"/>
      <c r="FL71" s="305"/>
      <c r="FM71" s="305"/>
      <c r="FN71" s="305"/>
      <c r="FO71" s="305"/>
      <c r="FP71" s="305"/>
      <c r="FQ71" s="305"/>
      <c r="FR71" s="305"/>
      <c r="FS71" s="305"/>
      <c r="FT71" s="305"/>
      <c r="FU71" s="305"/>
      <c r="FV71" s="305"/>
      <c r="FW71" s="305"/>
      <c r="FX71" s="305"/>
      <c r="FY71" s="305"/>
      <c r="FZ71" s="305"/>
      <c r="GA71" s="305"/>
      <c r="GB71" s="305"/>
      <c r="GC71" s="305"/>
      <c r="GD71" s="305"/>
      <c r="GE71" s="305"/>
      <c r="GF71" s="305"/>
      <c r="GG71" s="305"/>
      <c r="GH71" s="305"/>
      <c r="GI71" s="305"/>
      <c r="GJ71" s="305"/>
      <c r="GK71" s="305"/>
      <c r="GL71" s="305"/>
      <c r="GM71" s="305"/>
      <c r="GN71" s="305"/>
      <c r="GO71" s="305"/>
      <c r="GP71" s="305"/>
      <c r="GQ71" s="305"/>
      <c r="GR71" s="305"/>
      <c r="GS71" s="305"/>
      <c r="GT71" s="305"/>
      <c r="GU71" s="305"/>
      <c r="GV71" s="305"/>
      <c r="GW71" s="305"/>
      <c r="GX71" s="305"/>
      <c r="GY71" s="305"/>
      <c r="GZ71" s="305"/>
      <c r="HA71" s="305"/>
      <c r="HB71" s="305"/>
      <c r="HC71" s="305"/>
      <c r="HD71" s="305"/>
      <c r="HE71" s="305"/>
      <c r="HF71" s="305"/>
      <c r="HG71" s="305"/>
      <c r="HH71" s="305"/>
      <c r="HI71" s="305"/>
      <c r="HJ71" s="305"/>
      <c r="HK71" s="305"/>
      <c r="HL71" s="305"/>
      <c r="HM71" s="305"/>
      <c r="HN71" s="305"/>
      <c r="HO71" s="305"/>
      <c r="HP71" s="305"/>
      <c r="HQ71" s="305"/>
      <c r="HR71" s="305"/>
      <c r="HS71" s="305"/>
      <c r="HT71" s="305"/>
      <c r="HU71" s="305"/>
      <c r="HV71" s="305"/>
      <c r="HW71" s="305"/>
      <c r="HX71" s="305"/>
      <c r="HY71" s="305"/>
      <c r="HZ71" s="305"/>
      <c r="IA71" s="305"/>
      <c r="IB71" s="305"/>
      <c r="IC71" s="305"/>
      <c r="ID71" s="305"/>
      <c r="IE71" s="305"/>
      <c r="IF71" s="305"/>
      <c r="IG71" s="305"/>
      <c r="IH71" s="305"/>
      <c r="II71" s="305"/>
      <c r="IJ71" s="305"/>
      <c r="IK71" s="305"/>
      <c r="IL71" s="305"/>
      <c r="IM71" s="305"/>
      <c r="IN71" s="305"/>
      <c r="IO71" s="305"/>
    </row>
    <row r="72" customFormat="false" ht="12.75" hidden="false" customHeight="false" outlineLevel="0" collapsed="false">
      <c r="A72" s="288"/>
      <c r="B72" s="288"/>
      <c r="C72" s="288"/>
      <c r="D72" s="288"/>
      <c r="E72" s="288"/>
      <c r="F72" s="288"/>
      <c r="G72" s="288"/>
      <c r="H72" s="288"/>
      <c r="I72" s="288"/>
      <c r="J72" s="288"/>
      <c r="Y72" s="288"/>
      <c r="Z72" s="288"/>
      <c r="AA72" s="288"/>
      <c r="AB72" s="288"/>
      <c r="AC72" s="288"/>
      <c r="AD72" s="288"/>
      <c r="AE72" s="288"/>
    </row>
    <row r="73" customFormat="false" ht="12.75" hidden="false" customHeight="false" outlineLevel="0" collapsed="false">
      <c r="A73" s="288"/>
      <c r="B73" s="288"/>
      <c r="C73" s="288"/>
      <c r="D73" s="288"/>
      <c r="E73" s="288"/>
      <c r="F73" s="288"/>
      <c r="G73" s="288"/>
      <c r="H73" s="288"/>
      <c r="I73" s="288"/>
      <c r="J73" s="288"/>
      <c r="Y73" s="288"/>
      <c r="Z73" s="288"/>
      <c r="AA73" s="288"/>
      <c r="AB73" s="288"/>
      <c r="AC73" s="288"/>
      <c r="AD73" s="288"/>
      <c r="AE73" s="288"/>
    </row>
    <row r="74" customFormat="false" ht="12.75" hidden="false" customHeight="false" outlineLevel="0" collapsed="false">
      <c r="Y74" s="288"/>
      <c r="Z74" s="288"/>
      <c r="AA74" s="288"/>
      <c r="AB74" s="288"/>
      <c r="AC74" s="288"/>
      <c r="AD74" s="288"/>
      <c r="AE74" s="288"/>
    </row>
    <row r="75" customFormat="false" ht="12.75" hidden="false" customHeight="false" outlineLevel="0" collapsed="false">
      <c r="A75" s="113"/>
      <c r="B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288"/>
      <c r="Z75" s="288"/>
      <c r="AA75" s="288"/>
      <c r="AB75" s="288"/>
      <c r="AC75" s="288"/>
      <c r="AD75" s="288"/>
      <c r="AE75" s="288"/>
    </row>
    <row r="76" customFormat="false" ht="12.75" hidden="false" customHeight="false" outlineLevel="0" collapsed="false">
      <c r="A76" s="113"/>
      <c r="B76" s="113"/>
      <c r="F76" s="329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288"/>
      <c r="Z76" s="288"/>
      <c r="AA76" s="288"/>
      <c r="AB76" s="288"/>
      <c r="AC76" s="288"/>
      <c r="AD76" s="288"/>
      <c r="AE76" s="288"/>
    </row>
    <row r="77" customFormat="false" ht="12.75" hidden="false" customHeight="false" outlineLevel="0" collapsed="false">
      <c r="A77" s="113"/>
      <c r="B77" s="113"/>
      <c r="C77" s="294"/>
      <c r="D77" s="294"/>
      <c r="E77" s="294"/>
      <c r="F77" s="330"/>
      <c r="G77" s="330"/>
      <c r="H77" s="330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0"/>
      <c r="T77" s="330"/>
      <c r="U77" s="330"/>
      <c r="V77" s="330"/>
      <c r="W77" s="330"/>
      <c r="X77" s="330"/>
      <c r="Y77" s="288"/>
      <c r="Z77" s="288"/>
      <c r="AA77" s="288"/>
      <c r="AB77" s="288"/>
      <c r="AC77" s="288"/>
      <c r="AD77" s="288"/>
      <c r="AE77" s="288"/>
    </row>
    <row r="78" customFormat="false" ht="15.75" hidden="false" customHeight="false" outlineLevel="0" collapsed="false">
      <c r="A78" s="293" t="s">
        <v>284</v>
      </c>
      <c r="B78" s="113"/>
      <c r="C78" s="289" t="n">
        <f aca="false">C3</f>
        <v>2000</v>
      </c>
      <c r="D78" s="289" t="n">
        <f aca="false">D3</f>
        <v>2001</v>
      </c>
      <c r="E78" s="289" t="n">
        <f aca="false">E3</f>
        <v>2002</v>
      </c>
      <c r="F78" s="289" t="n">
        <f aca="false">F3</f>
        <v>2003</v>
      </c>
      <c r="G78" s="289" t="n">
        <f aca="false">G3</f>
        <v>2004</v>
      </c>
      <c r="H78" s="289" t="n">
        <f aca="false">H3</f>
        <v>2005</v>
      </c>
      <c r="I78" s="289" t="n">
        <f aca="false">I3</f>
        <v>2006</v>
      </c>
      <c r="J78" s="289" t="n">
        <f aca="false">J3</f>
        <v>2007</v>
      </c>
      <c r="K78" s="289" t="n">
        <f aca="false">K3</f>
        <v>2008</v>
      </c>
      <c r="L78" s="289" t="n">
        <f aca="false">L3</f>
        <v>2009</v>
      </c>
      <c r="M78" s="289" t="n">
        <f aca="false">M3</f>
        <v>2010</v>
      </c>
      <c r="N78" s="289" t="n">
        <f aca="false">N3</f>
        <v>2011</v>
      </c>
      <c r="O78" s="289" t="n">
        <f aca="false">O3</f>
        <v>2012</v>
      </c>
      <c r="P78" s="289" t="n">
        <f aca="false">P3</f>
        <v>2013</v>
      </c>
      <c r="Q78" s="289" t="n">
        <f aca="false">Q3</f>
        <v>2014</v>
      </c>
      <c r="R78" s="289" t="n">
        <f aca="false">R3</f>
        <v>2015</v>
      </c>
      <c r="S78" s="289" t="n">
        <f aca="false">S3</f>
        <v>2016</v>
      </c>
      <c r="T78" s="289" t="n">
        <f aca="false">T3</f>
        <v>2017</v>
      </c>
      <c r="U78" s="289" t="n">
        <f aca="false">U3</f>
        <v>2018</v>
      </c>
      <c r="V78" s="289" t="n">
        <f aca="false">V3</f>
        <v>2019</v>
      </c>
      <c r="W78" s="289" t="n">
        <f aca="false">W3</f>
        <v>2020</v>
      </c>
      <c r="X78" s="289" t="n">
        <f aca="false">X3</f>
        <v>2021</v>
      </c>
      <c r="Y78" s="288"/>
      <c r="Z78" s="288"/>
      <c r="AA78" s="288"/>
      <c r="AB78" s="288"/>
      <c r="AC78" s="288"/>
      <c r="AD78" s="288"/>
      <c r="AE78" s="288"/>
    </row>
    <row r="79" customFormat="false" ht="12.75" hidden="false" customHeight="false" outlineLevel="0" collapsed="false">
      <c r="A79" s="113"/>
      <c r="B79" s="113"/>
      <c r="F79" s="331"/>
      <c r="G79" s="331"/>
      <c r="H79" s="331"/>
      <c r="I79" s="331"/>
      <c r="J79" s="331"/>
      <c r="K79" s="331"/>
      <c r="L79" s="331"/>
      <c r="M79" s="331"/>
      <c r="N79" s="331"/>
      <c r="O79" s="331"/>
      <c r="P79" s="331"/>
      <c r="Q79" s="331"/>
      <c r="R79" s="331"/>
      <c r="S79" s="331"/>
      <c r="T79" s="331"/>
      <c r="U79" s="331"/>
      <c r="V79" s="331"/>
      <c r="W79" s="331"/>
      <c r="X79" s="331"/>
      <c r="Y79" s="288"/>
      <c r="Z79" s="288"/>
      <c r="AA79" s="288"/>
      <c r="AB79" s="288"/>
      <c r="AC79" s="288"/>
      <c r="AD79" s="288"/>
      <c r="AE79" s="288"/>
    </row>
    <row r="80" customFormat="false" ht="12.75" hidden="false" customHeight="false" outlineLevel="0" collapsed="false">
      <c r="A80" s="124"/>
      <c r="B80" s="124"/>
      <c r="F80" s="332"/>
      <c r="G80" s="332"/>
      <c r="H80" s="332"/>
      <c r="I80" s="332"/>
      <c r="J80" s="332"/>
      <c r="K80" s="332"/>
      <c r="L80" s="332"/>
      <c r="M80" s="332"/>
      <c r="N80" s="332"/>
      <c r="O80" s="332"/>
      <c r="P80" s="332"/>
      <c r="Q80" s="332"/>
      <c r="R80" s="332"/>
      <c r="S80" s="332"/>
      <c r="T80" s="332"/>
      <c r="U80" s="332"/>
      <c r="V80" s="332"/>
      <c r="W80" s="332"/>
      <c r="X80" s="332"/>
      <c r="Y80" s="288"/>
      <c r="Z80" s="288"/>
      <c r="AA80" s="288"/>
      <c r="AB80" s="288"/>
      <c r="AC80" s="288"/>
      <c r="AD80" s="288"/>
      <c r="AE80" s="288"/>
    </row>
    <row r="81" customFormat="false" ht="12.75" hidden="false" customHeight="false" outlineLevel="0" collapsed="false">
      <c r="A81" s="113" t="s">
        <v>285</v>
      </c>
      <c r="B81" s="113"/>
      <c r="C81" s="0" t="n">
        <v>0</v>
      </c>
      <c r="D81" s="333" t="n">
        <f aca="false">C90</f>
        <v>446.454229995229</v>
      </c>
      <c r="E81" s="333" t="e">
        <f aca="false">D90</f>
        <v>#VALUE!</v>
      </c>
      <c r="F81" s="333" t="e">
        <f aca="false">E90</f>
        <v>#VALUE!</v>
      </c>
      <c r="G81" s="333" t="e">
        <f aca="false">F90</f>
        <v>#VALUE!</v>
      </c>
      <c r="H81" s="333" t="e">
        <f aca="false">G90</f>
        <v>#VALUE!</v>
      </c>
      <c r="I81" s="332" t="e">
        <f aca="false">H90</f>
        <v>#VALUE!</v>
      </c>
      <c r="J81" s="332" t="e">
        <f aca="false">I90</f>
        <v>#VALUE!</v>
      </c>
      <c r="K81" s="332" t="e">
        <f aca="false">J90</f>
        <v>#VALUE!</v>
      </c>
      <c r="L81" s="332" t="e">
        <f aca="false">K90</f>
        <v>#VALUE!</v>
      </c>
      <c r="M81" s="332" t="e">
        <f aca="false">L90</f>
        <v>#VALUE!</v>
      </c>
      <c r="N81" s="332" t="e">
        <f aca="false">M90</f>
        <v>#VALUE!</v>
      </c>
      <c r="O81" s="332" t="e">
        <f aca="false">N90</f>
        <v>#VALUE!</v>
      </c>
      <c r="P81" s="332" t="e">
        <f aca="false">O90</f>
        <v>#VALUE!</v>
      </c>
      <c r="Q81" s="332" t="e">
        <f aca="false">P90</f>
        <v>#VALUE!</v>
      </c>
      <c r="R81" s="332" t="e">
        <f aca="false">Q90</f>
        <v>#VALUE!</v>
      </c>
      <c r="S81" s="332" t="e">
        <f aca="false">R90</f>
        <v>#VALUE!</v>
      </c>
      <c r="T81" s="332" t="e">
        <f aca="false">S90</f>
        <v>#VALUE!</v>
      </c>
      <c r="U81" s="332" t="e">
        <f aca="false">T90</f>
        <v>#VALUE!</v>
      </c>
      <c r="V81" s="332" t="e">
        <f aca="false">U90</f>
        <v>#VALUE!</v>
      </c>
      <c r="W81" s="332" t="e">
        <f aca="false">V90</f>
        <v>#VALUE!</v>
      </c>
      <c r="X81" s="332" t="e">
        <f aca="false">W90</f>
        <v>#VALUE!</v>
      </c>
      <c r="Y81" s="288"/>
      <c r="Z81" s="288"/>
      <c r="AA81" s="288"/>
      <c r="AB81" s="288"/>
      <c r="AC81" s="288"/>
      <c r="AD81" s="288"/>
      <c r="AE81" s="288"/>
    </row>
    <row r="82" customFormat="false" ht="12.75" hidden="false" customHeight="false" outlineLevel="0" collapsed="false">
      <c r="A82" s="295" t="s">
        <v>286</v>
      </c>
      <c r="B82" s="295"/>
      <c r="C82" s="334" t="n">
        <f aca="false">IF(Tax!C15&lt;0,-Tax!C15,0)</f>
        <v>446.454229995229</v>
      </c>
      <c r="D82" s="334" t="e">
        <f aca="false">IF(Tax!D15&lt;0,-Tax!D15,0)</f>
        <v>#VALUE!</v>
      </c>
      <c r="E82" s="334" t="e">
        <f aca="false">IF(Tax!E15&lt;0,-Tax!E15,0)</f>
        <v>#VALUE!</v>
      </c>
      <c r="F82" s="334" t="e">
        <f aca="false">IF(Tax!F15&lt;0,-Tax!F15,0)</f>
        <v>#VALUE!</v>
      </c>
      <c r="G82" s="334" t="e">
        <f aca="false">IF(Tax!G15&lt;0,-Tax!G15,0)</f>
        <v>#VALUE!</v>
      </c>
      <c r="H82" s="334" t="e">
        <f aca="false">IF(Tax!H15&lt;0,-Tax!H15,0)</f>
        <v>#VALUE!</v>
      </c>
      <c r="I82" s="334" t="e">
        <f aca="false">IF(Tax!I15&lt;0,-Tax!I15,0)</f>
        <v>#VALUE!</v>
      </c>
      <c r="J82" s="334" t="e">
        <f aca="false">IF(Tax!J15&lt;0,-Tax!J15,0)</f>
        <v>#VALUE!</v>
      </c>
      <c r="K82" s="334" t="e">
        <f aca="false">IF(Tax!K15&lt;0,-Tax!K15,0)</f>
        <v>#VALUE!</v>
      </c>
      <c r="L82" s="334" t="e">
        <f aca="false">IF(Tax!L15&lt;0,-Tax!L15,0)</f>
        <v>#VALUE!</v>
      </c>
      <c r="M82" s="334" t="e">
        <f aca="false">IF(Tax!M15&lt;0,-Tax!M15,0)</f>
        <v>#VALUE!</v>
      </c>
      <c r="N82" s="334" t="e">
        <f aca="false">IF(Tax!N15&lt;0,-Tax!N15,0)</f>
        <v>#VALUE!</v>
      </c>
      <c r="O82" s="334" t="e">
        <f aca="false">IF(Tax!O15&lt;0,-Tax!O15,0)</f>
        <v>#VALUE!</v>
      </c>
      <c r="P82" s="334" t="e">
        <f aca="false">IF(Tax!P15&lt;0,-Tax!P15,0)</f>
        <v>#VALUE!</v>
      </c>
      <c r="Q82" s="334" t="e">
        <f aca="false">IF(Tax!Q15&lt;0,-Tax!Q15,0)</f>
        <v>#VALUE!</v>
      </c>
      <c r="R82" s="334" t="e">
        <f aca="false">IF(Tax!R15&lt;0,-Tax!R15,0)</f>
        <v>#VALUE!</v>
      </c>
      <c r="S82" s="334" t="e">
        <f aca="false">IF(Tax!S15&lt;0,-Tax!S15,0)</f>
        <v>#VALUE!</v>
      </c>
      <c r="T82" s="334" t="e">
        <f aca="false">IF(Tax!T15&lt;0,-Tax!T15,0)</f>
        <v>#VALUE!</v>
      </c>
      <c r="U82" s="334" t="e">
        <f aca="false">IF(Tax!U15&lt;0,-Tax!U15,0)</f>
        <v>#VALUE!</v>
      </c>
      <c r="V82" s="334" t="e">
        <f aca="false">IF(Tax!V15&lt;0,-Tax!V15,0)</f>
        <v>#VALUE!</v>
      </c>
      <c r="W82" s="334" t="e">
        <f aca="false">IF(Tax!W15&lt;0,-Tax!W15,0)</f>
        <v>#VALUE!</v>
      </c>
      <c r="X82" s="334" t="e">
        <f aca="false">IF(Tax!X15&lt;0,-Tax!X15,0)</f>
        <v>#VALUE!</v>
      </c>
      <c r="Y82" s="288"/>
      <c r="Z82" s="288"/>
      <c r="AA82" s="288"/>
      <c r="AB82" s="288"/>
      <c r="AC82" s="288"/>
      <c r="AD82" s="288"/>
      <c r="AE82" s="288"/>
    </row>
    <row r="83" customFormat="false" ht="12.75" hidden="false" customHeight="false" outlineLevel="0" collapsed="false">
      <c r="A83" s="310" t="s">
        <v>287</v>
      </c>
      <c r="B83" s="310"/>
      <c r="C83" s="326"/>
      <c r="D83" s="326"/>
      <c r="E83" s="326"/>
      <c r="F83" s="335"/>
      <c r="G83" s="335"/>
      <c r="H83" s="335"/>
      <c r="I83" s="335"/>
      <c r="J83" s="335"/>
      <c r="K83" s="335"/>
      <c r="L83" s="335"/>
      <c r="M83" s="335"/>
      <c r="N83" s="335" t="n">
        <v>0</v>
      </c>
      <c r="O83" s="335" t="n">
        <f aca="false">+B96</f>
        <v>0</v>
      </c>
      <c r="P83" s="335"/>
      <c r="Q83" s="335"/>
      <c r="R83" s="335"/>
      <c r="S83" s="335"/>
      <c r="T83" s="335"/>
      <c r="U83" s="335"/>
      <c r="V83" s="335"/>
      <c r="W83" s="335"/>
      <c r="X83" s="335"/>
      <c r="Y83" s="288"/>
      <c r="Z83" s="288"/>
      <c r="AA83" s="288"/>
      <c r="AB83" s="288"/>
      <c r="AC83" s="288"/>
      <c r="AD83" s="288"/>
      <c r="AE83" s="288"/>
    </row>
    <row r="84" customFormat="false" ht="12.75" hidden="false" customHeight="false" outlineLevel="0" collapsed="false">
      <c r="A84" s="310" t="s">
        <v>288</v>
      </c>
      <c r="B84" s="310"/>
      <c r="C84" s="336" t="n">
        <f aca="false">SUM(C81:C83)</f>
        <v>446.454229995229</v>
      </c>
      <c r="D84" s="336" t="e">
        <f aca="false">SUM(D81:D83)</f>
        <v>#VALUE!</v>
      </c>
      <c r="E84" s="336" t="e">
        <f aca="false">SUM(E81:E83)</f>
        <v>#VALUE!</v>
      </c>
      <c r="F84" s="336" t="e">
        <f aca="false">SUM(F81:F83)</f>
        <v>#VALUE!</v>
      </c>
      <c r="G84" s="336" t="e">
        <f aca="false">SUM(G81:G83)</f>
        <v>#VALUE!</v>
      </c>
      <c r="H84" s="336" t="e">
        <f aca="false">SUM(H81:H83)</f>
        <v>#VALUE!</v>
      </c>
      <c r="I84" s="336" t="e">
        <f aca="false">SUM(I81:I83)</f>
        <v>#VALUE!</v>
      </c>
      <c r="J84" s="336" t="e">
        <f aca="false">SUM(J81:J83)</f>
        <v>#VALUE!</v>
      </c>
      <c r="K84" s="336" t="e">
        <f aca="false">SUM(K81:K83)</f>
        <v>#VALUE!</v>
      </c>
      <c r="L84" s="336" t="e">
        <f aca="false">SUM(L81:L83)</f>
        <v>#VALUE!</v>
      </c>
      <c r="M84" s="336" t="e">
        <f aca="false">SUM(M81:M83)</f>
        <v>#VALUE!</v>
      </c>
      <c r="N84" s="336" t="e">
        <f aca="false">SUM(N81:N83)</f>
        <v>#VALUE!</v>
      </c>
      <c r="O84" s="336" t="e">
        <f aca="false">SUM(O81:O83)</f>
        <v>#VALUE!</v>
      </c>
      <c r="P84" s="336" t="e">
        <f aca="false">SUM(P81:P83)</f>
        <v>#VALUE!</v>
      </c>
      <c r="Q84" s="336" t="e">
        <f aca="false">SUM(Q81:Q83)</f>
        <v>#VALUE!</v>
      </c>
      <c r="R84" s="336" t="e">
        <f aca="false">SUM(R81:R83)</f>
        <v>#VALUE!</v>
      </c>
      <c r="S84" s="336" t="e">
        <f aca="false">SUM(S81:S83)</f>
        <v>#VALUE!</v>
      </c>
      <c r="T84" s="336" t="e">
        <f aca="false">SUM(T81:T83)</f>
        <v>#VALUE!</v>
      </c>
      <c r="U84" s="336" t="e">
        <f aca="false">SUM(U81:U83)</f>
        <v>#VALUE!</v>
      </c>
      <c r="V84" s="336" t="e">
        <f aca="false">SUM(V81:V83)</f>
        <v>#VALUE!</v>
      </c>
      <c r="W84" s="336" t="e">
        <f aca="false">SUM(W81:W83)</f>
        <v>#VALUE!</v>
      </c>
      <c r="X84" s="336" t="e">
        <f aca="false">SUM(X81:X83)</f>
        <v>#VALUE!</v>
      </c>
      <c r="Y84" s="288"/>
      <c r="Z84" s="288"/>
      <c r="AA84" s="288"/>
      <c r="AB84" s="288"/>
      <c r="AC84" s="288"/>
      <c r="AD84" s="288"/>
      <c r="AE84" s="288"/>
    </row>
    <row r="85" customFormat="false" ht="12.75" hidden="false" customHeight="false" outlineLevel="0" collapsed="false">
      <c r="A85" s="113"/>
      <c r="B85" s="113"/>
      <c r="F85" s="332"/>
      <c r="G85" s="332"/>
      <c r="H85" s="332"/>
      <c r="I85" s="332"/>
      <c r="J85" s="332"/>
      <c r="K85" s="332"/>
      <c r="L85" s="332"/>
      <c r="M85" s="332"/>
      <c r="N85" s="332"/>
      <c r="O85" s="332"/>
      <c r="P85" s="332"/>
      <c r="Q85" s="332"/>
      <c r="R85" s="332"/>
      <c r="S85" s="332"/>
      <c r="T85" s="332"/>
      <c r="U85" s="332"/>
      <c r="V85" s="332"/>
      <c r="W85" s="332"/>
      <c r="X85" s="332"/>
      <c r="Y85" s="288"/>
      <c r="Z85" s="288"/>
      <c r="AA85" s="288"/>
      <c r="AB85" s="288"/>
      <c r="AC85" s="288"/>
      <c r="AD85" s="288"/>
      <c r="AE85" s="288"/>
    </row>
    <row r="86" customFormat="false" ht="12.75" hidden="false" customHeight="false" outlineLevel="0" collapsed="false">
      <c r="A86" s="113"/>
      <c r="B86" s="113"/>
      <c r="F86" s="332"/>
      <c r="G86" s="332"/>
      <c r="H86" s="332"/>
      <c r="I86" s="332"/>
      <c r="J86" s="332"/>
      <c r="K86" s="332"/>
      <c r="L86" s="332"/>
      <c r="M86" s="332"/>
      <c r="N86" s="332"/>
      <c r="O86" s="332"/>
      <c r="P86" s="332"/>
      <c r="Q86" s="332"/>
      <c r="R86" s="332"/>
      <c r="S86" s="332"/>
      <c r="T86" s="332"/>
      <c r="U86" s="332"/>
      <c r="V86" s="332"/>
      <c r="W86" s="332"/>
      <c r="X86" s="332"/>
      <c r="Y86" s="288"/>
      <c r="Z86" s="288"/>
      <c r="AA86" s="288"/>
      <c r="AB86" s="288"/>
      <c r="AC86" s="288"/>
      <c r="AD86" s="288"/>
      <c r="AE86" s="288"/>
    </row>
    <row r="87" customFormat="false" ht="12.75" hidden="false" customHeight="false" outlineLevel="0" collapsed="false">
      <c r="A87" s="113" t="s">
        <v>289</v>
      </c>
      <c r="B87" s="113"/>
      <c r="C87" s="332" t="n">
        <f aca="false">IF(Tax!C15&gt;0,IF(C15&gt;C84,C84,C15),0)</f>
        <v>0</v>
      </c>
      <c r="D87" s="332" t="e">
        <f aca="false">IF(Tax!D15&gt;0,IF(D15&gt;D84,D84,D15),0)</f>
        <v>#VALUE!</v>
      </c>
      <c r="E87" s="332" t="e">
        <f aca="false">IF(Tax!E15&gt;0,IF(E15&gt;E84,E84,E15),0)</f>
        <v>#VALUE!</v>
      </c>
      <c r="F87" s="332" t="e">
        <f aca="false">IF(Tax!F15&gt;0,IF(F15&gt;F84,F84,F15),0)</f>
        <v>#VALUE!</v>
      </c>
      <c r="G87" s="332" t="e">
        <f aca="false">IF(Tax!G15&gt;0,IF(G15&gt;G84,G84,G15),0)</f>
        <v>#VALUE!</v>
      </c>
      <c r="H87" s="332" t="e">
        <f aca="false">IF(Tax!H15&gt;0,IF(H15&gt;H84,H84,H15),0)</f>
        <v>#VALUE!</v>
      </c>
      <c r="I87" s="332" t="e">
        <f aca="false">IF(Tax!I15&gt;0,IF(I15&gt;I84,I84,I15),0)</f>
        <v>#VALUE!</v>
      </c>
      <c r="J87" s="332" t="e">
        <f aca="false">IF(Tax!J15&gt;0,IF(J15&gt;J84,J84,J15),0)</f>
        <v>#VALUE!</v>
      </c>
      <c r="K87" s="332" t="e">
        <f aca="false">IF(Tax!K15&gt;0,IF(K15&gt;K84,K84,K15),0)</f>
        <v>#VALUE!</v>
      </c>
      <c r="L87" s="332" t="e">
        <f aca="false">IF(Tax!L15&gt;0,IF(L15&gt;L84,L84,L15),0)</f>
        <v>#VALUE!</v>
      </c>
      <c r="M87" s="332" t="e">
        <f aca="false">IF(Tax!M15&gt;0,IF(M15&gt;M84,M84,M15),0)</f>
        <v>#VALUE!</v>
      </c>
      <c r="N87" s="332" t="e">
        <f aca="false">IF(Tax!N15&gt;0,IF(N15&gt;N84,N84,N15),0)</f>
        <v>#VALUE!</v>
      </c>
      <c r="O87" s="332" t="e">
        <f aca="false">IF(Tax!O15&gt;0,IF(O15&gt;O84,O84,O15),0)</f>
        <v>#VALUE!</v>
      </c>
      <c r="P87" s="332" t="e">
        <f aca="false">IF(Tax!P15&gt;0,IF(P15&gt;P84,P84,P15),0)</f>
        <v>#VALUE!</v>
      </c>
      <c r="Q87" s="332" t="e">
        <f aca="false">IF(Tax!Q15&gt;0,IF(Q15&gt;Q84,Q84,Q15),0)</f>
        <v>#VALUE!</v>
      </c>
      <c r="R87" s="332" t="e">
        <f aca="false">IF(Tax!R15&gt;0,IF(R15&gt;R84,R84,R15),0)</f>
        <v>#VALUE!</v>
      </c>
      <c r="S87" s="332" t="e">
        <f aca="false">IF(Tax!S15&gt;0,IF(S15&gt;S84,S84,S15),0)</f>
        <v>#VALUE!</v>
      </c>
      <c r="T87" s="332" t="e">
        <f aca="false">IF(Tax!T15&gt;0,IF(T15&gt;T84,T84,T15),0)</f>
        <v>#VALUE!</v>
      </c>
      <c r="U87" s="332" t="e">
        <f aca="false">IF(Tax!U15&gt;0,IF(U15&gt;U84,U84,U15),0)</f>
        <v>#VALUE!</v>
      </c>
      <c r="V87" s="332" t="e">
        <f aca="false">IF(Tax!V15&gt;0,IF(V15&gt;V84,V84,V15),0)</f>
        <v>#VALUE!</v>
      </c>
      <c r="W87" s="332" t="e">
        <f aca="false">IF(Tax!W15&gt;0,IF(W15&gt;W84,W84,W15),0)</f>
        <v>#VALUE!</v>
      </c>
      <c r="X87" s="332" t="e">
        <f aca="false">IF(Tax!X15&gt;0,IF(X15&gt;X84,X84,X15),0)</f>
        <v>#VALUE!</v>
      </c>
      <c r="Y87" s="288"/>
      <c r="Z87" s="288"/>
      <c r="AA87" s="288"/>
      <c r="AB87" s="288"/>
      <c r="AC87" s="288"/>
      <c r="AD87" s="288"/>
      <c r="AE87" s="288"/>
    </row>
    <row r="88" customFormat="false" ht="12.75" hidden="false" customHeight="false" outlineLevel="0" collapsed="false">
      <c r="A88" s="321" t="s">
        <v>264</v>
      </c>
      <c r="B88" s="321"/>
      <c r="C88" s="337"/>
      <c r="D88" s="337"/>
      <c r="E88" s="337"/>
      <c r="F88" s="338"/>
      <c r="G88" s="338" t="n">
        <f aca="false">IF(Tables!$B$21=5,IF(D18+E18+F18&gt;-G18,-G84,-D18-E18-F18),0)</f>
        <v>0</v>
      </c>
      <c r="H88" s="338" t="n">
        <f aca="false">IF(Tables!$B$21=5,IF(E18+F18+G18&gt;-H18,-H84,-E18-F18-G18),0)</f>
        <v>0</v>
      </c>
      <c r="I88" s="338"/>
      <c r="J88" s="338"/>
      <c r="K88" s="338"/>
      <c r="L88" s="338"/>
      <c r="M88" s="338"/>
      <c r="N88" s="338"/>
      <c r="O88" s="338"/>
      <c r="P88" s="338" t="n">
        <f aca="false">IF(Tables!$B$21=10,IF(M18+N18+O18&gt;-P18,-P84,-M18-N18-O18),0)</f>
        <v>0</v>
      </c>
      <c r="Q88" s="338"/>
      <c r="R88" s="338"/>
      <c r="S88" s="338"/>
      <c r="T88" s="338"/>
      <c r="U88" s="338" t="e">
        <f aca="false">IF(Tables!$B$21=15,IF(R18+S18+T18&gt;-U18,-U84,-R18-S18-T18),0)</f>
        <v>#VALUE!</v>
      </c>
      <c r="V88" s="338"/>
      <c r="W88" s="338"/>
      <c r="X88" s="338"/>
      <c r="Y88" s="324"/>
      <c r="Z88" s="324"/>
      <c r="AA88" s="324"/>
      <c r="AB88" s="324"/>
      <c r="AC88" s="324"/>
      <c r="AD88" s="324"/>
      <c r="AE88" s="324"/>
    </row>
    <row r="89" customFormat="false" ht="12.75" hidden="false" customHeight="false" outlineLevel="0" collapsed="false">
      <c r="A89" s="113"/>
      <c r="B89" s="113"/>
      <c r="F89" s="332"/>
      <c r="G89" s="332"/>
      <c r="H89" s="332"/>
      <c r="I89" s="332"/>
      <c r="J89" s="332"/>
      <c r="K89" s="332"/>
      <c r="L89" s="332"/>
      <c r="M89" s="332"/>
      <c r="N89" s="332"/>
      <c r="O89" s="332"/>
      <c r="P89" s="332"/>
      <c r="Q89" s="332"/>
      <c r="R89" s="332"/>
      <c r="S89" s="332"/>
      <c r="T89" s="332"/>
      <c r="U89" s="332"/>
      <c r="V89" s="332"/>
      <c r="W89" s="332"/>
      <c r="X89" s="332"/>
      <c r="Y89" s="288"/>
      <c r="Z89" s="288"/>
      <c r="AA89" s="288"/>
      <c r="AB89" s="288"/>
      <c r="AC89" s="288"/>
      <c r="AD89" s="288"/>
      <c r="AE89" s="288"/>
    </row>
    <row r="90" customFormat="false" ht="12.75" hidden="false" customHeight="false" outlineLevel="0" collapsed="false">
      <c r="A90" s="310" t="s">
        <v>290</v>
      </c>
      <c r="B90" s="310"/>
      <c r="C90" s="339" t="n">
        <f aca="false">C84-C87</f>
        <v>446.454229995229</v>
      </c>
      <c r="D90" s="339" t="e">
        <f aca="false">D84-D87</f>
        <v>#VALUE!</v>
      </c>
      <c r="E90" s="339" t="e">
        <f aca="false">E84-E87</f>
        <v>#VALUE!</v>
      </c>
      <c r="F90" s="340" t="e">
        <f aca="false">F84-F87</f>
        <v>#VALUE!</v>
      </c>
      <c r="G90" s="341" t="e">
        <f aca="false">G84-G87</f>
        <v>#VALUE!</v>
      </c>
      <c r="H90" s="341" t="e">
        <f aca="false">H84-H87</f>
        <v>#VALUE!</v>
      </c>
      <c r="I90" s="341" t="e">
        <f aca="false">I84-I87</f>
        <v>#VALUE!</v>
      </c>
      <c r="J90" s="341" t="e">
        <f aca="false">J84-J87</f>
        <v>#VALUE!</v>
      </c>
      <c r="K90" s="341" t="e">
        <f aca="false">K84-K87</f>
        <v>#VALUE!</v>
      </c>
      <c r="L90" s="341" t="e">
        <f aca="false">L84-L87</f>
        <v>#VALUE!</v>
      </c>
      <c r="M90" s="341" t="e">
        <f aca="false">M84-M87</f>
        <v>#VALUE!</v>
      </c>
      <c r="N90" s="341" t="e">
        <f aca="false">N84-N87</f>
        <v>#VALUE!</v>
      </c>
      <c r="O90" s="341" t="e">
        <f aca="false">O84-O87</f>
        <v>#VALUE!</v>
      </c>
      <c r="P90" s="341" t="e">
        <f aca="false">P84-P87</f>
        <v>#VALUE!</v>
      </c>
      <c r="Q90" s="341" t="e">
        <f aca="false">Q84-Q87</f>
        <v>#VALUE!</v>
      </c>
      <c r="R90" s="341" t="e">
        <f aca="false">R84-R87</f>
        <v>#VALUE!</v>
      </c>
      <c r="S90" s="341" t="e">
        <f aca="false">S84-S87</f>
        <v>#VALUE!</v>
      </c>
      <c r="T90" s="341" t="e">
        <f aca="false">T84-T87</f>
        <v>#VALUE!</v>
      </c>
      <c r="U90" s="341" t="e">
        <f aca="false">U84-U87</f>
        <v>#VALUE!</v>
      </c>
      <c r="V90" s="341" t="e">
        <f aca="false">V84-V87</f>
        <v>#VALUE!</v>
      </c>
      <c r="W90" s="341" t="e">
        <f aca="false">W84-W87</f>
        <v>#VALUE!</v>
      </c>
      <c r="X90" s="341" t="e">
        <f aca="false">X84-X87</f>
        <v>#VALUE!</v>
      </c>
      <c r="Y90" s="288"/>
      <c r="Z90" s="288"/>
      <c r="AA90" s="288"/>
      <c r="AB90" s="288"/>
      <c r="AC90" s="288"/>
      <c r="AD90" s="288"/>
      <c r="AE90" s="288"/>
    </row>
    <row r="91" customFormat="false" ht="12.75" hidden="false" customHeight="false" outlineLevel="0" collapsed="false">
      <c r="A91" s="113"/>
      <c r="B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288"/>
      <c r="Z91" s="288"/>
      <c r="AA91" s="288"/>
      <c r="AB91" s="288"/>
      <c r="AC91" s="288"/>
      <c r="AD91" s="288"/>
      <c r="AE91" s="288"/>
    </row>
    <row r="92" customFormat="false" ht="12.75" hidden="false" customHeight="false" outlineLevel="0" collapsed="false">
      <c r="A92" s="113"/>
      <c r="B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288"/>
      <c r="Z92" s="288"/>
      <c r="AA92" s="288"/>
      <c r="AB92" s="288"/>
      <c r="AC92" s="288"/>
      <c r="AD92" s="288"/>
      <c r="AE92" s="288"/>
    </row>
    <row r="93" customFormat="false" ht="12.75" hidden="false" customHeight="false" outlineLevel="0" collapsed="false">
      <c r="A93" s="342" t="s">
        <v>291</v>
      </c>
      <c r="B93" s="343" t="s">
        <v>292</v>
      </c>
      <c r="C93" s="112"/>
      <c r="D93" s="112"/>
      <c r="E93" s="112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88"/>
      <c r="Z93" s="288"/>
      <c r="AA93" s="288"/>
      <c r="AB93" s="288"/>
      <c r="AC93" s="288"/>
      <c r="AD93" s="288"/>
      <c r="AE93" s="288"/>
    </row>
    <row r="94" customFormat="false" ht="12.75" hidden="false" customHeight="false" outlineLevel="0" collapsed="false">
      <c r="A94" s="344" t="s">
        <v>293</v>
      </c>
      <c r="B94" s="345" t="e">
        <f aca="false">SUM(F94:X94)</f>
        <v>#VALUE!</v>
      </c>
      <c r="C94" s="112"/>
      <c r="D94" s="112"/>
      <c r="E94" s="112"/>
      <c r="F94" s="346" t="e">
        <f aca="false">IF(AND(F87&gt;0,F87&lt;$F$9),F87,0)</f>
        <v>#VALUE!</v>
      </c>
      <c r="G94" s="346" t="e">
        <f aca="false">IF(AND(G87&gt;0,G87&lt;$F$9),G87,0)</f>
        <v>#VALUE!</v>
      </c>
      <c r="H94" s="346" t="e">
        <f aca="false">IF(AND(H87&gt;0,H87&lt;$F$9),H87,0)</f>
        <v>#VALUE!</v>
      </c>
      <c r="I94" s="346" t="e">
        <f aca="false">IF(AND(I87&gt;0,I87&lt;$F$9),I87,0)</f>
        <v>#VALUE!</v>
      </c>
      <c r="J94" s="346" t="e">
        <f aca="false">IF(AND(J87&gt;0,(SUM(F87:J87)&lt;$F$82)),J87,0)</f>
        <v>#VALUE!</v>
      </c>
      <c r="K94" s="346" t="e">
        <f aca="false">IF(AND(K87&gt;0,(SUM(G87:K87)&lt;$F$82)),K87,0)</f>
        <v>#VALUE!</v>
      </c>
      <c r="L94" s="346" t="e">
        <f aca="false">IF(AND(L87&gt;0,(SUM(H87:L87)&lt;$F$82)),L87,F82-L87)</f>
        <v>#VALUE!</v>
      </c>
      <c r="M94" s="346" t="e">
        <f aca="false">F82-L94</f>
        <v>#VALUE!</v>
      </c>
      <c r="N94" s="346" t="n">
        <v>0</v>
      </c>
      <c r="O94" s="346"/>
      <c r="P94" s="346"/>
      <c r="Q94" s="346"/>
      <c r="R94" s="346"/>
      <c r="S94" s="346"/>
      <c r="T94" s="346"/>
      <c r="U94" s="346"/>
      <c r="V94" s="346"/>
      <c r="W94" s="346"/>
      <c r="X94" s="346"/>
      <c r="Y94" s="288"/>
      <c r="Z94" s="288"/>
      <c r="AA94" s="288"/>
      <c r="AB94" s="288"/>
      <c r="AC94" s="288"/>
      <c r="AD94" s="288"/>
      <c r="AE94" s="288"/>
    </row>
    <row r="95" customFormat="false" ht="12.75" hidden="false" customHeight="false" outlineLevel="0" collapsed="false">
      <c r="A95" s="344" t="s">
        <v>294</v>
      </c>
      <c r="B95" s="345" t="e">
        <f aca="false">SUM(F95:X95)</f>
        <v>#VALUE!</v>
      </c>
      <c r="C95" s="112"/>
      <c r="D95" s="112"/>
      <c r="E95" s="112"/>
      <c r="F95" s="346"/>
      <c r="G95" s="346" t="n">
        <v>0</v>
      </c>
      <c r="H95" s="346" t="n">
        <v>0</v>
      </c>
      <c r="I95" s="346" t="n">
        <v>0</v>
      </c>
      <c r="J95" s="346" t="n">
        <v>0</v>
      </c>
      <c r="K95" s="346" t="n">
        <v>0</v>
      </c>
      <c r="L95" s="346" t="n">
        <v>0</v>
      </c>
      <c r="M95" s="346" t="e">
        <f aca="false">M87-M94</f>
        <v>#VALUE!</v>
      </c>
      <c r="N95" s="346" t="e">
        <f aca="false">N87</f>
        <v>#VALUE!</v>
      </c>
      <c r="O95" s="346"/>
      <c r="P95" s="346" t="e">
        <f aca="false">IF(AND(P87&gt;0,P87&lt;$G$8),P87,0)</f>
        <v>#VALUE!</v>
      </c>
      <c r="Q95" s="346"/>
      <c r="R95" s="295"/>
      <c r="S95" s="295"/>
      <c r="T95" s="295"/>
      <c r="U95" s="295"/>
      <c r="V95" s="295"/>
      <c r="W95" s="295"/>
      <c r="X95" s="295"/>
      <c r="Y95" s="288"/>
      <c r="Z95" s="288"/>
      <c r="AA95" s="288"/>
      <c r="AB95" s="288"/>
      <c r="AC95" s="288"/>
      <c r="AD95" s="288"/>
      <c r="AE95" s="288"/>
    </row>
    <row r="96" customFormat="false" ht="12.75" hidden="false" customHeight="false" outlineLevel="0" collapsed="false">
      <c r="A96" s="344" t="s">
        <v>295</v>
      </c>
      <c r="B96" s="345" t="n">
        <f aca="false">SUM(F96:X96)</f>
        <v>0</v>
      </c>
      <c r="C96" s="112"/>
      <c r="D96" s="112"/>
      <c r="E96" s="112"/>
      <c r="F96" s="295"/>
      <c r="G96" s="295"/>
      <c r="H96" s="295"/>
      <c r="I96" s="295"/>
      <c r="J96" s="295"/>
      <c r="K96" s="295"/>
      <c r="L96" s="295"/>
      <c r="M96" s="346"/>
      <c r="N96" s="346" t="n">
        <v>0</v>
      </c>
      <c r="O96" s="346" t="n">
        <v>0</v>
      </c>
      <c r="P96" s="346"/>
      <c r="Q96" s="295"/>
      <c r="R96" s="295"/>
      <c r="S96" s="295"/>
      <c r="T96" s="295"/>
      <c r="U96" s="295"/>
      <c r="V96" s="295"/>
      <c r="W96" s="295"/>
      <c r="X96" s="295"/>
      <c r="Y96" s="288"/>
      <c r="Z96" s="288"/>
      <c r="AA96" s="288"/>
      <c r="AB96" s="288"/>
      <c r="AC96" s="288"/>
      <c r="AD96" s="288"/>
      <c r="AE96" s="288"/>
    </row>
    <row r="97" customFormat="false" ht="12.75" hidden="false" customHeight="false" outlineLevel="0" collapsed="false">
      <c r="A97" s="344" t="s">
        <v>296</v>
      </c>
      <c r="B97" s="345" t="n">
        <f aca="false">SUM(F97:X97)</f>
        <v>0</v>
      </c>
      <c r="C97" s="112"/>
      <c r="D97" s="112"/>
      <c r="E97" s="112"/>
      <c r="F97" s="295"/>
      <c r="G97" s="295"/>
      <c r="H97" s="295"/>
      <c r="I97" s="295"/>
      <c r="J97" s="295"/>
      <c r="K97" s="295"/>
      <c r="L97" s="295"/>
      <c r="M97" s="346"/>
      <c r="N97" s="295"/>
      <c r="O97" s="346"/>
      <c r="P97" s="346" t="n">
        <v>0</v>
      </c>
      <c r="Q97" s="295"/>
      <c r="R97" s="295"/>
      <c r="S97" s="295"/>
      <c r="T97" s="295"/>
      <c r="U97" s="295"/>
      <c r="V97" s="295"/>
      <c r="W97" s="295"/>
      <c r="X97" s="295"/>
      <c r="Y97" s="288"/>
      <c r="Z97" s="288"/>
      <c r="AA97" s="288"/>
      <c r="AB97" s="288"/>
      <c r="AC97" s="288"/>
      <c r="AD97" s="288"/>
      <c r="AE97" s="288"/>
    </row>
    <row r="98" customFormat="false" ht="12.75" hidden="false" customHeight="false" outlineLevel="0" collapsed="false">
      <c r="A98" s="344" t="s">
        <v>297</v>
      </c>
      <c r="B98" s="345" t="n">
        <f aca="false">SUM(F98:X98)</f>
        <v>0</v>
      </c>
      <c r="C98" s="112"/>
      <c r="D98" s="112"/>
      <c r="E98" s="112"/>
      <c r="F98" s="295"/>
      <c r="G98" s="295"/>
      <c r="H98" s="295"/>
      <c r="I98" s="295"/>
      <c r="J98" s="295"/>
      <c r="K98" s="295"/>
      <c r="L98" s="295"/>
      <c r="M98" s="346"/>
      <c r="N98" s="295"/>
      <c r="O98" s="346"/>
      <c r="P98" s="346" t="n">
        <v>0</v>
      </c>
      <c r="Q98" s="295"/>
      <c r="R98" s="295"/>
      <c r="S98" s="295"/>
      <c r="T98" s="295"/>
      <c r="U98" s="295"/>
      <c r="V98" s="295"/>
      <c r="W98" s="295"/>
      <c r="X98" s="295"/>
      <c r="Y98" s="288"/>
      <c r="Z98" s="288"/>
      <c r="AA98" s="288"/>
      <c r="AB98" s="288"/>
      <c r="AC98" s="288"/>
      <c r="AD98" s="288"/>
      <c r="AE98" s="288"/>
    </row>
    <row r="99" customFormat="false" ht="12.75" hidden="false" customHeight="false" outlineLevel="0" collapsed="false">
      <c r="A99" s="344" t="s">
        <v>298</v>
      </c>
      <c r="B99" s="345" t="n">
        <f aca="false">SUM(F99:X99)</f>
        <v>0</v>
      </c>
      <c r="C99" s="112"/>
      <c r="D99" s="112"/>
      <c r="E99" s="112"/>
      <c r="F99" s="295"/>
      <c r="G99" s="295"/>
      <c r="H99" s="295"/>
      <c r="I99" s="295"/>
      <c r="J99" s="295"/>
      <c r="K99" s="295"/>
      <c r="L99" s="295"/>
      <c r="M99" s="346"/>
      <c r="N99" s="295"/>
      <c r="O99" s="295"/>
      <c r="P99" s="346" t="n">
        <v>0</v>
      </c>
      <c r="Q99" s="346"/>
      <c r="R99" s="295"/>
      <c r="S99" s="295"/>
      <c r="T99" s="295"/>
      <c r="U99" s="295"/>
      <c r="V99" s="295"/>
      <c r="W99" s="295"/>
      <c r="X99" s="295"/>
      <c r="Y99" s="288"/>
      <c r="Z99" s="288"/>
      <c r="AA99" s="288"/>
      <c r="AB99" s="288"/>
      <c r="AC99" s="288"/>
      <c r="AD99" s="288"/>
      <c r="AE99" s="288"/>
    </row>
    <row r="100" customFormat="false" ht="12.75" hidden="false" customHeight="false" outlineLevel="0" collapsed="false">
      <c r="A100" s="347" t="s">
        <v>299</v>
      </c>
      <c r="B100" s="348" t="e">
        <f aca="false">SUM(B94:B99)</f>
        <v>#VALUE!</v>
      </c>
      <c r="C100" s="349" t="n">
        <f aca="false">SUM(C94:C99)</f>
        <v>0</v>
      </c>
      <c r="D100" s="349" t="n">
        <f aca="false">SUM(D94:D99)</f>
        <v>0</v>
      </c>
      <c r="E100" s="349" t="n">
        <f aca="false">SUM(E94:E99)</f>
        <v>0</v>
      </c>
      <c r="F100" s="349" t="e">
        <f aca="false">SUM(F94:F99)</f>
        <v>#VALUE!</v>
      </c>
      <c r="G100" s="349" t="e">
        <f aca="false">SUM(G94:G99)</f>
        <v>#VALUE!</v>
      </c>
      <c r="H100" s="349" t="e">
        <f aca="false">SUM(H94:H99)</f>
        <v>#VALUE!</v>
      </c>
      <c r="I100" s="349" t="e">
        <f aca="false">SUM(I94:I99)</f>
        <v>#VALUE!</v>
      </c>
      <c r="J100" s="349" t="e">
        <f aca="false">SUM(J94:J99)</f>
        <v>#VALUE!</v>
      </c>
      <c r="K100" s="349" t="e">
        <f aca="false">SUM(K94:K99)</f>
        <v>#VALUE!</v>
      </c>
      <c r="L100" s="349" t="e">
        <f aca="false">SUM(L94:L99)</f>
        <v>#VALUE!</v>
      </c>
      <c r="M100" s="349" t="e">
        <f aca="false">SUM(M94:M99)</f>
        <v>#VALUE!</v>
      </c>
      <c r="N100" s="349" t="e">
        <f aca="false">SUM(N94:N99)</f>
        <v>#VALUE!</v>
      </c>
      <c r="O100" s="349" t="n">
        <f aca="false">SUM(O94:O99)</f>
        <v>0</v>
      </c>
      <c r="P100" s="349" t="e">
        <f aca="false">SUM(P94:P99)</f>
        <v>#VALUE!</v>
      </c>
      <c r="Q100" s="349" t="n">
        <f aca="false">SUM(Q94:Q99)</f>
        <v>0</v>
      </c>
      <c r="R100" s="349" t="n">
        <f aca="false">SUM(R94:R99)</f>
        <v>0</v>
      </c>
      <c r="S100" s="349" t="n">
        <f aca="false">SUM(S94:S99)</f>
        <v>0</v>
      </c>
      <c r="T100" s="349" t="n">
        <f aca="false">SUM(T94:T99)</f>
        <v>0</v>
      </c>
      <c r="U100" s="349" t="n">
        <f aca="false">SUM(U94:U99)</f>
        <v>0</v>
      </c>
      <c r="V100" s="349" t="n">
        <f aca="false">SUM(V94:V99)</f>
        <v>0</v>
      </c>
      <c r="W100" s="349" t="n">
        <f aca="false">SUM(W94:W99)</f>
        <v>0</v>
      </c>
      <c r="X100" s="349" t="n">
        <f aca="false">SUM(X94:X99)</f>
        <v>0</v>
      </c>
      <c r="Y100" s="288"/>
      <c r="Z100" s="288"/>
      <c r="AA100" s="288"/>
      <c r="AB100" s="288"/>
      <c r="AC100" s="288"/>
      <c r="AD100" s="288"/>
      <c r="AE100" s="288"/>
    </row>
    <row r="101" customFormat="false" ht="12.75" hidden="false" customHeight="false" outlineLevel="0" collapsed="false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288"/>
      <c r="Z101" s="288"/>
      <c r="AA101" s="288"/>
      <c r="AB101" s="288"/>
      <c r="AC101" s="288"/>
      <c r="AD101" s="288"/>
      <c r="AE101" s="288"/>
    </row>
    <row r="102" customFormat="false" ht="12.75" hidden="false" customHeight="false" outlineLevel="0" collapsed="false">
      <c r="A102" s="112" t="s">
        <v>300</v>
      </c>
      <c r="B102" s="112"/>
      <c r="C102" s="112"/>
      <c r="D102" s="112"/>
      <c r="E102" s="112"/>
      <c r="F102" s="112" t="n">
        <v>2009</v>
      </c>
      <c r="G102" s="112" t="n">
        <v>2010</v>
      </c>
      <c r="H102" s="112" t="n">
        <v>2011</v>
      </c>
      <c r="I102" s="112" t="n">
        <v>2012</v>
      </c>
      <c r="J102" s="112" t="n">
        <v>2013</v>
      </c>
      <c r="K102" s="112" t="n">
        <v>2014</v>
      </c>
      <c r="L102" s="112" t="n">
        <v>2015</v>
      </c>
      <c r="M102" s="112" t="n">
        <v>2016</v>
      </c>
      <c r="N102" s="112" t="n">
        <v>2017</v>
      </c>
      <c r="O102" s="112" t="n">
        <v>2018</v>
      </c>
      <c r="P102" s="112" t="n">
        <v>2019</v>
      </c>
      <c r="Q102" s="112" t="n">
        <v>2020</v>
      </c>
      <c r="R102" s="112" t="n">
        <v>2021</v>
      </c>
      <c r="S102" s="112" t="n">
        <v>2022</v>
      </c>
      <c r="T102" s="112" t="n">
        <v>2023</v>
      </c>
      <c r="U102" s="112" t="n">
        <v>2024</v>
      </c>
      <c r="V102" s="112" t="n">
        <v>2025</v>
      </c>
      <c r="W102" s="112" t="n">
        <v>2026</v>
      </c>
      <c r="X102" s="112" t="n">
        <v>2027</v>
      </c>
      <c r="Y102" s="288"/>
      <c r="Z102" s="288"/>
      <c r="AA102" s="288"/>
      <c r="AB102" s="288"/>
      <c r="AC102" s="288"/>
      <c r="AD102" s="288"/>
      <c r="AE102" s="288"/>
    </row>
    <row r="103" customFormat="false" ht="12.75" hidden="false" customHeight="false" outlineLevel="0" collapsed="false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288"/>
      <c r="Z103" s="288"/>
      <c r="AA103" s="288"/>
      <c r="AB103" s="288"/>
      <c r="AC103" s="288"/>
      <c r="AD103" s="288"/>
      <c r="AE103" s="288"/>
    </row>
    <row r="104" customFormat="false" ht="12.75" hidden="false" customHeight="false" outlineLevel="0" collapsed="false">
      <c r="A104" s="112" t="s">
        <v>301</v>
      </c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 t="n">
        <v>2001</v>
      </c>
      <c r="M104" s="112" t="n">
        <v>2002</v>
      </c>
      <c r="N104" s="112" t="n">
        <v>2003</v>
      </c>
      <c r="O104" s="112" t="n">
        <v>2004</v>
      </c>
      <c r="P104" s="112" t="n">
        <v>2005</v>
      </c>
      <c r="Q104" s="112" t="n">
        <v>2006</v>
      </c>
      <c r="R104" s="112" t="n">
        <v>2007</v>
      </c>
      <c r="S104" s="112" t="n">
        <v>2008</v>
      </c>
      <c r="T104" s="112" t="n">
        <v>2009</v>
      </c>
      <c r="U104" s="112" t="n">
        <v>2010</v>
      </c>
      <c r="V104" s="112" t="n">
        <v>2011</v>
      </c>
      <c r="W104" s="112" t="n">
        <v>2012</v>
      </c>
      <c r="X104" s="112" t="n">
        <v>2013</v>
      </c>
      <c r="Y104" s="288"/>
      <c r="Z104" s="288"/>
      <c r="AA104" s="288"/>
      <c r="AB104" s="288"/>
      <c r="AC104" s="288"/>
      <c r="AD104" s="288"/>
      <c r="AE104" s="288"/>
    </row>
    <row r="105" customFormat="false" ht="12.75" hidden="false" customHeight="false" outlineLevel="0" collapsed="false">
      <c r="Y105" s="288"/>
      <c r="Z105" s="288"/>
      <c r="AA105" s="288"/>
      <c r="AB105" s="288"/>
      <c r="AC105" s="288"/>
      <c r="AD105" s="288"/>
      <c r="AE105" s="288"/>
    </row>
    <row r="106" customFormat="false" ht="12.75" hidden="false" customHeight="false" outlineLevel="0" collapsed="false">
      <c r="Y106" s="288"/>
      <c r="Z106" s="288"/>
      <c r="AA106" s="288"/>
      <c r="AB106" s="288"/>
      <c r="AC106" s="288"/>
      <c r="AD106" s="288"/>
      <c r="AE106" s="288"/>
    </row>
    <row r="107" customFormat="false" ht="12.75" hidden="false" customHeight="false" outlineLevel="0" collapsed="false">
      <c r="Y107" s="288"/>
      <c r="Z107" s="288"/>
      <c r="AA107" s="288"/>
      <c r="AB107" s="288"/>
      <c r="AC107" s="288"/>
      <c r="AD107" s="288"/>
      <c r="AE107" s="288"/>
    </row>
    <row r="108" customFormat="false" ht="12.75" hidden="false" customHeight="false" outlineLevel="0" collapsed="false">
      <c r="Y108" s="288"/>
      <c r="Z108" s="288"/>
      <c r="AA108" s="288"/>
      <c r="AB108" s="288"/>
      <c r="AC108" s="288"/>
      <c r="AD108" s="288"/>
      <c r="AE108" s="288"/>
    </row>
    <row r="109" customFormat="false" ht="12.75" hidden="false" customHeight="false" outlineLevel="0" collapsed="false">
      <c r="Y109" s="288"/>
      <c r="Z109" s="288"/>
      <c r="AA109" s="288"/>
      <c r="AB109" s="288"/>
      <c r="AC109" s="288"/>
      <c r="AD109" s="288"/>
      <c r="AE109" s="288"/>
    </row>
    <row r="114" customFormat="false" ht="15.75" hidden="false" customHeight="false" outlineLevel="0" collapsed="false">
      <c r="A114" s="293" t="s">
        <v>249</v>
      </c>
      <c r="Y114" s="112"/>
      <c r="Z114" s="112"/>
      <c r="AA114" s="112"/>
      <c r="AB114" s="112"/>
      <c r="AC114" s="112"/>
      <c r="AD114" s="112"/>
      <c r="AE114" s="112"/>
    </row>
    <row r="115" customFormat="false" ht="12.75" hidden="false" customHeight="false" outlineLevel="0" collapsed="false">
      <c r="A115" s="124" t="s">
        <v>302</v>
      </c>
      <c r="C115" s="350" t="n">
        <v>0.08</v>
      </c>
      <c r="Y115" s="112"/>
      <c r="Z115" s="112"/>
      <c r="AA115" s="112"/>
      <c r="AB115" s="112"/>
      <c r="AC115" s="112"/>
      <c r="AD115" s="112"/>
      <c r="AE115" s="112"/>
    </row>
    <row r="116" customFormat="false" ht="12.75" hidden="false" customHeight="false" outlineLevel="0" collapsed="false">
      <c r="A116" s="112"/>
      <c r="C116" s="289" t="n">
        <f aca="false">C3</f>
        <v>2000</v>
      </c>
      <c r="D116" s="289" t="n">
        <f aca="false">C116+1</f>
        <v>2001</v>
      </c>
      <c r="E116" s="289" t="n">
        <f aca="false">E3</f>
        <v>2002</v>
      </c>
      <c r="F116" s="289" t="n">
        <f aca="false">F3</f>
        <v>2003</v>
      </c>
      <c r="G116" s="289" t="n">
        <f aca="false">G3</f>
        <v>2004</v>
      </c>
      <c r="H116" s="289" t="n">
        <f aca="false">H3</f>
        <v>2005</v>
      </c>
      <c r="I116" s="289" t="n">
        <f aca="false">I3</f>
        <v>2006</v>
      </c>
      <c r="J116" s="289" t="n">
        <f aca="false">J3</f>
        <v>2007</v>
      </c>
      <c r="K116" s="289" t="n">
        <f aca="false">K3</f>
        <v>2008</v>
      </c>
      <c r="L116" s="289" t="n">
        <f aca="false">L3</f>
        <v>2009</v>
      </c>
      <c r="M116" s="289" t="n">
        <f aca="false">M3</f>
        <v>2010</v>
      </c>
      <c r="N116" s="289" t="n">
        <f aca="false">N3</f>
        <v>2011</v>
      </c>
      <c r="O116" s="289" t="n">
        <f aca="false">O3</f>
        <v>2012</v>
      </c>
      <c r="P116" s="289" t="n">
        <f aca="false">P3</f>
        <v>2013</v>
      </c>
      <c r="Q116" s="289" t="n">
        <f aca="false">Q3</f>
        <v>2014</v>
      </c>
      <c r="R116" s="289" t="n">
        <f aca="false">R3</f>
        <v>2015</v>
      </c>
      <c r="S116" s="289" t="n">
        <f aca="false">S3</f>
        <v>2016</v>
      </c>
      <c r="T116" s="289" t="n">
        <f aca="false">T3</f>
        <v>2017</v>
      </c>
      <c r="U116" s="289" t="n">
        <f aca="false">U3</f>
        <v>2018</v>
      </c>
      <c r="V116" s="289" t="n">
        <f aca="false">V3</f>
        <v>2019</v>
      </c>
      <c r="W116" s="289" t="n">
        <f aca="false">W3</f>
        <v>2020</v>
      </c>
      <c r="X116" s="289" t="n">
        <f aca="false">X3</f>
        <v>2021</v>
      </c>
      <c r="Y116" s="112"/>
      <c r="Z116" s="112"/>
      <c r="AA116" s="112"/>
      <c r="AB116" s="112"/>
      <c r="AC116" s="112"/>
      <c r="AD116" s="112"/>
      <c r="AE116" s="112"/>
    </row>
    <row r="117" customFormat="false" ht="11.25" hidden="false" customHeight="false" outlineLevel="0" collapsed="false">
      <c r="A117" s="113" t="s">
        <v>303</v>
      </c>
      <c r="B117" s="113"/>
      <c r="C117" s="113" t="n">
        <v>0</v>
      </c>
      <c r="D117" s="306" t="n">
        <f aca="false">C124</f>
        <v>165658.926609822</v>
      </c>
      <c r="E117" s="306" t="e">
        <f aca="false">D124</f>
        <v>#VALUE!</v>
      </c>
      <c r="F117" s="306" t="e">
        <f aca="false">E124</f>
        <v>#VALUE!</v>
      </c>
      <c r="G117" s="306" t="e">
        <f aca="false">F124</f>
        <v>#VALUE!</v>
      </c>
      <c r="H117" s="306" t="e">
        <f aca="false">G124</f>
        <v>#VALUE!</v>
      </c>
      <c r="I117" s="306" t="e">
        <f aca="false">H124</f>
        <v>#VALUE!</v>
      </c>
      <c r="J117" s="306" t="e">
        <f aca="false">I124</f>
        <v>#VALUE!</v>
      </c>
      <c r="K117" s="306" t="e">
        <f aca="false">J124</f>
        <v>#VALUE!</v>
      </c>
      <c r="L117" s="306" t="e">
        <f aca="false">K124</f>
        <v>#VALUE!</v>
      </c>
      <c r="M117" s="306" t="e">
        <f aca="false">L124</f>
        <v>#VALUE!</v>
      </c>
      <c r="N117" s="306" t="e">
        <f aca="false">M124</f>
        <v>#VALUE!</v>
      </c>
      <c r="O117" s="306" t="e">
        <f aca="false">N124</f>
        <v>#VALUE!</v>
      </c>
      <c r="P117" s="306" t="e">
        <f aca="false">O124</f>
        <v>#VALUE!</v>
      </c>
      <c r="Q117" s="306" t="e">
        <f aca="false">P124</f>
        <v>#VALUE!</v>
      </c>
      <c r="R117" s="306" t="e">
        <f aca="false">Q124</f>
        <v>#VALUE!</v>
      </c>
      <c r="S117" s="306" t="e">
        <f aca="false">R124</f>
        <v>#VALUE!</v>
      </c>
      <c r="T117" s="306" t="e">
        <f aca="false">S124</f>
        <v>#VALUE!</v>
      </c>
      <c r="U117" s="306" t="e">
        <f aca="false">T124</f>
        <v>#VALUE!</v>
      </c>
      <c r="V117" s="306" t="e">
        <f aca="false">U124</f>
        <v>#VALUE!</v>
      </c>
      <c r="W117" s="306" t="e">
        <f aca="false">V124</f>
        <v>#VALUE!</v>
      </c>
      <c r="X117" s="306" t="e">
        <f aca="false">W124</f>
        <v>#VALUE!</v>
      </c>
      <c r="Y117" s="295"/>
      <c r="Z117" s="295"/>
      <c r="AA117" s="295"/>
      <c r="AB117" s="295"/>
      <c r="AC117" s="295"/>
      <c r="AD117" s="295"/>
      <c r="AE117" s="295"/>
    </row>
    <row r="118" customFormat="false" ht="11.25" hidden="false" customHeight="false" outlineLevel="0" collapsed="false">
      <c r="A118" s="113" t="s">
        <v>304</v>
      </c>
      <c r="B118" s="113"/>
      <c r="C118" s="351" t="n">
        <f aca="false">IF(C$116=YEAR(Cashflow!$C$3),((Assumptions!$E$10-Assumptions!$E$5)*Assumptions!$H$6),0)</f>
        <v>165658.926609822</v>
      </c>
      <c r="D118" s="351" t="n">
        <f aca="false">IF(D$116=YEAR(Cashflow!$C$3),((Assumptions!$E$10-Assumptions!$E$5)*Assumptions!$H$6),0)</f>
        <v>0</v>
      </c>
      <c r="E118" s="351" t="n">
        <f aca="false">IF(E$116=YEAR(Cashflow!$C$3),((Assumptions!$E$10-Assumptions!$E$5)*Assumptions!$H$6),0)</f>
        <v>0</v>
      </c>
      <c r="F118" s="351" t="n">
        <f aca="false">Assumptions!E14</f>
        <v>0</v>
      </c>
      <c r="G118" s="351" t="n">
        <f aca="false">Assumptions!$E$13+Assumptions!$E$15</f>
        <v>0</v>
      </c>
      <c r="H118" s="351" t="n">
        <f aca="false">IF(H$116=YEAR(Cashflow!$C$3),((Assumptions!$E$10-Assumptions!$E$5)*Assumptions!$H$6),0)</f>
        <v>0</v>
      </c>
      <c r="I118" s="351" t="n">
        <f aca="false">IF(I$116=YEAR(Cashflow!$C$3),((Assumptions!$E$10-Assumptions!$E$5)*Assumptions!$H$6),0)</f>
        <v>0</v>
      </c>
      <c r="J118" s="351" t="n">
        <f aca="false">IF(J$116=YEAR(Cashflow!$C$3),((Assumptions!$E$10-Assumptions!$E$5)*Assumptions!$H$6),0)</f>
        <v>0</v>
      </c>
      <c r="K118" s="351" t="n">
        <f aca="false">IF(K$116=YEAR(Cashflow!$C$3),((Assumptions!$E$10-Assumptions!$E$5)*Assumptions!$H$6),0)</f>
        <v>0</v>
      </c>
      <c r="L118" s="351" t="n">
        <f aca="false">IF(L$116=YEAR(Cashflow!$C$3),((Assumptions!$E$10-Assumptions!$E$5)*Assumptions!$H$6),0)</f>
        <v>0</v>
      </c>
      <c r="M118" s="351" t="n">
        <f aca="false">IF(M$116=YEAR(Cashflow!$C$3),((Assumptions!$E$10-Assumptions!$E$5)*Assumptions!$H$6),0)</f>
        <v>0</v>
      </c>
      <c r="N118" s="351" t="n">
        <f aca="false">IF(N$116=YEAR(Cashflow!$C$3),((Assumptions!$E$10-Assumptions!$E$5)*Assumptions!$H$6),0)</f>
        <v>0</v>
      </c>
      <c r="O118" s="351" t="n">
        <f aca="false">IF(O$116=YEAR(Cashflow!$C$3),((Assumptions!$E$10-Assumptions!$E$5)*Assumptions!$H$6),0)</f>
        <v>0</v>
      </c>
      <c r="P118" s="351" t="n">
        <f aca="false">IF(P$116=YEAR(Cashflow!$C$3),((Assumptions!$E$10-Assumptions!$E$5)*Assumptions!$H$6),0)</f>
        <v>0</v>
      </c>
      <c r="Q118" s="351" t="n">
        <f aca="false">IF(Q$116=YEAR(Cashflow!$C$3),((Assumptions!$E$10-Assumptions!$E$5)*Assumptions!$H$6),0)</f>
        <v>0</v>
      </c>
      <c r="R118" s="351" t="n">
        <f aca="false">IF(R$116=YEAR(Cashflow!$C$3),((Assumptions!$E$10-Assumptions!$E$5)*Assumptions!$H$6),0)</f>
        <v>0</v>
      </c>
      <c r="S118" s="351" t="n">
        <f aca="false">IF(S$116=YEAR(Cashflow!$C$3),((Assumptions!$E$10-Assumptions!$E$5)*Assumptions!$H$6),0)</f>
        <v>0</v>
      </c>
      <c r="T118" s="351" t="n">
        <f aca="false">IF(T$116=YEAR(Cashflow!$C$3),((Assumptions!$E$10-Assumptions!$E$5)*Assumptions!$H$6),0)</f>
        <v>0</v>
      </c>
      <c r="U118" s="351" t="n">
        <f aca="false">IF(U$116=YEAR(Cashflow!$C$3),((Assumptions!$E$10-Assumptions!$E$5)*Assumptions!$H$6),0)</f>
        <v>0</v>
      </c>
      <c r="V118" s="351" t="n">
        <f aca="false">IF(V$116=YEAR(Cashflow!$C$3),((Assumptions!$E$10-Assumptions!$E$5)*Assumptions!$H$6),0)</f>
        <v>0</v>
      </c>
      <c r="W118" s="351" t="n">
        <f aca="false">IF(W$116=YEAR(Cashflow!$C$3),((Assumptions!$E$10-Assumptions!$E$5)*Assumptions!$H$6),0)</f>
        <v>0</v>
      </c>
      <c r="X118" s="351" t="n">
        <f aca="false">IF(X$116=YEAR(Cashflow!$C$3),((Assumptions!$E$10-Assumptions!$E$5)*Assumptions!$H$6),0)</f>
        <v>0</v>
      </c>
      <c r="Y118" s="295"/>
      <c r="Z118" s="295"/>
      <c r="AA118" s="295"/>
      <c r="AB118" s="295"/>
      <c r="AC118" s="295"/>
      <c r="AD118" s="295"/>
      <c r="AE118" s="295"/>
    </row>
    <row r="119" customFormat="false" ht="11.25" hidden="false" customHeight="false" outlineLevel="0" collapsed="false">
      <c r="A119" s="113" t="s">
        <v>305</v>
      </c>
      <c r="B119" s="113"/>
      <c r="C119" s="113"/>
      <c r="D119" s="113"/>
      <c r="E119" s="306" t="n">
        <f aca="false">IF(Tables!B21=2,((Assumptions!E10-Assumptions!E5)*Assumptions!E29),0)</f>
        <v>0</v>
      </c>
      <c r="F119" s="113"/>
      <c r="G119" s="113"/>
      <c r="H119" s="306" t="n">
        <f aca="false">IF(Tables!$B$21=5,((Assumptions!$E$10-Assumptions!$E$5)*Assumptions!$E$29),0)</f>
        <v>0</v>
      </c>
      <c r="I119" s="113"/>
      <c r="J119" s="113"/>
      <c r="K119" s="113"/>
      <c r="L119" s="113"/>
      <c r="M119" s="306" t="n">
        <f aca="false">IF(Tables!$B$21=10,((Assumptions!$E$10-Assumptions!$E$5)*Assumptions!$E$29),0)</f>
        <v>0</v>
      </c>
      <c r="N119" s="113"/>
      <c r="O119" s="113"/>
      <c r="P119" s="113"/>
      <c r="Q119" s="113"/>
      <c r="R119" s="306" t="e">
        <f aca="false">IF(Tables!$B$21=15,((Assumptions!$E$10-Assumptions!$E$5)*Assumptions!$E$29),0)-R143</f>
        <v>#VALUE!</v>
      </c>
      <c r="S119" s="113"/>
      <c r="T119" s="113"/>
      <c r="U119" s="113"/>
      <c r="V119" s="113"/>
      <c r="W119" s="306" t="n">
        <f aca="false">IF(Tables!$B$21=20,((Assumptions!$E$10-Assumptions!$E$5)*Assumptions!$E$29),0)</f>
        <v>0</v>
      </c>
      <c r="X119" s="113"/>
      <c r="Y119" s="295"/>
      <c r="Z119" s="295"/>
      <c r="AA119" s="295"/>
      <c r="AB119" s="295"/>
      <c r="AC119" s="295"/>
      <c r="AD119" s="295"/>
      <c r="AE119" s="295"/>
    </row>
    <row r="120" customFormat="false" ht="11.25" hidden="false" customHeight="false" outlineLevel="0" collapsed="false">
      <c r="A120" s="113" t="s">
        <v>306</v>
      </c>
      <c r="B120" s="113"/>
      <c r="C120" s="306" t="n">
        <f aca="false">C117+C118-C119</f>
        <v>165658.926609822</v>
      </c>
      <c r="D120" s="306" t="n">
        <f aca="false">D117+D118-D119</f>
        <v>165658.926609822</v>
      </c>
      <c r="E120" s="306" t="e">
        <f aca="false">E117+E118-E119</f>
        <v>#VALUE!</v>
      </c>
      <c r="F120" s="306" t="e">
        <f aca="false">F117+F118-F119</f>
        <v>#VALUE!</v>
      </c>
      <c r="G120" s="306" t="e">
        <f aca="false">G117+G118-G119</f>
        <v>#VALUE!</v>
      </c>
      <c r="H120" s="306" t="e">
        <f aca="false">H117+H118-H119</f>
        <v>#VALUE!</v>
      </c>
      <c r="I120" s="306" t="e">
        <f aca="false">I117+I118-I119</f>
        <v>#VALUE!</v>
      </c>
      <c r="J120" s="306" t="e">
        <f aca="false">J117+J118-J119</f>
        <v>#VALUE!</v>
      </c>
      <c r="K120" s="306" t="e">
        <f aca="false">K117+K118-K119</f>
        <v>#VALUE!</v>
      </c>
      <c r="L120" s="306" t="e">
        <f aca="false">L117+L118-L119</f>
        <v>#VALUE!</v>
      </c>
      <c r="M120" s="306" t="e">
        <f aca="false">M117+M118-M119</f>
        <v>#VALUE!</v>
      </c>
      <c r="N120" s="306" t="e">
        <f aca="false">N117+N118-N119</f>
        <v>#VALUE!</v>
      </c>
      <c r="O120" s="306" t="e">
        <f aca="false">O117+O118-O119</f>
        <v>#VALUE!</v>
      </c>
      <c r="P120" s="306" t="e">
        <f aca="false">P117+P118-P119</f>
        <v>#VALUE!</v>
      </c>
      <c r="Q120" s="306" t="e">
        <f aca="false">Q117+Q118-Q119</f>
        <v>#VALUE!</v>
      </c>
      <c r="R120" s="306" t="e">
        <f aca="false">R117+R118-R119</f>
        <v>#VALUE!</v>
      </c>
      <c r="S120" s="306" t="e">
        <f aca="false">S117+S118-S119</f>
        <v>#VALUE!</v>
      </c>
      <c r="T120" s="306" t="e">
        <f aca="false">T117+T118-T119</f>
        <v>#VALUE!</v>
      </c>
      <c r="U120" s="306" t="e">
        <f aca="false">U117+U118-U119</f>
        <v>#VALUE!</v>
      </c>
      <c r="V120" s="306" t="e">
        <f aca="false">V117+V118-V119</f>
        <v>#VALUE!</v>
      </c>
      <c r="W120" s="306" t="e">
        <f aca="false">W117+W118-W119</f>
        <v>#VALUE!</v>
      </c>
      <c r="X120" s="306" t="e">
        <f aca="false">X117+X118-X119</f>
        <v>#VALUE!</v>
      </c>
      <c r="Y120" s="295"/>
      <c r="Z120" s="295"/>
      <c r="AA120" s="295"/>
      <c r="AB120" s="295"/>
      <c r="AC120" s="295"/>
      <c r="AD120" s="295"/>
      <c r="AE120" s="295"/>
    </row>
    <row r="121" customFormat="false" ht="11.25" hidden="false" customHeight="false" outlineLevel="0" collapsed="false">
      <c r="A121" s="113" t="s">
        <v>307</v>
      </c>
      <c r="B121" s="113"/>
      <c r="C121" s="352" t="n">
        <f aca="false">IF(C118&gt;0,IF(Assumptions!$H$12="Yes",Tax!C120*0.5,0),0)</f>
        <v>82829.4633049111</v>
      </c>
      <c r="D121" s="352" t="n">
        <f aca="false">IF(D118&gt;0,IF(Assumptions!$H$12="Yes",Tax!D120*0.5,0),0)</f>
        <v>0</v>
      </c>
      <c r="E121" s="352" t="n">
        <f aca="false">IF(E118&gt;0,IF(Assumptions!$H$12="Yes",Tax!E120*0.5,0),0)</f>
        <v>0</v>
      </c>
      <c r="F121" s="352" t="n">
        <f aca="false">IF(F118&gt;0,IF(Assumptions!$H$12="Yes",Tax!F120*0.5,0),0)</f>
        <v>0</v>
      </c>
      <c r="G121" s="352" t="n">
        <f aca="false">IF(G118&gt;0,IF(Assumptions!$H$12="Yes",Tax!G120*0.5,0),0)</f>
        <v>0</v>
      </c>
      <c r="H121" s="352" t="n">
        <f aca="false">IF(H118&gt;0,IF(Assumptions!$H$12="Yes",Tax!H120*0.5,0),0)</f>
        <v>0</v>
      </c>
      <c r="I121" s="352" t="n">
        <f aca="false">IF(I118&gt;0,IF(Assumptions!$H$12="Yes",Tax!I120*0.5,0),0)</f>
        <v>0</v>
      </c>
      <c r="J121" s="352" t="n">
        <f aca="false">IF(J118&gt;0,IF(Assumptions!$H$12="Yes",Tax!J120*0.5,0),0)</f>
        <v>0</v>
      </c>
      <c r="K121" s="352" t="n">
        <f aca="false">IF(K118&gt;0,IF(Assumptions!$H$12="Yes",Tax!K120*0.5,0),0)</f>
        <v>0</v>
      </c>
      <c r="L121" s="352" t="n">
        <f aca="false">IF(L118&gt;0,IF(Assumptions!$H$12="Yes",Tax!L120*0.5,0),0)</f>
        <v>0</v>
      </c>
      <c r="M121" s="352" t="n">
        <f aca="false">IF(M118&gt;0,IF(Assumptions!$H$12="Yes",Tax!M120*0.5,0),0)</f>
        <v>0</v>
      </c>
      <c r="N121" s="352" t="n">
        <f aca="false">IF(N118&gt;0,IF(Assumptions!$H$12="Yes",Tax!N120*0.5,0),0)</f>
        <v>0</v>
      </c>
      <c r="O121" s="352" t="n">
        <f aca="false">IF(O118&gt;0,IF(Assumptions!$H$12="Yes",Tax!O120*0.5,0),0)</f>
        <v>0</v>
      </c>
      <c r="P121" s="352" t="n">
        <f aca="false">IF(P118&gt;0,IF(Assumptions!$H$12="Yes",Tax!P120*0.5,0),0)</f>
        <v>0</v>
      </c>
      <c r="Q121" s="352" t="n">
        <f aca="false">IF(Q118&gt;0,IF(Assumptions!$H$12="Yes",Tax!Q120*0.5,0),0)</f>
        <v>0</v>
      </c>
      <c r="R121" s="352" t="n">
        <f aca="false">IF(R118&gt;0,IF(Assumptions!$H$12="Yes",Tax!R120*0.5,0),0)</f>
        <v>0</v>
      </c>
      <c r="S121" s="352" t="n">
        <f aca="false">IF(S118&gt;0,IF(Assumptions!$H$12="Yes",Tax!S120*0.5,0),0)</f>
        <v>0</v>
      </c>
      <c r="T121" s="352" t="n">
        <f aca="false">IF(T118&gt;0,IF(Assumptions!$H$12="Yes",Tax!T120*0.5,0),0)</f>
        <v>0</v>
      </c>
      <c r="U121" s="352" t="n">
        <f aca="false">IF(U118&gt;0,IF(Assumptions!$H$12="Yes",Tax!U120*0.5,0),0)</f>
        <v>0</v>
      </c>
      <c r="V121" s="352" t="n">
        <f aca="false">IF(V118&gt;0,IF(Assumptions!$H$12="Yes",Tax!V120*0.5,0),0)</f>
        <v>0</v>
      </c>
      <c r="W121" s="352" t="n">
        <f aca="false">IF(W118&gt;0,IF(Assumptions!$H$12="Yes",Tax!W120*0.5,0),0)</f>
        <v>0</v>
      </c>
      <c r="X121" s="352" t="n">
        <f aca="false">IF(X118&gt;0,IF(Assumptions!$H$12="Yes",Tax!X120*0.5,0),0)</f>
        <v>0</v>
      </c>
      <c r="Y121" s="295"/>
      <c r="Z121" s="295"/>
      <c r="AA121" s="295"/>
      <c r="AB121" s="295"/>
      <c r="AC121" s="295"/>
      <c r="AD121" s="295"/>
      <c r="AE121" s="295"/>
    </row>
    <row r="122" customFormat="false" ht="11.25" hidden="false" customHeight="false" outlineLevel="0" collapsed="false">
      <c r="A122" s="113" t="s">
        <v>308</v>
      </c>
      <c r="B122" s="113"/>
      <c r="C122" s="353" t="n">
        <f aca="false">C120-C121</f>
        <v>82829.4633049111</v>
      </c>
      <c r="D122" s="353" t="n">
        <f aca="false">D120-D121</f>
        <v>165658.926609822</v>
      </c>
      <c r="E122" s="353" t="e">
        <f aca="false">E120-E121</f>
        <v>#VALUE!</v>
      </c>
      <c r="F122" s="353" t="e">
        <f aca="false">F120-F121</f>
        <v>#VALUE!</v>
      </c>
      <c r="G122" s="353" t="e">
        <f aca="false">G120-G121</f>
        <v>#VALUE!</v>
      </c>
      <c r="H122" s="353" t="e">
        <f aca="false">H120-H121</f>
        <v>#VALUE!</v>
      </c>
      <c r="I122" s="353" t="e">
        <f aca="false">I120-I121</f>
        <v>#VALUE!</v>
      </c>
      <c r="J122" s="353" t="e">
        <f aca="false">J120-J121</f>
        <v>#VALUE!</v>
      </c>
      <c r="K122" s="353" t="e">
        <f aca="false">K120-K121</f>
        <v>#VALUE!</v>
      </c>
      <c r="L122" s="353" t="e">
        <f aca="false">L120-L121</f>
        <v>#VALUE!</v>
      </c>
      <c r="M122" s="353" t="e">
        <f aca="false">M120-M121</f>
        <v>#VALUE!</v>
      </c>
      <c r="N122" s="353" t="e">
        <f aca="false">N120-N121</f>
        <v>#VALUE!</v>
      </c>
      <c r="O122" s="353" t="e">
        <f aca="false">O120-O121</f>
        <v>#VALUE!</v>
      </c>
      <c r="P122" s="353" t="e">
        <f aca="false">P120-P121</f>
        <v>#VALUE!</v>
      </c>
      <c r="Q122" s="353" t="e">
        <f aca="false">Q120-Q121</f>
        <v>#VALUE!</v>
      </c>
      <c r="R122" s="353" t="e">
        <f aca="false">R120-R121</f>
        <v>#VALUE!</v>
      </c>
      <c r="S122" s="353" t="e">
        <f aca="false">S120-S121</f>
        <v>#VALUE!</v>
      </c>
      <c r="T122" s="353" t="e">
        <f aca="false">T120-T121</f>
        <v>#VALUE!</v>
      </c>
      <c r="U122" s="353" t="e">
        <f aca="false">U120-U121</f>
        <v>#VALUE!</v>
      </c>
      <c r="V122" s="353" t="e">
        <f aca="false">V120-V121</f>
        <v>#VALUE!</v>
      </c>
      <c r="W122" s="353" t="e">
        <f aca="false">W120-W121</f>
        <v>#VALUE!</v>
      </c>
      <c r="X122" s="353" t="e">
        <f aca="false">X120-X121</f>
        <v>#VALUE!</v>
      </c>
      <c r="Y122" s="295"/>
      <c r="Z122" s="295"/>
      <c r="AA122" s="295"/>
      <c r="AB122" s="295"/>
      <c r="AC122" s="295"/>
      <c r="AD122" s="295"/>
      <c r="AE122" s="295"/>
    </row>
    <row r="123" customFormat="false" ht="11.25" hidden="false" customHeight="false" outlineLevel="0" collapsed="false">
      <c r="A123" s="113" t="s">
        <v>309</v>
      </c>
      <c r="B123" s="113"/>
      <c r="C123" s="306" t="n">
        <f aca="false">IF(B124=0,0,IF(C119&gt;0,C120,IF(C187&lt;0,0,C190)))</f>
        <v>0</v>
      </c>
      <c r="D123" s="306" t="e">
        <f aca="false">IF(C124=0,0,IF(D119&gt;0,D120,IF(D187&lt;0,0,D190)))</f>
        <v>#VALUE!</v>
      </c>
      <c r="E123" s="306" t="e">
        <f aca="false">IF(D124=0,0,IF(E119&gt;0,E120,IF(E187&lt;0,0,E190)))</f>
        <v>#VALUE!</v>
      </c>
      <c r="F123" s="306" t="e">
        <f aca="false">IF(E124=0,0,IF(F119&gt;0,F120,IF(F187&lt;0,0,F190)))</f>
        <v>#VALUE!</v>
      </c>
      <c r="G123" s="306" t="e">
        <f aca="false">IF(F124=0,0,IF(G119&gt;0,G120,IF(G187&lt;0,0,G190)))</f>
        <v>#VALUE!</v>
      </c>
      <c r="H123" s="306" t="e">
        <f aca="false">IF(G124=0,0,IF(H119&gt;0,H120,IF(H187&lt;0,0,H190)))</f>
        <v>#VALUE!</v>
      </c>
      <c r="I123" s="306" t="e">
        <f aca="false">IF(H124=0,0,IF(I119&gt;0,I120,IF(I187&lt;0,0,I190)))</f>
        <v>#VALUE!</v>
      </c>
      <c r="J123" s="306" t="e">
        <f aca="false">IF(I124=0,0,IF(J119&gt;0,J120,IF(J187&lt;0,0,J190)))</f>
        <v>#VALUE!</v>
      </c>
      <c r="K123" s="306" t="e">
        <f aca="false">IF(J124=0,0,IF(K119&gt;0,K120,IF(K187&lt;0,0,K190)))</f>
        <v>#VALUE!</v>
      </c>
      <c r="L123" s="306" t="e">
        <f aca="false">IF(K124=0,0,IF(L119&gt;0,L120,IF(L187&lt;0,0,L190)))</f>
        <v>#VALUE!</v>
      </c>
      <c r="M123" s="306" t="e">
        <f aca="false">IF(L124=0,0,IF(M119&gt;0,M120,IF(M187&lt;0,0,M190)))</f>
        <v>#VALUE!</v>
      </c>
      <c r="N123" s="306" t="e">
        <f aca="false">IF(M124=0,0,IF(N119&gt;0,N120,IF(N187&lt;0,0,N190)))</f>
        <v>#VALUE!</v>
      </c>
      <c r="O123" s="306" t="e">
        <f aca="false">IF(N124=0,0,IF(O119&gt;0,O120,IF(O187&lt;0,0,O190)))</f>
        <v>#VALUE!</v>
      </c>
      <c r="P123" s="306" t="e">
        <f aca="false">IF(O124=0,0,IF(P119&gt;0,P120,IF(P187&lt;0,0,P190)))</f>
        <v>#VALUE!</v>
      </c>
      <c r="Q123" s="306" t="e">
        <f aca="false">IF(P124=0,0,IF(Q119&gt;0,Q120,IF(Q187&lt;0,0,Q190)))</f>
        <v>#VALUE!</v>
      </c>
      <c r="R123" s="306" t="e">
        <f aca="false">IF(Q124=0,0,IF(R119&gt;0,R120,IF(R187&lt;0,0,R190)))</f>
        <v>#VALUE!</v>
      </c>
      <c r="S123" s="306" t="e">
        <f aca="false">IF(R124=0,0,IF(S119&gt;0,S120,IF(S187&lt;0,0,S190)))</f>
        <v>#VALUE!</v>
      </c>
      <c r="T123" s="306" t="e">
        <f aca="false">IF(S124=0,0,IF(T119&gt;0,T120,IF(T187&lt;0,0,T190)))</f>
        <v>#VALUE!</v>
      </c>
      <c r="U123" s="306" t="e">
        <f aca="false">IF(T124=0,0,IF(U119&gt;0,U120,IF(U187&lt;0,0,U190)))</f>
        <v>#VALUE!</v>
      </c>
      <c r="V123" s="306" t="e">
        <f aca="false">IF(U124=0,0,IF(V119&gt;0,V120,IF(V187&lt;0,0,V190)))</f>
        <v>#VALUE!</v>
      </c>
      <c r="W123" s="306" t="e">
        <f aca="false">IF(V124=0,0,IF(W119&gt;0,W120,IF(W187&lt;0,0,W190)))</f>
        <v>#VALUE!</v>
      </c>
      <c r="X123" s="306" t="e">
        <f aca="false">IF(W124=0,0,IF(X119&gt;0,X120,IF(X187&lt;0,0,X190)))</f>
        <v>#VALUE!</v>
      </c>
      <c r="Y123" s="295"/>
      <c r="Z123" s="295"/>
      <c r="AA123" s="295"/>
      <c r="AB123" s="295"/>
      <c r="AC123" s="295"/>
      <c r="AD123" s="295"/>
      <c r="AE123" s="295"/>
    </row>
    <row r="124" customFormat="false" ht="11.25" hidden="false" customHeight="false" outlineLevel="0" collapsed="false">
      <c r="A124" s="113" t="s">
        <v>310</v>
      </c>
      <c r="B124" s="113"/>
      <c r="C124" s="353" t="n">
        <f aca="false">C120-C123</f>
        <v>165658.926609822</v>
      </c>
      <c r="D124" s="353" t="e">
        <f aca="false">D120-D123</f>
        <v>#VALUE!</v>
      </c>
      <c r="E124" s="353" t="e">
        <f aca="false">E120-E123</f>
        <v>#VALUE!</v>
      </c>
      <c r="F124" s="353" t="e">
        <f aca="false">F120-F123</f>
        <v>#VALUE!</v>
      </c>
      <c r="G124" s="353" t="e">
        <f aca="false">G120-G123</f>
        <v>#VALUE!</v>
      </c>
      <c r="H124" s="353" t="e">
        <f aca="false">H120-H123</f>
        <v>#VALUE!</v>
      </c>
      <c r="I124" s="353" t="e">
        <f aca="false">I120-I123</f>
        <v>#VALUE!</v>
      </c>
      <c r="J124" s="353" t="e">
        <f aca="false">J120-J123</f>
        <v>#VALUE!</v>
      </c>
      <c r="K124" s="353" t="e">
        <f aca="false">K120-K123</f>
        <v>#VALUE!</v>
      </c>
      <c r="L124" s="353" t="e">
        <f aca="false">L120-L123</f>
        <v>#VALUE!</v>
      </c>
      <c r="M124" s="353" t="e">
        <f aca="false">M120-M123</f>
        <v>#VALUE!</v>
      </c>
      <c r="N124" s="353" t="e">
        <f aca="false">N120-N123</f>
        <v>#VALUE!</v>
      </c>
      <c r="O124" s="353" t="e">
        <f aca="false">O120-O123</f>
        <v>#VALUE!</v>
      </c>
      <c r="P124" s="353" t="e">
        <f aca="false">P120-P123</f>
        <v>#VALUE!</v>
      </c>
      <c r="Q124" s="353" t="e">
        <f aca="false">Q120-Q123</f>
        <v>#VALUE!</v>
      </c>
      <c r="R124" s="353" t="e">
        <f aca="false">R120-R123</f>
        <v>#VALUE!</v>
      </c>
      <c r="S124" s="353" t="e">
        <f aca="false">S120-S123</f>
        <v>#VALUE!</v>
      </c>
      <c r="T124" s="353" t="e">
        <f aca="false">T120-T123</f>
        <v>#VALUE!</v>
      </c>
      <c r="U124" s="353" t="e">
        <f aca="false">U120-U123</f>
        <v>#VALUE!</v>
      </c>
      <c r="V124" s="353" t="e">
        <f aca="false">V120-V123</f>
        <v>#VALUE!</v>
      </c>
      <c r="W124" s="353" t="e">
        <f aca="false">W120-W123</f>
        <v>#VALUE!</v>
      </c>
      <c r="X124" s="353" t="e">
        <f aca="false">X120-X123</f>
        <v>#VALUE!</v>
      </c>
      <c r="Y124" s="295"/>
      <c r="Z124" s="295"/>
      <c r="AA124" s="295"/>
      <c r="AB124" s="295"/>
      <c r="AC124" s="295"/>
      <c r="AD124" s="295"/>
      <c r="AE124" s="295"/>
    </row>
    <row r="125" customFormat="false" ht="11.25" hidden="false" customHeight="false" outlineLevel="0" collapsed="false">
      <c r="A125" s="113"/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295"/>
      <c r="Z125" s="295"/>
      <c r="AA125" s="295"/>
      <c r="AB125" s="295"/>
      <c r="AC125" s="295"/>
      <c r="AD125" s="295"/>
      <c r="AE125" s="295"/>
    </row>
    <row r="126" customFormat="false" ht="11.25" hidden="false" customHeight="false" outlineLevel="0" collapsed="false">
      <c r="A126" s="113"/>
      <c r="B126" s="113"/>
      <c r="C126" s="113"/>
      <c r="D126" s="113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  <c r="S126" s="113"/>
      <c r="T126" s="113"/>
      <c r="U126" s="113"/>
      <c r="V126" s="113"/>
      <c r="W126" s="113"/>
      <c r="X126" s="113"/>
      <c r="Y126" s="295"/>
      <c r="Z126" s="295"/>
      <c r="AA126" s="295"/>
      <c r="AB126" s="295"/>
      <c r="AC126" s="295"/>
      <c r="AD126" s="295"/>
      <c r="AE126" s="295"/>
    </row>
    <row r="127" customFormat="false" ht="11.25" hidden="false" customHeight="false" outlineLevel="0" collapsed="false">
      <c r="A127" s="124" t="s">
        <v>311</v>
      </c>
      <c r="B127" s="113"/>
      <c r="C127" s="350" t="n">
        <v>0.2</v>
      </c>
      <c r="D127" s="113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295"/>
      <c r="Z127" s="295"/>
      <c r="AA127" s="295"/>
      <c r="AB127" s="295"/>
      <c r="AC127" s="295"/>
      <c r="AD127" s="295"/>
      <c r="AE127" s="295"/>
    </row>
    <row r="128" customFormat="false" ht="11.25" hidden="false" customHeight="false" outlineLevel="0" collapsed="false">
      <c r="A128" s="295"/>
      <c r="B128" s="113"/>
      <c r="C128" s="354"/>
      <c r="D128" s="354"/>
      <c r="E128" s="354"/>
      <c r="F128" s="354"/>
      <c r="G128" s="354"/>
      <c r="H128" s="354"/>
      <c r="I128" s="354"/>
      <c r="J128" s="354"/>
      <c r="K128" s="354"/>
      <c r="L128" s="354"/>
      <c r="M128" s="354"/>
      <c r="N128" s="354"/>
      <c r="O128" s="354"/>
      <c r="P128" s="354"/>
      <c r="Q128" s="354"/>
      <c r="R128" s="354"/>
      <c r="S128" s="354"/>
      <c r="T128" s="354"/>
      <c r="U128" s="354"/>
      <c r="V128" s="354"/>
      <c r="W128" s="354"/>
      <c r="X128" s="354"/>
      <c r="Y128" s="295"/>
      <c r="Z128" s="295"/>
      <c r="AA128" s="295"/>
      <c r="AB128" s="295"/>
      <c r="AC128" s="295"/>
      <c r="AD128" s="295"/>
      <c r="AE128" s="295"/>
    </row>
    <row r="129" customFormat="false" ht="11.25" hidden="false" customHeight="false" outlineLevel="0" collapsed="false">
      <c r="A129" s="113" t="s">
        <v>303</v>
      </c>
      <c r="B129" s="113"/>
      <c r="C129" s="113" t="n">
        <v>0</v>
      </c>
      <c r="D129" s="306" t="n">
        <f aca="false">C136</f>
        <v>0</v>
      </c>
      <c r="E129" s="306" t="n">
        <f aca="false">D136</f>
        <v>0</v>
      </c>
      <c r="F129" s="306" t="n">
        <f aca="false">E136</f>
        <v>0</v>
      </c>
      <c r="G129" s="306" t="n">
        <f aca="false">F136</f>
        <v>0</v>
      </c>
      <c r="H129" s="306" t="n">
        <f aca="false">G136</f>
        <v>0</v>
      </c>
      <c r="I129" s="306" t="n">
        <f aca="false">H136</f>
        <v>0</v>
      </c>
      <c r="J129" s="306" t="n">
        <f aca="false">I136</f>
        <v>0</v>
      </c>
      <c r="K129" s="306" t="n">
        <f aca="false">J136</f>
        <v>0</v>
      </c>
      <c r="L129" s="306" t="n">
        <f aca="false">K136</f>
        <v>0</v>
      </c>
      <c r="M129" s="306" t="n">
        <f aca="false">L136</f>
        <v>0</v>
      </c>
      <c r="N129" s="306" t="n">
        <f aca="false">M136</f>
        <v>0</v>
      </c>
      <c r="O129" s="306" t="n">
        <f aca="false">N136</f>
        <v>0</v>
      </c>
      <c r="P129" s="306" t="n">
        <f aca="false">O136</f>
        <v>0</v>
      </c>
      <c r="Q129" s="306" t="n">
        <f aca="false">P136</f>
        <v>0</v>
      </c>
      <c r="R129" s="306" t="n">
        <f aca="false">Q136</f>
        <v>0</v>
      </c>
      <c r="S129" s="306" t="n">
        <f aca="false">R136</f>
        <v>0</v>
      </c>
      <c r="T129" s="306" t="n">
        <f aca="false">S136</f>
        <v>0</v>
      </c>
      <c r="U129" s="306" t="n">
        <f aca="false">T136</f>
        <v>0</v>
      </c>
      <c r="V129" s="306" t="n">
        <f aca="false">U136</f>
        <v>0</v>
      </c>
      <c r="W129" s="306" t="n">
        <f aca="false">V136</f>
        <v>0</v>
      </c>
      <c r="X129" s="306" t="n">
        <f aca="false">W136</f>
        <v>0</v>
      </c>
      <c r="Y129" s="295"/>
      <c r="Z129" s="295"/>
      <c r="AA129" s="295"/>
      <c r="AB129" s="295"/>
      <c r="AC129" s="295"/>
      <c r="AD129" s="295"/>
      <c r="AE129" s="295"/>
    </row>
    <row r="130" customFormat="false" ht="11.25" hidden="false" customHeight="false" outlineLevel="0" collapsed="false">
      <c r="A130" s="113" t="s">
        <v>304</v>
      </c>
      <c r="B130" s="113"/>
      <c r="C130" s="351" t="n">
        <f aca="false">IF(C$116=YEAR(Cashflow!$C$3),((Assumptions!$E$10-Assumptions!$E$5)*Assumptions!$H$7),0)</f>
        <v>0</v>
      </c>
      <c r="D130" s="351" t="n">
        <f aca="false">IF(D$116=YEAR(Cashflow!$C$3),((Assumptions!$E$10-Assumptions!$E$5)*Assumptions!$H$7),0)</f>
        <v>0</v>
      </c>
      <c r="E130" s="351" t="n">
        <f aca="false">IF(E$116=YEAR(Cashflow!$C$3),((Assumptions!$E$10-Assumptions!$E$5)*Assumptions!$H$7),0)</f>
        <v>0</v>
      </c>
      <c r="F130" s="351" t="n">
        <f aca="false">IF(F$116=YEAR(Cashflow!$C$3),((Assumptions!$E$10-Assumptions!$E$5)*Assumptions!$H$7),0)</f>
        <v>0</v>
      </c>
      <c r="G130" s="351" t="n">
        <f aca="false">IF(G$116=YEAR(Cashflow!$C$3),((Assumptions!$E$10-Assumptions!$E$5)*Assumptions!$H$7),0)</f>
        <v>0</v>
      </c>
      <c r="H130" s="351" t="n">
        <f aca="false">IF(H$116=YEAR(Cashflow!$C$3),((Assumptions!$E$10-Assumptions!$E$5)*Assumptions!$H$7),0)</f>
        <v>0</v>
      </c>
      <c r="I130" s="351" t="n">
        <f aca="false">IF(I$116=YEAR(Cashflow!$C$3),((Assumptions!$E$10-Assumptions!$E$5)*Assumptions!$H$7),0)</f>
        <v>0</v>
      </c>
      <c r="J130" s="351" t="n">
        <f aca="false">IF(J$116=YEAR(Cashflow!$C$3),((Assumptions!$E$10-Assumptions!$E$5)*Assumptions!$H$7),0)</f>
        <v>0</v>
      </c>
      <c r="K130" s="351" t="n">
        <f aca="false">IF(K$116=YEAR(Cashflow!$C$3),((Assumptions!$E$10-Assumptions!$E$5)*Assumptions!$H$7),0)</f>
        <v>0</v>
      </c>
      <c r="L130" s="351" t="n">
        <f aca="false">IF(L$116=YEAR(Cashflow!$C$3),((Assumptions!$E$10-Assumptions!$E$5)*Assumptions!$H$7),0)</f>
        <v>0</v>
      </c>
      <c r="M130" s="351" t="n">
        <f aca="false">IF(M$116=YEAR(Cashflow!$C$3),((Assumptions!$E$10-Assumptions!$E$5)*Assumptions!$H$7),0)</f>
        <v>0</v>
      </c>
      <c r="N130" s="351" t="n">
        <f aca="false">IF(N$116=YEAR(Cashflow!$C$3),((Assumptions!$E$10-Assumptions!$E$5)*Assumptions!$H$7),0)</f>
        <v>0</v>
      </c>
      <c r="O130" s="351" t="n">
        <f aca="false">IF(O$116=YEAR(Cashflow!$C$3),((Assumptions!$E$10-Assumptions!$E$5)*Assumptions!$H$7),0)</f>
        <v>0</v>
      </c>
      <c r="P130" s="351" t="n">
        <f aca="false">IF(P$116=YEAR(Cashflow!$C$3),((Assumptions!$E$10-Assumptions!$E$5)*Assumptions!$H$7),0)</f>
        <v>0</v>
      </c>
      <c r="Q130" s="351" t="n">
        <f aca="false">IF(Q$116=YEAR(Cashflow!$C$3),((Assumptions!$E$10-Assumptions!$E$5)*Assumptions!$H$7),0)</f>
        <v>0</v>
      </c>
      <c r="R130" s="351" t="n">
        <f aca="false">IF(R$116=YEAR(Cashflow!$C$3),((Assumptions!$E$10-Assumptions!$E$5)*Assumptions!$H$7),0)</f>
        <v>0</v>
      </c>
      <c r="S130" s="351" t="n">
        <f aca="false">IF(S$116=YEAR(Cashflow!$C$3),((Assumptions!$E$10-Assumptions!$E$5)*Assumptions!$H$7),0)</f>
        <v>0</v>
      </c>
      <c r="T130" s="351" t="n">
        <f aca="false">IF(T$116=YEAR(Cashflow!$C$3),((Assumptions!$E$10-Assumptions!$E$5)*Assumptions!$H$7),0)</f>
        <v>0</v>
      </c>
      <c r="U130" s="351" t="n">
        <f aca="false">IF(U$116=YEAR(Cashflow!$C$3),((Assumptions!$E$10-Assumptions!$E$5)*Assumptions!$H$7),0)</f>
        <v>0</v>
      </c>
      <c r="V130" s="351" t="n">
        <f aca="false">IF(V$116=YEAR(Cashflow!$C$3),((Assumptions!$E$10-Assumptions!$E$5)*Assumptions!$H$7),0)</f>
        <v>0</v>
      </c>
      <c r="W130" s="351" t="n">
        <f aca="false">IF(W$116=YEAR(Cashflow!$C$3),((Assumptions!$E$10-Assumptions!$E$5)*Assumptions!$H$7),0)</f>
        <v>0</v>
      </c>
      <c r="X130" s="351" t="n">
        <f aca="false">IF(X$116=YEAR(Cashflow!$C$3),((Assumptions!$E$10-Assumptions!$E$5)*Assumptions!$H$7),0)</f>
        <v>0</v>
      </c>
      <c r="Y130" s="295"/>
      <c r="Z130" s="295"/>
      <c r="AA130" s="295"/>
      <c r="AB130" s="295"/>
      <c r="AC130" s="295"/>
      <c r="AD130" s="295"/>
      <c r="AE130" s="295"/>
    </row>
    <row r="131" customFormat="false" ht="11.25" hidden="false" customHeight="false" outlineLevel="0" collapsed="false">
      <c r="A131" s="113" t="s">
        <v>305</v>
      </c>
      <c r="B131" s="113"/>
      <c r="C131" s="113"/>
      <c r="D131" s="113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295"/>
      <c r="Z131" s="295"/>
      <c r="AA131" s="295"/>
      <c r="AB131" s="295"/>
      <c r="AC131" s="295"/>
      <c r="AD131" s="295"/>
      <c r="AE131" s="295"/>
    </row>
    <row r="132" customFormat="false" ht="11.25" hidden="false" customHeight="false" outlineLevel="0" collapsed="false">
      <c r="A132" s="113" t="s">
        <v>306</v>
      </c>
      <c r="B132" s="113"/>
      <c r="C132" s="306" t="n">
        <f aca="false">C129+C130-C131</f>
        <v>0</v>
      </c>
      <c r="D132" s="306" t="n">
        <f aca="false">D129+D130-D131</f>
        <v>0</v>
      </c>
      <c r="E132" s="306" t="n">
        <f aca="false">E129+E130-E131</f>
        <v>0</v>
      </c>
      <c r="F132" s="306" t="n">
        <f aca="false">F129+F130-F131</f>
        <v>0</v>
      </c>
      <c r="G132" s="306" t="n">
        <f aca="false">G129+G130-G131</f>
        <v>0</v>
      </c>
      <c r="H132" s="306" t="n">
        <f aca="false">H129+H130-H131</f>
        <v>0</v>
      </c>
      <c r="I132" s="306" t="n">
        <f aca="false">I129+I130-I131</f>
        <v>0</v>
      </c>
      <c r="J132" s="306" t="n">
        <f aca="false">J129+J130-J131</f>
        <v>0</v>
      </c>
      <c r="K132" s="306" t="n">
        <f aca="false">K129+K130-K131</f>
        <v>0</v>
      </c>
      <c r="L132" s="306" t="n">
        <f aca="false">L129+L130-L131</f>
        <v>0</v>
      </c>
      <c r="M132" s="306" t="n">
        <f aca="false">M129+M130-M131</f>
        <v>0</v>
      </c>
      <c r="N132" s="306" t="n">
        <f aca="false">N129+N130-N131</f>
        <v>0</v>
      </c>
      <c r="O132" s="306" t="n">
        <f aca="false">O129+O130-O131</f>
        <v>0</v>
      </c>
      <c r="P132" s="306" t="n">
        <f aca="false">P129+P130-P131</f>
        <v>0</v>
      </c>
      <c r="Q132" s="306" t="n">
        <f aca="false">Q129+Q130-Q131</f>
        <v>0</v>
      </c>
      <c r="R132" s="306" t="n">
        <f aca="false">R129+R130-R131</f>
        <v>0</v>
      </c>
      <c r="S132" s="306" t="n">
        <f aca="false">S129+S130-S131</f>
        <v>0</v>
      </c>
      <c r="T132" s="306" t="n">
        <f aca="false">T129+T130-T131</f>
        <v>0</v>
      </c>
      <c r="U132" s="306" t="n">
        <f aca="false">U129+U130-U131</f>
        <v>0</v>
      </c>
      <c r="V132" s="306" t="n">
        <f aca="false">V129+V130-V131</f>
        <v>0</v>
      </c>
      <c r="W132" s="306" t="n">
        <f aca="false">W129+W130-W131</f>
        <v>0</v>
      </c>
      <c r="X132" s="306" t="n">
        <f aca="false">X129+X130-X131</f>
        <v>0</v>
      </c>
      <c r="Y132" s="295"/>
      <c r="Z132" s="295"/>
      <c r="AA132" s="295"/>
      <c r="AB132" s="295"/>
      <c r="AC132" s="295"/>
      <c r="AD132" s="295"/>
      <c r="AE132" s="295"/>
    </row>
    <row r="133" customFormat="false" ht="11.25" hidden="false" customHeight="false" outlineLevel="0" collapsed="false">
      <c r="A133" s="113" t="s">
        <v>307</v>
      </c>
      <c r="B133" s="113"/>
      <c r="C133" s="352" t="n">
        <f aca="false">IF(C130&gt;0,IF(Assumptions!$H$12="Yes",Tax!C132*0.5,0),0)</f>
        <v>0</v>
      </c>
      <c r="D133" s="352" t="n">
        <f aca="false">IF(D130&gt;0,IF(Assumptions!$H$12="Yes",Tax!D132*0.5,0),0)</f>
        <v>0</v>
      </c>
      <c r="E133" s="352" t="n">
        <f aca="false">IF(E130&gt;0,IF(Assumptions!$H$12="Yes",Tax!E132*0.5,0),0)</f>
        <v>0</v>
      </c>
      <c r="F133" s="352" t="n">
        <f aca="false">IF(F130&gt;0,IF(Assumptions!$H$12="Yes",Tax!F132*0.5,0),0)</f>
        <v>0</v>
      </c>
      <c r="G133" s="352" t="n">
        <f aca="false">IF(G130&gt;0,IF(Assumptions!$H$12="Yes",Tax!G132*0.5,0),0)</f>
        <v>0</v>
      </c>
      <c r="H133" s="352" t="n">
        <f aca="false">IF(H130&gt;0,IF(Assumptions!$H$12="Yes",Tax!H132*0.5,0),0)</f>
        <v>0</v>
      </c>
      <c r="I133" s="352" t="n">
        <f aca="false">IF(I130&gt;0,IF(Assumptions!$H$12="Yes",Tax!I132*0.5,0),0)</f>
        <v>0</v>
      </c>
      <c r="J133" s="352" t="n">
        <f aca="false">IF(J130&gt;0,IF(Assumptions!$H$12="Yes",Tax!J132*0.5,0),0)</f>
        <v>0</v>
      </c>
      <c r="K133" s="352" t="n">
        <f aca="false">IF(K130&gt;0,IF(Assumptions!$H$12="Yes",Tax!K132*0.5,0),0)</f>
        <v>0</v>
      </c>
      <c r="L133" s="352" t="n">
        <f aca="false">IF(L130&gt;0,IF(Assumptions!$H$12="Yes",Tax!L132*0.5,0),0)</f>
        <v>0</v>
      </c>
      <c r="M133" s="352" t="n">
        <f aca="false">IF(M130&gt;0,IF(Assumptions!$H$12="Yes",Tax!M132*0.5,0),0)</f>
        <v>0</v>
      </c>
      <c r="N133" s="352" t="n">
        <f aca="false">IF(N130&gt;0,IF(Assumptions!$H$12="Yes",Tax!N132*0.5,0),0)</f>
        <v>0</v>
      </c>
      <c r="O133" s="352" t="n">
        <f aca="false">IF(O130&gt;0,IF(Assumptions!$H$12="Yes",Tax!O132*0.5,0),0)</f>
        <v>0</v>
      </c>
      <c r="P133" s="352" t="n">
        <f aca="false">IF(P130&gt;0,IF(Assumptions!$H$12="Yes",Tax!P132*0.5,0),0)</f>
        <v>0</v>
      </c>
      <c r="Q133" s="352" t="n">
        <f aca="false">IF(Q130&gt;0,IF(Assumptions!$H$12="Yes",Tax!Q132*0.5,0),0)</f>
        <v>0</v>
      </c>
      <c r="R133" s="352" t="n">
        <f aca="false">IF(R130&gt;0,IF(Assumptions!$H$12="Yes",Tax!R132*0.5,0),0)</f>
        <v>0</v>
      </c>
      <c r="S133" s="352" t="n">
        <f aca="false">IF(S130&gt;0,IF(Assumptions!$H$12="Yes",Tax!S132*0.5,0),0)</f>
        <v>0</v>
      </c>
      <c r="T133" s="352" t="n">
        <f aca="false">IF(T130&gt;0,IF(Assumptions!$H$12="Yes",Tax!T132*0.5,0),0)</f>
        <v>0</v>
      </c>
      <c r="U133" s="352" t="n">
        <f aca="false">IF(U130&gt;0,IF(Assumptions!$H$12="Yes",Tax!U132*0.5,0),0)</f>
        <v>0</v>
      </c>
      <c r="V133" s="352" t="n">
        <f aca="false">IF(V130&gt;0,IF(Assumptions!$H$12="Yes",Tax!V132*0.5,0),0)</f>
        <v>0</v>
      </c>
      <c r="W133" s="352" t="n">
        <f aca="false">IF(W130&gt;0,IF(Assumptions!$H$12="Yes",Tax!W132*0.5,0),0)</f>
        <v>0</v>
      </c>
      <c r="X133" s="352" t="n">
        <f aca="false">IF(X130&gt;0,IF(Assumptions!$H$12="Yes",Tax!X132*0.5,0),0)</f>
        <v>0</v>
      </c>
      <c r="Y133" s="295"/>
      <c r="Z133" s="295"/>
      <c r="AA133" s="295"/>
      <c r="AB133" s="295"/>
      <c r="AC133" s="295"/>
      <c r="AD133" s="295"/>
      <c r="AE133" s="295"/>
    </row>
    <row r="134" customFormat="false" ht="11.25" hidden="false" customHeight="false" outlineLevel="0" collapsed="false">
      <c r="A134" s="113" t="s">
        <v>308</v>
      </c>
      <c r="B134" s="113"/>
      <c r="C134" s="353" t="n">
        <f aca="false">C132-C133</f>
        <v>0</v>
      </c>
      <c r="D134" s="353" t="n">
        <f aca="false">D132-D133</f>
        <v>0</v>
      </c>
      <c r="E134" s="353" t="n">
        <f aca="false">E132-E133</f>
        <v>0</v>
      </c>
      <c r="F134" s="353" t="n">
        <f aca="false">F132-F133</f>
        <v>0</v>
      </c>
      <c r="G134" s="353" t="n">
        <f aca="false">G132-G133</f>
        <v>0</v>
      </c>
      <c r="H134" s="353" t="n">
        <f aca="false">H132-H133</f>
        <v>0</v>
      </c>
      <c r="I134" s="353" t="n">
        <f aca="false">I132-I133</f>
        <v>0</v>
      </c>
      <c r="J134" s="353" t="n">
        <f aca="false">J132-J133</f>
        <v>0</v>
      </c>
      <c r="K134" s="353" t="n">
        <f aca="false">K132-K133</f>
        <v>0</v>
      </c>
      <c r="L134" s="353" t="n">
        <f aca="false">L132-L133</f>
        <v>0</v>
      </c>
      <c r="M134" s="353" t="n">
        <f aca="false">M132-M133</f>
        <v>0</v>
      </c>
      <c r="N134" s="353" t="n">
        <f aca="false">N132-N133</f>
        <v>0</v>
      </c>
      <c r="O134" s="353" t="n">
        <f aca="false">O132-O133</f>
        <v>0</v>
      </c>
      <c r="P134" s="353" t="n">
        <f aca="false">P132-P133</f>
        <v>0</v>
      </c>
      <c r="Q134" s="353" t="n">
        <f aca="false">Q132-Q133</f>
        <v>0</v>
      </c>
      <c r="R134" s="353" t="n">
        <f aca="false">R132-R133</f>
        <v>0</v>
      </c>
      <c r="S134" s="353" t="n">
        <f aca="false">S132-S133</f>
        <v>0</v>
      </c>
      <c r="T134" s="353" t="n">
        <f aca="false">T132-T133</f>
        <v>0</v>
      </c>
      <c r="U134" s="353" t="n">
        <f aca="false">U132-U133</f>
        <v>0</v>
      </c>
      <c r="V134" s="353" t="n">
        <f aca="false">V132-V133</f>
        <v>0</v>
      </c>
      <c r="W134" s="353" t="n">
        <f aca="false">W132-W133</f>
        <v>0</v>
      </c>
      <c r="X134" s="353" t="n">
        <f aca="false">X132-X133</f>
        <v>0</v>
      </c>
      <c r="Y134" s="295"/>
      <c r="Z134" s="295"/>
      <c r="AA134" s="295"/>
      <c r="AB134" s="295"/>
      <c r="AC134" s="295"/>
      <c r="AD134" s="295"/>
      <c r="AE134" s="295"/>
    </row>
    <row r="135" customFormat="false" ht="11.25" hidden="false" customHeight="false" outlineLevel="0" collapsed="false">
      <c r="A135" s="113" t="s">
        <v>309</v>
      </c>
      <c r="B135" s="113"/>
      <c r="C135" s="306" t="n">
        <f aca="false">IF(B136=0,0,IF(C187&lt;0,0,C191))</f>
        <v>0</v>
      </c>
      <c r="D135" s="306" t="n">
        <f aca="false">IF(C136=0,0,IF(D187&lt;0,0,D191))</f>
        <v>0</v>
      </c>
      <c r="E135" s="306" t="n">
        <f aca="false">IF(D136=0,0,IF(E187&lt;0,0,E191))</f>
        <v>0</v>
      </c>
      <c r="F135" s="306" t="n">
        <f aca="false">IF(E136=0,0,IF(F187&lt;0,0,F191))</f>
        <v>0</v>
      </c>
      <c r="G135" s="306" t="n">
        <f aca="false">IF(F136=0,0,IF(G187&lt;0,0,G191))</f>
        <v>0</v>
      </c>
      <c r="H135" s="306" t="n">
        <f aca="false">IF(G136=0,0,IF(H187&lt;0,0,H191))</f>
        <v>0</v>
      </c>
      <c r="I135" s="306" t="n">
        <f aca="false">IF(H136=0,0,IF(I187&lt;0,0,I191))</f>
        <v>0</v>
      </c>
      <c r="J135" s="306" t="n">
        <f aca="false">IF(I136=0,0,IF(J187&lt;0,0,J191))</f>
        <v>0</v>
      </c>
      <c r="K135" s="306" t="n">
        <f aca="false">IF(J136=0,0,IF(K187&lt;0,0,K191))</f>
        <v>0</v>
      </c>
      <c r="L135" s="306" t="n">
        <f aca="false">IF(K136=0,0,IF(L187&lt;0,0,L191))</f>
        <v>0</v>
      </c>
      <c r="M135" s="306" t="n">
        <f aca="false">IF(L136=0,0,IF(M187&lt;0,0,M191))</f>
        <v>0</v>
      </c>
      <c r="N135" s="306" t="n">
        <f aca="false">IF(M136=0,0,IF(N187&lt;0,0,N191))</f>
        <v>0</v>
      </c>
      <c r="O135" s="306" t="n">
        <f aca="false">IF(N136=0,0,IF(O187&lt;0,0,O191))</f>
        <v>0</v>
      </c>
      <c r="P135" s="306" t="n">
        <f aca="false">IF(O136=0,0,IF(P187&lt;0,0,P191))</f>
        <v>0</v>
      </c>
      <c r="Q135" s="306" t="n">
        <f aca="false">IF(P136=0,0,IF(Q187&lt;0,0,Q191))</f>
        <v>0</v>
      </c>
      <c r="R135" s="306" t="n">
        <f aca="false">IF(Q136=0,0,IF(R187&lt;0,0,R191))</f>
        <v>0</v>
      </c>
      <c r="S135" s="306" t="n">
        <f aca="false">IF(R136=0,0,IF(S187&lt;0,0,S191))</f>
        <v>0</v>
      </c>
      <c r="T135" s="306" t="n">
        <f aca="false">IF(S136=0,0,IF(T187&lt;0,0,T191))</f>
        <v>0</v>
      </c>
      <c r="U135" s="306" t="n">
        <f aca="false">IF(T136=0,0,IF(U187&lt;0,0,U191))</f>
        <v>0</v>
      </c>
      <c r="V135" s="306" t="n">
        <f aca="false">IF(U136=0,0,IF(V187&lt;0,0,V191))</f>
        <v>0</v>
      </c>
      <c r="W135" s="306" t="n">
        <f aca="false">IF(V136=0,0,IF(W187&lt;0,0,W191))</f>
        <v>0</v>
      </c>
      <c r="X135" s="306" t="n">
        <f aca="false">IF(W136=0,0,IF(X187&lt;0,0,X191))</f>
        <v>0</v>
      </c>
      <c r="Y135" s="295"/>
      <c r="Z135" s="295"/>
      <c r="AA135" s="295"/>
      <c r="AB135" s="295"/>
      <c r="AC135" s="295"/>
      <c r="AD135" s="295"/>
      <c r="AE135" s="295"/>
    </row>
    <row r="136" customFormat="false" ht="11.25" hidden="false" customHeight="false" outlineLevel="0" collapsed="false">
      <c r="A136" s="113" t="s">
        <v>310</v>
      </c>
      <c r="B136" s="113"/>
      <c r="C136" s="353" t="n">
        <f aca="false">C132-C135</f>
        <v>0</v>
      </c>
      <c r="D136" s="353" t="n">
        <f aca="false">D132-D135</f>
        <v>0</v>
      </c>
      <c r="E136" s="353" t="n">
        <f aca="false">E132-E135</f>
        <v>0</v>
      </c>
      <c r="F136" s="353" t="n">
        <f aca="false">F132-F135</f>
        <v>0</v>
      </c>
      <c r="G136" s="353" t="n">
        <f aca="false">G132-G135</f>
        <v>0</v>
      </c>
      <c r="H136" s="353" t="n">
        <f aca="false">H132-H135</f>
        <v>0</v>
      </c>
      <c r="I136" s="353" t="n">
        <f aca="false">I132-I135</f>
        <v>0</v>
      </c>
      <c r="J136" s="353" t="n">
        <f aca="false">J132-J135</f>
        <v>0</v>
      </c>
      <c r="K136" s="353" t="n">
        <f aca="false">K132-K135</f>
        <v>0</v>
      </c>
      <c r="L136" s="353" t="n">
        <f aca="false">L132-L135</f>
        <v>0</v>
      </c>
      <c r="M136" s="353" t="n">
        <f aca="false">M132-M135</f>
        <v>0</v>
      </c>
      <c r="N136" s="353" t="n">
        <f aca="false">N132-N135</f>
        <v>0</v>
      </c>
      <c r="O136" s="353" t="n">
        <f aca="false">O132-O135</f>
        <v>0</v>
      </c>
      <c r="P136" s="353" t="n">
        <f aca="false">P132-P135</f>
        <v>0</v>
      </c>
      <c r="Q136" s="353" t="n">
        <f aca="false">Q132-Q135</f>
        <v>0</v>
      </c>
      <c r="R136" s="353" t="n">
        <f aca="false">R132-R135</f>
        <v>0</v>
      </c>
      <c r="S136" s="353" t="n">
        <f aca="false">S132-S135</f>
        <v>0</v>
      </c>
      <c r="T136" s="353" t="n">
        <f aca="false">T132-T135</f>
        <v>0</v>
      </c>
      <c r="U136" s="353" t="n">
        <f aca="false">U132-U135</f>
        <v>0</v>
      </c>
      <c r="V136" s="353" t="n">
        <f aca="false">V132-V135</f>
        <v>0</v>
      </c>
      <c r="W136" s="353" t="n">
        <f aca="false">W132-W135</f>
        <v>0</v>
      </c>
      <c r="X136" s="353" t="n">
        <f aca="false">X132-X135</f>
        <v>0</v>
      </c>
      <c r="Y136" s="295"/>
      <c r="Z136" s="295"/>
      <c r="AA136" s="295"/>
      <c r="AB136" s="295"/>
      <c r="AC136" s="295"/>
      <c r="AD136" s="295"/>
      <c r="AE136" s="295"/>
    </row>
    <row r="137" customFormat="false" ht="11.25" hidden="false" customHeight="false" outlineLevel="0" collapsed="false">
      <c r="A137" s="113"/>
      <c r="B137" s="113"/>
      <c r="C137" s="113"/>
      <c r="D137" s="113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295"/>
      <c r="Z137" s="295"/>
      <c r="AA137" s="295"/>
      <c r="AB137" s="295"/>
      <c r="AC137" s="295"/>
      <c r="AD137" s="295"/>
      <c r="AE137" s="295"/>
    </row>
    <row r="138" customFormat="false" ht="11.25" hidden="false" customHeight="false" outlineLevel="0" collapsed="false">
      <c r="A138" s="113"/>
      <c r="B138" s="113"/>
      <c r="C138" s="113"/>
      <c r="D138" s="113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295"/>
      <c r="Z138" s="295"/>
      <c r="AA138" s="295"/>
      <c r="AB138" s="295"/>
      <c r="AC138" s="295"/>
      <c r="AD138" s="295"/>
      <c r="AE138" s="295"/>
    </row>
    <row r="139" customFormat="false" ht="11.25" hidden="false" customHeight="false" outlineLevel="0" collapsed="false">
      <c r="A139" s="124" t="s">
        <v>312</v>
      </c>
      <c r="B139" s="113"/>
      <c r="C139" s="350" t="n">
        <v>0.3</v>
      </c>
      <c r="D139" s="113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295"/>
      <c r="Z139" s="295"/>
      <c r="AA139" s="295"/>
      <c r="AB139" s="295"/>
      <c r="AC139" s="295"/>
      <c r="AD139" s="295"/>
      <c r="AE139" s="295"/>
    </row>
    <row r="140" customFormat="false" ht="11.25" hidden="false" customHeight="false" outlineLevel="0" collapsed="false">
      <c r="A140" s="295"/>
      <c r="B140" s="113"/>
      <c r="C140" s="354"/>
      <c r="D140" s="354"/>
      <c r="E140" s="354"/>
      <c r="F140" s="354"/>
      <c r="G140" s="354"/>
      <c r="H140" s="354"/>
      <c r="I140" s="354"/>
      <c r="J140" s="354"/>
      <c r="K140" s="354"/>
      <c r="L140" s="354"/>
      <c r="M140" s="354"/>
      <c r="N140" s="354"/>
      <c r="O140" s="354"/>
      <c r="P140" s="354"/>
      <c r="Q140" s="354"/>
      <c r="R140" s="354"/>
      <c r="S140" s="354"/>
      <c r="T140" s="354"/>
      <c r="U140" s="354"/>
      <c r="V140" s="354"/>
      <c r="W140" s="354"/>
      <c r="X140" s="354"/>
      <c r="Y140" s="295"/>
      <c r="Z140" s="295"/>
      <c r="AA140" s="295"/>
      <c r="AB140" s="295"/>
      <c r="AC140" s="295"/>
      <c r="AD140" s="295"/>
      <c r="AE140" s="295"/>
    </row>
    <row r="141" customFormat="false" ht="11.25" hidden="false" customHeight="false" outlineLevel="0" collapsed="false">
      <c r="A141" s="113" t="s">
        <v>303</v>
      </c>
      <c r="B141" s="113"/>
      <c r="C141" s="113" t="n">
        <v>0</v>
      </c>
      <c r="D141" s="306" t="n">
        <f aca="false">C148</f>
        <v>9003.20253314251</v>
      </c>
      <c r="E141" s="306" t="e">
        <f aca="false">D148</f>
        <v>#VALUE!</v>
      </c>
      <c r="F141" s="306" t="e">
        <f aca="false">E148</f>
        <v>#VALUE!</v>
      </c>
      <c r="G141" s="306" t="e">
        <f aca="false">F148</f>
        <v>#VALUE!</v>
      </c>
      <c r="H141" s="306" t="e">
        <f aca="false">G148</f>
        <v>#VALUE!</v>
      </c>
      <c r="I141" s="306" t="e">
        <f aca="false">H148</f>
        <v>#VALUE!</v>
      </c>
      <c r="J141" s="306" t="e">
        <f aca="false">I148</f>
        <v>#VALUE!</v>
      </c>
      <c r="K141" s="306" t="e">
        <f aca="false">J148</f>
        <v>#VALUE!</v>
      </c>
      <c r="L141" s="306" t="e">
        <f aca="false">K148</f>
        <v>#VALUE!</v>
      </c>
      <c r="M141" s="306" t="e">
        <f aca="false">L148</f>
        <v>#VALUE!</v>
      </c>
      <c r="N141" s="306" t="e">
        <f aca="false">M148</f>
        <v>#VALUE!</v>
      </c>
      <c r="O141" s="306" t="e">
        <f aca="false">N148</f>
        <v>#VALUE!</v>
      </c>
      <c r="P141" s="306" t="e">
        <f aca="false">O148</f>
        <v>#VALUE!</v>
      </c>
      <c r="Q141" s="306" t="e">
        <f aca="false">P148</f>
        <v>#VALUE!</v>
      </c>
      <c r="R141" s="306" t="e">
        <f aca="false">Q148</f>
        <v>#VALUE!</v>
      </c>
      <c r="S141" s="306" t="e">
        <f aca="false">R148</f>
        <v>#VALUE!</v>
      </c>
      <c r="T141" s="306" t="e">
        <f aca="false">S148</f>
        <v>#VALUE!</v>
      </c>
      <c r="U141" s="306" t="e">
        <f aca="false">T148</f>
        <v>#VALUE!</v>
      </c>
      <c r="V141" s="306" t="e">
        <f aca="false">U148</f>
        <v>#VALUE!</v>
      </c>
      <c r="W141" s="306" t="e">
        <f aca="false">V148</f>
        <v>#VALUE!</v>
      </c>
      <c r="X141" s="306" t="e">
        <f aca="false">W148</f>
        <v>#VALUE!</v>
      </c>
      <c r="Y141" s="295"/>
      <c r="Z141" s="295"/>
      <c r="AA141" s="295"/>
      <c r="AB141" s="295"/>
      <c r="AC141" s="295"/>
      <c r="AD141" s="295"/>
      <c r="AE141" s="295"/>
    </row>
    <row r="142" customFormat="false" ht="11.25" hidden="false" customHeight="false" outlineLevel="0" collapsed="false">
      <c r="A142" s="113" t="s">
        <v>304</v>
      </c>
      <c r="B142" s="113"/>
      <c r="C142" s="351" t="n">
        <f aca="false">IF(C$116=YEAR(Cashflow!$C$3),((Assumptions!$E$10-Assumptions!$E$5)*Assumptions!$H$8),0)</f>
        <v>9003.20253314251</v>
      </c>
      <c r="D142" s="351" t="n">
        <f aca="false">IF(D$116=YEAR(Cashflow!$C$3),((Assumptions!$E$10-Assumptions!$E$5)*Assumptions!$H$8),0)</f>
        <v>0</v>
      </c>
      <c r="E142" s="351" t="n">
        <f aca="false">IF(E$116=YEAR(Cashflow!$C$3),((Assumptions!$E$10-Assumptions!$E$5)*Assumptions!$H$8),0)</f>
        <v>0</v>
      </c>
      <c r="F142" s="351" t="n">
        <f aca="false">IF(F$116=YEAR(Cashflow!$C$3),((Assumptions!$E$10-Assumptions!$E$5)*Assumptions!$H$8),0)</f>
        <v>0</v>
      </c>
      <c r="G142" s="351" t="n">
        <f aca="false">IF(G$116=YEAR(Cashflow!$C$3),((Assumptions!$E$10-Assumptions!$E$5)*Assumptions!$H$8),0)</f>
        <v>0</v>
      </c>
      <c r="H142" s="351" t="n">
        <f aca="false">IF(H$116=YEAR(Cashflow!$C$3),((Assumptions!$E$10-Assumptions!$E$5)*Assumptions!$H$8),0)</f>
        <v>0</v>
      </c>
      <c r="I142" s="351" t="n">
        <f aca="false">IF(I$116=YEAR(Cashflow!$C$3),((Assumptions!$E$10-Assumptions!$E$5)*Assumptions!$H$8),0)</f>
        <v>0</v>
      </c>
      <c r="J142" s="351" t="n">
        <f aca="false">IF(J$116=YEAR(Cashflow!$C$3),((Assumptions!$E$10-Assumptions!$E$5)*Assumptions!$H$8),0)</f>
        <v>0</v>
      </c>
      <c r="K142" s="351" t="n">
        <f aca="false">IF(K$116=YEAR(Cashflow!$C$3),((Assumptions!$E$10-Assumptions!$E$5)*Assumptions!$H$8),0)</f>
        <v>0</v>
      </c>
      <c r="L142" s="351" t="n">
        <f aca="false">IF(L$116=YEAR(Cashflow!$C$3),((Assumptions!$E$10-Assumptions!$E$5)*Assumptions!$H$8),0)</f>
        <v>0</v>
      </c>
      <c r="M142" s="351" t="n">
        <f aca="false">IF(M$116=YEAR(Cashflow!$C$3),((Assumptions!$E$10-Assumptions!$E$5)*Assumptions!$H$8),0)</f>
        <v>0</v>
      </c>
      <c r="N142" s="351" t="n">
        <f aca="false">IF(N$116=YEAR(Cashflow!$C$3),((Assumptions!$E$10-Assumptions!$E$5)*Assumptions!$H$8),0)</f>
        <v>0</v>
      </c>
      <c r="O142" s="351" t="n">
        <f aca="false">IF(O$116=YEAR(Cashflow!$C$3),((Assumptions!$E$10-Assumptions!$E$5)*Assumptions!$H$8),0)</f>
        <v>0</v>
      </c>
      <c r="P142" s="351" t="n">
        <f aca="false">IF(P$116=YEAR(Cashflow!$C$3),((Assumptions!$E$10-Assumptions!$E$5)*Assumptions!$H$8),0)</f>
        <v>0</v>
      </c>
      <c r="Q142" s="351" t="n">
        <f aca="false">IF(Q$116=YEAR(Cashflow!$C$3),((Assumptions!$E$10-Assumptions!$E$5)*Assumptions!$H$8),0)</f>
        <v>0</v>
      </c>
      <c r="R142" s="351" t="n">
        <f aca="false">IF(R$116=YEAR(Cashflow!$C$3),((Assumptions!$E$10-Assumptions!$E$5)*Assumptions!$H$8),0)</f>
        <v>0</v>
      </c>
      <c r="S142" s="351" t="n">
        <f aca="false">IF(S$116=YEAR(Cashflow!$C$3),((Assumptions!$E$10-Assumptions!$E$5)*Assumptions!$H$8),0)</f>
        <v>0</v>
      </c>
      <c r="T142" s="351" t="n">
        <f aca="false">IF(T$116=YEAR(Cashflow!$C$3),((Assumptions!$E$10-Assumptions!$E$5)*Assumptions!$H$8),0)</f>
        <v>0</v>
      </c>
      <c r="U142" s="351" t="n">
        <f aca="false">IF(U$116=YEAR(Cashflow!$C$3),((Assumptions!$E$10-Assumptions!$E$5)*Assumptions!$H$8),0)</f>
        <v>0</v>
      </c>
      <c r="V142" s="351" t="n">
        <f aca="false">IF(V$116=YEAR(Cashflow!$C$3),((Assumptions!$E$10-Assumptions!$E$5)*Assumptions!$H$8),0)</f>
        <v>0</v>
      </c>
      <c r="W142" s="351" t="n">
        <f aca="false">IF(W$116=YEAR(Cashflow!$C$3),((Assumptions!$E$10-Assumptions!$E$5)*Assumptions!$H$8),0)</f>
        <v>0</v>
      </c>
      <c r="X142" s="351" t="n">
        <f aca="false">IF(X$116=YEAR(Cashflow!$C$3),((Assumptions!$E$10-Assumptions!$E$5)*Assumptions!$H$8),0)</f>
        <v>0</v>
      </c>
      <c r="Y142" s="295"/>
      <c r="Z142" s="295"/>
      <c r="AA142" s="295"/>
      <c r="AB142" s="295"/>
      <c r="AC142" s="295"/>
      <c r="AD142" s="295"/>
      <c r="AE142" s="295"/>
    </row>
    <row r="143" customFormat="false" ht="11.25" hidden="false" customHeight="false" outlineLevel="0" collapsed="false">
      <c r="A143" s="113" t="s">
        <v>305</v>
      </c>
      <c r="B143" s="113"/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306" t="e">
        <f aca="false">IF(Tables!$B$21=15,R141,0)</f>
        <v>#VALUE!</v>
      </c>
      <c r="S143" s="113"/>
      <c r="T143" s="113"/>
      <c r="U143" s="113"/>
      <c r="V143" s="113"/>
      <c r="W143" s="113"/>
      <c r="X143" s="113"/>
      <c r="Y143" s="295"/>
      <c r="Z143" s="295"/>
      <c r="AA143" s="295"/>
      <c r="AB143" s="295"/>
      <c r="AC143" s="295"/>
      <c r="AD143" s="295"/>
      <c r="AE143" s="295"/>
    </row>
    <row r="144" customFormat="false" ht="11.25" hidden="false" customHeight="false" outlineLevel="0" collapsed="false">
      <c r="A144" s="113" t="s">
        <v>306</v>
      </c>
      <c r="B144" s="113"/>
      <c r="C144" s="306" t="n">
        <f aca="false">C141+C142-C143</f>
        <v>9003.20253314251</v>
      </c>
      <c r="D144" s="306" t="n">
        <f aca="false">D141+D142-D143</f>
        <v>9003.20253314251</v>
      </c>
      <c r="E144" s="306" t="e">
        <f aca="false">E141+E142-E143</f>
        <v>#VALUE!</v>
      </c>
      <c r="F144" s="306" t="e">
        <f aca="false">F141+F142-F143</f>
        <v>#VALUE!</v>
      </c>
      <c r="G144" s="306" t="e">
        <f aca="false">G141+G142-G143</f>
        <v>#VALUE!</v>
      </c>
      <c r="H144" s="306" t="e">
        <f aca="false">H141+H142-H143</f>
        <v>#VALUE!</v>
      </c>
      <c r="I144" s="306" t="e">
        <f aca="false">I141+I142-I143</f>
        <v>#VALUE!</v>
      </c>
      <c r="J144" s="306" t="e">
        <f aca="false">J141+J142-J143</f>
        <v>#VALUE!</v>
      </c>
      <c r="K144" s="306" t="e">
        <f aca="false">K141+K142-K143</f>
        <v>#VALUE!</v>
      </c>
      <c r="L144" s="306" t="e">
        <f aca="false">L141+L142-L143</f>
        <v>#VALUE!</v>
      </c>
      <c r="M144" s="306" t="e">
        <f aca="false">M141+M142-M143</f>
        <v>#VALUE!</v>
      </c>
      <c r="N144" s="306" t="e">
        <f aca="false">N141+N142-N143</f>
        <v>#VALUE!</v>
      </c>
      <c r="O144" s="306" t="e">
        <f aca="false">O141+O142-O143</f>
        <v>#VALUE!</v>
      </c>
      <c r="P144" s="306" t="e">
        <f aca="false">P141+P142-P143</f>
        <v>#VALUE!</v>
      </c>
      <c r="Q144" s="306" t="e">
        <f aca="false">Q141+Q142-Q143</f>
        <v>#VALUE!</v>
      </c>
      <c r="R144" s="306" t="e">
        <f aca="false">R141+R142-R143</f>
        <v>#VALUE!</v>
      </c>
      <c r="S144" s="306" t="e">
        <f aca="false">S141+S142-S143</f>
        <v>#VALUE!</v>
      </c>
      <c r="T144" s="306" t="e">
        <f aca="false">T141+T142-T143</f>
        <v>#VALUE!</v>
      </c>
      <c r="U144" s="306" t="e">
        <f aca="false">U141+U142-U143</f>
        <v>#VALUE!</v>
      </c>
      <c r="V144" s="306" t="e">
        <f aca="false">V141+V142-V143</f>
        <v>#VALUE!</v>
      </c>
      <c r="W144" s="306" t="e">
        <f aca="false">W141+W142-W143</f>
        <v>#VALUE!</v>
      </c>
      <c r="X144" s="306" t="e">
        <f aca="false">X141+X142-X143</f>
        <v>#VALUE!</v>
      </c>
      <c r="Y144" s="295"/>
      <c r="Z144" s="295"/>
      <c r="AA144" s="295"/>
      <c r="AB144" s="295"/>
      <c r="AC144" s="295"/>
      <c r="AD144" s="295"/>
      <c r="AE144" s="295"/>
    </row>
    <row r="145" customFormat="false" ht="11.25" hidden="false" customHeight="false" outlineLevel="0" collapsed="false">
      <c r="A145" s="113" t="s">
        <v>307</v>
      </c>
      <c r="B145" s="113"/>
      <c r="C145" s="352" t="n">
        <f aca="false">IF(C142&gt;0,IF(Assumptions!$H$12="Yes",Tax!C144*0.5,0),0)</f>
        <v>4501.60126657125</v>
      </c>
      <c r="D145" s="352" t="n">
        <f aca="false">IF(D142&gt;0,IF(Assumptions!$H$12="Yes",Tax!D144*0.5,0),0)</f>
        <v>0</v>
      </c>
      <c r="E145" s="352" t="n">
        <f aca="false">IF(E142&gt;0,IF(Assumptions!$H$12="Yes",Tax!E144*0.5,0),0)</f>
        <v>0</v>
      </c>
      <c r="F145" s="352" t="n">
        <f aca="false">IF(F142&gt;0,IF(Assumptions!$H$12="Yes",Tax!F144*0.5,0),0)</f>
        <v>0</v>
      </c>
      <c r="G145" s="352" t="n">
        <f aca="false">IF(G142&gt;0,IF(Assumptions!$H$12="Yes",Tax!G144*0.5,0),0)</f>
        <v>0</v>
      </c>
      <c r="H145" s="352" t="n">
        <f aca="false">IF(H142&gt;0,IF(Assumptions!$H$12="Yes",Tax!H144*0.5,0),0)</f>
        <v>0</v>
      </c>
      <c r="I145" s="352" t="n">
        <f aca="false">IF(I142&gt;0,IF(Assumptions!$H$12="Yes",Tax!I144*0.5,0),0)</f>
        <v>0</v>
      </c>
      <c r="J145" s="352" t="n">
        <f aca="false">IF(J142&gt;0,IF(Assumptions!$H$12="Yes",Tax!J144*0.5,0),0)</f>
        <v>0</v>
      </c>
      <c r="K145" s="352" t="n">
        <f aca="false">IF(K142&gt;0,IF(Assumptions!$H$12="Yes",Tax!K144*0.5,0),0)</f>
        <v>0</v>
      </c>
      <c r="L145" s="352" t="n">
        <f aca="false">IF(L142&gt;0,IF(Assumptions!$H$12="Yes",Tax!L144*0.5,0),0)</f>
        <v>0</v>
      </c>
      <c r="M145" s="352" t="n">
        <f aca="false">IF(M142&gt;0,IF(Assumptions!$H$12="Yes",Tax!M144*0.5,0),0)</f>
        <v>0</v>
      </c>
      <c r="N145" s="352" t="n">
        <f aca="false">IF(N142&gt;0,IF(Assumptions!$H$12="Yes",Tax!N144*0.5,0),0)</f>
        <v>0</v>
      </c>
      <c r="O145" s="352" t="n">
        <f aca="false">IF(O142&gt;0,IF(Assumptions!$H$12="Yes",Tax!O144*0.5,0),0)</f>
        <v>0</v>
      </c>
      <c r="P145" s="352" t="n">
        <f aca="false">IF(P142&gt;0,IF(Assumptions!$H$12="Yes",Tax!P144*0.5,0),0)</f>
        <v>0</v>
      </c>
      <c r="Q145" s="352" t="n">
        <f aca="false">IF(Q142&gt;0,IF(Assumptions!$H$12="Yes",Tax!Q144*0.5,0),0)</f>
        <v>0</v>
      </c>
      <c r="R145" s="352" t="n">
        <f aca="false">IF(R142&gt;0,IF(Assumptions!$H$12="Yes",Tax!R144*0.5,0),0)</f>
        <v>0</v>
      </c>
      <c r="S145" s="352" t="n">
        <f aca="false">IF(S142&gt;0,IF(Assumptions!$H$12="Yes",Tax!S144*0.5,0),0)</f>
        <v>0</v>
      </c>
      <c r="T145" s="352" t="n">
        <f aca="false">IF(T142&gt;0,IF(Assumptions!$H$12="Yes",Tax!T144*0.5,0),0)</f>
        <v>0</v>
      </c>
      <c r="U145" s="352" t="n">
        <f aca="false">IF(U142&gt;0,IF(Assumptions!$H$12="Yes",Tax!U144*0.5,0),0)</f>
        <v>0</v>
      </c>
      <c r="V145" s="352" t="n">
        <f aca="false">IF(V142&gt;0,IF(Assumptions!$H$12="Yes",Tax!V144*0.5,0),0)</f>
        <v>0</v>
      </c>
      <c r="W145" s="352" t="n">
        <f aca="false">IF(W142&gt;0,IF(Assumptions!$H$12="Yes",Tax!W144*0.5,0),0)</f>
        <v>0</v>
      </c>
      <c r="X145" s="352" t="n">
        <f aca="false">IF(X142&gt;0,IF(Assumptions!$H$12="Yes",Tax!X144*0.5,0),0)</f>
        <v>0</v>
      </c>
      <c r="Y145" s="295"/>
      <c r="Z145" s="295"/>
      <c r="AA145" s="295"/>
      <c r="AB145" s="295"/>
      <c r="AC145" s="295"/>
      <c r="AD145" s="295"/>
      <c r="AE145" s="295"/>
    </row>
    <row r="146" customFormat="false" ht="11.25" hidden="false" customHeight="false" outlineLevel="0" collapsed="false">
      <c r="A146" s="113" t="s">
        <v>308</v>
      </c>
      <c r="B146" s="113"/>
      <c r="C146" s="353" t="n">
        <f aca="false">C144-C145</f>
        <v>4501.60126657125</v>
      </c>
      <c r="D146" s="353" t="n">
        <f aca="false">D144-D145</f>
        <v>9003.20253314251</v>
      </c>
      <c r="E146" s="353" t="e">
        <f aca="false">E144-E145</f>
        <v>#VALUE!</v>
      </c>
      <c r="F146" s="353" t="e">
        <f aca="false">F144-F145</f>
        <v>#VALUE!</v>
      </c>
      <c r="G146" s="353" t="e">
        <f aca="false">G144-G145</f>
        <v>#VALUE!</v>
      </c>
      <c r="H146" s="353" t="e">
        <f aca="false">H144-H145</f>
        <v>#VALUE!</v>
      </c>
      <c r="I146" s="353" t="e">
        <f aca="false">I144-I145</f>
        <v>#VALUE!</v>
      </c>
      <c r="J146" s="353" t="e">
        <f aca="false">J144-J145</f>
        <v>#VALUE!</v>
      </c>
      <c r="K146" s="353" t="e">
        <f aca="false">K144-K145</f>
        <v>#VALUE!</v>
      </c>
      <c r="L146" s="353" t="e">
        <f aca="false">L144-L145</f>
        <v>#VALUE!</v>
      </c>
      <c r="M146" s="353" t="e">
        <f aca="false">M144-M145</f>
        <v>#VALUE!</v>
      </c>
      <c r="N146" s="353" t="e">
        <f aca="false">N144-N145</f>
        <v>#VALUE!</v>
      </c>
      <c r="O146" s="353" t="e">
        <f aca="false">O144-O145</f>
        <v>#VALUE!</v>
      </c>
      <c r="P146" s="353" t="e">
        <f aca="false">P144-P145</f>
        <v>#VALUE!</v>
      </c>
      <c r="Q146" s="353" t="e">
        <f aca="false">Q144-Q145</f>
        <v>#VALUE!</v>
      </c>
      <c r="R146" s="353" t="e">
        <f aca="false">R144-R145</f>
        <v>#VALUE!</v>
      </c>
      <c r="S146" s="353" t="e">
        <f aca="false">S144-S145</f>
        <v>#VALUE!</v>
      </c>
      <c r="T146" s="353" t="e">
        <f aca="false">T144-T145</f>
        <v>#VALUE!</v>
      </c>
      <c r="U146" s="353" t="e">
        <f aca="false">U144-U145</f>
        <v>#VALUE!</v>
      </c>
      <c r="V146" s="353" t="e">
        <f aca="false">V144-V145</f>
        <v>#VALUE!</v>
      </c>
      <c r="W146" s="353" t="e">
        <f aca="false">W144-W145</f>
        <v>#VALUE!</v>
      </c>
      <c r="X146" s="353" t="e">
        <f aca="false">X144-X145</f>
        <v>#VALUE!</v>
      </c>
      <c r="Y146" s="295"/>
      <c r="Z146" s="295"/>
      <c r="AA146" s="295"/>
      <c r="AB146" s="295"/>
      <c r="AC146" s="295"/>
      <c r="AD146" s="295"/>
      <c r="AE146" s="295"/>
    </row>
    <row r="147" customFormat="false" ht="11.25" hidden="false" customHeight="false" outlineLevel="0" collapsed="false">
      <c r="A147" s="113" t="s">
        <v>309</v>
      </c>
      <c r="B147" s="113"/>
      <c r="C147" s="306" t="n">
        <f aca="false">IF(B148=0,0,IF(C119&gt;0,C144,IF(C187&lt;0,0,C192)))</f>
        <v>0</v>
      </c>
      <c r="D147" s="306" t="e">
        <f aca="false">IF(C148=0,0,IF(D119&gt;0,D144,IF(D187&lt;0,0,D192)))</f>
        <v>#VALUE!</v>
      </c>
      <c r="E147" s="306" t="e">
        <f aca="false">IF(D148=0,0,IF(E119&gt;0,E144,IF(E187&lt;0,0,E192)))</f>
        <v>#VALUE!</v>
      </c>
      <c r="F147" s="306" t="e">
        <f aca="false">IF(E148=0,0,IF(F119&gt;0,F144,IF(F187&lt;0,0,F192)))</f>
        <v>#VALUE!</v>
      </c>
      <c r="G147" s="306" t="e">
        <f aca="false">IF(F148=0,0,IF(G119&gt;0,G144,IF(G187&lt;0,0,G192)))</f>
        <v>#VALUE!</v>
      </c>
      <c r="H147" s="306" t="e">
        <f aca="false">IF(G148=0,0,IF(H119&gt;0,H144,IF(H187&lt;0,0,H192)))</f>
        <v>#VALUE!</v>
      </c>
      <c r="I147" s="306" t="e">
        <f aca="false">IF(H148=0,0,IF(I119&gt;0,I144,IF(I187&lt;0,0,I192)))</f>
        <v>#VALUE!</v>
      </c>
      <c r="J147" s="306" t="e">
        <f aca="false">IF(I148=0,0,IF(J119&gt;0,J144,IF(J187&lt;0,0,J192)))</f>
        <v>#VALUE!</v>
      </c>
      <c r="K147" s="306" t="e">
        <f aca="false">IF(J148=0,0,IF(K119&gt;0,K144,IF(K187&lt;0,0,K192)))</f>
        <v>#VALUE!</v>
      </c>
      <c r="L147" s="306" t="e">
        <f aca="false">IF(K148=0,0,IF(L119&gt;0,L144,IF(L187&lt;0,0,L192)))</f>
        <v>#VALUE!</v>
      </c>
      <c r="M147" s="306" t="e">
        <f aca="false">IF(L148=0,0,IF(M119&gt;0,M144,IF(M187&lt;0,0,M192)))</f>
        <v>#VALUE!</v>
      </c>
      <c r="N147" s="306" t="e">
        <f aca="false">IF(M148=0,0,IF(N119&gt;0,N144,IF(N187&lt;0,0,N192)))</f>
        <v>#VALUE!</v>
      </c>
      <c r="O147" s="306" t="e">
        <f aca="false">IF(N148=0,0,IF(O119&gt;0,O144,IF(O187&lt;0,0,O192)))</f>
        <v>#VALUE!</v>
      </c>
      <c r="P147" s="306" t="e">
        <f aca="false">IF(O148=0,0,IF(P119&gt;0,P144,IF(P187&lt;0,0,P192)))</f>
        <v>#VALUE!</v>
      </c>
      <c r="Q147" s="306" t="e">
        <f aca="false">IF(P148=0,0,IF(Q119&gt;0,Q144,IF(Q187&lt;0,0,Q192)))</f>
        <v>#VALUE!</v>
      </c>
      <c r="R147" s="306" t="e">
        <f aca="false">IF(Q148=0,0,IF(R119&gt;0,R144,IF(R187&lt;0,0,R192)))</f>
        <v>#VALUE!</v>
      </c>
      <c r="S147" s="306" t="e">
        <f aca="false">IF(R148=0,0,IF(S119&gt;0,S144,IF(S187&lt;0,0,S192)))</f>
        <v>#VALUE!</v>
      </c>
      <c r="T147" s="306" t="e">
        <f aca="false">IF(S148=0,0,IF(T119&gt;0,T144,IF(T187&lt;0,0,T192)))</f>
        <v>#VALUE!</v>
      </c>
      <c r="U147" s="306" t="e">
        <f aca="false">IF(T148=0,0,IF(U119&gt;0,U144,IF(U187&lt;0,0,U192)))</f>
        <v>#VALUE!</v>
      </c>
      <c r="V147" s="306" t="e">
        <f aca="false">IF(U148=0,0,IF(V119&gt;0,V144,IF(V187&lt;0,0,V192)))</f>
        <v>#VALUE!</v>
      </c>
      <c r="W147" s="306" t="e">
        <f aca="false">IF(V148=0,0,IF(W119&gt;0,W144,IF(W187&lt;0,0,W192)))</f>
        <v>#VALUE!</v>
      </c>
      <c r="X147" s="306" t="e">
        <f aca="false">IF(W148=0,0,IF(X119&gt;0,X144,IF(X187&lt;0,0,X192)))</f>
        <v>#VALUE!</v>
      </c>
      <c r="Y147" s="295"/>
      <c r="Z147" s="295"/>
      <c r="AA147" s="295"/>
      <c r="AB147" s="295"/>
      <c r="AC147" s="295"/>
      <c r="AD147" s="295"/>
      <c r="AE147" s="295"/>
    </row>
    <row r="148" customFormat="false" ht="11.25" hidden="false" customHeight="false" outlineLevel="0" collapsed="false">
      <c r="A148" s="113" t="s">
        <v>310</v>
      </c>
      <c r="B148" s="113"/>
      <c r="C148" s="353" t="n">
        <f aca="false">C144-C147</f>
        <v>9003.20253314251</v>
      </c>
      <c r="D148" s="353" t="e">
        <f aca="false">D144-D147</f>
        <v>#VALUE!</v>
      </c>
      <c r="E148" s="353" t="e">
        <f aca="false">E144-E147</f>
        <v>#VALUE!</v>
      </c>
      <c r="F148" s="353" t="e">
        <f aca="false">F144-F147</f>
        <v>#VALUE!</v>
      </c>
      <c r="G148" s="353" t="e">
        <f aca="false">G144-G147</f>
        <v>#VALUE!</v>
      </c>
      <c r="H148" s="353" t="e">
        <f aca="false">H144-H147</f>
        <v>#VALUE!</v>
      </c>
      <c r="I148" s="353" t="e">
        <f aca="false">I144-I147</f>
        <v>#VALUE!</v>
      </c>
      <c r="J148" s="353" t="e">
        <f aca="false">J144-J147</f>
        <v>#VALUE!</v>
      </c>
      <c r="K148" s="353" t="e">
        <f aca="false">K144-K147</f>
        <v>#VALUE!</v>
      </c>
      <c r="L148" s="353" t="e">
        <f aca="false">L144-L147</f>
        <v>#VALUE!</v>
      </c>
      <c r="M148" s="353" t="e">
        <f aca="false">M144-M147</f>
        <v>#VALUE!</v>
      </c>
      <c r="N148" s="353" t="e">
        <f aca="false">N144-N147</f>
        <v>#VALUE!</v>
      </c>
      <c r="O148" s="353" t="e">
        <f aca="false">O144-O147</f>
        <v>#VALUE!</v>
      </c>
      <c r="P148" s="353" t="e">
        <f aca="false">P144-P147</f>
        <v>#VALUE!</v>
      </c>
      <c r="Q148" s="353" t="e">
        <f aca="false">Q144-Q147</f>
        <v>#VALUE!</v>
      </c>
      <c r="R148" s="353" t="e">
        <f aca="false">R144-R147</f>
        <v>#VALUE!</v>
      </c>
      <c r="S148" s="353" t="e">
        <f aca="false">S144-S147</f>
        <v>#VALUE!</v>
      </c>
      <c r="T148" s="353" t="e">
        <f aca="false">T144-T147</f>
        <v>#VALUE!</v>
      </c>
      <c r="U148" s="353" t="e">
        <f aca="false">U144-U147</f>
        <v>#VALUE!</v>
      </c>
      <c r="V148" s="353" t="e">
        <f aca="false">V144-V147</f>
        <v>#VALUE!</v>
      </c>
      <c r="W148" s="353" t="e">
        <f aca="false">W144-W147</f>
        <v>#VALUE!</v>
      </c>
      <c r="X148" s="353" t="e">
        <f aca="false">X144-X147</f>
        <v>#VALUE!</v>
      </c>
      <c r="Y148" s="295"/>
      <c r="Z148" s="295"/>
      <c r="AA148" s="295"/>
      <c r="AB148" s="295"/>
      <c r="AC148" s="295"/>
      <c r="AD148" s="295"/>
      <c r="AE148" s="295"/>
    </row>
    <row r="149" customFormat="false" ht="11.25" hidden="false" customHeight="false" outlineLevel="0" collapsed="false">
      <c r="A149" s="113"/>
      <c r="B149" s="113"/>
      <c r="C149" s="113"/>
      <c r="D149" s="113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295"/>
      <c r="Z149" s="295"/>
      <c r="AA149" s="295"/>
      <c r="AB149" s="295"/>
      <c r="AC149" s="295"/>
      <c r="AD149" s="295"/>
      <c r="AE149" s="295"/>
    </row>
    <row r="150" customFormat="false" ht="11.25" hidden="false" customHeight="false" outlineLevel="0" collapsed="false">
      <c r="A150" s="113"/>
      <c r="B150" s="113"/>
      <c r="C150" s="113"/>
      <c r="D150" s="113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295"/>
      <c r="Z150" s="295"/>
      <c r="AA150" s="295"/>
      <c r="AB150" s="295"/>
      <c r="AC150" s="295"/>
      <c r="AD150" s="295"/>
      <c r="AE150" s="295"/>
    </row>
    <row r="151" customFormat="false" ht="11.25" hidden="false" customHeight="false" outlineLevel="0" collapsed="false">
      <c r="A151" s="124" t="s">
        <v>313</v>
      </c>
      <c r="B151" s="113"/>
      <c r="C151" s="350" t="n">
        <v>1</v>
      </c>
      <c r="D151" s="113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  <c r="S151" s="113"/>
      <c r="T151" s="113"/>
      <c r="U151" s="113"/>
      <c r="V151" s="113"/>
      <c r="W151" s="113"/>
      <c r="X151" s="113"/>
      <c r="Y151" s="295"/>
      <c r="Z151" s="295"/>
      <c r="AA151" s="295"/>
      <c r="AB151" s="295"/>
      <c r="AC151" s="295"/>
      <c r="AD151" s="295"/>
      <c r="AE151" s="295"/>
    </row>
    <row r="152" customFormat="false" ht="11.25" hidden="false" customHeight="false" outlineLevel="0" collapsed="false">
      <c r="A152" s="295"/>
      <c r="B152" s="113"/>
      <c r="C152" s="354"/>
      <c r="D152" s="354"/>
      <c r="E152" s="354"/>
      <c r="F152" s="354"/>
      <c r="G152" s="354"/>
      <c r="H152" s="354"/>
      <c r="I152" s="354"/>
      <c r="J152" s="354"/>
      <c r="K152" s="354"/>
      <c r="L152" s="354"/>
      <c r="M152" s="354"/>
      <c r="N152" s="354"/>
      <c r="O152" s="354"/>
      <c r="P152" s="354"/>
      <c r="Q152" s="354"/>
      <c r="R152" s="354"/>
      <c r="S152" s="354"/>
      <c r="T152" s="354"/>
      <c r="U152" s="354"/>
      <c r="V152" s="354"/>
      <c r="W152" s="354"/>
      <c r="X152" s="354"/>
      <c r="Y152" s="295"/>
      <c r="Z152" s="295"/>
      <c r="AA152" s="295"/>
      <c r="AB152" s="295"/>
      <c r="AC152" s="295"/>
      <c r="AD152" s="295"/>
      <c r="AE152" s="295"/>
    </row>
    <row r="153" customFormat="false" ht="11.25" hidden="false" customHeight="false" outlineLevel="0" collapsed="false">
      <c r="A153" s="113" t="s">
        <v>303</v>
      </c>
      <c r="B153" s="113"/>
      <c r="C153" s="113" t="n">
        <v>0</v>
      </c>
      <c r="D153" s="306" t="n">
        <f aca="false">C160</f>
        <v>5401.92151988551</v>
      </c>
      <c r="E153" s="306" t="e">
        <f aca="false">D160</f>
        <v>#VALUE!</v>
      </c>
      <c r="F153" s="306" t="e">
        <f aca="false">E160</f>
        <v>#VALUE!</v>
      </c>
      <c r="G153" s="306" t="e">
        <f aca="false">F160</f>
        <v>#VALUE!</v>
      </c>
      <c r="H153" s="306" t="e">
        <f aca="false">G160</f>
        <v>#VALUE!</v>
      </c>
      <c r="I153" s="306" t="e">
        <f aca="false">H160</f>
        <v>#VALUE!</v>
      </c>
      <c r="J153" s="306" t="e">
        <f aca="false">I160</f>
        <v>#VALUE!</v>
      </c>
      <c r="K153" s="306" t="e">
        <f aca="false">J160</f>
        <v>#VALUE!</v>
      </c>
      <c r="L153" s="306" t="e">
        <f aca="false">K160</f>
        <v>#VALUE!</v>
      </c>
      <c r="M153" s="306" t="e">
        <f aca="false">L160</f>
        <v>#VALUE!</v>
      </c>
      <c r="N153" s="306" t="e">
        <f aca="false">M160</f>
        <v>#VALUE!</v>
      </c>
      <c r="O153" s="306" t="e">
        <f aca="false">N160</f>
        <v>#VALUE!</v>
      </c>
      <c r="P153" s="306" t="e">
        <f aca="false">O160</f>
        <v>#VALUE!</v>
      </c>
      <c r="Q153" s="306" t="e">
        <f aca="false">P160</f>
        <v>#VALUE!</v>
      </c>
      <c r="R153" s="306" t="e">
        <f aca="false">Q160</f>
        <v>#VALUE!</v>
      </c>
      <c r="S153" s="306" t="e">
        <f aca="false">R160</f>
        <v>#VALUE!</v>
      </c>
      <c r="T153" s="306" t="e">
        <f aca="false">S160</f>
        <v>#VALUE!</v>
      </c>
      <c r="U153" s="306" t="e">
        <f aca="false">T160</f>
        <v>#VALUE!</v>
      </c>
      <c r="V153" s="306" t="e">
        <f aca="false">U160</f>
        <v>#VALUE!</v>
      </c>
      <c r="W153" s="306" t="e">
        <f aca="false">V160</f>
        <v>#VALUE!</v>
      </c>
      <c r="X153" s="306" t="e">
        <f aca="false">W160</f>
        <v>#VALUE!</v>
      </c>
      <c r="Y153" s="295"/>
      <c r="Z153" s="295"/>
      <c r="AA153" s="295"/>
      <c r="AB153" s="295"/>
      <c r="AC153" s="295"/>
      <c r="AD153" s="295"/>
      <c r="AE153" s="295"/>
    </row>
    <row r="154" customFormat="false" ht="11.25" hidden="false" customHeight="false" outlineLevel="0" collapsed="false">
      <c r="A154" s="113" t="s">
        <v>304</v>
      </c>
      <c r="B154" s="113"/>
      <c r="C154" s="351" t="n">
        <f aca="false">IF(C$116=YEAR(Cashflow!$C$3),((Assumptions!$E$10-Assumptions!$E$5)*Assumptions!$H$9),0)</f>
        <v>5401.92151988551</v>
      </c>
      <c r="D154" s="351" t="n">
        <f aca="false">IF(D$116=YEAR(Cashflow!$C$3),((Assumptions!$E$10-Assumptions!$E$5)*Assumptions!$H$9),0)</f>
        <v>0</v>
      </c>
      <c r="E154" s="351" t="n">
        <f aca="false">IF(E$116=YEAR(Cashflow!$C$3),((Assumptions!$E$10-Assumptions!$E$5)*Assumptions!$H$9),0)</f>
        <v>0</v>
      </c>
      <c r="F154" s="351" t="n">
        <f aca="false">IF(F$116=YEAR(Cashflow!$C$3),((Assumptions!$E$10-Assumptions!$E$5)*Assumptions!$H$9),0)</f>
        <v>0</v>
      </c>
      <c r="G154" s="351" t="n">
        <f aca="false">IF(G$116=YEAR(Cashflow!$C$3),((Assumptions!$E$10-Assumptions!$E$5)*Assumptions!$H$9),0)</f>
        <v>0</v>
      </c>
      <c r="H154" s="351" t="n">
        <f aca="false">IF(H$116=YEAR(Cashflow!$C$3),((Assumptions!$E$10-Assumptions!$E$5)*Assumptions!$H$9),0)</f>
        <v>0</v>
      </c>
      <c r="I154" s="351" t="n">
        <f aca="false">IF(I$116=YEAR(Cashflow!$C$3),((Assumptions!$E$10-Assumptions!$E$5)*Assumptions!$H$9),0)</f>
        <v>0</v>
      </c>
      <c r="J154" s="351" t="n">
        <f aca="false">IF(J$116=YEAR(Cashflow!$C$3),((Assumptions!$E$10-Assumptions!$E$5)*Assumptions!$H$9),0)</f>
        <v>0</v>
      </c>
      <c r="K154" s="351" t="n">
        <f aca="false">IF(K$116=YEAR(Cashflow!$C$3),((Assumptions!$E$10-Assumptions!$E$5)*Assumptions!$H$9),0)</f>
        <v>0</v>
      </c>
      <c r="L154" s="351" t="n">
        <f aca="false">IF(L$116=YEAR(Cashflow!$C$3),((Assumptions!$E$10-Assumptions!$E$5)*Assumptions!$H$9),0)</f>
        <v>0</v>
      </c>
      <c r="M154" s="351" t="n">
        <f aca="false">IF(M$116=YEAR(Cashflow!$C$3),((Assumptions!$E$10-Assumptions!$E$5)*Assumptions!$H$9),0)</f>
        <v>0</v>
      </c>
      <c r="N154" s="351" t="n">
        <f aca="false">IF(N$116=YEAR(Cashflow!$C$3),((Assumptions!$E$10-Assumptions!$E$5)*Assumptions!$H$9),0)</f>
        <v>0</v>
      </c>
      <c r="O154" s="351" t="n">
        <f aca="false">IF(O$116=YEAR(Cashflow!$C$3),((Assumptions!$E$10-Assumptions!$E$5)*Assumptions!$H$9),0)</f>
        <v>0</v>
      </c>
      <c r="P154" s="351" t="n">
        <f aca="false">IF(P$116=YEAR(Cashflow!$C$3),((Assumptions!$E$10-Assumptions!$E$5)*Assumptions!$H$9),0)</f>
        <v>0</v>
      </c>
      <c r="Q154" s="351" t="n">
        <f aca="false">IF(Q$116=YEAR(Cashflow!$C$3),((Assumptions!$E$10-Assumptions!$E$5)*Assumptions!$H$9),0)</f>
        <v>0</v>
      </c>
      <c r="R154" s="351" t="n">
        <f aca="false">IF(R$116=YEAR(Cashflow!$C$3),((Assumptions!$E$10-Assumptions!$E$5)*Assumptions!$H$9),0)</f>
        <v>0</v>
      </c>
      <c r="S154" s="351" t="n">
        <f aca="false">IF(S$116=YEAR(Cashflow!$C$3),((Assumptions!$E$10-Assumptions!$E$5)*Assumptions!$H$9),0)</f>
        <v>0</v>
      </c>
      <c r="T154" s="351" t="n">
        <f aca="false">IF(T$116=YEAR(Cashflow!$C$3),((Assumptions!$E$10-Assumptions!$E$5)*Assumptions!$H$9),0)</f>
        <v>0</v>
      </c>
      <c r="U154" s="351" t="n">
        <f aca="false">IF(U$116=YEAR(Cashflow!$C$3),((Assumptions!$E$10-Assumptions!$E$5)*Assumptions!$H$9),0)</f>
        <v>0</v>
      </c>
      <c r="V154" s="351" t="n">
        <f aca="false">IF(V$116=YEAR(Cashflow!$C$3),((Assumptions!$E$10-Assumptions!$E$5)*Assumptions!$H$9),0)</f>
        <v>0</v>
      </c>
      <c r="W154" s="351" t="n">
        <f aca="false">IF(W$116=YEAR(Cashflow!$C$3),((Assumptions!$E$10-Assumptions!$E$5)*Assumptions!$H$9),0)</f>
        <v>0</v>
      </c>
      <c r="X154" s="351" t="n">
        <f aca="false">IF(X$116=YEAR(Cashflow!$C$3),((Assumptions!$E$10-Assumptions!$E$5)*Assumptions!$H$9),0)</f>
        <v>0</v>
      </c>
      <c r="Y154" s="295"/>
      <c r="Z154" s="295"/>
      <c r="AA154" s="295"/>
      <c r="AB154" s="295"/>
      <c r="AC154" s="295"/>
      <c r="AD154" s="295"/>
      <c r="AE154" s="295"/>
    </row>
    <row r="155" customFormat="false" ht="11.25" hidden="false" customHeight="false" outlineLevel="0" collapsed="false">
      <c r="A155" s="113" t="s">
        <v>305</v>
      </c>
      <c r="B155" s="113"/>
      <c r="C155" s="113"/>
      <c r="D155" s="113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  <c r="S155" s="113"/>
      <c r="T155" s="113"/>
      <c r="U155" s="113"/>
      <c r="V155" s="113"/>
      <c r="W155" s="113"/>
      <c r="X155" s="113"/>
      <c r="Y155" s="295"/>
      <c r="Z155" s="295"/>
      <c r="AA155" s="295"/>
      <c r="AB155" s="295"/>
      <c r="AC155" s="295"/>
      <c r="AD155" s="295"/>
      <c r="AE155" s="295"/>
    </row>
    <row r="156" customFormat="false" ht="11.25" hidden="false" customHeight="false" outlineLevel="0" collapsed="false">
      <c r="A156" s="113" t="s">
        <v>306</v>
      </c>
      <c r="B156" s="113"/>
      <c r="C156" s="306" t="n">
        <f aca="false">C153+C154-C155</f>
        <v>5401.92151988551</v>
      </c>
      <c r="D156" s="306" t="n">
        <f aca="false">D153+D154-D155</f>
        <v>5401.92151988551</v>
      </c>
      <c r="E156" s="306" t="e">
        <f aca="false">E153+E154-E155</f>
        <v>#VALUE!</v>
      </c>
      <c r="F156" s="306" t="e">
        <f aca="false">F153+F154-F155</f>
        <v>#VALUE!</v>
      </c>
      <c r="G156" s="306" t="e">
        <f aca="false">G153+G154-G155</f>
        <v>#VALUE!</v>
      </c>
      <c r="H156" s="306" t="e">
        <f aca="false">H153+H154-H155</f>
        <v>#VALUE!</v>
      </c>
      <c r="I156" s="306" t="e">
        <f aca="false">I153+I154-I155</f>
        <v>#VALUE!</v>
      </c>
      <c r="J156" s="306" t="e">
        <f aca="false">J153+J154-J155</f>
        <v>#VALUE!</v>
      </c>
      <c r="K156" s="306" t="e">
        <f aca="false">K153+K154-K155</f>
        <v>#VALUE!</v>
      </c>
      <c r="L156" s="306" t="e">
        <f aca="false">L153+L154-L155</f>
        <v>#VALUE!</v>
      </c>
      <c r="M156" s="306" t="e">
        <f aca="false">M153+M154-M155</f>
        <v>#VALUE!</v>
      </c>
      <c r="N156" s="306" t="e">
        <f aca="false">N153+N154-N155</f>
        <v>#VALUE!</v>
      </c>
      <c r="O156" s="306" t="e">
        <f aca="false">O153+O154-O155</f>
        <v>#VALUE!</v>
      </c>
      <c r="P156" s="306" t="e">
        <f aca="false">P153+P154-P155</f>
        <v>#VALUE!</v>
      </c>
      <c r="Q156" s="306" t="e">
        <f aca="false">Q153+Q154-Q155</f>
        <v>#VALUE!</v>
      </c>
      <c r="R156" s="306" t="e">
        <f aca="false">R153+R154-R155</f>
        <v>#VALUE!</v>
      </c>
      <c r="S156" s="306" t="e">
        <f aca="false">S153+S154-S155</f>
        <v>#VALUE!</v>
      </c>
      <c r="T156" s="306" t="e">
        <f aca="false">T153+T154-T155</f>
        <v>#VALUE!</v>
      </c>
      <c r="U156" s="306" t="e">
        <f aca="false">U153+U154-U155</f>
        <v>#VALUE!</v>
      </c>
      <c r="V156" s="306" t="e">
        <f aca="false">V153+V154-V155</f>
        <v>#VALUE!</v>
      </c>
      <c r="W156" s="306" t="e">
        <f aca="false">W153+W154-W155</f>
        <v>#VALUE!</v>
      </c>
      <c r="X156" s="306" t="e">
        <f aca="false">X153+X154-X155</f>
        <v>#VALUE!</v>
      </c>
      <c r="Y156" s="295"/>
      <c r="Z156" s="295"/>
      <c r="AA156" s="295"/>
      <c r="AB156" s="295"/>
      <c r="AC156" s="295"/>
      <c r="AD156" s="295"/>
      <c r="AE156" s="295"/>
    </row>
    <row r="157" customFormat="false" ht="11.25" hidden="false" customHeight="false" outlineLevel="0" collapsed="false">
      <c r="A157" s="113" t="s">
        <v>307</v>
      </c>
      <c r="B157" s="113"/>
      <c r="C157" s="352" t="n">
        <f aca="false">IF(C154&gt;0,IF(Assumptions!$H$12="Yes",Tax!C156*0.5,0),0)</f>
        <v>2700.96075994275</v>
      </c>
      <c r="D157" s="352" t="n">
        <f aca="false">IF(D154&gt;0,IF(Assumptions!$H$12="Yes",Tax!D156*0.5,0),0)</f>
        <v>0</v>
      </c>
      <c r="E157" s="352" t="n">
        <f aca="false">IF(E154&gt;0,IF(Assumptions!$H$12="Yes",Tax!E156*0.5,0),0)</f>
        <v>0</v>
      </c>
      <c r="F157" s="352" t="n">
        <f aca="false">IF(F154&gt;0,IF(Assumptions!$H$12="Yes",Tax!F156*0.5,0),0)</f>
        <v>0</v>
      </c>
      <c r="G157" s="352" t="n">
        <f aca="false">IF(G154&gt;0,IF(Assumptions!$H$12="Yes",Tax!G156*0.5,0),0)</f>
        <v>0</v>
      </c>
      <c r="H157" s="352" t="n">
        <f aca="false">IF(H154&gt;0,IF(Assumptions!$H$12="Yes",Tax!H156*0.5,0),0)</f>
        <v>0</v>
      </c>
      <c r="I157" s="352" t="n">
        <f aca="false">IF(I154&gt;0,IF(Assumptions!$H$12="Yes",Tax!I156*0.5,0),0)</f>
        <v>0</v>
      </c>
      <c r="J157" s="352" t="n">
        <f aca="false">IF(J154&gt;0,IF(Assumptions!$H$12="Yes",Tax!J156*0.5,0),0)</f>
        <v>0</v>
      </c>
      <c r="K157" s="352" t="n">
        <f aca="false">IF(K154&gt;0,IF(Assumptions!$H$12="Yes",Tax!K156*0.5,0),0)</f>
        <v>0</v>
      </c>
      <c r="L157" s="352" t="n">
        <f aca="false">IF(L154&gt;0,IF(Assumptions!$H$12="Yes",Tax!L156*0.5,0),0)</f>
        <v>0</v>
      </c>
      <c r="M157" s="352" t="n">
        <f aca="false">IF(M154&gt;0,IF(Assumptions!$H$12="Yes",Tax!M156*0.5,0),0)</f>
        <v>0</v>
      </c>
      <c r="N157" s="352" t="n">
        <f aca="false">IF(N154&gt;0,IF(Assumptions!$H$12="Yes",Tax!N156*0.5,0),0)</f>
        <v>0</v>
      </c>
      <c r="O157" s="352" t="n">
        <f aca="false">IF(O154&gt;0,IF(Assumptions!$H$12="Yes",Tax!O156*0.5,0),0)</f>
        <v>0</v>
      </c>
      <c r="P157" s="352" t="n">
        <f aca="false">IF(P154&gt;0,IF(Assumptions!$H$12="Yes",Tax!P156*0.5,0),0)</f>
        <v>0</v>
      </c>
      <c r="Q157" s="352" t="n">
        <f aca="false">IF(Q154&gt;0,IF(Assumptions!$H$12="Yes",Tax!Q156*0.5,0),0)</f>
        <v>0</v>
      </c>
      <c r="R157" s="352" t="n">
        <f aca="false">IF(R154&gt;0,IF(Assumptions!$H$12="Yes",Tax!R156*0.5,0),0)</f>
        <v>0</v>
      </c>
      <c r="S157" s="352" t="n">
        <f aca="false">IF(S154&gt;0,IF(Assumptions!$H$12="Yes",Tax!S156*0.5,0),0)</f>
        <v>0</v>
      </c>
      <c r="T157" s="352" t="n">
        <f aca="false">IF(T154&gt;0,IF(Assumptions!$H$12="Yes",Tax!T156*0.5,0),0)</f>
        <v>0</v>
      </c>
      <c r="U157" s="352" t="n">
        <f aca="false">IF(U154&gt;0,IF(Assumptions!$H$12="Yes",Tax!U156*0.5,0),0)</f>
        <v>0</v>
      </c>
      <c r="V157" s="352" t="n">
        <f aca="false">IF(V154&gt;0,IF(Assumptions!$H$12="Yes",Tax!V156*0.5,0),0)</f>
        <v>0</v>
      </c>
      <c r="W157" s="352" t="n">
        <f aca="false">IF(W154&gt;0,IF(Assumptions!$H$12="Yes",Tax!W156*0.5,0),0)</f>
        <v>0</v>
      </c>
      <c r="X157" s="352" t="n">
        <f aca="false">IF(X154&gt;0,IF(Assumptions!$H$12="Yes",Tax!X156*0.5,0),0)</f>
        <v>0</v>
      </c>
      <c r="Y157" s="295"/>
      <c r="Z157" s="295"/>
      <c r="AA157" s="295"/>
      <c r="AB157" s="295"/>
      <c r="AC157" s="295"/>
      <c r="AD157" s="295"/>
      <c r="AE157" s="295"/>
    </row>
    <row r="158" customFormat="false" ht="11.25" hidden="false" customHeight="false" outlineLevel="0" collapsed="false">
      <c r="A158" s="113" t="s">
        <v>308</v>
      </c>
      <c r="B158" s="113"/>
      <c r="C158" s="353" t="n">
        <f aca="false">C156-C157</f>
        <v>2700.96075994275</v>
      </c>
      <c r="D158" s="353" t="n">
        <f aca="false">D156-D157</f>
        <v>5401.92151988551</v>
      </c>
      <c r="E158" s="353" t="e">
        <f aca="false">E156-E157</f>
        <v>#VALUE!</v>
      </c>
      <c r="F158" s="353" t="e">
        <f aca="false">F156-F157</f>
        <v>#VALUE!</v>
      </c>
      <c r="G158" s="353" t="e">
        <f aca="false">G156-G157</f>
        <v>#VALUE!</v>
      </c>
      <c r="H158" s="353" t="e">
        <f aca="false">H156-H157</f>
        <v>#VALUE!</v>
      </c>
      <c r="I158" s="353" t="e">
        <f aca="false">I156-I157</f>
        <v>#VALUE!</v>
      </c>
      <c r="J158" s="353" t="e">
        <f aca="false">J156-J157</f>
        <v>#VALUE!</v>
      </c>
      <c r="K158" s="353" t="e">
        <f aca="false">K156-K157</f>
        <v>#VALUE!</v>
      </c>
      <c r="L158" s="353" t="e">
        <f aca="false">L156-L157</f>
        <v>#VALUE!</v>
      </c>
      <c r="M158" s="353" t="e">
        <f aca="false">M156-M157</f>
        <v>#VALUE!</v>
      </c>
      <c r="N158" s="353" t="e">
        <f aca="false">N156-N157</f>
        <v>#VALUE!</v>
      </c>
      <c r="O158" s="353" t="e">
        <f aca="false">O156-O157</f>
        <v>#VALUE!</v>
      </c>
      <c r="P158" s="353" t="e">
        <f aca="false">P156-P157</f>
        <v>#VALUE!</v>
      </c>
      <c r="Q158" s="353" t="e">
        <f aca="false">Q156-Q157</f>
        <v>#VALUE!</v>
      </c>
      <c r="R158" s="353" t="e">
        <f aca="false">R156-R157</f>
        <v>#VALUE!</v>
      </c>
      <c r="S158" s="353" t="e">
        <f aca="false">S156-S157</f>
        <v>#VALUE!</v>
      </c>
      <c r="T158" s="353" t="e">
        <f aca="false">T156-T157</f>
        <v>#VALUE!</v>
      </c>
      <c r="U158" s="353" t="e">
        <f aca="false">U156-U157</f>
        <v>#VALUE!</v>
      </c>
      <c r="V158" s="353" t="e">
        <f aca="false">V156-V157</f>
        <v>#VALUE!</v>
      </c>
      <c r="W158" s="353" t="e">
        <f aca="false">W156-W157</f>
        <v>#VALUE!</v>
      </c>
      <c r="X158" s="353" t="e">
        <f aca="false">X156-X157</f>
        <v>#VALUE!</v>
      </c>
      <c r="Y158" s="295"/>
      <c r="Z158" s="295"/>
      <c r="AA158" s="295"/>
      <c r="AB158" s="295"/>
      <c r="AC158" s="295"/>
      <c r="AD158" s="295"/>
      <c r="AE158" s="295"/>
    </row>
    <row r="159" customFormat="false" ht="11.25" hidden="false" customHeight="false" outlineLevel="0" collapsed="false">
      <c r="A159" s="113" t="s">
        <v>309</v>
      </c>
      <c r="B159" s="113"/>
      <c r="C159" s="306" t="n">
        <f aca="false">IF(B160=0,0,IF(C187&lt;0,0,C193))</f>
        <v>0</v>
      </c>
      <c r="D159" s="306" t="e">
        <f aca="false">IF(C160=0,0,IF(D187&lt;0,0,D193))</f>
        <v>#VALUE!</v>
      </c>
      <c r="E159" s="306" t="e">
        <f aca="false">IF(D160=0,0,IF(E187&lt;0,0,E193))</f>
        <v>#VALUE!</v>
      </c>
      <c r="F159" s="306" t="e">
        <f aca="false">IF(E160=0,0,IF(F187&lt;0,0,F193))</f>
        <v>#VALUE!</v>
      </c>
      <c r="G159" s="306" t="e">
        <f aca="false">IF(F160=0,0,IF(G187&lt;0,0,G193))</f>
        <v>#VALUE!</v>
      </c>
      <c r="H159" s="306" t="e">
        <f aca="false">IF(G160=0,0,IF(H187&lt;0,0,H193))</f>
        <v>#VALUE!</v>
      </c>
      <c r="I159" s="306" t="e">
        <f aca="false">IF(H160=0,0,IF(I187&lt;0,0,I193))</f>
        <v>#VALUE!</v>
      </c>
      <c r="J159" s="306" t="e">
        <f aca="false">IF(I160=0,0,IF(J187&lt;0,0,J193))</f>
        <v>#VALUE!</v>
      </c>
      <c r="K159" s="306" t="e">
        <f aca="false">IF(J160=0,0,IF(K187&lt;0,0,K193))</f>
        <v>#VALUE!</v>
      </c>
      <c r="L159" s="306" t="e">
        <f aca="false">IF(K160=0,0,IF(L187&lt;0,0,L193))</f>
        <v>#VALUE!</v>
      </c>
      <c r="M159" s="306" t="e">
        <f aca="false">IF(L160=0,0,IF(M187&lt;0,0,M193))</f>
        <v>#VALUE!</v>
      </c>
      <c r="N159" s="306" t="e">
        <f aca="false">IF(M160=0,0,IF(N187&lt;0,0,N193))</f>
        <v>#VALUE!</v>
      </c>
      <c r="O159" s="306" t="e">
        <f aca="false">IF(N160=0,0,IF(O187&lt;0,0,O193))</f>
        <v>#VALUE!</v>
      </c>
      <c r="P159" s="306" t="e">
        <f aca="false">IF(O160=0,0,IF(P187&lt;0,0,P193))</f>
        <v>#VALUE!</v>
      </c>
      <c r="Q159" s="306" t="e">
        <f aca="false">IF(P160=0,0,IF(Q187&lt;0,0,Q193))</f>
        <v>#VALUE!</v>
      </c>
      <c r="R159" s="306" t="e">
        <f aca="false">IF(Q160=0,0,IF(R187&lt;0,0,R193))</f>
        <v>#VALUE!</v>
      </c>
      <c r="S159" s="306" t="e">
        <f aca="false">IF(R160=0,0,IF(S187&lt;0,0,S193))</f>
        <v>#VALUE!</v>
      </c>
      <c r="T159" s="306" t="e">
        <f aca="false">IF(S160=0,0,IF(T187&lt;0,0,T193))</f>
        <v>#VALUE!</v>
      </c>
      <c r="U159" s="306" t="e">
        <f aca="false">IF(T160=0,0,IF(U187&lt;0,0,U193))</f>
        <v>#VALUE!</v>
      </c>
      <c r="V159" s="306" t="e">
        <f aca="false">IF(U160=0,0,IF(V187&lt;0,0,V193))</f>
        <v>#VALUE!</v>
      </c>
      <c r="W159" s="306" t="e">
        <f aca="false">IF(V160=0,0,IF(W187&lt;0,0,W193))</f>
        <v>#VALUE!</v>
      </c>
      <c r="X159" s="306" t="e">
        <f aca="false">IF(W160=0,0,IF(X187&lt;0,0,X193))</f>
        <v>#VALUE!</v>
      </c>
      <c r="Y159" s="295"/>
      <c r="Z159" s="295"/>
      <c r="AA159" s="295"/>
      <c r="AB159" s="295"/>
      <c r="AC159" s="295"/>
      <c r="AD159" s="295"/>
      <c r="AE159" s="295"/>
    </row>
    <row r="160" customFormat="false" ht="11.25" hidden="false" customHeight="false" outlineLevel="0" collapsed="false">
      <c r="A160" s="113" t="s">
        <v>310</v>
      </c>
      <c r="B160" s="113"/>
      <c r="C160" s="353" t="n">
        <f aca="false">C156-C159</f>
        <v>5401.92151988551</v>
      </c>
      <c r="D160" s="353" t="e">
        <f aca="false">D156-D159</f>
        <v>#VALUE!</v>
      </c>
      <c r="E160" s="353" t="e">
        <f aca="false">E156-E159</f>
        <v>#VALUE!</v>
      </c>
      <c r="F160" s="353" t="e">
        <f aca="false">F156-F159</f>
        <v>#VALUE!</v>
      </c>
      <c r="G160" s="353" t="e">
        <f aca="false">G156-G159</f>
        <v>#VALUE!</v>
      </c>
      <c r="H160" s="353" t="e">
        <f aca="false">H156-H159</f>
        <v>#VALUE!</v>
      </c>
      <c r="I160" s="353" t="e">
        <f aca="false">I156-I159</f>
        <v>#VALUE!</v>
      </c>
      <c r="J160" s="353" t="e">
        <f aca="false">J156-J159</f>
        <v>#VALUE!</v>
      </c>
      <c r="K160" s="353" t="e">
        <f aca="false">K156-K159</f>
        <v>#VALUE!</v>
      </c>
      <c r="L160" s="353" t="e">
        <f aca="false">L156-L159</f>
        <v>#VALUE!</v>
      </c>
      <c r="M160" s="353" t="e">
        <f aca="false">M156-M159</f>
        <v>#VALUE!</v>
      </c>
      <c r="N160" s="353" t="e">
        <f aca="false">N156-N159</f>
        <v>#VALUE!</v>
      </c>
      <c r="O160" s="353" t="e">
        <f aca="false">O156-O159</f>
        <v>#VALUE!</v>
      </c>
      <c r="P160" s="353" t="e">
        <f aca="false">P156-P159</f>
        <v>#VALUE!</v>
      </c>
      <c r="Q160" s="353" t="e">
        <f aca="false">Q156-Q159</f>
        <v>#VALUE!</v>
      </c>
      <c r="R160" s="353" t="e">
        <f aca="false">R156-R159</f>
        <v>#VALUE!</v>
      </c>
      <c r="S160" s="353" t="e">
        <f aca="false">S156-S159</f>
        <v>#VALUE!</v>
      </c>
      <c r="T160" s="353" t="e">
        <f aca="false">T156-T159</f>
        <v>#VALUE!</v>
      </c>
      <c r="U160" s="353" t="e">
        <f aca="false">U156-U159</f>
        <v>#VALUE!</v>
      </c>
      <c r="V160" s="353" t="e">
        <f aca="false">V156-V159</f>
        <v>#VALUE!</v>
      </c>
      <c r="W160" s="353" t="e">
        <f aca="false">W156-W159</f>
        <v>#VALUE!</v>
      </c>
      <c r="X160" s="353" t="e">
        <f aca="false">X156-X159</f>
        <v>#VALUE!</v>
      </c>
      <c r="Y160" s="295"/>
      <c r="Z160" s="295"/>
      <c r="AA160" s="295"/>
      <c r="AB160" s="295"/>
      <c r="AC160" s="295"/>
      <c r="AD160" s="295"/>
      <c r="AE160" s="295"/>
    </row>
    <row r="161" customFormat="false" ht="11.25" hidden="false" customHeight="false" outlineLevel="0" collapsed="false">
      <c r="A161" s="113"/>
      <c r="B161" s="113"/>
      <c r="C161" s="113"/>
      <c r="D161" s="113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295"/>
      <c r="Z161" s="295"/>
      <c r="AA161" s="295"/>
      <c r="AB161" s="295"/>
      <c r="AC161" s="295"/>
      <c r="AD161" s="295"/>
      <c r="AE161" s="295"/>
    </row>
    <row r="162" customFormat="false" ht="11.25" hidden="false" customHeight="false" outlineLevel="0" collapsed="false">
      <c r="A162" s="113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3"/>
      <c r="Y162" s="295"/>
      <c r="Z162" s="295"/>
      <c r="AA162" s="295"/>
      <c r="AB162" s="295"/>
      <c r="AC162" s="295"/>
      <c r="AD162" s="295"/>
      <c r="AE162" s="295"/>
    </row>
    <row r="163" customFormat="false" ht="11.25" hidden="false" customHeight="false" outlineLevel="0" collapsed="false">
      <c r="A163" s="124" t="s">
        <v>314</v>
      </c>
      <c r="B163" s="113"/>
      <c r="C163" s="350" t="n">
        <v>0.08</v>
      </c>
      <c r="D163" s="113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  <c r="S163" s="113"/>
      <c r="T163" s="113"/>
      <c r="U163" s="113"/>
      <c r="V163" s="113"/>
      <c r="W163" s="113"/>
      <c r="X163" s="113"/>
      <c r="Y163" s="295"/>
      <c r="Z163" s="295"/>
      <c r="AA163" s="295"/>
      <c r="AB163" s="295"/>
      <c r="AC163" s="295"/>
      <c r="AD163" s="295"/>
      <c r="AE163" s="295"/>
    </row>
    <row r="164" customFormat="false" ht="11.25" hidden="false" customHeight="false" outlineLevel="0" collapsed="false">
      <c r="A164" s="295"/>
      <c r="B164" s="113"/>
      <c r="C164" s="354"/>
      <c r="D164" s="354"/>
      <c r="E164" s="354"/>
      <c r="F164" s="354"/>
      <c r="G164" s="354"/>
      <c r="H164" s="354"/>
      <c r="I164" s="354"/>
      <c r="J164" s="354"/>
      <c r="K164" s="354"/>
      <c r="L164" s="354"/>
      <c r="M164" s="354"/>
      <c r="N164" s="354"/>
      <c r="O164" s="354"/>
      <c r="P164" s="354"/>
      <c r="Q164" s="354"/>
      <c r="R164" s="354"/>
      <c r="S164" s="354"/>
      <c r="T164" s="354"/>
      <c r="U164" s="354"/>
      <c r="V164" s="354"/>
      <c r="W164" s="354"/>
      <c r="X164" s="354"/>
      <c r="Y164" s="295"/>
      <c r="Z164" s="295"/>
      <c r="AA164" s="295"/>
      <c r="AB164" s="295"/>
      <c r="AC164" s="295"/>
      <c r="AD164" s="295"/>
      <c r="AE164" s="295"/>
    </row>
    <row r="165" customFormat="false" ht="11.25" hidden="false" customHeight="false" outlineLevel="0" collapsed="false">
      <c r="A165" s="113" t="s">
        <v>303</v>
      </c>
      <c r="B165" s="113"/>
      <c r="C165" s="113" t="n">
        <v>0</v>
      </c>
      <c r="D165" s="306" t="n">
        <f aca="false">C172</f>
        <v>0</v>
      </c>
      <c r="E165" s="306" t="n">
        <f aca="false">D172</f>
        <v>0</v>
      </c>
      <c r="F165" s="306" t="n">
        <f aca="false">E172</f>
        <v>0</v>
      </c>
      <c r="G165" s="306" t="n">
        <f aca="false">F172</f>
        <v>0</v>
      </c>
      <c r="H165" s="306" t="n">
        <f aca="false">G172</f>
        <v>0</v>
      </c>
      <c r="I165" s="306" t="n">
        <f aca="false">H172</f>
        <v>0</v>
      </c>
      <c r="J165" s="306" t="n">
        <f aca="false">I172</f>
        <v>0</v>
      </c>
      <c r="K165" s="306" t="n">
        <f aca="false">J172</f>
        <v>0</v>
      </c>
      <c r="L165" s="306" t="n">
        <f aca="false">K172</f>
        <v>0</v>
      </c>
      <c r="M165" s="306" t="n">
        <f aca="false">L172</f>
        <v>0</v>
      </c>
      <c r="N165" s="306" t="n">
        <f aca="false">M172</f>
        <v>0</v>
      </c>
      <c r="O165" s="306" t="n">
        <f aca="false">N172</f>
        <v>0</v>
      </c>
      <c r="P165" s="306" t="n">
        <f aca="false">O172</f>
        <v>0</v>
      </c>
      <c r="Q165" s="306" t="n">
        <f aca="false">P172</f>
        <v>0</v>
      </c>
      <c r="R165" s="306" t="n">
        <f aca="false">Q172</f>
        <v>0</v>
      </c>
      <c r="S165" s="306" t="n">
        <f aca="false">R172</f>
        <v>0</v>
      </c>
      <c r="T165" s="306" t="n">
        <f aca="false">S172</f>
        <v>0</v>
      </c>
      <c r="U165" s="306" t="n">
        <f aca="false">T172</f>
        <v>0</v>
      </c>
      <c r="V165" s="306" t="n">
        <f aca="false">U172</f>
        <v>0</v>
      </c>
      <c r="W165" s="306" t="n">
        <f aca="false">V172</f>
        <v>0</v>
      </c>
      <c r="X165" s="306" t="n">
        <f aca="false">W172</f>
        <v>0</v>
      </c>
      <c r="Y165" s="295"/>
      <c r="Z165" s="295"/>
      <c r="AA165" s="295"/>
      <c r="AB165" s="295"/>
      <c r="AC165" s="295"/>
      <c r="AD165" s="295"/>
      <c r="AE165" s="295"/>
    </row>
    <row r="166" customFormat="false" ht="11.25" hidden="false" customHeight="false" outlineLevel="0" collapsed="false">
      <c r="A166" s="113" t="s">
        <v>304</v>
      </c>
      <c r="B166" s="113"/>
      <c r="C166" s="351" t="n">
        <f aca="false">IF(C$116=YEAR(Cashflow!$C$3),((Assumptions!$E$10-Assumptions!$E$5)*Assumptions!$H$10),0)</f>
        <v>0</v>
      </c>
      <c r="D166" s="351" t="n">
        <f aca="false">IF(D$116=YEAR(Cashflow!$C$3),((Assumptions!$E$10-Assumptions!$E$5)*Assumptions!$H$10),0)</f>
        <v>0</v>
      </c>
      <c r="E166" s="351" t="n">
        <f aca="false">IF(E$116=YEAR(Cashflow!$C$3),((Assumptions!$E$10-Assumptions!$E$5)*Assumptions!$H$10),0)</f>
        <v>0</v>
      </c>
      <c r="F166" s="351" t="n">
        <f aca="false">IF(F$116=YEAR(Cashflow!$C$3),((Assumptions!$E$10-Assumptions!$E$5)*Assumptions!$H$10),0)</f>
        <v>0</v>
      </c>
      <c r="G166" s="351" t="n">
        <f aca="false">IF(G$116=YEAR(Cashflow!$C$3),((Assumptions!$E$10-Assumptions!$E$5)*Assumptions!$H$10),0)</f>
        <v>0</v>
      </c>
      <c r="H166" s="351" t="n">
        <f aca="false">IF(H$116=YEAR(Cashflow!$C$3),((Assumptions!$E$10-Assumptions!$E$5)*Assumptions!$H$10),0)</f>
        <v>0</v>
      </c>
      <c r="I166" s="351" t="n">
        <f aca="false">IF(I$116=YEAR(Cashflow!$C$3),((Assumptions!$E$10-Assumptions!$E$5)*Assumptions!$H$10),0)</f>
        <v>0</v>
      </c>
      <c r="J166" s="351" t="n">
        <f aca="false">IF(J$116=YEAR(Cashflow!$C$3),((Assumptions!$E$10-Assumptions!$E$5)*Assumptions!$H$10),0)</f>
        <v>0</v>
      </c>
      <c r="K166" s="351" t="n">
        <f aca="false">IF(K$116=YEAR(Cashflow!$C$3),((Assumptions!$E$10-Assumptions!$E$5)*Assumptions!$H$10),0)</f>
        <v>0</v>
      </c>
      <c r="L166" s="351" t="n">
        <f aca="false">IF(L$116=YEAR(Cashflow!$C$3),((Assumptions!$E$10-Assumptions!$E$5)*Assumptions!$H$10),0)</f>
        <v>0</v>
      </c>
      <c r="M166" s="351" t="n">
        <f aca="false">IF(M$116=YEAR(Cashflow!$C$3),((Assumptions!$E$10-Assumptions!$E$5)*Assumptions!$H$10),0)</f>
        <v>0</v>
      </c>
      <c r="N166" s="351" t="n">
        <f aca="false">IF(N$116=YEAR(Cashflow!$C$3),((Assumptions!$E$10-Assumptions!$E$5)*Assumptions!$H$10),0)</f>
        <v>0</v>
      </c>
      <c r="O166" s="351" t="n">
        <f aca="false">IF(O$116=YEAR(Cashflow!$C$3),((Assumptions!$E$10-Assumptions!$E$5)*Assumptions!$H$10),0)</f>
        <v>0</v>
      </c>
      <c r="P166" s="351" t="n">
        <f aca="false">IF(P$116=YEAR(Cashflow!$C$3),((Assumptions!$E$10-Assumptions!$E$5)*Assumptions!$H$10),0)</f>
        <v>0</v>
      </c>
      <c r="Q166" s="351" t="n">
        <f aca="false">IF(Q$116=YEAR(Cashflow!$C$3),((Assumptions!$E$10-Assumptions!$E$5)*Assumptions!$H$10),0)</f>
        <v>0</v>
      </c>
      <c r="R166" s="351" t="n">
        <f aca="false">IF(R$116=YEAR(Cashflow!$C$3),((Assumptions!$E$10-Assumptions!$E$5)*Assumptions!$H$10),0)</f>
        <v>0</v>
      </c>
      <c r="S166" s="351" t="n">
        <f aca="false">IF(S$116=YEAR(Cashflow!$C$3),((Assumptions!$E$10-Assumptions!$E$5)*Assumptions!$H$10),0)</f>
        <v>0</v>
      </c>
      <c r="T166" s="351" t="n">
        <f aca="false">IF(T$116=YEAR(Cashflow!$C$3),((Assumptions!$E$10-Assumptions!$E$5)*Assumptions!$H$10),0)</f>
        <v>0</v>
      </c>
      <c r="U166" s="351" t="n">
        <f aca="false">IF(U$116=YEAR(Cashflow!$C$3),((Assumptions!$E$10-Assumptions!$E$5)*Assumptions!$H$10),0)</f>
        <v>0</v>
      </c>
      <c r="V166" s="351" t="n">
        <f aca="false">IF(V$116=YEAR(Cashflow!$C$3),((Assumptions!$E$10-Assumptions!$E$5)*Assumptions!$H$10),0)</f>
        <v>0</v>
      </c>
      <c r="W166" s="351" t="n">
        <f aca="false">IF(W$116=YEAR(Cashflow!$C$3),((Assumptions!$E$10-Assumptions!$E$5)*Assumptions!$H$10),0)</f>
        <v>0</v>
      </c>
      <c r="X166" s="351" t="n">
        <f aca="false">IF(X$116=YEAR(Cashflow!$C$3),((Assumptions!$E$10-Assumptions!$E$5)*Assumptions!$H$10),0)</f>
        <v>0</v>
      </c>
      <c r="Y166" s="295"/>
      <c r="Z166" s="295"/>
      <c r="AA166" s="295"/>
      <c r="AB166" s="295"/>
      <c r="AC166" s="295"/>
      <c r="AD166" s="295"/>
      <c r="AE166" s="295"/>
    </row>
    <row r="167" customFormat="false" ht="11.25" hidden="false" customHeight="false" outlineLevel="0" collapsed="false">
      <c r="A167" s="113" t="s">
        <v>305</v>
      </c>
      <c r="B167" s="113"/>
      <c r="C167" s="113"/>
      <c r="D167" s="113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  <c r="S167" s="113"/>
      <c r="T167" s="113"/>
      <c r="U167" s="113"/>
      <c r="V167" s="113"/>
      <c r="W167" s="113"/>
      <c r="X167" s="113"/>
      <c r="Y167" s="295"/>
      <c r="Z167" s="295"/>
      <c r="AA167" s="295"/>
      <c r="AB167" s="295"/>
      <c r="AC167" s="295"/>
      <c r="AD167" s="295"/>
      <c r="AE167" s="295"/>
    </row>
    <row r="168" customFormat="false" ht="11.25" hidden="false" customHeight="false" outlineLevel="0" collapsed="false">
      <c r="A168" s="113" t="s">
        <v>306</v>
      </c>
      <c r="B168" s="113"/>
      <c r="C168" s="306" t="n">
        <f aca="false">C165+C166-C167</f>
        <v>0</v>
      </c>
      <c r="D168" s="306" t="n">
        <f aca="false">D165+D166-D167</f>
        <v>0</v>
      </c>
      <c r="E168" s="306" t="n">
        <f aca="false">E165+E166-E167</f>
        <v>0</v>
      </c>
      <c r="F168" s="306" t="n">
        <f aca="false">F165+F166-F167</f>
        <v>0</v>
      </c>
      <c r="G168" s="306" t="n">
        <f aca="false">G165+G166-G167</f>
        <v>0</v>
      </c>
      <c r="H168" s="306" t="n">
        <f aca="false">H165+H166-H167</f>
        <v>0</v>
      </c>
      <c r="I168" s="306" t="n">
        <f aca="false">I165+I166-I167</f>
        <v>0</v>
      </c>
      <c r="J168" s="306" t="n">
        <f aca="false">J165+J166-J167</f>
        <v>0</v>
      </c>
      <c r="K168" s="306" t="n">
        <f aca="false">K165+K166-K167</f>
        <v>0</v>
      </c>
      <c r="L168" s="306" t="n">
        <f aca="false">L165+L166-L167</f>
        <v>0</v>
      </c>
      <c r="M168" s="306" t="n">
        <f aca="false">M165+M166-M167</f>
        <v>0</v>
      </c>
      <c r="N168" s="306" t="n">
        <f aca="false">N165+N166-N167</f>
        <v>0</v>
      </c>
      <c r="O168" s="306" t="n">
        <f aca="false">O165+O166-O167</f>
        <v>0</v>
      </c>
      <c r="P168" s="306" t="n">
        <f aca="false">P165+P166-P167</f>
        <v>0</v>
      </c>
      <c r="Q168" s="306" t="n">
        <f aca="false">Q165+Q166-Q167</f>
        <v>0</v>
      </c>
      <c r="R168" s="306" t="n">
        <f aca="false">R165+R166-R167</f>
        <v>0</v>
      </c>
      <c r="S168" s="306" t="n">
        <f aca="false">S165+S166-S167</f>
        <v>0</v>
      </c>
      <c r="T168" s="306" t="n">
        <f aca="false">T165+T166-T167</f>
        <v>0</v>
      </c>
      <c r="U168" s="306" t="n">
        <f aca="false">U165+U166-U167</f>
        <v>0</v>
      </c>
      <c r="V168" s="306" t="n">
        <f aca="false">V165+V166-V167</f>
        <v>0</v>
      </c>
      <c r="W168" s="306" t="n">
        <f aca="false">W165+W166-W167</f>
        <v>0</v>
      </c>
      <c r="X168" s="306" t="n">
        <f aca="false">X165+X166-X167</f>
        <v>0</v>
      </c>
      <c r="Y168" s="295"/>
      <c r="Z168" s="295"/>
      <c r="AA168" s="295"/>
      <c r="AB168" s="295"/>
      <c r="AC168" s="295"/>
      <c r="AD168" s="295"/>
      <c r="AE168" s="295"/>
    </row>
    <row r="169" customFormat="false" ht="11.25" hidden="false" customHeight="false" outlineLevel="0" collapsed="false">
      <c r="A169" s="113" t="s">
        <v>307</v>
      </c>
      <c r="B169" s="113"/>
      <c r="C169" s="113" t="n">
        <f aca="false">IF(C166=0,0,IF([9]Assumptions!$F$47="Yes",[9]Tax!C167*0.5))</f>
        <v>0</v>
      </c>
      <c r="D169" s="113" t="n">
        <f aca="false">IF(D166=0,0,IF([9]Assumptions!$F$47="Yes",[9]Tax!D167*0.5))</f>
        <v>0</v>
      </c>
      <c r="E169" s="352" t="n">
        <f aca="false">IF(E166=0,0,IF([9]Assumptions!$F$47="Yes",[9]Tax!E167*0.5))</f>
        <v>0</v>
      </c>
      <c r="F169" s="352" t="n">
        <f aca="false">IF(F166=0,0,IF([9]Assumptions!$F$47="Yes",[9]Tax!F167*0.5))</f>
        <v>0</v>
      </c>
      <c r="G169" s="352" t="n">
        <f aca="false">IF(G166=0,0,IF([9]Assumptions!$F$47="Yes",[9]Tax!G167*0.5))</f>
        <v>0</v>
      </c>
      <c r="H169" s="352" t="n">
        <f aca="false">IF(H166=0,0,IF([9]Assumptions!$F$47="Yes",[9]Tax!H167*0.5))</f>
        <v>0</v>
      </c>
      <c r="I169" s="352" t="n">
        <f aca="false">IF(I166=0,0,IF([9]Assumptions!$F$47="Yes",[9]Tax!I167*0.5))</f>
        <v>0</v>
      </c>
      <c r="J169" s="352" t="n">
        <f aca="false">IF(J166=0,0,IF([9]Assumptions!$F$47="Yes",[9]Tax!J167*0.5))</f>
        <v>0</v>
      </c>
      <c r="K169" s="352" t="n">
        <f aca="false">IF(K166=0,0,IF([9]Assumptions!$F$47="Yes",[9]Tax!K167*0.5))</f>
        <v>0</v>
      </c>
      <c r="L169" s="352" t="n">
        <f aca="false">IF(L166=0,0,IF([9]Assumptions!$F$47="Yes",[9]Tax!L167*0.5))</f>
        <v>0</v>
      </c>
      <c r="M169" s="352" t="n">
        <f aca="false">IF(M166=0,0,IF([9]Assumptions!$F$47="Yes",[9]Tax!M167*0.5))</f>
        <v>0</v>
      </c>
      <c r="N169" s="352" t="n">
        <f aca="false">IF(N166=0,0,IF([9]Assumptions!$F$47="Yes",[9]Tax!N167*0.5))</f>
        <v>0</v>
      </c>
      <c r="O169" s="352" t="n">
        <f aca="false">IF(O166=0,0,IF([9]Assumptions!$F$47="Yes",[9]Tax!O167*0.5))</f>
        <v>0</v>
      </c>
      <c r="P169" s="352" t="n">
        <f aca="false">IF(P166=0,0,IF([9]Assumptions!$F$47="Yes",[9]Tax!P167*0.5))</f>
        <v>0</v>
      </c>
      <c r="Q169" s="352" t="n">
        <f aca="false">IF(Q166=0,0,IF([9]Assumptions!$F$47="Yes",[9]Tax!Q167*0.5))</f>
        <v>0</v>
      </c>
      <c r="R169" s="352" t="n">
        <f aca="false">IF(R166=0,0,IF([9]Assumptions!$F$47="Yes",[9]Tax!R167*0.5))</f>
        <v>0</v>
      </c>
      <c r="S169" s="352" t="n">
        <f aca="false">IF(S166=0,0,IF([9]Assumptions!$F$47="Yes",[9]Tax!S167*0.5))</f>
        <v>0</v>
      </c>
      <c r="T169" s="352" t="n">
        <f aca="false">IF(T166=0,0,IF([9]Assumptions!$F$47="Yes",[9]Tax!T167*0.5))</f>
        <v>0</v>
      </c>
      <c r="U169" s="352" t="n">
        <f aca="false">IF(U166=0,0,IF([9]Assumptions!$F$47="Yes",[9]Tax!U167*0.5))</f>
        <v>0</v>
      </c>
      <c r="V169" s="352" t="n">
        <f aca="false">IF(V166=0,0,IF([9]Assumptions!$F$47="Yes",[9]Tax!V167*0.5))</f>
        <v>0</v>
      </c>
      <c r="W169" s="352" t="n">
        <f aca="false">IF(W166=0,0,IF([9]Assumptions!$F$47="Yes",[9]Tax!W167*0.5))</f>
        <v>0</v>
      </c>
      <c r="X169" s="352" t="n">
        <f aca="false">IF(X166=0,0,IF([9]Assumptions!$F$47="Yes",[9]Tax!X167*0.5))</f>
        <v>0</v>
      </c>
      <c r="Y169" s="295"/>
      <c r="Z169" s="295"/>
      <c r="AA169" s="295"/>
      <c r="AB169" s="295"/>
      <c r="AC169" s="295"/>
      <c r="AD169" s="295"/>
      <c r="AE169" s="295"/>
    </row>
    <row r="170" customFormat="false" ht="11.25" hidden="false" customHeight="false" outlineLevel="0" collapsed="false">
      <c r="A170" s="113" t="s">
        <v>308</v>
      </c>
      <c r="B170" s="113"/>
      <c r="C170" s="352" t="n">
        <f aca="false">IF(C167&gt;0,IF(Assumptions!$H$12="Yes",Tax!C169*0.5,0),0)</f>
        <v>0</v>
      </c>
      <c r="D170" s="352" t="n">
        <f aca="false">IF(D167&gt;0,IF(Assumptions!$H$12="Yes",Tax!D169*0.5,0),0)</f>
        <v>0</v>
      </c>
      <c r="E170" s="352" t="n">
        <f aca="false">IF(E167&gt;0,IF(Assumptions!$H$12="Yes",Tax!E169*0.5,0),0)</f>
        <v>0</v>
      </c>
      <c r="F170" s="352" t="n">
        <f aca="false">IF(F167&gt;0,IF(Assumptions!$H$12="Yes",Tax!F169*0.5,0),0)</f>
        <v>0</v>
      </c>
      <c r="G170" s="352" t="n">
        <f aca="false">IF(G167&gt;0,IF(Assumptions!$H$12="Yes",Tax!G169*0.5,0),0)</f>
        <v>0</v>
      </c>
      <c r="H170" s="352" t="n">
        <f aca="false">IF(H167&gt;0,IF(Assumptions!$H$12="Yes",Tax!H169*0.5,0),0)</f>
        <v>0</v>
      </c>
      <c r="I170" s="352" t="n">
        <f aca="false">IF(I167&gt;0,IF(Assumptions!$H$12="Yes",Tax!I169*0.5,0),0)</f>
        <v>0</v>
      </c>
      <c r="J170" s="352" t="n">
        <f aca="false">IF(J167&gt;0,IF(Assumptions!$H$12="Yes",Tax!J169*0.5,0),0)</f>
        <v>0</v>
      </c>
      <c r="K170" s="352" t="n">
        <f aca="false">IF(K167&gt;0,IF(Assumptions!$H$12="Yes",Tax!K169*0.5,0),0)</f>
        <v>0</v>
      </c>
      <c r="L170" s="352" t="n">
        <f aca="false">IF(L167&gt;0,IF(Assumptions!$H$12="Yes",Tax!L169*0.5,0),0)</f>
        <v>0</v>
      </c>
      <c r="M170" s="352" t="n">
        <f aca="false">IF(M167&gt;0,IF(Assumptions!$H$12="Yes",Tax!M169*0.5,0),0)</f>
        <v>0</v>
      </c>
      <c r="N170" s="352" t="n">
        <f aca="false">IF(N167&gt;0,IF(Assumptions!$H$12="Yes",Tax!N169*0.5,0),0)</f>
        <v>0</v>
      </c>
      <c r="O170" s="352" t="n">
        <f aca="false">IF(O167&gt;0,IF(Assumptions!$H$12="Yes",Tax!O169*0.5,0),0)</f>
        <v>0</v>
      </c>
      <c r="P170" s="352" t="n">
        <f aca="false">IF(P167&gt;0,IF(Assumptions!$H$12="Yes",Tax!P169*0.5,0),0)</f>
        <v>0</v>
      </c>
      <c r="Q170" s="352" t="n">
        <f aca="false">IF(Q167&gt;0,IF(Assumptions!$H$12="Yes",Tax!Q169*0.5,0),0)</f>
        <v>0</v>
      </c>
      <c r="R170" s="352" t="n">
        <f aca="false">IF(R167&gt;0,IF(Assumptions!$H$12="Yes",Tax!R169*0.5,0),0)</f>
        <v>0</v>
      </c>
      <c r="S170" s="352" t="n">
        <f aca="false">IF(S167&gt;0,IF(Assumptions!$H$12="Yes",Tax!S169*0.5,0),0)</f>
        <v>0</v>
      </c>
      <c r="T170" s="352" t="n">
        <f aca="false">IF(T167&gt;0,IF(Assumptions!$H$12="Yes",Tax!T169*0.5,0),0)</f>
        <v>0</v>
      </c>
      <c r="U170" s="352" t="n">
        <f aca="false">IF(U167&gt;0,IF(Assumptions!$H$12="Yes",Tax!U169*0.5,0),0)</f>
        <v>0</v>
      </c>
      <c r="V170" s="352" t="n">
        <f aca="false">IF(V167&gt;0,IF(Assumptions!$H$12="Yes",Tax!V169*0.5,0),0)</f>
        <v>0</v>
      </c>
      <c r="W170" s="352" t="n">
        <f aca="false">IF(W167&gt;0,IF(Assumptions!$H$12="Yes",Tax!W169*0.5,0),0)</f>
        <v>0</v>
      </c>
      <c r="X170" s="352" t="n">
        <f aca="false">IF(X167&gt;0,IF(Assumptions!$H$12="Yes",Tax!X169*0.5,0),0)</f>
        <v>0</v>
      </c>
      <c r="Y170" s="295"/>
      <c r="Z170" s="295"/>
      <c r="AA170" s="295"/>
      <c r="AB170" s="295"/>
      <c r="AC170" s="295"/>
      <c r="AD170" s="295"/>
      <c r="AE170" s="295"/>
    </row>
    <row r="171" customFormat="false" ht="11.25" hidden="false" customHeight="false" outlineLevel="0" collapsed="false">
      <c r="A171" s="113" t="s">
        <v>309</v>
      </c>
      <c r="B171" s="113"/>
      <c r="C171" s="306" t="n">
        <f aca="false">IF(B172=0,0,IF(C187&lt;0,0,C194))</f>
        <v>0</v>
      </c>
      <c r="D171" s="306" t="n">
        <f aca="false">IF(C172=0,0,IF(D187&lt;0,0,D194))</f>
        <v>0</v>
      </c>
      <c r="E171" s="306" t="n">
        <f aca="false">IF(D172=0,0,IF(E187&lt;0,0,E194))</f>
        <v>0</v>
      </c>
      <c r="F171" s="306" t="n">
        <f aca="false">IF(E172=0,0,IF(F187&lt;0,0,F194))</f>
        <v>0</v>
      </c>
      <c r="G171" s="306" t="n">
        <f aca="false">IF(F172=0,0,IF(G187&lt;0,0,G194))</f>
        <v>0</v>
      </c>
      <c r="H171" s="306" t="n">
        <f aca="false">IF(G172=0,0,IF(H187&lt;0,0,H194))</f>
        <v>0</v>
      </c>
      <c r="I171" s="306" t="n">
        <f aca="false">IF(H172=0,0,IF(I187&lt;0,0,I194))</f>
        <v>0</v>
      </c>
      <c r="J171" s="306" t="n">
        <f aca="false">IF(I172=0,0,IF(J187&lt;0,0,J194))</f>
        <v>0</v>
      </c>
      <c r="K171" s="306" t="n">
        <f aca="false">IF(J172=0,0,IF(K187&lt;0,0,K194))</f>
        <v>0</v>
      </c>
      <c r="L171" s="306" t="n">
        <f aca="false">IF(K172=0,0,IF(L187&lt;0,0,L194))</f>
        <v>0</v>
      </c>
      <c r="M171" s="306" t="n">
        <f aca="false">IF(L172=0,0,IF(M187&lt;0,0,M194))</f>
        <v>0</v>
      </c>
      <c r="N171" s="306" t="n">
        <f aca="false">IF(M172=0,0,IF(N187&lt;0,0,N194))</f>
        <v>0</v>
      </c>
      <c r="O171" s="306" t="n">
        <f aca="false">IF(N172=0,0,IF(O187&lt;0,0,O194))</f>
        <v>0</v>
      </c>
      <c r="P171" s="306" t="n">
        <f aca="false">IF(O172=0,0,IF(P187&lt;0,0,P194))</f>
        <v>0</v>
      </c>
      <c r="Q171" s="306" t="n">
        <f aca="false">IF(P172=0,0,IF(Q187&lt;0,0,Q194))</f>
        <v>0</v>
      </c>
      <c r="R171" s="306" t="n">
        <f aca="false">IF(Q172=0,0,IF(R187&lt;0,0,R194))</f>
        <v>0</v>
      </c>
      <c r="S171" s="306" t="n">
        <f aca="false">IF(R172=0,0,IF(S187&lt;0,0,S194))</f>
        <v>0</v>
      </c>
      <c r="T171" s="306" t="n">
        <f aca="false">IF(S172=0,0,IF(T187&lt;0,0,T194))</f>
        <v>0</v>
      </c>
      <c r="U171" s="306" t="n">
        <f aca="false">IF(T172=0,0,IF(U187&lt;0,0,U194))</f>
        <v>0</v>
      </c>
      <c r="V171" s="306" t="n">
        <f aca="false">IF(U172=0,0,IF(V187&lt;0,0,V194))</f>
        <v>0</v>
      </c>
      <c r="W171" s="306" t="n">
        <f aca="false">IF(V172=0,0,IF(W187&lt;0,0,W194))</f>
        <v>0</v>
      </c>
      <c r="X171" s="306" t="n">
        <f aca="false">IF(W172=0,0,IF(X187&lt;0,0,X194))</f>
        <v>0</v>
      </c>
      <c r="Y171" s="295"/>
      <c r="Z171" s="295"/>
      <c r="AA171" s="295"/>
      <c r="AB171" s="295"/>
      <c r="AC171" s="295"/>
      <c r="AD171" s="295"/>
      <c r="AE171" s="295"/>
    </row>
    <row r="172" customFormat="false" ht="11.25" hidden="false" customHeight="false" outlineLevel="0" collapsed="false">
      <c r="A172" s="113" t="s">
        <v>310</v>
      </c>
      <c r="B172" s="113"/>
      <c r="C172" s="353" t="n">
        <f aca="false">C168-C171</f>
        <v>0</v>
      </c>
      <c r="D172" s="353" t="n">
        <f aca="false">D168-D171</f>
        <v>0</v>
      </c>
      <c r="E172" s="353" t="n">
        <f aca="false">E168-E171</f>
        <v>0</v>
      </c>
      <c r="F172" s="353" t="n">
        <f aca="false">F168-F171</f>
        <v>0</v>
      </c>
      <c r="G172" s="353" t="n">
        <f aca="false">G168-G171</f>
        <v>0</v>
      </c>
      <c r="H172" s="353" t="n">
        <f aca="false">H168-H171</f>
        <v>0</v>
      </c>
      <c r="I172" s="353" t="n">
        <f aca="false">I168-I171</f>
        <v>0</v>
      </c>
      <c r="J172" s="353" t="n">
        <f aca="false">J168-J171</f>
        <v>0</v>
      </c>
      <c r="K172" s="353" t="n">
        <f aca="false">K168-K171</f>
        <v>0</v>
      </c>
      <c r="L172" s="353" t="n">
        <f aca="false">L168-L171</f>
        <v>0</v>
      </c>
      <c r="M172" s="353" t="n">
        <f aca="false">M168-M171</f>
        <v>0</v>
      </c>
      <c r="N172" s="353" t="n">
        <f aca="false">N168-N171</f>
        <v>0</v>
      </c>
      <c r="O172" s="353" t="n">
        <f aca="false">O168-O171</f>
        <v>0</v>
      </c>
      <c r="P172" s="353" t="n">
        <f aca="false">P168-P171</f>
        <v>0</v>
      </c>
      <c r="Q172" s="353" t="n">
        <f aca="false">Q168-Q171</f>
        <v>0</v>
      </c>
      <c r="R172" s="353" t="n">
        <f aca="false">R168-R171</f>
        <v>0</v>
      </c>
      <c r="S172" s="353" t="n">
        <f aca="false">S168-S171</f>
        <v>0</v>
      </c>
      <c r="T172" s="353" t="n">
        <f aca="false">T168-T171</f>
        <v>0</v>
      </c>
      <c r="U172" s="353" t="n">
        <f aca="false">U168-U171</f>
        <v>0</v>
      </c>
      <c r="V172" s="353" t="n">
        <f aca="false">V168-V171</f>
        <v>0</v>
      </c>
      <c r="W172" s="353" t="n">
        <f aca="false">W168-W171</f>
        <v>0</v>
      </c>
      <c r="X172" s="353" t="n">
        <f aca="false">X168-X171</f>
        <v>0</v>
      </c>
      <c r="Y172" s="295"/>
      <c r="Z172" s="295"/>
      <c r="AA172" s="295"/>
      <c r="AB172" s="295"/>
      <c r="AC172" s="295"/>
      <c r="AD172" s="295"/>
      <c r="AE172" s="295"/>
    </row>
    <row r="173" customFormat="false" ht="11.25" hidden="false" customHeight="false" outlineLevel="0" collapsed="false">
      <c r="A173" s="113"/>
      <c r="B173" s="113"/>
      <c r="C173" s="113"/>
      <c r="D173" s="113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  <c r="S173" s="113"/>
      <c r="T173" s="113"/>
      <c r="U173" s="113"/>
      <c r="V173" s="113"/>
      <c r="W173" s="113"/>
      <c r="X173" s="113"/>
      <c r="Y173" s="295"/>
      <c r="Z173" s="295"/>
      <c r="AA173" s="295"/>
      <c r="AB173" s="295"/>
      <c r="AC173" s="295"/>
      <c r="AD173" s="295"/>
      <c r="AE173" s="295"/>
    </row>
    <row r="174" customFormat="false" ht="11.25" hidden="false" customHeight="false" outlineLevel="0" collapsed="false">
      <c r="A174" s="113"/>
      <c r="B174" s="113"/>
      <c r="C174" s="113"/>
      <c r="D174" s="113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  <c r="S174" s="113"/>
      <c r="T174" s="113"/>
      <c r="U174" s="113"/>
      <c r="V174" s="113"/>
      <c r="W174" s="113"/>
      <c r="X174" s="113"/>
      <c r="Y174" s="295"/>
      <c r="Z174" s="295"/>
      <c r="AA174" s="295"/>
      <c r="AB174" s="295"/>
      <c r="AC174" s="295"/>
      <c r="AD174" s="295"/>
      <c r="AE174" s="295"/>
    </row>
    <row r="175" customFormat="false" ht="11.25" hidden="false" customHeight="false" outlineLevel="0" collapsed="false">
      <c r="A175" s="124" t="s">
        <v>315</v>
      </c>
      <c r="B175" s="113"/>
      <c r="C175" s="350" t="n">
        <v>0.3</v>
      </c>
      <c r="D175" s="113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  <c r="S175" s="113"/>
      <c r="T175" s="113"/>
      <c r="U175" s="113"/>
      <c r="V175" s="113"/>
      <c r="W175" s="113"/>
      <c r="X175" s="113"/>
      <c r="Y175" s="295"/>
      <c r="Z175" s="295"/>
      <c r="AA175" s="295"/>
      <c r="AB175" s="295"/>
      <c r="AC175" s="295"/>
      <c r="AD175" s="295"/>
      <c r="AE175" s="295"/>
    </row>
    <row r="176" customFormat="false" ht="11.25" hidden="false" customHeight="false" outlineLevel="0" collapsed="false">
      <c r="A176" s="295"/>
      <c r="B176" s="113"/>
      <c r="C176" s="354"/>
      <c r="D176" s="354"/>
      <c r="E176" s="354"/>
      <c r="F176" s="354"/>
      <c r="G176" s="354"/>
      <c r="H176" s="354"/>
      <c r="I176" s="354"/>
      <c r="J176" s="354"/>
      <c r="K176" s="354"/>
      <c r="L176" s="354"/>
      <c r="M176" s="354"/>
      <c r="N176" s="354"/>
      <c r="O176" s="354"/>
      <c r="P176" s="354"/>
      <c r="Q176" s="354"/>
      <c r="R176" s="354"/>
      <c r="S176" s="354"/>
      <c r="T176" s="354"/>
      <c r="U176" s="354"/>
      <c r="V176" s="354"/>
      <c r="W176" s="354"/>
      <c r="X176" s="354"/>
      <c r="Y176" s="295"/>
      <c r="Z176" s="295"/>
      <c r="AA176" s="295"/>
      <c r="AB176" s="295"/>
      <c r="AC176" s="295"/>
      <c r="AD176" s="295"/>
      <c r="AE176" s="295"/>
    </row>
    <row r="177" customFormat="false" ht="11.25" hidden="false" customHeight="false" outlineLevel="0" collapsed="false">
      <c r="A177" s="113" t="s">
        <v>303</v>
      </c>
      <c r="B177" s="113"/>
      <c r="C177" s="113" t="n">
        <v>0</v>
      </c>
      <c r="D177" s="306" t="n">
        <f aca="false">C184</f>
        <v>0</v>
      </c>
      <c r="E177" s="306" t="n">
        <f aca="false">D184</f>
        <v>0</v>
      </c>
      <c r="F177" s="306" t="n">
        <f aca="false">E184</f>
        <v>0</v>
      </c>
      <c r="G177" s="306" t="n">
        <f aca="false">F184</f>
        <v>0</v>
      </c>
      <c r="H177" s="306" t="n">
        <f aca="false">G184</f>
        <v>0</v>
      </c>
      <c r="I177" s="306" t="n">
        <f aca="false">H184</f>
        <v>0</v>
      </c>
      <c r="J177" s="306" t="n">
        <f aca="false">I184</f>
        <v>0</v>
      </c>
      <c r="K177" s="306" t="n">
        <f aca="false">J184</f>
        <v>0</v>
      </c>
      <c r="L177" s="306" t="n">
        <f aca="false">K184</f>
        <v>0</v>
      </c>
      <c r="M177" s="306" t="n">
        <f aca="false">L184</f>
        <v>0</v>
      </c>
      <c r="N177" s="306" t="n">
        <f aca="false">M184</f>
        <v>0</v>
      </c>
      <c r="O177" s="306" t="n">
        <f aca="false">N184</f>
        <v>0</v>
      </c>
      <c r="P177" s="306" t="n">
        <f aca="false">O184</f>
        <v>0</v>
      </c>
      <c r="Q177" s="306" t="n">
        <f aca="false">P184</f>
        <v>0</v>
      </c>
      <c r="R177" s="306" t="n">
        <f aca="false">Q184</f>
        <v>0</v>
      </c>
      <c r="S177" s="306" t="n">
        <f aca="false">R184</f>
        <v>0</v>
      </c>
      <c r="T177" s="306" t="n">
        <f aca="false">S184</f>
        <v>0</v>
      </c>
      <c r="U177" s="306" t="n">
        <f aca="false">T184</f>
        <v>0</v>
      </c>
      <c r="V177" s="306" t="n">
        <f aca="false">U184</f>
        <v>0</v>
      </c>
      <c r="W177" s="306" t="n">
        <f aca="false">V184</f>
        <v>0</v>
      </c>
      <c r="X177" s="306" t="n">
        <f aca="false">W184</f>
        <v>0</v>
      </c>
      <c r="Y177" s="295"/>
      <c r="Z177" s="295"/>
      <c r="AA177" s="295"/>
      <c r="AB177" s="295"/>
      <c r="AC177" s="295"/>
      <c r="AD177" s="295"/>
      <c r="AE177" s="295"/>
    </row>
    <row r="178" customFormat="false" ht="11.25" hidden="false" customHeight="false" outlineLevel="0" collapsed="false">
      <c r="A178" s="113" t="s">
        <v>304</v>
      </c>
      <c r="B178" s="113"/>
      <c r="C178" s="351" t="n">
        <f aca="false">IF(C$116=YEAR(Cashflow!$C$3),((Assumptions!$E$10-Assumptions!$E$5)*Assumptions!$H$11),0)</f>
        <v>0</v>
      </c>
      <c r="D178" s="351" t="n">
        <f aca="false">IF(D$116=YEAR(Cashflow!$C$3),((Assumptions!$E$10-Assumptions!$E$5)*Assumptions!$H$11),0)</f>
        <v>0</v>
      </c>
      <c r="E178" s="351" t="n">
        <f aca="false">IF(E$116=YEAR(Cashflow!$C$3),((Assumptions!$E$10-Assumptions!$E$5)*Assumptions!$H$11),0)</f>
        <v>0</v>
      </c>
      <c r="F178" s="351" t="n">
        <f aca="false">IF(F$116=YEAR(Cashflow!$C$3),((Assumptions!$E$10-Assumptions!$E$5)*Assumptions!$H$11),0)</f>
        <v>0</v>
      </c>
      <c r="G178" s="351" t="n">
        <f aca="false">IF(G$116=YEAR(Cashflow!$C$3),((Assumptions!$E$10-Assumptions!$E$5)*Assumptions!$H$11),0)</f>
        <v>0</v>
      </c>
      <c r="H178" s="351" t="n">
        <f aca="false">IF(H$116=YEAR(Cashflow!$C$3),((Assumptions!$E$10-Assumptions!$E$5)*Assumptions!$H$11),0)</f>
        <v>0</v>
      </c>
      <c r="I178" s="351" t="n">
        <f aca="false">IF(I$116=YEAR(Cashflow!$C$3),((Assumptions!$E$10-Assumptions!$E$5)*Assumptions!$H$11),0)</f>
        <v>0</v>
      </c>
      <c r="J178" s="351" t="n">
        <f aca="false">IF(J$116=YEAR(Cashflow!$C$3),((Assumptions!$E$10-Assumptions!$E$5)*Assumptions!$H$11),0)</f>
        <v>0</v>
      </c>
      <c r="K178" s="351" t="n">
        <f aca="false">IF(K$116=YEAR(Cashflow!$C$3),((Assumptions!$E$10-Assumptions!$E$5)*Assumptions!$H$11),0)</f>
        <v>0</v>
      </c>
      <c r="L178" s="351" t="n">
        <f aca="false">IF(L$116=YEAR(Cashflow!$C$3),((Assumptions!$E$10-Assumptions!$E$5)*Assumptions!$H$11),0)</f>
        <v>0</v>
      </c>
      <c r="M178" s="351" t="n">
        <f aca="false">IF(M$116=YEAR(Cashflow!$C$3),((Assumptions!$E$10-Assumptions!$E$5)*Assumptions!$H$11),0)</f>
        <v>0</v>
      </c>
      <c r="N178" s="351" t="n">
        <f aca="false">IF(N$116=YEAR(Cashflow!$C$3),((Assumptions!$E$10-Assumptions!$E$5)*Assumptions!$H$11),0)</f>
        <v>0</v>
      </c>
      <c r="O178" s="351" t="n">
        <f aca="false">IF(O$116=YEAR(Cashflow!$C$3),((Assumptions!$E$10-Assumptions!$E$5)*Assumptions!$H$11),0)</f>
        <v>0</v>
      </c>
      <c r="P178" s="351" t="n">
        <f aca="false">IF(P$116=YEAR(Cashflow!$C$3),((Assumptions!$E$10-Assumptions!$E$5)*Assumptions!$H$11),0)</f>
        <v>0</v>
      </c>
      <c r="Q178" s="351" t="n">
        <f aca="false">IF(Q$116=YEAR(Cashflow!$C$3),((Assumptions!$E$10-Assumptions!$E$5)*Assumptions!$H$11),0)</f>
        <v>0</v>
      </c>
      <c r="R178" s="351" t="n">
        <f aca="false">IF(R$116=YEAR(Cashflow!$C$3),((Assumptions!$E$10-Assumptions!$E$5)*Assumptions!$H$11),0)</f>
        <v>0</v>
      </c>
      <c r="S178" s="351" t="n">
        <f aca="false">IF(S$116=YEAR(Cashflow!$C$3),((Assumptions!$E$10-Assumptions!$E$5)*Assumptions!$H$11),0)</f>
        <v>0</v>
      </c>
      <c r="T178" s="351" t="n">
        <f aca="false">IF(T$116=YEAR(Cashflow!$C$3),((Assumptions!$E$10-Assumptions!$E$5)*Assumptions!$H$11),0)</f>
        <v>0</v>
      </c>
      <c r="U178" s="351" t="n">
        <f aca="false">IF(U$116=YEAR(Cashflow!$C$3),((Assumptions!$E$10-Assumptions!$E$5)*Assumptions!$H$11),0)</f>
        <v>0</v>
      </c>
      <c r="V178" s="351" t="n">
        <f aca="false">IF(V$116=YEAR(Cashflow!$C$3),((Assumptions!$E$10-Assumptions!$E$5)*Assumptions!$H$11),0)</f>
        <v>0</v>
      </c>
      <c r="W178" s="351" t="n">
        <f aca="false">IF(W$116=YEAR(Cashflow!$C$3),((Assumptions!$E$10-Assumptions!$E$5)*Assumptions!$H$11),0)</f>
        <v>0</v>
      </c>
      <c r="X178" s="351" t="n">
        <f aca="false">IF(X$116=YEAR(Cashflow!$C$3),((Assumptions!$E$10-Assumptions!$E$5)*Assumptions!$H$11),0)</f>
        <v>0</v>
      </c>
      <c r="Y178" s="295"/>
      <c r="Z178" s="295"/>
      <c r="AA178" s="295"/>
      <c r="AB178" s="295"/>
      <c r="AC178" s="295"/>
      <c r="AD178" s="295"/>
      <c r="AE178" s="295"/>
    </row>
    <row r="179" customFormat="false" ht="11.25" hidden="false" customHeight="false" outlineLevel="0" collapsed="false">
      <c r="A179" s="113" t="s">
        <v>305</v>
      </c>
      <c r="B179" s="113"/>
      <c r="C179" s="113"/>
      <c r="D179" s="113"/>
      <c r="E179" s="113"/>
      <c r="F179" s="113"/>
      <c r="G179" s="113"/>
      <c r="H179" s="113"/>
      <c r="I179" s="113"/>
      <c r="J179" s="113"/>
      <c r="K179" s="113"/>
      <c r="L179" s="113"/>
      <c r="M179" s="113"/>
      <c r="N179" s="113"/>
      <c r="O179" s="113"/>
      <c r="P179" s="113"/>
      <c r="Q179" s="113"/>
      <c r="R179" s="113"/>
      <c r="S179" s="113"/>
      <c r="T179" s="113"/>
      <c r="U179" s="113"/>
      <c r="V179" s="113"/>
      <c r="W179" s="113"/>
      <c r="X179" s="113"/>
      <c r="Y179" s="295"/>
      <c r="Z179" s="295"/>
      <c r="AA179" s="295"/>
      <c r="AB179" s="295"/>
      <c r="AC179" s="295"/>
      <c r="AD179" s="295"/>
      <c r="AE179" s="295"/>
    </row>
    <row r="180" customFormat="false" ht="11.25" hidden="false" customHeight="false" outlineLevel="0" collapsed="false">
      <c r="A180" s="113" t="s">
        <v>306</v>
      </c>
      <c r="B180" s="113"/>
      <c r="C180" s="306" t="n">
        <f aca="false">C177+C178-C179</f>
        <v>0</v>
      </c>
      <c r="D180" s="306" t="n">
        <f aca="false">D177+D178-D179</f>
        <v>0</v>
      </c>
      <c r="E180" s="306" t="n">
        <f aca="false">E177+E178-E179</f>
        <v>0</v>
      </c>
      <c r="F180" s="306" t="n">
        <f aca="false">F177+F178-F179</f>
        <v>0</v>
      </c>
      <c r="G180" s="306" t="n">
        <f aca="false">G177+G178-G179</f>
        <v>0</v>
      </c>
      <c r="H180" s="306" t="n">
        <f aca="false">H177+H178-H179</f>
        <v>0</v>
      </c>
      <c r="I180" s="306" t="n">
        <f aca="false">I177+I178-I179</f>
        <v>0</v>
      </c>
      <c r="J180" s="306" t="n">
        <f aca="false">J177+J178-J179</f>
        <v>0</v>
      </c>
      <c r="K180" s="306" t="n">
        <f aca="false">K177+K178-K179</f>
        <v>0</v>
      </c>
      <c r="L180" s="306" t="n">
        <f aca="false">L177+L178-L179</f>
        <v>0</v>
      </c>
      <c r="M180" s="306" t="n">
        <f aca="false">M177+M178-M179</f>
        <v>0</v>
      </c>
      <c r="N180" s="306" t="n">
        <f aca="false">N177+N178-N179</f>
        <v>0</v>
      </c>
      <c r="O180" s="306" t="n">
        <f aca="false">O177+O178-O179</f>
        <v>0</v>
      </c>
      <c r="P180" s="306" t="n">
        <f aca="false">P177+P178-P179</f>
        <v>0</v>
      </c>
      <c r="Q180" s="306" t="n">
        <f aca="false">Q177+Q178-Q179</f>
        <v>0</v>
      </c>
      <c r="R180" s="306" t="n">
        <f aca="false">R177+R178-R179</f>
        <v>0</v>
      </c>
      <c r="S180" s="306" t="n">
        <f aca="false">S177+S178-S179</f>
        <v>0</v>
      </c>
      <c r="T180" s="306" t="n">
        <f aca="false">T177+T178-T179</f>
        <v>0</v>
      </c>
      <c r="U180" s="306" t="n">
        <f aca="false">U177+U178-U179</f>
        <v>0</v>
      </c>
      <c r="V180" s="306" t="n">
        <f aca="false">V177+V178-V179</f>
        <v>0</v>
      </c>
      <c r="W180" s="306" t="n">
        <f aca="false">W177+W178-W179</f>
        <v>0</v>
      </c>
      <c r="X180" s="306" t="n">
        <f aca="false">X177+X178-X179</f>
        <v>0</v>
      </c>
      <c r="Y180" s="295"/>
      <c r="Z180" s="295"/>
      <c r="AA180" s="295"/>
      <c r="AB180" s="295"/>
      <c r="AC180" s="295"/>
      <c r="AD180" s="295"/>
      <c r="AE180" s="295"/>
    </row>
    <row r="181" customFormat="false" ht="11.25" hidden="false" customHeight="false" outlineLevel="0" collapsed="false">
      <c r="A181" s="113" t="s">
        <v>307</v>
      </c>
      <c r="B181" s="113"/>
      <c r="C181" s="113" t="n">
        <f aca="false">IF(C178=0,0,IF([9]Assumptions!$F$47="Yes",[9]Tax!C179*0.5))</f>
        <v>0</v>
      </c>
      <c r="D181" s="113" t="n">
        <f aca="false">IF(D178=0,0,IF([9]Assumptions!$F$47="Yes",[9]Tax!D179*0.5))</f>
        <v>0</v>
      </c>
      <c r="E181" s="352" t="n">
        <f aca="false">IF(E178=0,0,IF([9]Assumptions!$F$47="Yes",[9]Tax!E179*0.5))</f>
        <v>0</v>
      </c>
      <c r="F181" s="352" t="n">
        <f aca="false">IF(F178=0,0,IF([9]Assumptions!$F$47="Yes",[9]Tax!F179*0.5))</f>
        <v>0</v>
      </c>
      <c r="G181" s="352" t="n">
        <f aca="false">IF(G178=0,0,IF([9]Assumptions!$F$47="Yes",[9]Tax!G179*0.5))</f>
        <v>0</v>
      </c>
      <c r="H181" s="352" t="n">
        <f aca="false">IF(H178=0,0,IF([9]Assumptions!$F$47="Yes",[9]Tax!H179*0.5))</f>
        <v>0</v>
      </c>
      <c r="I181" s="352" t="n">
        <f aca="false">IF(I178=0,0,IF([9]Assumptions!$F$47="Yes",[9]Tax!I179*0.5))</f>
        <v>0</v>
      </c>
      <c r="J181" s="352" t="n">
        <f aca="false">IF(J178=0,0,IF([9]Assumptions!$F$47="Yes",[9]Tax!J179*0.5))</f>
        <v>0</v>
      </c>
      <c r="K181" s="352" t="n">
        <f aca="false">IF(K178=0,0,IF([9]Assumptions!$F$47="Yes",[9]Tax!K179*0.5))</f>
        <v>0</v>
      </c>
      <c r="L181" s="352" t="n">
        <f aca="false">IF(L178=0,0,IF([9]Assumptions!$F$47="Yes",[9]Tax!L179*0.5))</f>
        <v>0</v>
      </c>
      <c r="M181" s="352" t="n">
        <f aca="false">IF(M178=0,0,IF([9]Assumptions!$F$47="Yes",[9]Tax!M179*0.5))</f>
        <v>0</v>
      </c>
      <c r="N181" s="352" t="n">
        <f aca="false">IF(N178=0,0,IF([9]Assumptions!$F$47="Yes",[9]Tax!N179*0.5))</f>
        <v>0</v>
      </c>
      <c r="O181" s="352" t="n">
        <f aca="false">IF(O178=0,0,IF([9]Assumptions!$F$47="Yes",[9]Tax!O179*0.5))</f>
        <v>0</v>
      </c>
      <c r="P181" s="352" t="n">
        <f aca="false">IF(P178=0,0,IF([9]Assumptions!$F$47="Yes",[9]Tax!P179*0.5))</f>
        <v>0</v>
      </c>
      <c r="Q181" s="352" t="n">
        <f aca="false">IF(Q178=0,0,IF([9]Assumptions!$F$47="Yes",[9]Tax!Q179*0.5))</f>
        <v>0</v>
      </c>
      <c r="R181" s="352" t="n">
        <f aca="false">IF(R178=0,0,IF([9]Assumptions!$F$47="Yes",[9]Tax!R179*0.5))</f>
        <v>0</v>
      </c>
      <c r="S181" s="352" t="n">
        <f aca="false">IF(S178=0,0,IF([9]Assumptions!$F$47="Yes",[9]Tax!S179*0.5))</f>
        <v>0</v>
      </c>
      <c r="T181" s="352" t="n">
        <f aca="false">IF(T178=0,0,IF([9]Assumptions!$F$47="Yes",[9]Tax!T179*0.5))</f>
        <v>0</v>
      </c>
      <c r="U181" s="352" t="n">
        <f aca="false">IF(U178=0,0,IF([9]Assumptions!$F$47="Yes",[9]Tax!U179*0.5))</f>
        <v>0</v>
      </c>
      <c r="V181" s="352" t="n">
        <f aca="false">IF(V178=0,0,IF([9]Assumptions!$F$47="Yes",[9]Tax!V179*0.5))</f>
        <v>0</v>
      </c>
      <c r="W181" s="352" t="n">
        <f aca="false">IF(W178=0,0,IF([9]Assumptions!$F$47="Yes",[9]Tax!W179*0.5))</f>
        <v>0</v>
      </c>
      <c r="X181" s="352" t="n">
        <f aca="false">IF(X178=0,0,IF([9]Assumptions!$F$47="Yes",[9]Tax!X179*0.5))</f>
        <v>0</v>
      </c>
      <c r="Y181" s="295"/>
      <c r="Z181" s="295"/>
      <c r="AA181" s="295"/>
      <c r="AB181" s="295"/>
      <c r="AC181" s="295"/>
      <c r="AD181" s="295"/>
      <c r="AE181" s="295"/>
    </row>
    <row r="182" customFormat="false" ht="11.25" hidden="false" customHeight="false" outlineLevel="0" collapsed="false">
      <c r="A182" s="113" t="s">
        <v>308</v>
      </c>
      <c r="B182" s="113"/>
      <c r="C182" s="352" t="n">
        <f aca="false">IF(C179&gt;0,IF(Assumptions!$H$12="Yes",Tax!C181*0.5,0),0)</f>
        <v>0</v>
      </c>
      <c r="D182" s="352" t="n">
        <f aca="false">IF(D179&gt;0,IF(Assumptions!$H$12="Yes",Tax!D181*0.5,0),0)</f>
        <v>0</v>
      </c>
      <c r="E182" s="352" t="n">
        <f aca="false">IF(E179&gt;0,IF(Assumptions!$H$12="Yes",Tax!E181*0.5,0),0)</f>
        <v>0</v>
      </c>
      <c r="F182" s="352" t="n">
        <f aca="false">IF(F179&gt;0,IF(Assumptions!$H$12="Yes",Tax!F181*0.5,0),0)</f>
        <v>0</v>
      </c>
      <c r="G182" s="352" t="n">
        <f aca="false">IF(G179&gt;0,IF(Assumptions!$H$12="Yes",Tax!G181*0.5,0),0)</f>
        <v>0</v>
      </c>
      <c r="H182" s="352" t="n">
        <f aca="false">IF(H179&gt;0,IF(Assumptions!$H$12="Yes",Tax!H181*0.5,0),0)</f>
        <v>0</v>
      </c>
      <c r="I182" s="352" t="n">
        <f aca="false">IF(I179&gt;0,IF(Assumptions!$H$12="Yes",Tax!I181*0.5,0),0)</f>
        <v>0</v>
      </c>
      <c r="J182" s="352" t="n">
        <f aca="false">IF(J179&gt;0,IF(Assumptions!$H$12="Yes",Tax!J181*0.5,0),0)</f>
        <v>0</v>
      </c>
      <c r="K182" s="352" t="n">
        <f aca="false">IF(K179&gt;0,IF(Assumptions!$H$12="Yes",Tax!K181*0.5,0),0)</f>
        <v>0</v>
      </c>
      <c r="L182" s="352" t="n">
        <f aca="false">IF(L179&gt;0,IF(Assumptions!$H$12="Yes",Tax!L181*0.5,0),0)</f>
        <v>0</v>
      </c>
      <c r="M182" s="352" t="n">
        <f aca="false">IF(M179&gt;0,IF(Assumptions!$H$12="Yes",Tax!M181*0.5,0),0)</f>
        <v>0</v>
      </c>
      <c r="N182" s="352" t="n">
        <f aca="false">IF(N179&gt;0,IF(Assumptions!$H$12="Yes",Tax!N181*0.5,0),0)</f>
        <v>0</v>
      </c>
      <c r="O182" s="352" t="n">
        <f aca="false">IF(O179&gt;0,IF(Assumptions!$H$12="Yes",Tax!O181*0.5,0),0)</f>
        <v>0</v>
      </c>
      <c r="P182" s="352" t="n">
        <f aca="false">IF(P179&gt;0,IF(Assumptions!$H$12="Yes",Tax!P181*0.5,0),0)</f>
        <v>0</v>
      </c>
      <c r="Q182" s="352" t="n">
        <f aca="false">IF(Q179&gt;0,IF(Assumptions!$H$12="Yes",Tax!Q181*0.5,0),0)</f>
        <v>0</v>
      </c>
      <c r="R182" s="352" t="n">
        <f aca="false">IF(R179&gt;0,IF(Assumptions!$H$12="Yes",Tax!R181*0.5,0),0)</f>
        <v>0</v>
      </c>
      <c r="S182" s="352" t="n">
        <f aca="false">IF(S179&gt;0,IF(Assumptions!$H$12="Yes",Tax!S181*0.5,0),0)</f>
        <v>0</v>
      </c>
      <c r="T182" s="352" t="n">
        <f aca="false">IF(T179&gt;0,IF(Assumptions!$H$12="Yes",Tax!T181*0.5,0),0)</f>
        <v>0</v>
      </c>
      <c r="U182" s="352" t="n">
        <f aca="false">IF(U179&gt;0,IF(Assumptions!$H$12="Yes",Tax!U181*0.5,0),0)</f>
        <v>0</v>
      </c>
      <c r="V182" s="352" t="n">
        <f aca="false">IF(V179&gt;0,IF(Assumptions!$H$12="Yes",Tax!V181*0.5,0),0)</f>
        <v>0</v>
      </c>
      <c r="W182" s="352" t="n">
        <f aca="false">IF(W179&gt;0,IF(Assumptions!$H$12="Yes",Tax!W181*0.5,0),0)</f>
        <v>0</v>
      </c>
      <c r="X182" s="352" t="n">
        <f aca="false">IF(X179&gt;0,IF(Assumptions!$H$12="Yes",Tax!X181*0.5,0),0)</f>
        <v>0</v>
      </c>
      <c r="Y182" s="295"/>
      <c r="Z182" s="295"/>
      <c r="AA182" s="295"/>
      <c r="AB182" s="295"/>
      <c r="AC182" s="295"/>
      <c r="AD182" s="295"/>
      <c r="AE182" s="295"/>
    </row>
    <row r="183" customFormat="false" ht="11.25" hidden="false" customHeight="false" outlineLevel="0" collapsed="false">
      <c r="A183" s="113" t="s">
        <v>309</v>
      </c>
      <c r="B183" s="113"/>
      <c r="C183" s="306" t="n">
        <f aca="false">IF(C199&lt;0,0,MIN(C195,C199))</f>
        <v>0</v>
      </c>
      <c r="D183" s="306" t="n">
        <f aca="false">IF(D199&lt;0,0,MIN(D195,D199))</f>
        <v>0</v>
      </c>
      <c r="E183" s="306" t="n">
        <f aca="false">IF(E199&lt;0,0,MIN(E195,E199))</f>
        <v>0</v>
      </c>
      <c r="F183" s="306" t="n">
        <f aca="false">IF(F199&lt;0,0,MIN(F195,F199))</f>
        <v>0</v>
      </c>
      <c r="G183" s="306" t="n">
        <f aca="false">IF(G199&lt;0,0,MIN(G195,G199))</f>
        <v>0</v>
      </c>
      <c r="H183" s="306" t="n">
        <f aca="false">IF(H199&lt;0,0,MIN(H195,H199))</f>
        <v>0</v>
      </c>
      <c r="I183" s="306" t="n">
        <f aca="false">IF(I199&lt;0,0,MIN(I195,I199))</f>
        <v>0</v>
      </c>
      <c r="J183" s="306" t="n">
        <f aca="false">IF(J199&lt;0,0,MIN(J195,J199))</f>
        <v>0</v>
      </c>
      <c r="K183" s="306" t="n">
        <f aca="false">IF(K199&lt;0,0,MIN(K195,K199))</f>
        <v>0</v>
      </c>
      <c r="L183" s="306" t="n">
        <f aca="false">IF(L199&lt;0,0,MIN(L195,L199))</f>
        <v>0</v>
      </c>
      <c r="M183" s="306" t="n">
        <f aca="false">IF(M199&lt;0,0,MIN(M195,M199))</f>
        <v>0</v>
      </c>
      <c r="N183" s="306" t="n">
        <f aca="false">IF(N199&lt;0,0,MIN(N195,N199))</f>
        <v>0</v>
      </c>
      <c r="O183" s="306" t="n">
        <f aca="false">IF(O199&lt;0,0,MIN(O195,O199))</f>
        <v>0</v>
      </c>
      <c r="P183" s="306" t="n">
        <f aca="false">IF(P199&lt;0,0,MIN(P195,P199))</f>
        <v>0</v>
      </c>
      <c r="Q183" s="306" t="n">
        <f aca="false">IF(Q199&lt;0,0,MIN(Q195,Q199))</f>
        <v>0</v>
      </c>
      <c r="R183" s="306" t="n">
        <f aca="false">IF(R199&lt;0,0,MIN(R195,R199))</f>
        <v>0</v>
      </c>
      <c r="S183" s="306" t="n">
        <f aca="false">IF(S199&lt;0,0,MIN(S195,S199))</f>
        <v>0</v>
      </c>
      <c r="T183" s="306" t="n">
        <f aca="false">IF(T199&lt;0,0,MIN(T195,T199))</f>
        <v>0</v>
      </c>
      <c r="U183" s="306" t="n">
        <f aca="false">IF(U199&lt;0,0,MIN(U195,U199))</f>
        <v>0</v>
      </c>
      <c r="V183" s="306" t="n">
        <f aca="false">IF(V199&lt;0,0,MIN(V195,V199))</f>
        <v>0</v>
      </c>
      <c r="W183" s="306" t="n">
        <f aca="false">IF(W199&lt;0,0,MIN(W195,W199))</f>
        <v>0</v>
      </c>
      <c r="X183" s="306" t="n">
        <f aca="false">IF(X199&lt;0,0,MIN(X195,X199))</f>
        <v>0</v>
      </c>
      <c r="Y183" s="295"/>
      <c r="Z183" s="295"/>
      <c r="AA183" s="295"/>
      <c r="AB183" s="295"/>
      <c r="AC183" s="295"/>
      <c r="AD183" s="295"/>
      <c r="AE183" s="295"/>
    </row>
    <row r="184" customFormat="false" ht="11.25" hidden="false" customHeight="false" outlineLevel="0" collapsed="false">
      <c r="A184" s="113" t="s">
        <v>310</v>
      </c>
      <c r="B184" s="113"/>
      <c r="C184" s="353" t="n">
        <f aca="false">C180-C183</f>
        <v>0</v>
      </c>
      <c r="D184" s="353" t="n">
        <f aca="false">D180-D183</f>
        <v>0</v>
      </c>
      <c r="E184" s="353" t="n">
        <f aca="false">E180-E183</f>
        <v>0</v>
      </c>
      <c r="F184" s="353" t="n">
        <f aca="false">F180-F183</f>
        <v>0</v>
      </c>
      <c r="G184" s="353" t="n">
        <f aca="false">G180-G183</f>
        <v>0</v>
      </c>
      <c r="H184" s="353" t="n">
        <f aca="false">H180-H183</f>
        <v>0</v>
      </c>
      <c r="I184" s="353" t="n">
        <f aca="false">I180-I183</f>
        <v>0</v>
      </c>
      <c r="J184" s="353" t="n">
        <f aca="false">J180-J183</f>
        <v>0</v>
      </c>
      <c r="K184" s="353" t="n">
        <f aca="false">K180-K183</f>
        <v>0</v>
      </c>
      <c r="L184" s="353" t="n">
        <f aca="false">L180-L183</f>
        <v>0</v>
      </c>
      <c r="M184" s="353" t="n">
        <f aca="false">M180-M183</f>
        <v>0</v>
      </c>
      <c r="N184" s="353" t="n">
        <f aca="false">N180-N183</f>
        <v>0</v>
      </c>
      <c r="O184" s="353" t="n">
        <f aca="false">O180-O183</f>
        <v>0</v>
      </c>
      <c r="P184" s="353" t="n">
        <f aca="false">P180-P183</f>
        <v>0</v>
      </c>
      <c r="Q184" s="353" t="n">
        <f aca="false">Q180-Q183</f>
        <v>0</v>
      </c>
      <c r="R184" s="353" t="n">
        <f aca="false">R180-R183</f>
        <v>0</v>
      </c>
      <c r="S184" s="353" t="n">
        <f aca="false">S180-S183</f>
        <v>0</v>
      </c>
      <c r="T184" s="353" t="n">
        <f aca="false">T180-T183</f>
        <v>0</v>
      </c>
      <c r="U184" s="353" t="n">
        <f aca="false">U180-U183</f>
        <v>0</v>
      </c>
      <c r="V184" s="353" t="n">
        <f aca="false">V180-V183</f>
        <v>0</v>
      </c>
      <c r="W184" s="353" t="n">
        <f aca="false">W180-W183</f>
        <v>0</v>
      </c>
      <c r="X184" s="353" t="n">
        <f aca="false">X180-X183</f>
        <v>0</v>
      </c>
      <c r="Y184" s="295"/>
      <c r="Z184" s="295"/>
      <c r="AA184" s="295"/>
      <c r="AB184" s="295"/>
      <c r="AC184" s="295"/>
      <c r="AD184" s="295"/>
      <c r="AE184" s="295"/>
    </row>
    <row r="185" customFormat="false" ht="11.25" hidden="false" customHeight="false" outlineLevel="0" collapsed="false">
      <c r="A185" s="113"/>
      <c r="B185" s="113"/>
      <c r="C185" s="113"/>
      <c r="D185" s="113"/>
      <c r="E185" s="113"/>
      <c r="F185" s="113"/>
      <c r="G185" s="113"/>
      <c r="H185" s="113"/>
      <c r="I185" s="113"/>
      <c r="J185" s="113"/>
      <c r="K185" s="113"/>
      <c r="L185" s="113"/>
      <c r="M185" s="113"/>
      <c r="N185" s="113"/>
      <c r="O185" s="113"/>
      <c r="P185" s="113"/>
      <c r="Q185" s="113"/>
      <c r="R185" s="113"/>
      <c r="S185" s="113"/>
      <c r="T185" s="113"/>
      <c r="U185" s="113"/>
      <c r="V185" s="113"/>
      <c r="W185" s="113"/>
      <c r="X185" s="113"/>
      <c r="Y185" s="295"/>
      <c r="Z185" s="295"/>
      <c r="AA185" s="295"/>
      <c r="AB185" s="295"/>
      <c r="AC185" s="295"/>
      <c r="AD185" s="295"/>
      <c r="AE185" s="295"/>
    </row>
    <row r="186" customFormat="false" ht="11.25" hidden="false" customHeight="false" outlineLevel="0" collapsed="false">
      <c r="A186" s="113"/>
      <c r="B186" s="113"/>
      <c r="C186" s="113"/>
      <c r="D186" s="113"/>
      <c r="E186" s="113"/>
      <c r="F186" s="113"/>
      <c r="G186" s="113"/>
      <c r="H186" s="113"/>
      <c r="I186" s="113"/>
      <c r="J186" s="113"/>
      <c r="K186" s="113"/>
      <c r="L186" s="113"/>
      <c r="M186" s="113"/>
      <c r="N186" s="113"/>
      <c r="O186" s="113"/>
      <c r="P186" s="113"/>
      <c r="Q186" s="113"/>
      <c r="R186" s="113"/>
      <c r="S186" s="113"/>
      <c r="T186" s="113"/>
      <c r="U186" s="113"/>
      <c r="V186" s="113"/>
      <c r="W186" s="113"/>
      <c r="X186" s="113"/>
      <c r="Y186" s="295"/>
      <c r="Z186" s="295"/>
      <c r="AA186" s="295"/>
      <c r="AB186" s="295"/>
      <c r="AC186" s="295"/>
      <c r="AD186" s="295"/>
      <c r="AE186" s="295"/>
    </row>
    <row r="187" customFormat="false" ht="11.25" hidden="false" customHeight="false" outlineLevel="0" collapsed="false">
      <c r="A187" s="113" t="s">
        <v>316</v>
      </c>
      <c r="B187" s="113"/>
      <c r="C187" s="125" t="n">
        <f aca="false">C6+C9</f>
        <v>-446.454229995229</v>
      </c>
      <c r="D187" s="125" t="e">
        <f aca="false">D6+D9</f>
        <v>#VALUE!</v>
      </c>
      <c r="E187" s="125" t="e">
        <f aca="false">E6+E9</f>
        <v>#VALUE!</v>
      </c>
      <c r="F187" s="125" t="e">
        <f aca="false">F6+F9</f>
        <v>#VALUE!</v>
      </c>
      <c r="G187" s="125" t="e">
        <f aca="false">G6+G9</f>
        <v>#VALUE!</v>
      </c>
      <c r="H187" s="125" t="e">
        <f aca="false">H6+H9</f>
        <v>#VALUE!</v>
      </c>
      <c r="I187" s="125" t="e">
        <f aca="false">I6+I9</f>
        <v>#VALUE!</v>
      </c>
      <c r="J187" s="125" t="e">
        <f aca="false">J6+J9</f>
        <v>#VALUE!</v>
      </c>
      <c r="K187" s="125" t="e">
        <f aca="false">K6+K9</f>
        <v>#VALUE!</v>
      </c>
      <c r="L187" s="125" t="e">
        <f aca="false">L6+L9</f>
        <v>#VALUE!</v>
      </c>
      <c r="M187" s="125" t="e">
        <f aca="false">M6+M9</f>
        <v>#VALUE!</v>
      </c>
      <c r="N187" s="125" t="e">
        <f aca="false">N6+N9</f>
        <v>#VALUE!</v>
      </c>
      <c r="O187" s="125" t="e">
        <f aca="false">O6+O9</f>
        <v>#VALUE!</v>
      </c>
      <c r="P187" s="125" t="e">
        <f aca="false">P6+P9</f>
        <v>#VALUE!</v>
      </c>
      <c r="Q187" s="125" t="e">
        <f aca="false">Q6+Q9</f>
        <v>#VALUE!</v>
      </c>
      <c r="R187" s="125" t="e">
        <f aca="false">R6+R9</f>
        <v>#VALUE!</v>
      </c>
      <c r="S187" s="125" t="n">
        <f aca="false">S6+S9</f>
        <v>0</v>
      </c>
      <c r="T187" s="125" t="n">
        <f aca="false">T6+T9</f>
        <v>0</v>
      </c>
      <c r="U187" s="125" t="n">
        <f aca="false">U6+U9</f>
        <v>0</v>
      </c>
      <c r="V187" s="125" t="n">
        <f aca="false">V6+V9</f>
        <v>0</v>
      </c>
      <c r="W187" s="125" t="n">
        <f aca="false">W6+W9</f>
        <v>0</v>
      </c>
      <c r="X187" s="125" t="n">
        <f aca="false">X6+X9</f>
        <v>0</v>
      </c>
      <c r="Y187" s="295"/>
      <c r="Z187" s="295"/>
      <c r="AA187" s="295"/>
      <c r="AB187" s="295"/>
      <c r="AC187" s="295"/>
      <c r="AD187" s="295"/>
      <c r="AE187" s="295"/>
    </row>
    <row r="188" customFormat="false" ht="11.25" hidden="false" customHeight="false" outlineLevel="0" collapsed="false">
      <c r="A188" s="113"/>
      <c r="B188" s="113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295"/>
      <c r="Z188" s="295"/>
      <c r="AA188" s="295"/>
      <c r="AB188" s="295"/>
      <c r="AC188" s="295"/>
      <c r="AD188" s="295"/>
      <c r="AE188" s="295"/>
    </row>
    <row r="189" customFormat="false" ht="11.25" hidden="false" customHeight="false" outlineLevel="0" collapsed="false">
      <c r="A189" s="124" t="s">
        <v>317</v>
      </c>
      <c r="B189" s="113"/>
      <c r="C189" s="113"/>
      <c r="D189" s="113"/>
      <c r="E189" s="113"/>
      <c r="F189" s="113"/>
      <c r="G189" s="113"/>
      <c r="H189" s="113"/>
      <c r="I189" s="113"/>
      <c r="J189" s="113"/>
      <c r="K189" s="113"/>
      <c r="L189" s="113"/>
      <c r="M189" s="113"/>
      <c r="N189" s="113"/>
      <c r="O189" s="113"/>
      <c r="P189" s="113"/>
      <c r="Q189" s="113"/>
      <c r="R189" s="113"/>
      <c r="S189" s="113"/>
      <c r="T189" s="113"/>
      <c r="U189" s="113"/>
      <c r="V189" s="113"/>
      <c r="W189" s="113"/>
      <c r="X189" s="113"/>
      <c r="Y189" s="295"/>
      <c r="Z189" s="295"/>
      <c r="AA189" s="295"/>
      <c r="AB189" s="295"/>
      <c r="AC189" s="295"/>
      <c r="AD189" s="295"/>
      <c r="AE189" s="295"/>
    </row>
    <row r="190" customFormat="false" ht="11.25" hidden="false" customHeight="false" outlineLevel="0" collapsed="false">
      <c r="A190" s="113" t="s">
        <v>302</v>
      </c>
      <c r="B190" s="113"/>
      <c r="C190" s="306" t="n">
        <f aca="false">C122*$C$115</f>
        <v>6626.35706439289</v>
      </c>
      <c r="D190" s="306" t="n">
        <f aca="false">D122*$C$115</f>
        <v>13252.7141287858</v>
      </c>
      <c r="E190" s="306" t="e">
        <f aca="false">E122*$C$115</f>
        <v>#VALUE!</v>
      </c>
      <c r="F190" s="306" t="e">
        <f aca="false">F122*$C$115</f>
        <v>#VALUE!</v>
      </c>
      <c r="G190" s="306" t="e">
        <f aca="false">G122*$C$115</f>
        <v>#VALUE!</v>
      </c>
      <c r="H190" s="306" t="e">
        <f aca="false">H122*$C$115</f>
        <v>#VALUE!</v>
      </c>
      <c r="I190" s="306" t="e">
        <f aca="false">I122*$C$115</f>
        <v>#VALUE!</v>
      </c>
      <c r="J190" s="306" t="e">
        <f aca="false">J122*$C$115</f>
        <v>#VALUE!</v>
      </c>
      <c r="K190" s="306" t="e">
        <f aca="false">K122*$C$115</f>
        <v>#VALUE!</v>
      </c>
      <c r="L190" s="306" t="e">
        <f aca="false">L122*$C$115</f>
        <v>#VALUE!</v>
      </c>
      <c r="M190" s="306" t="e">
        <f aca="false">M122*$C$115</f>
        <v>#VALUE!</v>
      </c>
      <c r="N190" s="306" t="e">
        <f aca="false">N122*$C$115</f>
        <v>#VALUE!</v>
      </c>
      <c r="O190" s="306" t="e">
        <f aca="false">O122*$C$115</f>
        <v>#VALUE!</v>
      </c>
      <c r="P190" s="306" t="e">
        <f aca="false">P122*$C$115</f>
        <v>#VALUE!</v>
      </c>
      <c r="Q190" s="306" t="e">
        <f aca="false">Q122*$C$115</f>
        <v>#VALUE!</v>
      </c>
      <c r="R190" s="306" t="e">
        <f aca="false">R122*$C$115</f>
        <v>#VALUE!</v>
      </c>
      <c r="S190" s="306" t="e">
        <f aca="false">S122*$C$115</f>
        <v>#VALUE!</v>
      </c>
      <c r="T190" s="306" t="e">
        <f aca="false">T122*$C$115</f>
        <v>#VALUE!</v>
      </c>
      <c r="U190" s="306" t="e">
        <f aca="false">U122*$C$115</f>
        <v>#VALUE!</v>
      </c>
      <c r="V190" s="306" t="e">
        <f aca="false">V122*$C$115</f>
        <v>#VALUE!</v>
      </c>
      <c r="W190" s="306" t="e">
        <f aca="false">W122*$C$115</f>
        <v>#VALUE!</v>
      </c>
      <c r="X190" s="306" t="e">
        <f aca="false">X122*$C$115</f>
        <v>#VALUE!</v>
      </c>
      <c r="Y190" s="295"/>
      <c r="Z190" s="295"/>
      <c r="AA190" s="295"/>
      <c r="AB190" s="295"/>
      <c r="AC190" s="295"/>
      <c r="AD190" s="295"/>
      <c r="AE190" s="295"/>
    </row>
    <row r="191" customFormat="false" ht="11.25" hidden="false" customHeight="false" outlineLevel="0" collapsed="false">
      <c r="A191" s="113" t="s">
        <v>311</v>
      </c>
      <c r="B191" s="113"/>
      <c r="C191" s="306" t="n">
        <f aca="false">C134*$C$127</f>
        <v>0</v>
      </c>
      <c r="D191" s="306" t="n">
        <f aca="false">D134*$C$127</f>
        <v>0</v>
      </c>
      <c r="E191" s="306" t="n">
        <f aca="false">E134*$C$127</f>
        <v>0</v>
      </c>
      <c r="F191" s="306" t="n">
        <f aca="false">F134*$C$127</f>
        <v>0</v>
      </c>
      <c r="G191" s="306" t="n">
        <f aca="false">G134*$C$127</f>
        <v>0</v>
      </c>
      <c r="H191" s="306" t="n">
        <f aca="false">H134*$C$127</f>
        <v>0</v>
      </c>
      <c r="I191" s="306" t="n">
        <f aca="false">I134*$C$127</f>
        <v>0</v>
      </c>
      <c r="J191" s="306" t="n">
        <f aca="false">J134*$C$127</f>
        <v>0</v>
      </c>
      <c r="K191" s="306" t="n">
        <f aca="false">K134*$C$127</f>
        <v>0</v>
      </c>
      <c r="L191" s="306" t="n">
        <f aca="false">L134*$C$127</f>
        <v>0</v>
      </c>
      <c r="M191" s="306" t="n">
        <f aca="false">M134*$C$127</f>
        <v>0</v>
      </c>
      <c r="N191" s="306" t="n">
        <f aca="false">N134*$C$127</f>
        <v>0</v>
      </c>
      <c r="O191" s="306" t="n">
        <f aca="false">O134*$C$127</f>
        <v>0</v>
      </c>
      <c r="P191" s="306" t="n">
        <f aca="false">P134*$C$127</f>
        <v>0</v>
      </c>
      <c r="Q191" s="306" t="n">
        <f aca="false">Q134*$C$127</f>
        <v>0</v>
      </c>
      <c r="R191" s="306" t="n">
        <f aca="false">R134*$C$127</f>
        <v>0</v>
      </c>
      <c r="S191" s="306" t="n">
        <f aca="false">S134*$C$127</f>
        <v>0</v>
      </c>
      <c r="T191" s="306" t="n">
        <f aca="false">T134*$C$127</f>
        <v>0</v>
      </c>
      <c r="U191" s="306" t="n">
        <f aca="false">U134*$C$127</f>
        <v>0</v>
      </c>
      <c r="V191" s="306" t="n">
        <f aca="false">V134*$C$127</f>
        <v>0</v>
      </c>
      <c r="W191" s="306" t="n">
        <f aca="false">W134*$C$127</f>
        <v>0</v>
      </c>
      <c r="X191" s="306" t="n">
        <f aca="false">X134*$C$127</f>
        <v>0</v>
      </c>
      <c r="Y191" s="295"/>
      <c r="Z191" s="295"/>
      <c r="AA191" s="295"/>
      <c r="AB191" s="295"/>
      <c r="AC191" s="295"/>
      <c r="AD191" s="295"/>
      <c r="AE191" s="295"/>
    </row>
    <row r="192" customFormat="false" ht="11.25" hidden="false" customHeight="false" outlineLevel="0" collapsed="false">
      <c r="A192" s="113" t="s">
        <v>312</v>
      </c>
      <c r="B192" s="113"/>
      <c r="C192" s="306" t="n">
        <f aca="false">C146*$C$139</f>
        <v>1350.48037997138</v>
      </c>
      <c r="D192" s="306" t="n">
        <f aca="false">D146*$C$139</f>
        <v>2700.96075994275</v>
      </c>
      <c r="E192" s="306" t="e">
        <f aca="false">E146*$C$139</f>
        <v>#VALUE!</v>
      </c>
      <c r="F192" s="306" t="e">
        <f aca="false">F146*$C$139</f>
        <v>#VALUE!</v>
      </c>
      <c r="G192" s="306" t="e">
        <f aca="false">G146*$C$139</f>
        <v>#VALUE!</v>
      </c>
      <c r="H192" s="306" t="e">
        <f aca="false">H146*$C$139</f>
        <v>#VALUE!</v>
      </c>
      <c r="I192" s="306" t="e">
        <f aca="false">I146*$C$139</f>
        <v>#VALUE!</v>
      </c>
      <c r="J192" s="306" t="e">
        <f aca="false">J146*$C$139</f>
        <v>#VALUE!</v>
      </c>
      <c r="K192" s="306" t="e">
        <f aca="false">K146*$C$139</f>
        <v>#VALUE!</v>
      </c>
      <c r="L192" s="306" t="e">
        <f aca="false">L146*$C$139</f>
        <v>#VALUE!</v>
      </c>
      <c r="M192" s="306" t="e">
        <f aca="false">M146*$C$139</f>
        <v>#VALUE!</v>
      </c>
      <c r="N192" s="306" t="e">
        <f aca="false">N146*$C$139</f>
        <v>#VALUE!</v>
      </c>
      <c r="O192" s="306" t="e">
        <f aca="false">O146*$C$139</f>
        <v>#VALUE!</v>
      </c>
      <c r="P192" s="306" t="e">
        <f aca="false">P146*$C$139</f>
        <v>#VALUE!</v>
      </c>
      <c r="Q192" s="306" t="e">
        <f aca="false">Q146*$C$139</f>
        <v>#VALUE!</v>
      </c>
      <c r="R192" s="306" t="e">
        <f aca="false">R146*$C$139</f>
        <v>#VALUE!</v>
      </c>
      <c r="S192" s="306" t="e">
        <f aca="false">S146*$C$139</f>
        <v>#VALUE!</v>
      </c>
      <c r="T192" s="306" t="e">
        <f aca="false">T146*$C$139</f>
        <v>#VALUE!</v>
      </c>
      <c r="U192" s="306" t="e">
        <f aca="false">U146*$C$139</f>
        <v>#VALUE!</v>
      </c>
      <c r="V192" s="306" t="e">
        <f aca="false">V146*$C$139</f>
        <v>#VALUE!</v>
      </c>
      <c r="W192" s="306" t="e">
        <f aca="false">W146*$C$139</f>
        <v>#VALUE!</v>
      </c>
      <c r="X192" s="306" t="e">
        <f aca="false">X146*$C$139</f>
        <v>#VALUE!</v>
      </c>
      <c r="Y192" s="295"/>
      <c r="Z192" s="295"/>
      <c r="AA192" s="295"/>
      <c r="AB192" s="295"/>
      <c r="AC192" s="295"/>
      <c r="AD192" s="295"/>
      <c r="AE192" s="295"/>
    </row>
    <row r="193" customFormat="false" ht="11.25" hidden="false" customHeight="false" outlineLevel="0" collapsed="false">
      <c r="A193" s="113" t="s">
        <v>313</v>
      </c>
      <c r="B193" s="113"/>
      <c r="C193" s="306" t="n">
        <f aca="false">C158*$C$151</f>
        <v>2700.96075994275</v>
      </c>
      <c r="D193" s="306" t="n">
        <f aca="false">D158*$C$151</f>
        <v>5401.92151988551</v>
      </c>
      <c r="E193" s="306" t="e">
        <f aca="false">E158*$C$151</f>
        <v>#VALUE!</v>
      </c>
      <c r="F193" s="306" t="e">
        <f aca="false">F158*$C$151</f>
        <v>#VALUE!</v>
      </c>
      <c r="G193" s="306" t="e">
        <f aca="false">G158*$C$151</f>
        <v>#VALUE!</v>
      </c>
      <c r="H193" s="306" t="e">
        <f aca="false">H158*$C$151</f>
        <v>#VALUE!</v>
      </c>
      <c r="I193" s="306" t="e">
        <f aca="false">I158*$C$151</f>
        <v>#VALUE!</v>
      </c>
      <c r="J193" s="306" t="e">
        <f aca="false">J158*$C$151</f>
        <v>#VALUE!</v>
      </c>
      <c r="K193" s="306" t="e">
        <f aca="false">K158*$C$151</f>
        <v>#VALUE!</v>
      </c>
      <c r="L193" s="306" t="e">
        <f aca="false">L158*$C$151</f>
        <v>#VALUE!</v>
      </c>
      <c r="M193" s="306" t="e">
        <f aca="false">M158*$C$151</f>
        <v>#VALUE!</v>
      </c>
      <c r="N193" s="306" t="e">
        <f aca="false">N158*$C$151</f>
        <v>#VALUE!</v>
      </c>
      <c r="O193" s="306" t="e">
        <f aca="false">O158*$C$151</f>
        <v>#VALUE!</v>
      </c>
      <c r="P193" s="306" t="e">
        <f aca="false">P158*$C$151</f>
        <v>#VALUE!</v>
      </c>
      <c r="Q193" s="306" t="e">
        <f aca="false">Q158*$C$151</f>
        <v>#VALUE!</v>
      </c>
      <c r="R193" s="306" t="e">
        <f aca="false">R158*$C$151</f>
        <v>#VALUE!</v>
      </c>
      <c r="S193" s="306" t="e">
        <f aca="false">S158*$C$151</f>
        <v>#VALUE!</v>
      </c>
      <c r="T193" s="306" t="e">
        <f aca="false">T158*$C$151</f>
        <v>#VALUE!</v>
      </c>
      <c r="U193" s="306" t="e">
        <f aca="false">U158*$C$151</f>
        <v>#VALUE!</v>
      </c>
      <c r="V193" s="306" t="e">
        <f aca="false">V158*$C$151</f>
        <v>#VALUE!</v>
      </c>
      <c r="W193" s="306" t="e">
        <f aca="false">W158*$C$151</f>
        <v>#VALUE!</v>
      </c>
      <c r="X193" s="306" t="e">
        <f aca="false">X158*$C$151</f>
        <v>#VALUE!</v>
      </c>
      <c r="Y193" s="295"/>
      <c r="Z193" s="295"/>
      <c r="AA193" s="295"/>
      <c r="AB193" s="295"/>
      <c r="AC193" s="295"/>
      <c r="AD193" s="295"/>
      <c r="AE193" s="295"/>
    </row>
    <row r="194" customFormat="false" ht="11.25" hidden="false" customHeight="false" outlineLevel="0" collapsed="false">
      <c r="A194" s="113" t="s">
        <v>314</v>
      </c>
      <c r="B194" s="113"/>
      <c r="C194" s="306" t="n">
        <f aca="false">C$152*$C$145</f>
        <v>0</v>
      </c>
      <c r="D194" s="306" t="n">
        <f aca="false">D$152*$C$145</f>
        <v>0</v>
      </c>
      <c r="E194" s="306" t="n">
        <f aca="false">E$152*$C$145</f>
        <v>0</v>
      </c>
      <c r="F194" s="306" t="n">
        <f aca="false">F$152*$C$145</f>
        <v>0</v>
      </c>
      <c r="G194" s="306" t="n">
        <f aca="false">G$152*$C$145</f>
        <v>0</v>
      </c>
      <c r="H194" s="306" t="n">
        <f aca="false">H$152*$C$145</f>
        <v>0</v>
      </c>
      <c r="I194" s="306" t="n">
        <f aca="false">I$152*$C$145</f>
        <v>0</v>
      </c>
      <c r="J194" s="306" t="n">
        <f aca="false">J$152*$C$145</f>
        <v>0</v>
      </c>
      <c r="K194" s="306" t="n">
        <f aca="false">K$152*$C$145</f>
        <v>0</v>
      </c>
      <c r="L194" s="306" t="n">
        <f aca="false">L$152*$C$145</f>
        <v>0</v>
      </c>
      <c r="M194" s="306" t="n">
        <f aca="false">M$152*$C$145</f>
        <v>0</v>
      </c>
      <c r="N194" s="306" t="n">
        <f aca="false">N$152*$C$145</f>
        <v>0</v>
      </c>
      <c r="O194" s="306" t="n">
        <f aca="false">O$152*$C$145</f>
        <v>0</v>
      </c>
      <c r="P194" s="306" t="n">
        <f aca="false">P$152*$C$145</f>
        <v>0</v>
      </c>
      <c r="Q194" s="306" t="n">
        <f aca="false">Q$152*$C$145</f>
        <v>0</v>
      </c>
      <c r="R194" s="306" t="n">
        <f aca="false">R$152*$C$145</f>
        <v>0</v>
      </c>
      <c r="S194" s="306" t="n">
        <f aca="false">S$152*$C$145</f>
        <v>0</v>
      </c>
      <c r="T194" s="306" t="n">
        <f aca="false">T$152*$C$145</f>
        <v>0</v>
      </c>
      <c r="U194" s="306" t="n">
        <f aca="false">U$152*$C$145</f>
        <v>0</v>
      </c>
      <c r="V194" s="306" t="n">
        <f aca="false">V$152*$C$145</f>
        <v>0</v>
      </c>
      <c r="W194" s="306" t="n">
        <f aca="false">W$152*$C$145</f>
        <v>0</v>
      </c>
      <c r="X194" s="306" t="n">
        <f aca="false">X$152*$C$145</f>
        <v>0</v>
      </c>
      <c r="Y194" s="295"/>
      <c r="Z194" s="295"/>
      <c r="AA194" s="295"/>
      <c r="AB194" s="295"/>
      <c r="AC194" s="295"/>
      <c r="AD194" s="295"/>
      <c r="AE194" s="295"/>
    </row>
    <row r="195" customFormat="false" ht="11.25" hidden="false" customHeight="false" outlineLevel="0" collapsed="false">
      <c r="A195" s="113" t="s">
        <v>315</v>
      </c>
      <c r="B195" s="113"/>
      <c r="C195" s="306" t="n">
        <f aca="false">C$164*$C$145</f>
        <v>0</v>
      </c>
      <c r="D195" s="306" t="n">
        <f aca="false">D$164*$C$145</f>
        <v>0</v>
      </c>
      <c r="E195" s="306" t="n">
        <f aca="false">E$164*$C$157</f>
        <v>0</v>
      </c>
      <c r="F195" s="306" t="n">
        <f aca="false">F$164*$C$157</f>
        <v>0</v>
      </c>
      <c r="G195" s="306" t="n">
        <f aca="false">G$164*$C$157</f>
        <v>0</v>
      </c>
      <c r="H195" s="306" t="n">
        <f aca="false">H$164*$C$157</f>
        <v>0</v>
      </c>
      <c r="I195" s="306" t="n">
        <f aca="false">I$164*$C$157</f>
        <v>0</v>
      </c>
      <c r="J195" s="306" t="n">
        <f aca="false">J$164*$C$157</f>
        <v>0</v>
      </c>
      <c r="K195" s="306" t="n">
        <f aca="false">K$164*$C$157</f>
        <v>0</v>
      </c>
      <c r="L195" s="306" t="n">
        <f aca="false">L$164*$C$157</f>
        <v>0</v>
      </c>
      <c r="M195" s="306" t="n">
        <f aca="false">M$164*$C$157</f>
        <v>0</v>
      </c>
      <c r="N195" s="306" t="n">
        <f aca="false">N$164*$C$157</f>
        <v>0</v>
      </c>
      <c r="O195" s="306" t="n">
        <f aca="false">O$164*$C$157</f>
        <v>0</v>
      </c>
      <c r="P195" s="306" t="n">
        <f aca="false">P$164*$C$157</f>
        <v>0</v>
      </c>
      <c r="Q195" s="306" t="n">
        <f aca="false">Q$164*$C$157</f>
        <v>0</v>
      </c>
      <c r="R195" s="306" t="n">
        <f aca="false">R$164*$C$157</f>
        <v>0</v>
      </c>
      <c r="S195" s="306" t="n">
        <f aca="false">S$164*$C$157</f>
        <v>0</v>
      </c>
      <c r="T195" s="306" t="n">
        <f aca="false">T$164*$C$157</f>
        <v>0</v>
      </c>
      <c r="U195" s="306" t="n">
        <f aca="false">U$164*$C$157</f>
        <v>0</v>
      </c>
      <c r="V195" s="306" t="n">
        <f aca="false">V$164*$C$157</f>
        <v>0</v>
      </c>
      <c r="W195" s="306" t="n">
        <f aca="false">W$164*$C$157</f>
        <v>0</v>
      </c>
      <c r="X195" s="306" t="n">
        <f aca="false">X$164*$C$157</f>
        <v>0</v>
      </c>
      <c r="Y195" s="295"/>
      <c r="Z195" s="295"/>
      <c r="AA195" s="295"/>
      <c r="AB195" s="295"/>
      <c r="AC195" s="295"/>
      <c r="AD195" s="295"/>
      <c r="AE195" s="295"/>
    </row>
    <row r="196" customFormat="false" ht="11.25" hidden="false" customHeight="false" outlineLevel="0" collapsed="false">
      <c r="A196" s="113"/>
      <c r="B196" s="113"/>
      <c r="C196" s="113"/>
      <c r="D196" s="113"/>
      <c r="E196" s="113"/>
      <c r="F196" s="113"/>
      <c r="G196" s="113"/>
      <c r="H196" s="113"/>
      <c r="I196" s="113"/>
      <c r="J196" s="113"/>
      <c r="K196" s="113"/>
      <c r="L196" s="113"/>
      <c r="M196" s="113"/>
      <c r="N196" s="113"/>
      <c r="O196" s="113"/>
      <c r="P196" s="113"/>
      <c r="Q196" s="113"/>
      <c r="R196" s="113"/>
      <c r="S196" s="113"/>
      <c r="T196" s="113"/>
      <c r="U196" s="113"/>
      <c r="V196" s="113"/>
      <c r="W196" s="113"/>
      <c r="X196" s="113"/>
      <c r="Y196" s="295"/>
      <c r="Z196" s="295"/>
      <c r="AA196" s="295"/>
      <c r="AB196" s="295"/>
      <c r="AC196" s="295"/>
      <c r="AD196" s="295"/>
      <c r="AE196" s="295"/>
    </row>
    <row r="197" customFormat="false" ht="12" hidden="false" customHeight="false" outlineLevel="0" collapsed="false">
      <c r="A197" s="113"/>
      <c r="B197" s="113"/>
      <c r="C197" s="355" t="n">
        <f aca="false">SUM(C190:C196)</f>
        <v>10677.798204307</v>
      </c>
      <c r="D197" s="355" t="n">
        <f aca="false">SUM(D190:D196)</f>
        <v>21355.596408614</v>
      </c>
      <c r="E197" s="355" t="e">
        <f aca="false">SUM(E190:E194)</f>
        <v>#VALUE!</v>
      </c>
      <c r="F197" s="355" t="e">
        <f aca="false">SUM(F190:F194)</f>
        <v>#VALUE!</v>
      </c>
      <c r="G197" s="355" t="e">
        <f aca="false">SUM(G190:G194)</f>
        <v>#VALUE!</v>
      </c>
      <c r="H197" s="355" t="e">
        <f aca="false">SUM(H190:H194)</f>
        <v>#VALUE!</v>
      </c>
      <c r="I197" s="355" t="e">
        <f aca="false">SUM(I190:I194)</f>
        <v>#VALUE!</v>
      </c>
      <c r="J197" s="355" t="e">
        <f aca="false">SUM(J190:J194)</f>
        <v>#VALUE!</v>
      </c>
      <c r="K197" s="355" t="e">
        <f aca="false">SUM(K190:K194)</f>
        <v>#VALUE!</v>
      </c>
      <c r="L197" s="355" t="e">
        <f aca="false">SUM(L190:L194)</f>
        <v>#VALUE!</v>
      </c>
      <c r="M197" s="355" t="e">
        <f aca="false">SUM(M190:M194)</f>
        <v>#VALUE!</v>
      </c>
      <c r="N197" s="355" t="e">
        <f aca="false">SUM(N190:N194)</f>
        <v>#VALUE!</v>
      </c>
      <c r="O197" s="355" t="e">
        <f aca="false">SUM(O190:O194)</f>
        <v>#VALUE!</v>
      </c>
      <c r="P197" s="355" t="e">
        <f aca="false">SUM(P190:P194)</f>
        <v>#VALUE!</v>
      </c>
      <c r="Q197" s="355" t="e">
        <f aca="false">SUM(Q190:Q194)</f>
        <v>#VALUE!</v>
      </c>
      <c r="R197" s="355" t="e">
        <f aca="false">SUM(R190:R194)</f>
        <v>#VALUE!</v>
      </c>
      <c r="S197" s="355" t="e">
        <f aca="false">SUM(S190:S194)</f>
        <v>#VALUE!</v>
      </c>
      <c r="T197" s="355" t="e">
        <f aca="false">SUM(T190:T194)</f>
        <v>#VALUE!</v>
      </c>
      <c r="U197" s="355" t="e">
        <f aca="false">SUM(U190:U194)</f>
        <v>#VALUE!</v>
      </c>
      <c r="V197" s="355" t="e">
        <f aca="false">SUM(V190:V194)</f>
        <v>#VALUE!</v>
      </c>
      <c r="W197" s="355" t="e">
        <f aca="false">SUM(W190:W194)</f>
        <v>#VALUE!</v>
      </c>
      <c r="X197" s="355" t="e">
        <f aca="false">SUM(X190:X194)</f>
        <v>#VALUE!</v>
      </c>
      <c r="Y197" s="295"/>
      <c r="Z197" s="295"/>
      <c r="AA197" s="295"/>
      <c r="AB197" s="295"/>
      <c r="AC197" s="295"/>
      <c r="AD197" s="295"/>
      <c r="AE197" s="295"/>
    </row>
    <row r="198" customFormat="false" ht="12" hidden="false" customHeight="false" outlineLevel="0" collapsed="false">
      <c r="A198" s="113"/>
      <c r="B198" s="113"/>
      <c r="C198" s="113"/>
      <c r="D198" s="113"/>
      <c r="E198" s="113"/>
      <c r="F198" s="113"/>
      <c r="G198" s="113"/>
      <c r="H198" s="113"/>
      <c r="I198" s="113"/>
      <c r="J198" s="113"/>
      <c r="K198" s="113"/>
      <c r="L198" s="113"/>
      <c r="M198" s="113"/>
      <c r="N198" s="113"/>
      <c r="O198" s="113"/>
      <c r="P198" s="113"/>
      <c r="Q198" s="113"/>
      <c r="R198" s="113"/>
      <c r="S198" s="113"/>
      <c r="T198" s="113"/>
      <c r="U198" s="113"/>
      <c r="V198" s="113"/>
      <c r="W198" s="113"/>
      <c r="X198" s="113"/>
      <c r="Y198" s="295"/>
      <c r="Z198" s="295"/>
      <c r="AA198" s="295"/>
      <c r="AB198" s="295"/>
      <c r="AC198" s="295"/>
      <c r="AD198" s="295"/>
      <c r="AE198" s="295"/>
    </row>
    <row r="199" customFormat="false" ht="11.25" hidden="false" customHeight="false" outlineLevel="0" collapsed="false">
      <c r="A199" s="113" t="s">
        <v>318</v>
      </c>
      <c r="B199" s="113"/>
      <c r="C199" s="306" t="n">
        <f aca="false">IF(C195=0,0,C187-C197)</f>
        <v>0</v>
      </c>
      <c r="D199" s="306" t="n">
        <f aca="false">IF(D195=0,0,D187-D197)</f>
        <v>0</v>
      </c>
      <c r="E199" s="306" t="n">
        <f aca="false">IF(E195=0,0,E187-E197)</f>
        <v>0</v>
      </c>
      <c r="F199" s="306" t="n">
        <f aca="false">IF(F195=0,0,F187-F197)</f>
        <v>0</v>
      </c>
      <c r="G199" s="306" t="n">
        <f aca="false">IF(G195=0,0,G187-G197)</f>
        <v>0</v>
      </c>
      <c r="H199" s="306" t="n">
        <f aca="false">IF(H195=0,0,H187-H197)</f>
        <v>0</v>
      </c>
      <c r="I199" s="306" t="n">
        <f aca="false">IF(I195=0,0,I187-I197)</f>
        <v>0</v>
      </c>
      <c r="J199" s="306" t="n">
        <f aca="false">IF(J195=0,0,J187-J197)</f>
        <v>0</v>
      </c>
      <c r="K199" s="306" t="n">
        <f aca="false">IF(K195=0,0,K187-K197)</f>
        <v>0</v>
      </c>
      <c r="L199" s="306" t="n">
        <f aca="false">IF(L195=0,0,L187-L197)</f>
        <v>0</v>
      </c>
      <c r="M199" s="306" t="n">
        <f aca="false">IF(M195=0,0,M187-M197)</f>
        <v>0</v>
      </c>
      <c r="N199" s="306" t="n">
        <f aca="false">IF(N195=0,0,N187-N197)</f>
        <v>0</v>
      </c>
      <c r="O199" s="306" t="n">
        <f aca="false">IF(O195=0,0,O187-O197)</f>
        <v>0</v>
      </c>
      <c r="P199" s="306" t="n">
        <f aca="false">IF(P195=0,0,P187-P197)</f>
        <v>0</v>
      </c>
      <c r="Q199" s="306" t="n">
        <f aca="false">IF(Q195=0,0,Q187-Q197)</f>
        <v>0</v>
      </c>
      <c r="R199" s="306" t="n">
        <f aca="false">IF(R195=0,0,R187-R197)</f>
        <v>0</v>
      </c>
      <c r="S199" s="306" t="n">
        <f aca="false">IF(S195=0,0,S187-S197)</f>
        <v>0</v>
      </c>
      <c r="T199" s="306" t="n">
        <f aca="false">IF(T195=0,0,T187-T197)</f>
        <v>0</v>
      </c>
      <c r="U199" s="306" t="n">
        <f aca="false">IF(U195=0,0,U187-U197)</f>
        <v>0</v>
      </c>
      <c r="V199" s="306" t="n">
        <f aca="false">IF(V195=0,0,V187-V197)</f>
        <v>0</v>
      </c>
      <c r="W199" s="306" t="n">
        <f aca="false">IF(W195=0,0,W187-W197)</f>
        <v>0</v>
      </c>
      <c r="X199" s="306" t="n">
        <f aca="false">IF(X195=0,0,X187-X197)</f>
        <v>0</v>
      </c>
      <c r="Y199" s="295"/>
      <c r="Z199" s="295"/>
      <c r="AA199" s="295"/>
      <c r="AB199" s="295"/>
      <c r="AC199" s="295"/>
      <c r="AD199" s="295"/>
      <c r="AE199" s="295"/>
    </row>
    <row r="200" customFormat="false" ht="12.75" hidden="false" customHeight="false" outlineLevel="0" collapsed="false">
      <c r="A200" s="113"/>
      <c r="B200" s="113"/>
      <c r="C200" s="356"/>
      <c r="D200" s="356"/>
      <c r="E200" s="356"/>
      <c r="F200" s="356"/>
      <c r="G200" s="356"/>
      <c r="H200" s="356"/>
      <c r="I200" s="356"/>
      <c r="J200" s="356"/>
      <c r="K200" s="356"/>
      <c r="L200" s="356"/>
      <c r="M200" s="356"/>
      <c r="N200" s="356"/>
      <c r="O200" s="356"/>
      <c r="P200" s="356"/>
      <c r="Q200" s="356"/>
      <c r="R200" s="356"/>
      <c r="S200" s="356"/>
      <c r="T200" s="356"/>
      <c r="U200" s="356"/>
      <c r="V200" s="356"/>
      <c r="W200" s="356"/>
      <c r="X200" s="356"/>
      <c r="Y200" s="295"/>
      <c r="Z200" s="295"/>
      <c r="AA200" s="295"/>
      <c r="AB200" s="295"/>
      <c r="AC200" s="295"/>
      <c r="AD200" s="295"/>
      <c r="AE200" s="295"/>
    </row>
    <row r="201" customFormat="false" ht="11.25" hidden="false" customHeight="false" outlineLevel="0" collapsed="false">
      <c r="A201" s="113"/>
      <c r="B201" s="113"/>
      <c r="C201" s="113"/>
      <c r="D201" s="113"/>
      <c r="E201" s="113"/>
      <c r="F201" s="113"/>
      <c r="G201" s="113"/>
      <c r="H201" s="113"/>
      <c r="I201" s="113"/>
      <c r="J201" s="113"/>
      <c r="K201" s="113"/>
      <c r="L201" s="113"/>
      <c r="M201" s="113"/>
      <c r="N201" s="113"/>
      <c r="O201" s="113"/>
      <c r="P201" s="113"/>
      <c r="Q201" s="113"/>
      <c r="R201" s="113"/>
      <c r="S201" s="113"/>
      <c r="T201" s="113"/>
      <c r="U201" s="113"/>
      <c r="V201" s="113"/>
      <c r="W201" s="113"/>
      <c r="X201" s="113"/>
      <c r="Y201" s="295"/>
      <c r="Z201" s="295"/>
      <c r="AA201" s="295"/>
      <c r="AB201" s="295"/>
      <c r="AC201" s="295"/>
      <c r="AD201" s="295"/>
      <c r="AE201" s="295"/>
    </row>
    <row r="202" customFormat="false" ht="11.25" hidden="false" customHeight="false" outlineLevel="0" collapsed="false">
      <c r="A202" s="113" t="s">
        <v>319</v>
      </c>
      <c r="B202" s="113"/>
      <c r="C202" s="306" t="n">
        <f aca="false">C124+C136+C148+C160+C172+C184</f>
        <v>180064.05066285</v>
      </c>
      <c r="D202" s="306" t="e">
        <f aca="false">D124+D136+D148+D160+D172+D184</f>
        <v>#VALUE!</v>
      </c>
      <c r="E202" s="306" t="e">
        <f aca="false">E124+E136+E148+E160+E172+E184</f>
        <v>#VALUE!</v>
      </c>
      <c r="F202" s="306" t="e">
        <f aca="false">F124+F136+F148+F160+F172+F184</f>
        <v>#VALUE!</v>
      </c>
      <c r="G202" s="306" t="e">
        <f aca="false">G124+G136+G148+G160+G172+G184</f>
        <v>#VALUE!</v>
      </c>
      <c r="H202" s="306" t="e">
        <f aca="false">H124+H136+H148+H160+H172+H184</f>
        <v>#VALUE!</v>
      </c>
      <c r="I202" s="306" t="e">
        <f aca="false">I124+I136+I148+I160+I172+I184</f>
        <v>#VALUE!</v>
      </c>
      <c r="J202" s="306" t="e">
        <f aca="false">J124+J136+J148+J160+J172+J184</f>
        <v>#VALUE!</v>
      </c>
      <c r="K202" s="306" t="e">
        <f aca="false">K124+K136+K148+K160+K172+K184</f>
        <v>#VALUE!</v>
      </c>
      <c r="L202" s="306" t="e">
        <f aca="false">L124+L136+L148+L160+L172+L184</f>
        <v>#VALUE!</v>
      </c>
      <c r="M202" s="306" t="e">
        <f aca="false">M124+M136+M148+M160+M172+M184</f>
        <v>#VALUE!</v>
      </c>
      <c r="N202" s="306" t="e">
        <f aca="false">N124+N136+N148+N160+N172+N184</f>
        <v>#VALUE!</v>
      </c>
      <c r="O202" s="306" t="e">
        <f aca="false">O124+O136+O148+O160+O172+O184</f>
        <v>#VALUE!</v>
      </c>
      <c r="P202" s="306" t="e">
        <f aca="false">P124+P136+P148+P160+P172+P184</f>
        <v>#VALUE!</v>
      </c>
      <c r="Q202" s="306" t="e">
        <f aca="false">Q124+Q136+Q148+Q160+Q172+Q184</f>
        <v>#VALUE!</v>
      </c>
      <c r="R202" s="306" t="e">
        <f aca="false">R124+R136+R148+R160+R172+R184</f>
        <v>#VALUE!</v>
      </c>
      <c r="S202" s="306" t="e">
        <f aca="false">S124+S136+S148+S160+S172+S184</f>
        <v>#VALUE!</v>
      </c>
      <c r="T202" s="306" t="e">
        <f aca="false">T124+T136+T148+T160+T172+T184</f>
        <v>#VALUE!</v>
      </c>
      <c r="U202" s="306" t="e">
        <f aca="false">U124+U136+U148+U160+U172+U184</f>
        <v>#VALUE!</v>
      </c>
      <c r="V202" s="306" t="e">
        <f aca="false">V124+V136+V148+V160+V172+V184</f>
        <v>#VALUE!</v>
      </c>
      <c r="W202" s="306" t="e">
        <f aca="false">W124+W136+W148+W160+W172+W184</f>
        <v>#VALUE!</v>
      </c>
      <c r="X202" s="306" t="e">
        <f aca="false">X124+X136+X148+X160+X172+X184</f>
        <v>#VALUE!</v>
      </c>
      <c r="Y202" s="295"/>
      <c r="Z202" s="295"/>
      <c r="AA202" s="295"/>
      <c r="AB202" s="295"/>
      <c r="AC202" s="295"/>
      <c r="AD202" s="295"/>
      <c r="AE202" s="295"/>
    </row>
    <row r="203" customFormat="false" ht="11.25" hidden="false" customHeight="false" outlineLevel="0" collapsed="false">
      <c r="A203" s="113"/>
      <c r="B203" s="113"/>
      <c r="C203" s="113"/>
      <c r="D203" s="113"/>
      <c r="E203" s="113"/>
      <c r="F203" s="113"/>
      <c r="G203" s="113"/>
      <c r="H203" s="113"/>
      <c r="I203" s="113"/>
      <c r="J203" s="113"/>
      <c r="K203" s="113"/>
      <c r="L203" s="113"/>
      <c r="M203" s="113"/>
      <c r="N203" s="113"/>
      <c r="O203" s="113"/>
      <c r="P203" s="113"/>
      <c r="Q203" s="113"/>
      <c r="R203" s="113"/>
      <c r="S203" s="113"/>
      <c r="T203" s="113"/>
      <c r="U203" s="113"/>
      <c r="V203" s="113"/>
      <c r="W203" s="113"/>
      <c r="X203" s="113"/>
      <c r="Y203" s="295"/>
      <c r="Z203" s="295"/>
      <c r="AA203" s="295"/>
      <c r="AB203" s="295"/>
      <c r="AC203" s="295"/>
      <c r="AD203" s="295"/>
      <c r="AE203" s="295"/>
    </row>
    <row r="204" customFormat="false" ht="12.75" hidden="false" customHeight="false" outlineLevel="0" collapsed="false">
      <c r="C204" s="181"/>
      <c r="Y204" s="112"/>
      <c r="Z204" s="112"/>
      <c r="AA204" s="112"/>
      <c r="AB204" s="112"/>
      <c r="AC204" s="112"/>
      <c r="AD204" s="112"/>
      <c r="AE204" s="112"/>
    </row>
  </sheetData>
  <mergeCells count="2">
    <mergeCell ref="C2:E2"/>
    <mergeCell ref="C77:E77"/>
  </mergeCells>
  <printOptions headings="false" gridLines="false" gridLinesSet="true" horizontalCentered="false" verticalCentered="false"/>
  <pageMargins left="0.25" right="0.220138888888889" top="0.984027777777778" bottom="0.984027777777778" header="0.5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6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E34" activeCellId="0" sqref="E3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21.42"/>
    <col collapsed="false" customWidth="true" hidden="false" outlineLevel="0" max="3" min="3" style="0" width="12.85"/>
    <col collapsed="false" customWidth="true" hidden="false" outlineLevel="0" max="4" min="4" style="0" width="5.85"/>
    <col collapsed="false" customWidth="true" hidden="false" outlineLevel="0" max="5" min="5" style="0" width="9.85"/>
    <col collapsed="false" customWidth="true" hidden="false" outlineLevel="0" max="6" min="6" style="0" width="9.56"/>
    <col collapsed="false" customWidth="true" hidden="false" outlineLevel="0" max="8" min="8" style="0" width="9.28"/>
    <col collapsed="false" customWidth="true" hidden="false" outlineLevel="0" max="29" min="26" style="49" width="9.14"/>
    <col collapsed="false" customWidth="true" hidden="false" outlineLevel="0" max="30" min="30" style="49" width="2.99"/>
    <col collapsed="false" customWidth="true" hidden="false" outlineLevel="0" max="31" min="31" style="49" width="11.99"/>
    <col collapsed="false" customWidth="true" hidden="false" outlineLevel="0" max="45" min="32" style="49" width="9.14"/>
  </cols>
  <sheetData>
    <row r="1" customFormat="false" ht="15.75" hidden="false" customHeight="false" outlineLevel="0" collapsed="false">
      <c r="A1" s="293" t="s">
        <v>320</v>
      </c>
      <c r="B1" s="113"/>
      <c r="C1" s="113"/>
      <c r="D1" s="113"/>
      <c r="E1" s="113"/>
      <c r="F1" s="357"/>
      <c r="G1" s="113" t="s">
        <v>321</v>
      </c>
      <c r="H1" s="350" t="n">
        <v>0</v>
      </c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</row>
    <row r="2" customFormat="false" ht="12" hidden="false" customHeight="false" outlineLevel="0" collapsed="false">
      <c r="A2" s="124"/>
      <c r="B2" s="113"/>
      <c r="C2" s="113"/>
      <c r="D2" s="113"/>
      <c r="E2" s="350" t="n">
        <f aca="false">IF(MONTH(Assumptions!E49)&gt;1,Assumptions!E51/12,0)</f>
        <v>0.166666666666667</v>
      </c>
      <c r="F2" s="113"/>
      <c r="G2" s="113"/>
      <c r="H2" s="113"/>
      <c r="I2" s="330" t="str">
        <f aca="false">IF(Tables!$B$21=3,"EOC","")</f>
        <v/>
      </c>
      <c r="J2" s="330" t="str">
        <f aca="false">IF(Tables!$B$21=5,"EOC","")</f>
        <v/>
      </c>
      <c r="K2" s="113"/>
      <c r="L2" s="113"/>
      <c r="M2" s="113"/>
      <c r="N2" s="113"/>
      <c r="O2" s="330" t="str">
        <f aca="false">IF(Tables!$B$21=10,"EOC","")</f>
        <v/>
      </c>
      <c r="P2" s="113"/>
      <c r="Q2" s="113"/>
      <c r="R2" s="113"/>
      <c r="S2" s="113"/>
      <c r="T2" s="330" t="str">
        <f aca="false">IF(Tables!$B$21=15,"EOC","")</f>
        <v>EOC</v>
      </c>
      <c r="U2" s="113"/>
      <c r="V2" s="113"/>
      <c r="W2" s="113"/>
      <c r="X2" s="113"/>
      <c r="Y2" s="113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</row>
    <row r="3" customFormat="false" ht="13.5" hidden="false" customHeight="false" outlineLevel="0" collapsed="false">
      <c r="A3" s="113"/>
      <c r="B3" s="358" t="s">
        <v>322</v>
      </c>
      <c r="C3" s="359" t="s">
        <v>323</v>
      </c>
      <c r="D3" s="360"/>
      <c r="E3" s="361" t="n">
        <f aca="false">YEAR(Cashflow!C3)</f>
        <v>2000</v>
      </c>
      <c r="F3" s="361" t="n">
        <f aca="false">E3+1</f>
        <v>2001</v>
      </c>
      <c r="G3" s="361" t="n">
        <f aca="false">F3+1</f>
        <v>2002</v>
      </c>
      <c r="H3" s="361" t="n">
        <f aca="false">G3+1</f>
        <v>2003</v>
      </c>
      <c r="I3" s="361" t="n">
        <f aca="false">H3+1</f>
        <v>2004</v>
      </c>
      <c r="J3" s="361" t="n">
        <f aca="false">I3+1</f>
        <v>2005</v>
      </c>
      <c r="K3" s="361" t="n">
        <f aca="false">J3+1</f>
        <v>2006</v>
      </c>
      <c r="L3" s="361" t="n">
        <f aca="false">K3+1</f>
        <v>2007</v>
      </c>
      <c r="M3" s="361" t="n">
        <f aca="false">L3+1</f>
        <v>2008</v>
      </c>
      <c r="N3" s="361" t="n">
        <f aca="false">M3+1</f>
        <v>2009</v>
      </c>
      <c r="O3" s="361" t="n">
        <f aca="false">N3+1</f>
        <v>2010</v>
      </c>
      <c r="P3" s="361" t="n">
        <f aca="false">O3+1</f>
        <v>2011</v>
      </c>
      <c r="Q3" s="361" t="n">
        <f aca="false">P3+1</f>
        <v>2012</v>
      </c>
      <c r="R3" s="361" t="n">
        <f aca="false">Q3+1</f>
        <v>2013</v>
      </c>
      <c r="S3" s="361" t="n">
        <f aca="false">R3+1</f>
        <v>2014</v>
      </c>
      <c r="T3" s="361" t="n">
        <f aca="false">S3+1</f>
        <v>2015</v>
      </c>
      <c r="U3" s="361" t="n">
        <f aca="false">T3+1</f>
        <v>2016</v>
      </c>
      <c r="V3" s="361" t="n">
        <f aca="false">U3+1</f>
        <v>2017</v>
      </c>
      <c r="W3" s="361" t="n">
        <f aca="false">V3+1</f>
        <v>2018</v>
      </c>
      <c r="X3" s="361" t="n">
        <f aca="false">W3+1</f>
        <v>2019</v>
      </c>
      <c r="Y3" s="361" t="n">
        <f aca="false">X3+1</f>
        <v>2020</v>
      </c>
      <c r="Z3" s="95"/>
      <c r="AA3" s="95"/>
      <c r="AB3" s="95"/>
      <c r="AC3" s="95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</row>
    <row r="4" customFormat="false" ht="11.25" hidden="false" customHeight="false" outlineLevel="0" collapsed="false">
      <c r="A4" s="113"/>
      <c r="B4" s="362"/>
      <c r="C4" s="363" t="s">
        <v>324</v>
      </c>
      <c r="D4" s="142"/>
      <c r="E4" s="142" t="n">
        <v>1</v>
      </c>
      <c r="F4" s="142" t="n">
        <f aca="false">E4+1</f>
        <v>2</v>
      </c>
      <c r="G4" s="142" t="n">
        <f aca="false">F4+1</f>
        <v>3</v>
      </c>
      <c r="H4" s="142" t="n">
        <f aca="false">G4+1</f>
        <v>4</v>
      </c>
      <c r="I4" s="142" t="n">
        <f aca="false">H4+1</f>
        <v>5</v>
      </c>
      <c r="J4" s="142" t="n">
        <f aca="false">I4+1</f>
        <v>6</v>
      </c>
      <c r="K4" s="142" t="n">
        <f aca="false">J4+1</f>
        <v>7</v>
      </c>
      <c r="L4" s="142" t="n">
        <f aca="false">K4+1</f>
        <v>8</v>
      </c>
      <c r="M4" s="142" t="n">
        <f aca="false">L4+1</f>
        <v>9</v>
      </c>
      <c r="N4" s="142" t="n">
        <f aca="false">M4+1</f>
        <v>10</v>
      </c>
      <c r="O4" s="142" t="n">
        <f aca="false">N4+1</f>
        <v>11</v>
      </c>
      <c r="P4" s="142" t="n">
        <f aca="false">O4+1</f>
        <v>12</v>
      </c>
      <c r="Q4" s="142" t="n">
        <f aca="false">P4+1</f>
        <v>13</v>
      </c>
      <c r="R4" s="142" t="n">
        <f aca="false">Q4+1</f>
        <v>14</v>
      </c>
      <c r="S4" s="142" t="n">
        <f aca="false">R4+1</f>
        <v>15</v>
      </c>
      <c r="T4" s="142" t="n">
        <f aca="false">S4+1</f>
        <v>16</v>
      </c>
      <c r="U4" s="142" t="n">
        <f aca="false">T4+1</f>
        <v>17</v>
      </c>
      <c r="V4" s="142" t="n">
        <f aca="false">U4+1</f>
        <v>18</v>
      </c>
      <c r="W4" s="142" t="n">
        <f aca="false">V4+1</f>
        <v>19</v>
      </c>
      <c r="X4" s="142" t="n">
        <f aca="false">W4+1</f>
        <v>20</v>
      </c>
      <c r="Y4" s="142" t="n">
        <f aca="false">X4+1</f>
        <v>21</v>
      </c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</row>
    <row r="5" customFormat="false" ht="11.25" hidden="false" customHeight="false" outlineLevel="0" collapsed="false">
      <c r="A5" s="113"/>
      <c r="B5" s="362" t="s">
        <v>325</v>
      </c>
      <c r="C5" s="142"/>
      <c r="D5" s="142"/>
      <c r="E5" s="364" t="n">
        <v>0</v>
      </c>
      <c r="F5" s="365" t="n">
        <f aca="false">E5+Assumptions!$E$32</f>
        <v>0.02</v>
      </c>
      <c r="G5" s="365" t="n">
        <f aca="false">F5+Assumptions!$E$32</f>
        <v>0.04</v>
      </c>
      <c r="H5" s="365" t="n">
        <f aca="false">G5+Assumptions!$E$32</f>
        <v>0.06</v>
      </c>
      <c r="I5" s="365" t="n">
        <f aca="false">H5+Assumptions!$E$32</f>
        <v>0.08</v>
      </c>
      <c r="J5" s="365" t="n">
        <f aca="false">I5+Assumptions!$E$32</f>
        <v>0.1</v>
      </c>
      <c r="K5" s="365" t="n">
        <f aca="false">J5+Assumptions!$E$32</f>
        <v>0.12</v>
      </c>
      <c r="L5" s="365" t="n">
        <f aca="false">K5+Assumptions!$E$32</f>
        <v>0.14</v>
      </c>
      <c r="M5" s="365" t="n">
        <f aca="false">L5+Assumptions!$E$32</f>
        <v>0.16</v>
      </c>
      <c r="N5" s="365" t="n">
        <f aca="false">M5+Assumptions!$E$32</f>
        <v>0.18</v>
      </c>
      <c r="O5" s="365" t="n">
        <f aca="false">N5+Assumptions!$E$32</f>
        <v>0.2</v>
      </c>
      <c r="P5" s="365" t="n">
        <f aca="false">O5+Assumptions!$E$32</f>
        <v>0.22</v>
      </c>
      <c r="Q5" s="365" t="n">
        <f aca="false">P5+Assumptions!$E$32</f>
        <v>0.24</v>
      </c>
      <c r="R5" s="365" t="n">
        <f aca="false">Q5+Assumptions!$E$32</f>
        <v>0.26</v>
      </c>
      <c r="S5" s="365" t="n">
        <f aca="false">R5+Assumptions!$E$32</f>
        <v>0.28</v>
      </c>
      <c r="T5" s="365" t="n">
        <f aca="false">S5+Assumptions!$E$32</f>
        <v>0.3</v>
      </c>
      <c r="U5" s="365" t="n">
        <f aca="false">T5+Assumptions!$E$32</f>
        <v>0.32</v>
      </c>
      <c r="V5" s="365" t="n">
        <f aca="false">U5+Assumptions!$E$32</f>
        <v>0.34</v>
      </c>
      <c r="W5" s="365" t="n">
        <f aca="false">V5+Assumptions!$E$32</f>
        <v>0.36</v>
      </c>
      <c r="X5" s="365" t="n">
        <f aca="false">W5+Assumptions!$E$32</f>
        <v>0.38</v>
      </c>
      <c r="Y5" s="365" t="n">
        <f aca="false">X5+Assumptions!$E$32</f>
        <v>0.4</v>
      </c>
      <c r="Z5" s="365"/>
      <c r="AA5" s="365"/>
      <c r="AB5" s="365"/>
      <c r="AC5" s="365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</row>
    <row r="6" customFormat="false" ht="12" hidden="false" customHeight="false" outlineLevel="0" collapsed="false">
      <c r="A6" s="113"/>
      <c r="B6" s="366" t="s">
        <v>326</v>
      </c>
      <c r="C6" s="367"/>
      <c r="D6" s="367"/>
      <c r="E6" s="368" t="n">
        <v>0</v>
      </c>
      <c r="F6" s="369" t="n">
        <f aca="false">E6+Assumptions!$E$32</f>
        <v>0.02</v>
      </c>
      <c r="G6" s="369" t="n">
        <f aca="false">F6+Assumptions!$E$32</f>
        <v>0.04</v>
      </c>
      <c r="H6" s="369" t="n">
        <f aca="false">G6+Assumptions!$E$32</f>
        <v>0.06</v>
      </c>
      <c r="I6" s="369" t="n">
        <f aca="false">H6+Assumptions!$E$32</f>
        <v>0.08</v>
      </c>
      <c r="J6" s="369" t="n">
        <f aca="false">I6+Assumptions!$E$32</f>
        <v>0.1</v>
      </c>
      <c r="K6" s="369" t="n">
        <f aca="false">J6+Assumptions!$E$32</f>
        <v>0.12</v>
      </c>
      <c r="L6" s="369" t="n">
        <f aca="false">K6+Assumptions!$E$32</f>
        <v>0.14</v>
      </c>
      <c r="M6" s="369" t="n">
        <f aca="false">L6+Assumptions!$E$32</f>
        <v>0.16</v>
      </c>
      <c r="N6" s="369" t="n">
        <f aca="false">M6+Assumptions!$E$32</f>
        <v>0.18</v>
      </c>
      <c r="O6" s="369" t="n">
        <f aca="false">N6+Assumptions!$E$32</f>
        <v>0.2</v>
      </c>
      <c r="P6" s="369" t="n">
        <f aca="false">O6+Assumptions!$E$32</f>
        <v>0.22</v>
      </c>
      <c r="Q6" s="369" t="n">
        <f aca="false">P6+Assumptions!$E$32</f>
        <v>0.24</v>
      </c>
      <c r="R6" s="369" t="n">
        <f aca="false">Q6+Assumptions!$E$32</f>
        <v>0.26</v>
      </c>
      <c r="S6" s="369" t="n">
        <f aca="false">R6+Assumptions!$E$32</f>
        <v>0.28</v>
      </c>
      <c r="T6" s="369" t="n">
        <f aca="false">S6+Assumptions!$E$32</f>
        <v>0.3</v>
      </c>
      <c r="U6" s="369" t="n">
        <f aca="false">T6+Assumptions!$E$32</f>
        <v>0.32</v>
      </c>
      <c r="V6" s="369" t="n">
        <f aca="false">U6+Assumptions!$E$32</f>
        <v>0.34</v>
      </c>
      <c r="W6" s="369" t="n">
        <f aca="false">V6+Assumptions!$E$32</f>
        <v>0.36</v>
      </c>
      <c r="X6" s="369" t="n">
        <f aca="false">W6+Assumptions!$E$32</f>
        <v>0.38</v>
      </c>
      <c r="Y6" s="369" t="n">
        <f aca="false">X6+Assumptions!$E$32</f>
        <v>0.4</v>
      </c>
      <c r="Z6" s="365"/>
      <c r="AA6" s="365"/>
      <c r="AB6" s="365"/>
      <c r="AC6" s="365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</row>
    <row r="7" customFormat="false" ht="12" hidden="false" customHeight="false" outlineLevel="0" collapsed="false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</row>
    <row r="8" customFormat="false" ht="11.25" hidden="false" customHeight="false" outlineLevel="0" collapsed="false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</row>
    <row r="9" customFormat="false" ht="11.25" hidden="false" customHeight="false" outlineLevel="0" collapsed="false">
      <c r="A9" s="330" t="s">
        <v>327</v>
      </c>
      <c r="B9" s="113" t="s">
        <v>328</v>
      </c>
      <c r="C9" s="370" t="n">
        <f aca="false">700*(1+H1)</f>
        <v>700</v>
      </c>
      <c r="D9" s="113"/>
      <c r="E9" s="371" t="n">
        <f aca="false">$C$9*(1+E5)</f>
        <v>700</v>
      </c>
      <c r="F9" s="371" t="n">
        <f aca="false">$C$9*(1+F5)</f>
        <v>714</v>
      </c>
      <c r="G9" s="371" t="n">
        <f aca="false">$C$9*(1+G5)</f>
        <v>728</v>
      </c>
      <c r="H9" s="371" t="n">
        <f aca="false">$C$9*(1+H5)</f>
        <v>742</v>
      </c>
      <c r="I9" s="371" t="n">
        <f aca="false">$C$9*(1+I5)</f>
        <v>756</v>
      </c>
      <c r="J9" s="371" t="n">
        <f aca="false">$C$9*(1+J5)</f>
        <v>770</v>
      </c>
      <c r="K9" s="371" t="n">
        <f aca="false">$C$9*(1+K5)</f>
        <v>784</v>
      </c>
      <c r="L9" s="371" t="n">
        <f aca="false">$C$9*(1+L5)</f>
        <v>798</v>
      </c>
      <c r="M9" s="371" t="n">
        <f aca="false">$C$9*(1+M5)</f>
        <v>812</v>
      </c>
      <c r="N9" s="371" t="n">
        <f aca="false">$C$9*(1+N5)</f>
        <v>826</v>
      </c>
      <c r="O9" s="371" t="n">
        <f aca="false">$C$9*(1+O5)</f>
        <v>840</v>
      </c>
      <c r="P9" s="371" t="n">
        <f aca="false">$C$9*(1+P5)</f>
        <v>854</v>
      </c>
      <c r="Q9" s="371" t="n">
        <f aca="false">$C$9*(1+Q5)</f>
        <v>868</v>
      </c>
      <c r="R9" s="371" t="n">
        <f aca="false">$C$9*(1+R5)</f>
        <v>882</v>
      </c>
      <c r="S9" s="371" t="n">
        <f aca="false">$C$9*(1+S5)</f>
        <v>896</v>
      </c>
      <c r="T9" s="371" t="n">
        <f aca="false">$C$9*(1+T5)</f>
        <v>910</v>
      </c>
      <c r="U9" s="371" t="n">
        <f aca="false">$C$9*(1+U5)</f>
        <v>924</v>
      </c>
      <c r="V9" s="371" t="n">
        <f aca="false">$C$9*(1+V5)</f>
        <v>938</v>
      </c>
      <c r="W9" s="371" t="n">
        <f aca="false">$C$9*(1+W5)</f>
        <v>952</v>
      </c>
      <c r="X9" s="371" t="n">
        <f aca="false">$C$9*(1+X5)</f>
        <v>966</v>
      </c>
      <c r="Y9" s="371" t="n">
        <f aca="false">$C$9*(1+Y5)</f>
        <v>980</v>
      </c>
      <c r="Z9" s="371"/>
      <c r="AA9" s="371"/>
      <c r="AB9" s="371"/>
      <c r="AC9" s="371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</row>
    <row r="10" customFormat="false" ht="11.25" hidden="false" customHeight="false" outlineLevel="0" collapsed="false">
      <c r="A10" s="330" t="s">
        <v>327</v>
      </c>
      <c r="B10" s="113" t="s">
        <v>329</v>
      </c>
      <c r="C10" s="370" t="n">
        <f aca="false">1200-700</f>
        <v>500</v>
      </c>
      <c r="D10" s="113"/>
      <c r="E10" s="371"/>
      <c r="F10" s="371"/>
      <c r="G10" s="371"/>
      <c r="H10" s="371"/>
      <c r="I10" s="371" t="n">
        <f aca="false">IF(Tables!$B$36="Combined Cycle",($C$10*(1+I5)),0)</f>
        <v>0</v>
      </c>
      <c r="J10" s="371" t="n">
        <f aca="false">IF(Tables!$B$36="Combined Cycle",($C$10*(1+J5)),0)</f>
        <v>0</v>
      </c>
      <c r="K10" s="371" t="n">
        <f aca="false">IF(Tables!$B$36="Combined Cycle",($C$10*(1+K5)),0)</f>
        <v>0</v>
      </c>
      <c r="L10" s="371" t="n">
        <f aca="false">IF(Tables!$B$36="Combined Cycle",($C$10*(1+L5)),0)</f>
        <v>0</v>
      </c>
      <c r="M10" s="371" t="n">
        <f aca="false">IF(Tables!$B$36="Combined Cycle",($C$10*(1+M5)),0)</f>
        <v>0</v>
      </c>
      <c r="N10" s="371" t="n">
        <f aca="false">IF(Tables!$B$36="Combined Cycle",($C$10*(1+N5)),0)</f>
        <v>0</v>
      </c>
      <c r="O10" s="371" t="n">
        <f aca="false">IF(Tables!$B$36="Combined Cycle",($C$10*(1+O5)),0)</f>
        <v>0</v>
      </c>
      <c r="P10" s="371" t="n">
        <f aca="false">IF(Tables!$B$36="Combined Cycle",($C$10*(1+P5)),0)</f>
        <v>0</v>
      </c>
      <c r="Q10" s="371" t="n">
        <f aca="false">IF(Tables!$B$36="Combined Cycle",($C$10*(1+Q5)),0)</f>
        <v>0</v>
      </c>
      <c r="R10" s="371" t="n">
        <f aca="false">IF(Tables!$B$36="Combined Cycle",($C$10*(1+R5)),0)</f>
        <v>0</v>
      </c>
      <c r="S10" s="371" t="n">
        <f aca="false">IF(Tables!$B$36="Combined Cycle",($C$10*(1+S5)),0)</f>
        <v>0</v>
      </c>
      <c r="T10" s="371" t="n">
        <f aca="false">IF(Tables!$B$36="Combined Cycle",($C$10*(1+T5)),0)</f>
        <v>0</v>
      </c>
      <c r="U10" s="371" t="n">
        <f aca="false">IF(Tables!$B$36="Combined Cycle",($C$10*(1+U5)),0)</f>
        <v>0</v>
      </c>
      <c r="V10" s="371" t="n">
        <f aca="false">IF(Tables!$B$36="Combined Cycle",($C$10*(1+V5)),0)</f>
        <v>0</v>
      </c>
      <c r="W10" s="371" t="n">
        <f aca="false">IF(Tables!$B$36="Combined Cycle",($C$10*(1+W5)),0)</f>
        <v>0</v>
      </c>
      <c r="X10" s="371" t="n">
        <f aca="false">IF(Tables!$B$36="Combined Cycle",($C$10*(1+X5)),0)</f>
        <v>0</v>
      </c>
      <c r="Y10" s="371" t="n">
        <f aca="false">IF(Tables!$B$36="Combined Cycle",($C$10*(1+Y5)),0)</f>
        <v>0</v>
      </c>
      <c r="Z10" s="371"/>
      <c r="AA10" s="371"/>
      <c r="AB10" s="371"/>
      <c r="AC10" s="371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</row>
    <row r="11" customFormat="false" ht="11.25" hidden="false" customHeight="false" outlineLevel="0" collapsed="false">
      <c r="A11" s="330" t="s">
        <v>327</v>
      </c>
      <c r="B11" s="113" t="s">
        <v>330</v>
      </c>
      <c r="C11" s="370" t="n">
        <f aca="false">(25*Assumptions!E31)*(1+H1)</f>
        <v>36.75</v>
      </c>
      <c r="D11" s="113"/>
      <c r="E11" s="371" t="n">
        <f aca="false">$C$11*(1+E$6)</f>
        <v>36.75</v>
      </c>
      <c r="F11" s="371" t="n">
        <f aca="false">$C$11*(1+F$6)</f>
        <v>37.485</v>
      </c>
      <c r="G11" s="371" t="n">
        <f aca="false">$C$11*(1+G$6)</f>
        <v>38.22</v>
      </c>
      <c r="H11" s="371" t="n">
        <f aca="false">$C$11*(1+H$6)</f>
        <v>38.955</v>
      </c>
      <c r="I11" s="371" t="n">
        <f aca="false">$C$11*(1+I$6)</f>
        <v>39.69</v>
      </c>
      <c r="J11" s="371" t="n">
        <f aca="false">$C$11*(1+J$6)</f>
        <v>40.425</v>
      </c>
      <c r="K11" s="371" t="n">
        <f aca="false">$C$11*(1+K$6)</f>
        <v>41.16</v>
      </c>
      <c r="L11" s="371" t="n">
        <f aca="false">$C$11*(1+L$6)</f>
        <v>41.895</v>
      </c>
      <c r="M11" s="371" t="n">
        <f aca="false">$C$11*(1+M$6)</f>
        <v>42.63</v>
      </c>
      <c r="N11" s="371" t="n">
        <f aca="false">$C$11*(1+N$6)</f>
        <v>43.365</v>
      </c>
      <c r="O11" s="371" t="n">
        <f aca="false">$C$11*(1+O$6)</f>
        <v>44.1</v>
      </c>
      <c r="P11" s="371" t="n">
        <f aca="false">$C$11*(1+P$6)</f>
        <v>44.835</v>
      </c>
      <c r="Q11" s="371" t="n">
        <f aca="false">$C$11*(1+Q$6)</f>
        <v>45.57</v>
      </c>
      <c r="R11" s="371" t="n">
        <f aca="false">$C$11*(1+R$6)</f>
        <v>46.305</v>
      </c>
      <c r="S11" s="371" t="n">
        <f aca="false">$C$11*(1+S$6)</f>
        <v>47.04</v>
      </c>
      <c r="T11" s="371" t="n">
        <f aca="false">$C$11*(1+T$6)</f>
        <v>47.775</v>
      </c>
      <c r="U11" s="371" t="n">
        <f aca="false">$C$11*(1+U$6)</f>
        <v>48.51</v>
      </c>
      <c r="V11" s="371" t="n">
        <f aca="false">$C$11*(1+V$6)</f>
        <v>49.245</v>
      </c>
      <c r="W11" s="371" t="n">
        <f aca="false">$C$11*(1+W$6)</f>
        <v>49.98</v>
      </c>
      <c r="X11" s="371" t="n">
        <f aca="false">$C$11*(1+X$6)</f>
        <v>50.715</v>
      </c>
      <c r="Y11" s="371" t="n">
        <f aca="false">$C$11*(1+Y$6)</f>
        <v>51.45</v>
      </c>
      <c r="Z11" s="371"/>
      <c r="AA11" s="371"/>
      <c r="AB11" s="371"/>
      <c r="AC11" s="371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</row>
    <row r="12" customFormat="false" ht="11.25" hidden="false" customHeight="false" outlineLevel="0" collapsed="false">
      <c r="A12" s="330" t="s">
        <v>327</v>
      </c>
      <c r="B12" s="113" t="s">
        <v>331</v>
      </c>
      <c r="C12" s="370" t="n">
        <f aca="false">(100*Assumptions!E31)*(1+H1)</f>
        <v>147</v>
      </c>
      <c r="D12" s="113"/>
      <c r="E12" s="371" t="n">
        <f aca="false">$C$12*(1+E$6)</f>
        <v>147</v>
      </c>
      <c r="F12" s="371" t="n">
        <f aca="false">$C$12*(1+F$6)</f>
        <v>149.94</v>
      </c>
      <c r="G12" s="371" t="n">
        <f aca="false">$C$12*(1+G$6)</f>
        <v>152.88</v>
      </c>
      <c r="H12" s="371" t="n">
        <f aca="false">$C$12*(1+H$6)</f>
        <v>155.82</v>
      </c>
      <c r="I12" s="371" t="n">
        <f aca="false">$C$12*(1+I$6)</f>
        <v>158.76</v>
      </c>
      <c r="J12" s="371" t="n">
        <f aca="false">$C$12*(1+J$6)</f>
        <v>161.7</v>
      </c>
      <c r="K12" s="371" t="n">
        <f aca="false">$C$12*(1+K$6)</f>
        <v>164.64</v>
      </c>
      <c r="L12" s="371" t="n">
        <f aca="false">$C$12*(1+L$6)</f>
        <v>167.58</v>
      </c>
      <c r="M12" s="371" t="n">
        <f aca="false">$C$12*(1+M$6)</f>
        <v>170.52</v>
      </c>
      <c r="N12" s="371" t="n">
        <f aca="false">$C$12*(1+N$6)</f>
        <v>173.46</v>
      </c>
      <c r="O12" s="371" t="n">
        <f aca="false">$C$12*(1+O$6)</f>
        <v>176.4</v>
      </c>
      <c r="P12" s="371" t="n">
        <f aca="false">$C$12*(1+P$6)</f>
        <v>179.34</v>
      </c>
      <c r="Q12" s="371" t="n">
        <f aca="false">$C$12*(1+Q$6)</f>
        <v>182.28</v>
      </c>
      <c r="R12" s="371" t="n">
        <f aca="false">$C$12*(1+R$6)</f>
        <v>185.22</v>
      </c>
      <c r="S12" s="371" t="n">
        <f aca="false">$C$12*(1+S$6)</f>
        <v>188.16</v>
      </c>
      <c r="T12" s="371" t="n">
        <f aca="false">$C$12*(1+T$6)</f>
        <v>191.1</v>
      </c>
      <c r="U12" s="371" t="n">
        <f aca="false">$C$12*(1+U$6)</f>
        <v>194.04</v>
      </c>
      <c r="V12" s="371" t="n">
        <f aca="false">$C$12*(1+V$6)</f>
        <v>196.98</v>
      </c>
      <c r="W12" s="371" t="n">
        <f aca="false">$C$12*(1+W$6)</f>
        <v>199.92</v>
      </c>
      <c r="X12" s="371" t="n">
        <f aca="false">$C$12*(1+X$6)</f>
        <v>202.86</v>
      </c>
      <c r="Y12" s="371" t="n">
        <f aca="false">$C$12*(1+Y$6)</f>
        <v>205.8</v>
      </c>
      <c r="Z12" s="371"/>
      <c r="AA12" s="371"/>
      <c r="AB12" s="371"/>
      <c r="AC12" s="371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</row>
    <row r="13" customFormat="false" ht="11.25" hidden="false" customHeight="false" outlineLevel="0" collapsed="false">
      <c r="A13" s="330" t="s">
        <v>327</v>
      </c>
      <c r="B13" s="113" t="s">
        <v>332</v>
      </c>
      <c r="C13" s="370" t="n">
        <f aca="false">(15*Assumptions!E31)*(1+H1)</f>
        <v>22.05</v>
      </c>
      <c r="D13" s="113"/>
      <c r="E13" s="371" t="n">
        <f aca="false">$C$13*(1+E$6)</f>
        <v>22.05</v>
      </c>
      <c r="F13" s="371" t="n">
        <f aca="false">$C$13*(1+F$6)</f>
        <v>22.491</v>
      </c>
      <c r="G13" s="371" t="n">
        <f aca="false">$C$13*(1+G$6)</f>
        <v>22.932</v>
      </c>
      <c r="H13" s="371" t="n">
        <f aca="false">$C$13*(1+H$6)</f>
        <v>23.373</v>
      </c>
      <c r="I13" s="371" t="n">
        <f aca="false">$C$13*(1+I$6)</f>
        <v>23.814</v>
      </c>
      <c r="J13" s="371" t="n">
        <f aca="false">$C$13*(1+J$6)</f>
        <v>24.255</v>
      </c>
      <c r="K13" s="371" t="n">
        <f aca="false">$C$13*(1+K$6)</f>
        <v>24.696</v>
      </c>
      <c r="L13" s="371" t="n">
        <f aca="false">$C$13*(1+L$6)</f>
        <v>25.137</v>
      </c>
      <c r="M13" s="371" t="n">
        <f aca="false">$C$13*(1+M$6)</f>
        <v>25.578</v>
      </c>
      <c r="N13" s="371" t="n">
        <f aca="false">$C$13*(1+N$6)</f>
        <v>26.019</v>
      </c>
      <c r="O13" s="371" t="n">
        <f aca="false">$C$13*(1+O$6)</f>
        <v>26.46</v>
      </c>
      <c r="P13" s="371" t="n">
        <f aca="false">$C$13*(1+P$6)</f>
        <v>26.901</v>
      </c>
      <c r="Q13" s="371" t="n">
        <f aca="false">$C$13*(1+Q$6)</f>
        <v>27.342</v>
      </c>
      <c r="R13" s="371" t="n">
        <f aca="false">$C$13*(1+R$6)</f>
        <v>27.783</v>
      </c>
      <c r="S13" s="371" t="n">
        <f aca="false">$C$13*(1+S$6)</f>
        <v>28.224</v>
      </c>
      <c r="T13" s="371" t="n">
        <f aca="false">$C$13*(1+T$6)</f>
        <v>28.665</v>
      </c>
      <c r="U13" s="371" t="n">
        <f aca="false">$C$13*(1+U$6)</f>
        <v>29.106</v>
      </c>
      <c r="V13" s="371" t="n">
        <f aca="false">$C$13*(1+V$6)</f>
        <v>29.547</v>
      </c>
      <c r="W13" s="371" t="n">
        <f aca="false">$C$13*(1+W$6)</f>
        <v>29.988</v>
      </c>
      <c r="X13" s="371" t="n">
        <f aca="false">$C$13*(1+X$6)</f>
        <v>30.429</v>
      </c>
      <c r="Y13" s="371" t="n">
        <f aca="false">$C$13*(1+Y$6)</f>
        <v>30.87</v>
      </c>
      <c r="Z13" s="371"/>
      <c r="AA13" s="371"/>
      <c r="AB13" s="371"/>
      <c r="AC13" s="371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</row>
    <row r="14" customFormat="false" ht="11.25" hidden="false" customHeight="false" outlineLevel="0" collapsed="false">
      <c r="A14" s="330" t="s">
        <v>327</v>
      </c>
      <c r="B14" s="113" t="s">
        <v>333</v>
      </c>
      <c r="C14" s="370" t="n">
        <f aca="false">(50*Assumptions!E31)*(1+H1)</f>
        <v>73.5</v>
      </c>
      <c r="D14" s="113"/>
      <c r="E14" s="371" t="n">
        <f aca="false">$C$14*(1+E$6)</f>
        <v>73.5</v>
      </c>
      <c r="F14" s="371" t="n">
        <f aca="false">$C$14*(1+F$6)</f>
        <v>74.97</v>
      </c>
      <c r="G14" s="371" t="n">
        <f aca="false">$C$14*(1+G$6)</f>
        <v>76.44</v>
      </c>
      <c r="H14" s="371" t="n">
        <f aca="false">$C$14*(1+H$6)</f>
        <v>77.91</v>
      </c>
      <c r="I14" s="371" t="n">
        <f aca="false">$C$14*(1+I$6)</f>
        <v>79.38</v>
      </c>
      <c r="J14" s="371" t="n">
        <f aca="false">$C$14*(1+J$6)</f>
        <v>80.85</v>
      </c>
      <c r="K14" s="371" t="n">
        <f aca="false">$C$14*(1+K$6)</f>
        <v>82.32</v>
      </c>
      <c r="L14" s="371" t="n">
        <f aca="false">$C$14*(1+L$6)</f>
        <v>83.79</v>
      </c>
      <c r="M14" s="371" t="n">
        <f aca="false">$C$14*(1+M$6)</f>
        <v>85.26</v>
      </c>
      <c r="N14" s="371" t="n">
        <f aca="false">$C$14*(1+N$6)</f>
        <v>86.73</v>
      </c>
      <c r="O14" s="371" t="n">
        <f aca="false">$C$14*(1+O$6)</f>
        <v>88.2</v>
      </c>
      <c r="P14" s="371" t="n">
        <f aca="false">$C$14*(1+P$6)</f>
        <v>89.67</v>
      </c>
      <c r="Q14" s="371" t="n">
        <f aca="false">$C$14*(1+Q$6)</f>
        <v>91.14</v>
      </c>
      <c r="R14" s="371" t="n">
        <f aca="false">$C$14*(1+R$6)</f>
        <v>92.61</v>
      </c>
      <c r="S14" s="371" t="n">
        <f aca="false">$C$14*(1+S$6)</f>
        <v>94.08</v>
      </c>
      <c r="T14" s="371" t="n">
        <f aca="false">$C$14*(1+T$6)</f>
        <v>95.55</v>
      </c>
      <c r="U14" s="371" t="n">
        <f aca="false">$C$14*(1+U$6)</f>
        <v>97.02</v>
      </c>
      <c r="V14" s="371" t="n">
        <f aca="false">$C$14*(1+V$6)</f>
        <v>98.49</v>
      </c>
      <c r="W14" s="371" t="n">
        <f aca="false">$C$14*(1+W$6)</f>
        <v>99.96</v>
      </c>
      <c r="X14" s="371" t="n">
        <f aca="false">$C$14*(1+X$6)</f>
        <v>101.43</v>
      </c>
      <c r="Y14" s="371" t="n">
        <f aca="false">$C$14*(1+Y$6)</f>
        <v>102.9</v>
      </c>
      <c r="Z14" s="371"/>
      <c r="AA14" s="371"/>
      <c r="AB14" s="371"/>
      <c r="AC14" s="371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</row>
    <row r="15" customFormat="false" ht="11.25" hidden="false" customHeight="false" outlineLevel="0" collapsed="false">
      <c r="A15" s="330" t="s">
        <v>327</v>
      </c>
      <c r="B15" s="113" t="s">
        <v>334</v>
      </c>
      <c r="C15" s="370" t="n">
        <f aca="false">(35*Assumptions!E31)*(1+H1)</f>
        <v>51.45</v>
      </c>
      <c r="D15" s="113"/>
      <c r="E15" s="371" t="n">
        <f aca="false">$C$15*(1+E6)</f>
        <v>51.45</v>
      </c>
      <c r="F15" s="371" t="n">
        <f aca="false">$C$15*(1+F6)</f>
        <v>52.479</v>
      </c>
      <c r="G15" s="371" t="n">
        <f aca="false">$C$15*(1+G6)</f>
        <v>53.508</v>
      </c>
      <c r="H15" s="371" t="n">
        <f aca="false">$C$15*(1+H6)</f>
        <v>54.537</v>
      </c>
      <c r="I15" s="371" t="n">
        <f aca="false">$C$15*(1+I6)</f>
        <v>55.566</v>
      </c>
      <c r="J15" s="371" t="n">
        <f aca="false">$C$15*(1+J6)</f>
        <v>56.595</v>
      </c>
      <c r="K15" s="371" t="n">
        <f aca="false">$C$15*(1+K6)</f>
        <v>57.624</v>
      </c>
      <c r="L15" s="371" t="n">
        <f aca="false">$C$15*(1+L6)</f>
        <v>58.653</v>
      </c>
      <c r="M15" s="371" t="n">
        <f aca="false">$C$15*(1+M6)</f>
        <v>59.682</v>
      </c>
      <c r="N15" s="371" t="n">
        <f aca="false">$C$15*(1+N6)</f>
        <v>60.711</v>
      </c>
      <c r="O15" s="371" t="n">
        <f aca="false">$C$15*(1+O6)</f>
        <v>61.74</v>
      </c>
      <c r="P15" s="371" t="n">
        <f aca="false">$C$15*(1+P6)</f>
        <v>62.769</v>
      </c>
      <c r="Q15" s="371" t="n">
        <f aca="false">$C$15*(1+Q6)</f>
        <v>63.798</v>
      </c>
      <c r="R15" s="371" t="n">
        <f aca="false">$C$15*(1+R6)</f>
        <v>64.827</v>
      </c>
      <c r="S15" s="371" t="n">
        <f aca="false">$C$15*(1+S6)</f>
        <v>65.856</v>
      </c>
      <c r="T15" s="371" t="n">
        <f aca="false">$C$15*(1+T6)</f>
        <v>66.885</v>
      </c>
      <c r="U15" s="371" t="n">
        <f aca="false">$C$15*(1+U6)</f>
        <v>67.914</v>
      </c>
      <c r="V15" s="371" t="n">
        <f aca="false">$C$15*(1+V6)</f>
        <v>68.943</v>
      </c>
      <c r="W15" s="371" t="n">
        <f aca="false">$C$15*(1+W6)</f>
        <v>69.972</v>
      </c>
      <c r="X15" s="371" t="n">
        <f aca="false">$C$15*(1+X6)</f>
        <v>71.001</v>
      </c>
      <c r="Y15" s="371" t="n">
        <f aca="false">$C$15*(1+Y6)</f>
        <v>72.03</v>
      </c>
      <c r="Z15" s="371"/>
      <c r="AA15" s="371"/>
      <c r="AB15" s="371"/>
      <c r="AC15" s="371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  <c r="AQ15" s="142"/>
      <c r="AR15" s="142"/>
      <c r="AS15" s="142"/>
    </row>
    <row r="16" customFormat="false" ht="11.25" hidden="false" customHeight="false" outlineLevel="0" collapsed="false">
      <c r="A16" s="330" t="s">
        <v>327</v>
      </c>
      <c r="B16" s="113" t="s">
        <v>335</v>
      </c>
      <c r="C16" s="370" t="n">
        <v>0</v>
      </c>
      <c r="D16" s="113"/>
      <c r="E16" s="371" t="n">
        <f aca="false">$C$16*(1+E6)</f>
        <v>0</v>
      </c>
      <c r="F16" s="371" t="n">
        <f aca="false">$C$16*(1+F6)</f>
        <v>0</v>
      </c>
      <c r="G16" s="371" t="n">
        <f aca="false">$C$16*(1+G6)</f>
        <v>0</v>
      </c>
      <c r="H16" s="371" t="n">
        <f aca="false">$C$16*(1+H6)</f>
        <v>0</v>
      </c>
      <c r="I16" s="371" t="n">
        <f aca="false">$C$16*(1+I6)</f>
        <v>0</v>
      </c>
      <c r="J16" s="371" t="n">
        <f aca="false">$C$16*(1+J6)</f>
        <v>0</v>
      </c>
      <c r="K16" s="371" t="n">
        <f aca="false">$C$16*(1+K6)</f>
        <v>0</v>
      </c>
      <c r="L16" s="371" t="n">
        <f aca="false">$C$16*(1+L6)</f>
        <v>0</v>
      </c>
      <c r="M16" s="371" t="n">
        <f aca="false">$C$16*(1+M6)</f>
        <v>0</v>
      </c>
      <c r="N16" s="371" t="n">
        <f aca="false">$C$16*(1+N6)</f>
        <v>0</v>
      </c>
      <c r="O16" s="371" t="n">
        <f aca="false">$C$16*(1+O6)</f>
        <v>0</v>
      </c>
      <c r="P16" s="371" t="n">
        <f aca="false">$C$16*(1+P6)</f>
        <v>0</v>
      </c>
      <c r="Q16" s="371" t="n">
        <f aca="false">$C$16*(1+Q6)</f>
        <v>0</v>
      </c>
      <c r="R16" s="371" t="n">
        <f aca="false">$C$16*(1+R6)</f>
        <v>0</v>
      </c>
      <c r="S16" s="371" t="n">
        <f aca="false">$C$16*(1+S6)</f>
        <v>0</v>
      </c>
      <c r="T16" s="371" t="n">
        <f aca="false">$C$16*(1+T6)</f>
        <v>0</v>
      </c>
      <c r="U16" s="371" t="n">
        <f aca="false">$C$16*(1+U6)</f>
        <v>0</v>
      </c>
      <c r="V16" s="371" t="n">
        <f aca="false">$C$16*(1+V6)</f>
        <v>0</v>
      </c>
      <c r="W16" s="371" t="n">
        <f aca="false">$C$16*(1+W6)</f>
        <v>0</v>
      </c>
      <c r="X16" s="371" t="n">
        <f aca="false">$C$16*(1+X6)</f>
        <v>0</v>
      </c>
      <c r="Y16" s="371" t="n">
        <f aca="false">$C$16*(1+Y6)</f>
        <v>0</v>
      </c>
      <c r="Z16" s="371"/>
      <c r="AA16" s="371"/>
      <c r="AB16" s="371"/>
      <c r="AC16" s="371"/>
      <c r="AD16" s="142"/>
      <c r="AE16" s="37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</row>
    <row r="17" customFormat="false" ht="11.25" hidden="false" customHeight="false" outlineLevel="0" collapsed="false">
      <c r="A17" s="330" t="s">
        <v>327</v>
      </c>
      <c r="B17" s="113" t="s">
        <v>336</v>
      </c>
      <c r="C17" s="370" t="n">
        <f aca="false">(200*Assumptions!E31)*(1+H1)</f>
        <v>294</v>
      </c>
      <c r="D17" s="113"/>
      <c r="E17" s="371" t="n">
        <f aca="false">$C$17*(1+E$6)</f>
        <v>294</v>
      </c>
      <c r="F17" s="371" t="n">
        <f aca="false">$C$17*(1+F$6)</f>
        <v>299.88</v>
      </c>
      <c r="G17" s="371" t="n">
        <f aca="false">$C$17*(1+G$6)</f>
        <v>305.76</v>
      </c>
      <c r="H17" s="371" t="n">
        <f aca="false">$C$17*(1+H$6)</f>
        <v>311.64</v>
      </c>
      <c r="I17" s="371" t="n">
        <f aca="false">$C$17*(1+I$6)</f>
        <v>317.52</v>
      </c>
      <c r="J17" s="371" t="n">
        <f aca="false">$C$17*(1+J$6)</f>
        <v>323.4</v>
      </c>
      <c r="K17" s="371" t="n">
        <f aca="false">$C$17*(1+K$6)</f>
        <v>329.28</v>
      </c>
      <c r="L17" s="371" t="n">
        <f aca="false">$C$17*(1+L$6)</f>
        <v>335.16</v>
      </c>
      <c r="M17" s="371" t="n">
        <f aca="false">$C$17*(1+M$6)</f>
        <v>341.04</v>
      </c>
      <c r="N17" s="371" t="n">
        <f aca="false">$C$17*(1+N$6)</f>
        <v>346.92</v>
      </c>
      <c r="O17" s="371" t="n">
        <f aca="false">$C$17*(1+O$6)</f>
        <v>352.8</v>
      </c>
      <c r="P17" s="371" t="n">
        <f aca="false">$C$17*(1+P$6)</f>
        <v>358.68</v>
      </c>
      <c r="Q17" s="371" t="n">
        <f aca="false">$C$17*(1+Q$6)</f>
        <v>364.56</v>
      </c>
      <c r="R17" s="371" t="n">
        <f aca="false">$C$17*(1+R$6)</f>
        <v>370.44</v>
      </c>
      <c r="S17" s="371" t="n">
        <f aca="false">$C$17*(1+S$6)</f>
        <v>376.32</v>
      </c>
      <c r="T17" s="371" t="n">
        <f aca="false">$C$17*(1+T$6)</f>
        <v>382.2</v>
      </c>
      <c r="U17" s="371" t="n">
        <f aca="false">$C$17*(1+U$6)</f>
        <v>388.08</v>
      </c>
      <c r="V17" s="371" t="n">
        <f aca="false">$C$17*(1+V$6)</f>
        <v>393.96</v>
      </c>
      <c r="W17" s="371" t="n">
        <f aca="false">$C$17*(1+W$6)</f>
        <v>399.84</v>
      </c>
      <c r="X17" s="371" t="n">
        <f aca="false">$C$17*(1+X$6)</f>
        <v>405.72</v>
      </c>
      <c r="Y17" s="371" t="n">
        <f aca="false">$C$17*(1+Y$6)</f>
        <v>411.6</v>
      </c>
      <c r="Z17" s="371"/>
      <c r="AA17" s="371"/>
      <c r="AB17" s="371"/>
      <c r="AC17" s="371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</row>
    <row r="18" customFormat="false" ht="11.25" hidden="false" customHeight="false" outlineLevel="0" collapsed="false">
      <c r="A18" s="330" t="s">
        <v>327</v>
      </c>
      <c r="B18" s="113" t="s">
        <v>337</v>
      </c>
      <c r="C18" s="371"/>
      <c r="D18" s="113"/>
      <c r="E18" s="371"/>
      <c r="F18" s="371"/>
      <c r="G18" s="371"/>
      <c r="H18" s="371"/>
      <c r="I18" s="371" t="n">
        <f aca="false">IF(Tables!$B$36="Combined Cycle",'O &amp; M'!I58*'O &amp; M'!$C$57,0)/1000</f>
        <v>0</v>
      </c>
      <c r="J18" s="371" t="n">
        <f aca="false">IF(Tables!$B$36="Combined Cycle",'O &amp; M'!J58*'O &amp; M'!$C$57,0)/1000</f>
        <v>0</v>
      </c>
      <c r="K18" s="371" t="n">
        <f aca="false">IF(Tables!$B$36="Combined Cycle",'O &amp; M'!K58*'O &amp; M'!$C$57,0)/1000</f>
        <v>0</v>
      </c>
      <c r="L18" s="371" t="n">
        <f aca="false">IF(Tables!$B$36="Combined Cycle",'O &amp; M'!L58*'O &amp; M'!$C$57,0)/1000</f>
        <v>0</v>
      </c>
      <c r="M18" s="371" t="n">
        <f aca="false">IF(Tables!$B$36="Combined Cycle",'O &amp; M'!M58*'O &amp; M'!$C$57,0)/1000</f>
        <v>0</v>
      </c>
      <c r="N18" s="371" t="n">
        <f aca="false">IF(Tables!$B$36="Combined Cycle",'O &amp; M'!N58*'O &amp; M'!$C$57,0)/1000</f>
        <v>0</v>
      </c>
      <c r="O18" s="371" t="n">
        <f aca="false">IF(Tables!$B$36="Combined Cycle",'O &amp; M'!O58*'O &amp; M'!$C$57,0)/1000</f>
        <v>0</v>
      </c>
      <c r="P18" s="371" t="n">
        <f aca="false">IF(Tables!$B$36="Combined Cycle",'O &amp; M'!P58*'O &amp; M'!$C$57,0)/1000</f>
        <v>0</v>
      </c>
      <c r="Q18" s="371" t="n">
        <f aca="false">IF(Tables!$B$36="Combined Cycle",'O &amp; M'!Q58*'O &amp; M'!$C$57,0)/1000</f>
        <v>0</v>
      </c>
      <c r="R18" s="371" t="n">
        <f aca="false">IF(Tables!$B$36="Combined Cycle",'O &amp; M'!R58*'O &amp; M'!$C$57,0)/1000</f>
        <v>0</v>
      </c>
      <c r="S18" s="371" t="n">
        <f aca="false">IF(Tables!$B$36="Combined Cycle",'O &amp; M'!S58*'O &amp; M'!$C$57,0)/1000</f>
        <v>0</v>
      </c>
      <c r="T18" s="371" t="n">
        <f aca="false">IF(Tables!$B$36="Combined Cycle",'O &amp; M'!T58*'O &amp; M'!$C$57,0)/1000</f>
        <v>0</v>
      </c>
      <c r="U18" s="371" t="n">
        <f aca="false">IF(Tables!$B$36="Combined Cycle",'O &amp; M'!U58*'O &amp; M'!$C$57,0)/1000</f>
        <v>0</v>
      </c>
      <c r="V18" s="371" t="n">
        <f aca="false">IF(Tables!$B$36="Combined Cycle",'O &amp; M'!V58*'O &amp; M'!$C$57,0)/1000</f>
        <v>0</v>
      </c>
      <c r="W18" s="371" t="n">
        <f aca="false">IF(Tables!$B$36="Combined Cycle",'O &amp; M'!W58*'O &amp; M'!$C$57,0)/1000</f>
        <v>0</v>
      </c>
      <c r="X18" s="371" t="n">
        <f aca="false">IF(Tables!$B$36="Combined Cycle",'O &amp; M'!X58*'O &amp; M'!$C$57,0)/1000</f>
        <v>0</v>
      </c>
      <c r="Y18" s="371" t="n">
        <f aca="false">IF(Tables!$B$36="Combined Cycle",'O &amp; M'!Y58*'O &amp; M'!$C$57,0)/1000</f>
        <v>0</v>
      </c>
      <c r="Z18" s="371"/>
      <c r="AA18" s="371"/>
      <c r="AB18" s="371"/>
      <c r="AC18" s="371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</row>
    <row r="19" customFormat="false" ht="11.25" hidden="false" customHeight="false" outlineLevel="0" collapsed="false">
      <c r="A19" s="330" t="s">
        <v>327</v>
      </c>
      <c r="B19" s="113" t="s">
        <v>338</v>
      </c>
      <c r="C19" s="371" t="n">
        <f aca="false">Tables!T36</f>
        <v>0</v>
      </c>
      <c r="D19" s="113"/>
      <c r="E19" s="371"/>
      <c r="F19" s="371"/>
      <c r="G19" s="371"/>
      <c r="H19" s="371"/>
      <c r="I19" s="371" t="n">
        <f aca="false">$C$19*(1+I$6)</f>
        <v>0</v>
      </c>
      <c r="J19" s="371" t="n">
        <f aca="false">$C$19*(1+J$6)</f>
        <v>0</v>
      </c>
      <c r="K19" s="371" t="n">
        <f aca="false">$C$19*(1+K$6)</f>
        <v>0</v>
      </c>
      <c r="L19" s="371" t="n">
        <f aca="false">$C$19*(1+L$6)</f>
        <v>0</v>
      </c>
      <c r="M19" s="371" t="n">
        <f aca="false">$C$19*(1+M$6)</f>
        <v>0</v>
      </c>
      <c r="N19" s="371" t="n">
        <f aca="false">$C$19*(1+N$6)</f>
        <v>0</v>
      </c>
      <c r="O19" s="371" t="n">
        <f aca="false">$C$19*(1+O$6)</f>
        <v>0</v>
      </c>
      <c r="P19" s="371" t="n">
        <f aca="false">$C$19*(1+P$6)</f>
        <v>0</v>
      </c>
      <c r="Q19" s="371" t="n">
        <f aca="false">$C$19*(1+Q$6)</f>
        <v>0</v>
      </c>
      <c r="R19" s="371" t="n">
        <f aca="false">$C$19*(1+R$6)</f>
        <v>0</v>
      </c>
      <c r="S19" s="371" t="n">
        <f aca="false">$C$19*(1+S$6)</f>
        <v>0</v>
      </c>
      <c r="T19" s="371" t="n">
        <f aca="false">$C$19*(1+T$6)</f>
        <v>0</v>
      </c>
      <c r="U19" s="371" t="n">
        <f aca="false">$C$19*(1+U$6)</f>
        <v>0</v>
      </c>
      <c r="V19" s="371" t="n">
        <f aca="false">$C$19*(1+V$6)</f>
        <v>0</v>
      </c>
      <c r="W19" s="371" t="n">
        <f aca="false">$C$19*(1+W$6)</f>
        <v>0</v>
      </c>
      <c r="X19" s="371" t="n">
        <f aca="false">$C$19*(1+X$6)</f>
        <v>0</v>
      </c>
      <c r="Y19" s="371" t="n">
        <f aca="false">$C$19*(1+Y$6)</f>
        <v>0</v>
      </c>
      <c r="Z19" s="371"/>
      <c r="AA19" s="371"/>
      <c r="AB19" s="371"/>
      <c r="AC19" s="371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</row>
    <row r="20" customFormat="false" ht="11.25" hidden="false" customHeight="false" outlineLevel="0" collapsed="false">
      <c r="A20" s="330" t="s">
        <v>339</v>
      </c>
      <c r="B20" s="113" t="s">
        <v>340</v>
      </c>
      <c r="C20" s="370" t="n">
        <f aca="false">50*Assumptions!E31</f>
        <v>73.5</v>
      </c>
      <c r="D20" s="113"/>
      <c r="E20" s="371" t="n">
        <f aca="false">(E48*E42)/1000</f>
        <v>0</v>
      </c>
      <c r="F20" s="371" t="n">
        <f aca="false">(F48*F42)/1000</f>
        <v>83.2621306954501</v>
      </c>
      <c r="G20" s="371" t="n">
        <f aca="false">(G48*G42)/1000</f>
        <v>104.036888592</v>
      </c>
      <c r="H20" s="371" t="n">
        <f aca="false">(H48*H42)/1000</f>
        <v>107.8115806404</v>
      </c>
      <c r="I20" s="371" t="n">
        <f aca="false">(I48*I42)/1000</f>
        <v>88.4884326984001</v>
      </c>
      <c r="J20" s="371" t="n">
        <f aca="false">(J48*J42)/1000</f>
        <v>89.8896460770001</v>
      </c>
      <c r="K20" s="371" t="n">
        <f aca="false">(K48*K42)/1000</f>
        <v>93.1492420992001</v>
      </c>
      <c r="L20" s="371" t="n">
        <f aca="false">(L48*L42)/1000</f>
        <v>93.4416720657001</v>
      </c>
      <c r="M20" s="371" t="n">
        <f aca="false">(M48*M42)/1000</f>
        <v>94.8345223644001</v>
      </c>
      <c r="N20" s="371" t="n">
        <f aca="false">(N48*N42)/1000</f>
        <v>97.3771534638001</v>
      </c>
      <c r="O20" s="371" t="n">
        <f aca="false">(O48*O42)/1000</f>
        <v>98.7685650000001</v>
      </c>
      <c r="P20" s="371" t="n">
        <f aca="false">(P48*P42)/1000</f>
        <v>100.1513415798</v>
      </c>
      <c r="Q20" s="371" t="n">
        <f aca="false">(Q48*Q42)/1000</f>
        <v>88.2403594821001</v>
      </c>
      <c r="R20" s="371" t="n">
        <f aca="false">(R48*R42)/1000</f>
        <v>91.2625916422501</v>
      </c>
      <c r="S20" s="371" t="n">
        <f aca="false">(S48*S42)/1000</f>
        <v>92.4812689248001</v>
      </c>
      <c r="T20" s="371" t="n">
        <f aca="false">(T48*T42)/1000</f>
        <v>94.9752686610001</v>
      </c>
      <c r="U20" s="371" t="n">
        <f aca="false">(U48*U42)/1000</f>
        <v>0</v>
      </c>
      <c r="V20" s="371" t="n">
        <f aca="false">(V48*V42)/1000</f>
        <v>0</v>
      </c>
      <c r="W20" s="371" t="n">
        <f aca="false">(W48*W42)/1000</f>
        <v>0</v>
      </c>
      <c r="X20" s="371" t="n">
        <f aca="false">(X48*X42)/1000</f>
        <v>0</v>
      </c>
      <c r="Y20" s="371" t="n">
        <f aca="false">(Y48*Y42)/1000</f>
        <v>0</v>
      </c>
      <c r="Z20" s="371"/>
      <c r="AA20" s="371"/>
      <c r="AB20" s="371"/>
      <c r="AC20" s="371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</row>
    <row r="21" customFormat="false" ht="11.25" hidden="false" customHeight="false" outlineLevel="0" collapsed="false">
      <c r="A21" s="330" t="s">
        <v>339</v>
      </c>
      <c r="B21" s="113" t="s">
        <v>341</v>
      </c>
      <c r="C21" s="370" t="n">
        <f aca="false">50*Assumptions!E31</f>
        <v>73.5</v>
      </c>
      <c r="D21" s="113"/>
      <c r="E21" s="371" t="n">
        <f aca="false">(E49*E42)/1000</f>
        <v>0</v>
      </c>
      <c r="F21" s="371" t="n">
        <f aca="false">(F49*F$42)/1000</f>
        <v>83.2621306954501</v>
      </c>
      <c r="G21" s="371" t="n">
        <f aca="false">(G49*G42)/1000</f>
        <v>104.036888592</v>
      </c>
      <c r="H21" s="371" t="n">
        <f aca="false">(H49*H42)/1000</f>
        <v>107.8115806404</v>
      </c>
      <c r="I21" s="371" t="n">
        <f aca="false">(I49*I42)/1000</f>
        <v>88.4884326984001</v>
      </c>
      <c r="J21" s="371" t="n">
        <f aca="false">(J49*J42)/1000</f>
        <v>89.8896460770001</v>
      </c>
      <c r="K21" s="371" t="n">
        <f aca="false">(K49*K42)/1000</f>
        <v>93.1492420992001</v>
      </c>
      <c r="L21" s="371" t="n">
        <f aca="false">(L49*L42)/1000</f>
        <v>93.4416720657001</v>
      </c>
      <c r="M21" s="371" t="n">
        <f aca="false">(M49*M42)/1000</f>
        <v>94.8345223644001</v>
      </c>
      <c r="N21" s="371" t="n">
        <f aca="false">(N49*N42)/1000</f>
        <v>97.3771534638001</v>
      </c>
      <c r="O21" s="371" t="n">
        <f aca="false">(O49*O42)/1000</f>
        <v>98.7685650000001</v>
      </c>
      <c r="P21" s="371" t="n">
        <f aca="false">(P49*P42)/1000</f>
        <v>100.1513415798</v>
      </c>
      <c r="Q21" s="371" t="n">
        <f aca="false">(Q49*Q42)/1000</f>
        <v>88.2403594821001</v>
      </c>
      <c r="R21" s="371" t="n">
        <f aca="false">(R49*R42)/1000</f>
        <v>91.2625916422501</v>
      </c>
      <c r="S21" s="371" t="n">
        <f aca="false">(S49*S42)/1000</f>
        <v>92.4812689248001</v>
      </c>
      <c r="T21" s="371" t="n">
        <f aca="false">(T49*T42)/1000</f>
        <v>94.9752686610001</v>
      </c>
      <c r="U21" s="371" t="n">
        <f aca="false">(U49*U42)/1000</f>
        <v>0</v>
      </c>
      <c r="V21" s="371" t="n">
        <f aca="false">(V49*V42)/1000</f>
        <v>0</v>
      </c>
      <c r="W21" s="371" t="n">
        <f aca="false">(W49*W42)/1000</f>
        <v>0</v>
      </c>
      <c r="X21" s="371" t="n">
        <f aca="false">(X49*X42)/1000</f>
        <v>0</v>
      </c>
      <c r="Y21" s="371" t="n">
        <f aca="false">(Y49*Y42)/1000</f>
        <v>0</v>
      </c>
      <c r="Z21" s="371"/>
      <c r="AA21" s="371"/>
      <c r="AB21" s="371"/>
      <c r="AC21" s="371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</row>
    <row r="22" customFormat="false" ht="11.25" hidden="false" customHeight="false" outlineLevel="0" collapsed="false">
      <c r="A22" s="330" t="s">
        <v>339</v>
      </c>
      <c r="B22" s="113" t="s">
        <v>342</v>
      </c>
      <c r="C22" s="370" t="n">
        <f aca="false">(('Operational Detail'!E8*Tables!$D$10*Assumptions!B58)/1000)*Assumptions!E31</f>
        <v>355.354272</v>
      </c>
      <c r="D22" s="113"/>
      <c r="E22" s="371" t="n">
        <f aca="false">(E39*Tables!$D$10*E47)/1000</f>
        <v>0</v>
      </c>
      <c r="F22" s="371" t="n">
        <f aca="false">(F47*F$42)/1000</f>
        <v>324.076603392576</v>
      </c>
      <c r="G22" s="371" t="n">
        <f aca="false">(G47*G$42)/1000</f>
        <v>405.092793840538</v>
      </c>
      <c r="H22" s="371" t="n">
        <f aca="false">(H47*H$42)/1000</f>
        <v>420.107293483063</v>
      </c>
      <c r="I22" s="371" t="n">
        <f aca="false">(I47*I$42)/1000</f>
        <v>345.194281500126</v>
      </c>
      <c r="J22" s="371" t="n">
        <f aca="false">(J47*J$42)/1000</f>
        <v>351.170480762743</v>
      </c>
      <c r="K22" s="371" t="n">
        <f aca="false">(K47*K$42)/1000</f>
        <v>364.554523601666</v>
      </c>
      <c r="L22" s="371" t="n">
        <f aca="false">(L47*L$42)/1000</f>
        <v>366.46888787672</v>
      </c>
      <c r="M22" s="371" t="n">
        <f aca="false">(M47*M$42)/1000</f>
        <v>372.829273084231</v>
      </c>
      <c r="N22" s="371" t="n">
        <f aca="false">(N47*N$42)/1000</f>
        <v>383.863458319343</v>
      </c>
      <c r="O22" s="371" t="n">
        <f aca="false">(O47*O$42)/1000</f>
        <v>390.51648677611</v>
      </c>
      <c r="P22" s="371" t="n">
        <f aca="false">(P47*P$42)/1000</f>
        <v>397.282090987819</v>
      </c>
      <c r="Q22" s="371" t="n">
        <f aca="false">(Q47*Q$42)/1000</f>
        <v>351.275453166578</v>
      </c>
      <c r="R22" s="371" t="n">
        <f aca="false">(R47*R$42)/1000</f>
        <v>364.690662115161</v>
      </c>
      <c r="S22" s="371" t="n">
        <f aca="false">(S47*S$42)/1000</f>
        <v>371.061907730196</v>
      </c>
      <c r="T22" s="371" t="n">
        <f aca="false">(T47*T$42)/1000</f>
        <v>382.710090452707</v>
      </c>
      <c r="U22" s="371" t="n">
        <f aca="false">(U47*U$42)/1000</f>
        <v>0</v>
      </c>
      <c r="V22" s="371" t="n">
        <f aca="false">(V47*V$42)/1000</f>
        <v>0</v>
      </c>
      <c r="W22" s="371" t="n">
        <f aca="false">(W47*W$42)/1000</f>
        <v>0</v>
      </c>
      <c r="X22" s="371" t="n">
        <f aca="false">(X47*X$42)/1000</f>
        <v>0</v>
      </c>
      <c r="Y22" s="371" t="n">
        <f aca="false">(Y47*Y$42)/1000</f>
        <v>0</v>
      </c>
      <c r="Z22" s="371"/>
      <c r="AA22" s="371"/>
      <c r="AB22" s="371"/>
      <c r="AC22" s="371"/>
      <c r="AD22" s="371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</row>
    <row r="23" customFormat="false" ht="11.25" hidden="false" customHeight="false" outlineLevel="0" collapsed="false">
      <c r="A23" s="330" t="s">
        <v>339</v>
      </c>
      <c r="B23" s="113" t="s">
        <v>343</v>
      </c>
      <c r="C23" s="370" t="n">
        <f aca="false">600*Assumptions!E31</f>
        <v>882</v>
      </c>
      <c r="D23" s="113"/>
      <c r="E23" s="371" t="n">
        <f aca="false">(E50*E$42)/1000</f>
        <v>0</v>
      </c>
      <c r="F23" s="371" t="n">
        <f aca="false">(F50*F$42)/1000</f>
        <v>974.404820938752</v>
      </c>
      <c r="G23" s="371" t="n">
        <f aca="false">(G50*G$42)/1000</f>
        <v>1217.52884477952</v>
      </c>
      <c r="H23" s="371" t="n">
        <f aca="false">(H50*H$42)/1000</f>
        <v>1261.70352658022</v>
      </c>
      <c r="I23" s="373" t="n">
        <f aca="false">IF(Tables!$B$21=3,0,IF(Tables!$B$36="Combined Cycle",1842,(I50*I42)/1000))</f>
        <v>1035.5674866647</v>
      </c>
      <c r="J23" s="373" t="n">
        <f aca="false">IF(Tables!$B$21=3,0,IF(Tables!$B$36="Combined Cycle",1842,(J50*J42)/1000))</f>
        <v>1051.96568666112</v>
      </c>
      <c r="K23" s="373" t="n">
        <f aca="false">IF(Tables!$B$21=3,0,IF(Tables!$B$36="Combined Cycle",1842,(K50*K42)/1000))</f>
        <v>1090.11227325235</v>
      </c>
      <c r="L23" s="373" t="n">
        <f aca="false">IF(Tables!$B$21=3,0,IF(Tables!$B$36="Combined Cycle",1842,(L50*L42)/1000))</f>
        <v>1093.53453937459</v>
      </c>
      <c r="M23" s="373" t="n">
        <f aca="false">IF(Tables!$B$21=3,0,IF(Tables!$B$36="Combined Cycle",1842,(M50*M42)/1000))</f>
        <v>1109.83486744166</v>
      </c>
      <c r="N23" s="373" t="n">
        <f aca="false">IF(Tables!$B$21=3,0,IF(Tables!$B$36="Combined Cycle",1842,(N50*N42)/1000))</f>
        <v>1139.59091596493</v>
      </c>
      <c r="O23" s="373" t="n">
        <f aca="false">IF(Tables!$B$21=3,0,IF(Tables!$B$36="Combined Cycle",1842,(O50*O42)/1000))</f>
        <v>1155.8744064</v>
      </c>
      <c r="P23" s="373" t="n">
        <f aca="false">IF(Tables!$B$21=3,0,IF(Tables!$B$36="Combined Cycle",1842,(P50*P42)/1000))</f>
        <v>1172.05684317389</v>
      </c>
      <c r="Q23" s="373" t="n">
        <f aca="false">IF(Tables!$B$21=3,0,IF(Tables!$B$36="Combined Cycle",1842,(Q50*Q42)/1000))</f>
        <v>1032.66432125338</v>
      </c>
      <c r="R23" s="373" t="n">
        <f aca="false">IF(Tables!$B$21=3,0,IF(Tables!$B$36="Combined Cycle",1842,(R50*R42)/1000))</f>
        <v>1068.03307247616</v>
      </c>
      <c r="S23" s="373" t="n">
        <f aca="false">IF(Tables!$B$21=3,0,IF(Tables!$B$36="Combined Cycle",1842,(S50*S42)/1000))</f>
        <v>1082.29507861709</v>
      </c>
      <c r="T23" s="373" t="n">
        <f aca="false">IF(Tables!$B$21=3,0,IF(Tables!$B$36="Combined Cycle",1842,(T50*T42)/1000))</f>
        <v>1111.48200124416</v>
      </c>
      <c r="U23" s="373" t="n">
        <f aca="false">IF(Tables!$B$21=3,0,IF(Tables!$B$36="Combined Cycle",1842,(U50*U42)/1000))</f>
        <v>0</v>
      </c>
      <c r="V23" s="373" t="n">
        <f aca="false">IF(Tables!$B$21=3,0,IF(Tables!$B$36="Combined Cycle",1842,(V50*V42)/1000))</f>
        <v>0</v>
      </c>
      <c r="W23" s="373" t="n">
        <f aca="false">IF(Tables!$B$21=3,0,IF(Tables!$B$36="Combined Cycle",1842,(W50*W42)/1000))</f>
        <v>0</v>
      </c>
      <c r="X23" s="373" t="n">
        <f aca="false">IF(Tables!$B$21=3,0,IF(Tables!$B$36="Combined Cycle",1842,(X50*X42)/1000))</f>
        <v>0</v>
      </c>
      <c r="Y23" s="373" t="n">
        <f aca="false">IF(Tables!$B$21=3,0,IF(Tables!$B$36="Combined Cycle",1842,(Y50*Y42)/1000))</f>
        <v>0</v>
      </c>
      <c r="Z23" s="371"/>
      <c r="AA23" s="371"/>
      <c r="AB23" s="371"/>
      <c r="AC23" s="371"/>
      <c r="AD23" s="371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</row>
    <row r="24" customFormat="false" ht="12.75" hidden="false" customHeight="false" outlineLevel="0" collapsed="false">
      <c r="A24" s="330" t="s">
        <v>339</v>
      </c>
      <c r="B24" s="113" t="s">
        <v>344</v>
      </c>
      <c r="I24" s="371" t="n">
        <f aca="false">IF(Tables!$B$36="Combined Cycle",('O &amp; M'!I42/1000)*'O &amp; M'!I51,0)</f>
        <v>0</v>
      </c>
      <c r="J24" s="371" t="n">
        <f aca="false">IF(Tables!$B$36="Combined Cycle",('O &amp; M'!J42/1000)*'O &amp; M'!J51,0)</f>
        <v>0</v>
      </c>
      <c r="K24" s="371" t="n">
        <f aca="false">IF(Tables!$B$36="Combined Cycle",('O &amp; M'!K42/1000)*'O &amp; M'!K51,0)</f>
        <v>0</v>
      </c>
      <c r="L24" s="371" t="n">
        <f aca="false">IF(Tables!$B$36="Combined Cycle",('O &amp; M'!L42/1000)*'O &amp; M'!L51,0)</f>
        <v>0</v>
      </c>
      <c r="M24" s="371" t="n">
        <f aca="false">IF(Tables!$B$36="Combined Cycle",('O &amp; M'!M42/1000)*'O &amp; M'!M51,0)</f>
        <v>0</v>
      </c>
      <c r="N24" s="371" t="n">
        <f aca="false">IF(Tables!$B$36="Combined Cycle",('O &amp; M'!N42/1000)*'O &amp; M'!N51,0)</f>
        <v>0</v>
      </c>
      <c r="O24" s="371" t="n">
        <f aca="false">IF(Tables!$B$36="Combined Cycle",('O &amp; M'!O42/1000)*'O &amp; M'!O51,0)</f>
        <v>0</v>
      </c>
      <c r="P24" s="371" t="n">
        <f aca="false">IF(Tables!$B$36="Combined Cycle",('O &amp; M'!P42/1000)*'O &amp; M'!P51,0)</f>
        <v>0</v>
      </c>
      <c r="Q24" s="371" t="n">
        <f aca="false">IF(Tables!$B$36="Combined Cycle",('O &amp; M'!Q42/1000)*'O &amp; M'!Q51,0)</f>
        <v>0</v>
      </c>
      <c r="R24" s="371" t="n">
        <f aca="false">IF(Tables!$B$36="Combined Cycle",('O &amp; M'!R42/1000)*'O &amp; M'!R51,0)</f>
        <v>0</v>
      </c>
      <c r="S24" s="371" t="n">
        <f aca="false">IF(Tables!$B$36="Combined Cycle",('O &amp; M'!S42/1000)*'O &amp; M'!S51,0)</f>
        <v>0</v>
      </c>
      <c r="T24" s="371" t="n">
        <f aca="false">IF(Tables!$B$36="Combined Cycle",('O &amp; M'!T42/1000)*'O &amp; M'!T51,0)</f>
        <v>0</v>
      </c>
      <c r="U24" s="371" t="n">
        <f aca="false">IF(Tables!$B$36="Combined Cycle",('O &amp; M'!U42/1000)*'O &amp; M'!U51,0)</f>
        <v>0</v>
      </c>
      <c r="V24" s="371" t="n">
        <f aca="false">IF(Tables!$B$36="Combined Cycle",('O &amp; M'!V42/1000)*'O &amp; M'!V51,0)</f>
        <v>0</v>
      </c>
      <c r="W24" s="371" t="n">
        <f aca="false">IF(Tables!$B$36="Combined Cycle",('O &amp; M'!W42/1000)*'O &amp; M'!W51,0)</f>
        <v>0</v>
      </c>
      <c r="X24" s="371" t="n">
        <f aca="false">IF(Tables!$B$36="Combined Cycle",('O &amp; M'!X42/1000)*'O &amp; M'!X51,0)</f>
        <v>0</v>
      </c>
      <c r="Y24" s="371" t="n">
        <f aca="false">IF(Tables!$B$36="Combined Cycle",('O &amp; M'!Y42/1000)*'O &amp; M'!Y51,0)</f>
        <v>0</v>
      </c>
    </row>
    <row r="25" customFormat="false" ht="12.75" hidden="false" customHeight="false" outlineLevel="0" collapsed="false">
      <c r="A25" s="330" t="s">
        <v>339</v>
      </c>
      <c r="B25" s="113" t="s">
        <v>345</v>
      </c>
      <c r="C25" s="371"/>
      <c r="E25" s="371" t="n">
        <f aca="false">E42*E52/1000</f>
        <v>0</v>
      </c>
      <c r="F25" s="371" t="n">
        <f aca="false">F42*F52/1000</f>
        <v>0</v>
      </c>
      <c r="G25" s="371" t="n">
        <f aca="false">G42*G52/1000</f>
        <v>0</v>
      </c>
      <c r="H25" s="371" t="n">
        <f aca="false">H42*H52/1000</f>
        <v>0</v>
      </c>
      <c r="I25" s="371" t="n">
        <f aca="false">I42*I52/1000</f>
        <v>0</v>
      </c>
      <c r="J25" s="371" t="n">
        <f aca="false">J42*J52/1000</f>
        <v>0</v>
      </c>
      <c r="K25" s="371" t="n">
        <f aca="false">K42*K52/1000</f>
        <v>0</v>
      </c>
      <c r="L25" s="371" t="n">
        <f aca="false">L42*L52/1000</f>
        <v>0</v>
      </c>
      <c r="M25" s="371" t="n">
        <f aca="false">M42*M52/1000</f>
        <v>0</v>
      </c>
      <c r="N25" s="371" t="n">
        <f aca="false">N42*N52/1000</f>
        <v>0</v>
      </c>
      <c r="O25" s="371" t="n">
        <f aca="false">O42*O52/1000</f>
        <v>0</v>
      </c>
      <c r="P25" s="371" t="n">
        <f aca="false">P42*P52/1000</f>
        <v>0</v>
      </c>
      <c r="Q25" s="371" t="n">
        <f aca="false">Q42*Q52/1000</f>
        <v>0</v>
      </c>
      <c r="R25" s="371" t="n">
        <f aca="false">R42*R52/1000</f>
        <v>0</v>
      </c>
      <c r="S25" s="371" t="n">
        <f aca="false">S42*S52/1000</f>
        <v>0</v>
      </c>
      <c r="T25" s="371" t="n">
        <f aca="false">T42*T52/1000</f>
        <v>0</v>
      </c>
      <c r="U25" s="371" t="n">
        <f aca="false">U42*U52/1000</f>
        <v>0</v>
      </c>
      <c r="V25" s="371" t="n">
        <f aca="false">V42*V52/1000</f>
        <v>0</v>
      </c>
      <c r="W25" s="371" t="n">
        <f aca="false">W42*W52/1000</f>
        <v>0</v>
      </c>
      <c r="X25" s="371" t="n">
        <f aca="false">X42*X52/1000</f>
        <v>0</v>
      </c>
      <c r="Y25" s="371" t="n">
        <f aca="false">Y42*Y52/1000</f>
        <v>0</v>
      </c>
    </row>
    <row r="27" customFormat="false" ht="11.25" hidden="false" customHeight="false" outlineLevel="0" collapsed="false">
      <c r="A27" s="113"/>
      <c r="B27" s="113"/>
      <c r="C27" s="371"/>
      <c r="D27" s="113"/>
      <c r="E27" s="371"/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52"/>
      <c r="R27" s="352"/>
      <c r="S27" s="352"/>
      <c r="T27" s="352"/>
      <c r="U27" s="352"/>
      <c r="V27" s="352"/>
      <c r="W27" s="352"/>
      <c r="X27" s="352"/>
      <c r="Y27" s="352"/>
      <c r="Z27" s="352"/>
      <c r="AA27" s="352"/>
      <c r="AB27" s="352"/>
      <c r="AC27" s="35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</row>
    <row r="28" customFormat="false" ht="12" hidden="false" customHeight="false" outlineLevel="0" collapsed="false">
      <c r="A28" s="113"/>
      <c r="B28" s="113" t="s">
        <v>346</v>
      </c>
      <c r="C28" s="371"/>
      <c r="D28" s="374"/>
      <c r="E28" s="375" t="n">
        <f aca="false">SUBTOTAL(9,E9:E25)</f>
        <v>1324.75</v>
      </c>
      <c r="F28" s="375" t="n">
        <f aca="false">SUBTOTAL(9,F9:F25)</f>
        <v>2816.25068572223</v>
      </c>
      <c r="G28" s="375" t="n">
        <f aca="false">SUBTOTAL(9,G9:G25)</f>
        <v>3208.43541580406</v>
      </c>
      <c r="H28" s="375" t="n">
        <f aca="false">SUBTOTAL(9,H9:H25)</f>
        <v>3301.66898134409</v>
      </c>
      <c r="I28" s="375" t="n">
        <f aca="false">SUBTOTAL(9,I9:I25)</f>
        <v>2988.46863356163</v>
      </c>
      <c r="J28" s="375" t="n">
        <f aca="false">SUBTOTAL(9,J9:J25)</f>
        <v>3040.14045957786</v>
      </c>
      <c r="K28" s="375" t="n">
        <f aca="false">SUBTOTAL(9,K9:K25)</f>
        <v>3124.68528105242</v>
      </c>
      <c r="L28" s="375" t="n">
        <f aca="false">SUBTOTAL(9,L9:L25)</f>
        <v>3157.10177138271</v>
      </c>
      <c r="M28" s="375" t="n">
        <f aca="false">SUBTOTAL(9,M9:M25)</f>
        <v>3209.0431852547</v>
      </c>
      <c r="N28" s="375" t="n">
        <f aca="false">SUBTOTAL(9,N9:N25)</f>
        <v>3281.41368121187</v>
      </c>
      <c r="O28" s="375" t="n">
        <f aca="false">SUBTOTAL(9,O9:O25)</f>
        <v>3333.62802317611</v>
      </c>
      <c r="P28" s="375" t="n">
        <f aca="false">SUBTOTAL(9,P9:P25)</f>
        <v>3385.83661732131</v>
      </c>
      <c r="Q28" s="375" t="n">
        <f aca="false">SUBTOTAL(9,Q9:Q25)</f>
        <v>3203.11049338415</v>
      </c>
      <c r="R28" s="375" t="n">
        <f aca="false">SUBTOTAL(9,R9:R25)</f>
        <v>3284.43391787582</v>
      </c>
      <c r="S28" s="375" t="n">
        <f aca="false">SUBTOTAL(9,S9:S25)</f>
        <v>3333.99952419688</v>
      </c>
      <c r="T28" s="375" t="n">
        <f aca="false">SUBTOTAL(9,T9:T25)</f>
        <v>3406.31762901887</v>
      </c>
      <c r="U28" s="375" t="n">
        <f aca="false">SUBTOTAL(9,U9:U25)</f>
        <v>1748.67</v>
      </c>
      <c r="V28" s="375" t="n">
        <f aca="false">SUBTOTAL(9,V9:V25)</f>
        <v>1775.165</v>
      </c>
      <c r="W28" s="375" t="n">
        <f aca="false">SUBTOTAL(9,W9:W25)</f>
        <v>1801.66</v>
      </c>
      <c r="X28" s="375" t="n">
        <f aca="false">SUBTOTAL(9,X9:X25)</f>
        <v>1828.155</v>
      </c>
      <c r="Y28" s="375" t="n">
        <f aca="false">SUBTOTAL(9,Y9:Y25)</f>
        <v>1854.65</v>
      </c>
      <c r="Z28" s="371"/>
      <c r="AA28" s="371"/>
      <c r="AB28" s="371"/>
      <c r="AC28" s="371"/>
      <c r="AD28" s="142"/>
      <c r="AE28" s="37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</row>
    <row r="29" customFormat="false" ht="12" hidden="false" customHeight="false" outlineLevel="0" collapsed="false">
      <c r="A29" s="113"/>
      <c r="B29" s="113"/>
      <c r="C29" s="371"/>
      <c r="D29" s="374"/>
      <c r="E29" s="371"/>
      <c r="F29" s="371"/>
      <c r="G29" s="371"/>
      <c r="H29" s="371"/>
      <c r="I29" s="376"/>
      <c r="J29" s="371"/>
      <c r="K29" s="376"/>
      <c r="L29" s="371"/>
      <c r="M29" s="371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371"/>
      <c r="Y29" s="371"/>
      <c r="Z29" s="371"/>
      <c r="AA29" s="371"/>
      <c r="AB29" s="371"/>
      <c r="AC29" s="371"/>
      <c r="AD29" s="142"/>
      <c r="AE29" s="37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</row>
    <row r="30" customFormat="false" ht="11.25" hidden="false" customHeight="false" outlineLevel="0" collapsed="false">
      <c r="A30" s="113"/>
      <c r="B30" s="113"/>
      <c r="C30" s="113"/>
      <c r="D30" s="113"/>
      <c r="E30" s="113"/>
      <c r="F30" s="371"/>
      <c r="G30" s="371"/>
      <c r="H30" s="371"/>
      <c r="I30" s="376"/>
      <c r="J30" s="371"/>
      <c r="K30" s="371"/>
      <c r="L30" s="371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1"/>
      <c r="AC30" s="371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</row>
    <row r="31" customFormat="false" ht="11.25" hidden="false" customHeight="false" outlineLevel="0" collapsed="false">
      <c r="A31" s="310"/>
      <c r="B31" s="310"/>
      <c r="C31" s="310"/>
      <c r="D31" s="310"/>
      <c r="E31" s="377"/>
      <c r="F31" s="377"/>
      <c r="G31" s="377"/>
      <c r="H31" s="377"/>
      <c r="I31" s="377"/>
      <c r="J31" s="377"/>
      <c r="K31" s="377"/>
      <c r="L31" s="377"/>
      <c r="M31" s="377"/>
      <c r="N31" s="377"/>
      <c r="O31" s="377"/>
      <c r="P31" s="377"/>
      <c r="Q31" s="377"/>
      <c r="R31" s="377"/>
      <c r="S31" s="377"/>
      <c r="T31" s="377"/>
      <c r="U31" s="377"/>
      <c r="V31" s="377"/>
      <c r="W31" s="377"/>
      <c r="X31" s="377"/>
      <c r="Y31" s="377"/>
      <c r="Z31" s="371"/>
      <c r="AA31" s="371"/>
      <c r="AB31" s="371"/>
      <c r="AC31" s="371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</row>
    <row r="32" customFormat="false" ht="11.25" hidden="false" customHeight="false" outlineLevel="0" collapsed="false">
      <c r="A32" s="113"/>
      <c r="B32" s="113" t="s">
        <v>347</v>
      </c>
      <c r="C32" s="371" t="n">
        <f aca="false">+C9+C11+C12+C13+C14+C15+C16+C17</f>
        <v>1324.75</v>
      </c>
      <c r="D32" s="378"/>
      <c r="E32" s="371" t="n">
        <f aca="false">((+E9+E10+E11+E12+E13+E14+E15+E16+E17+E18)*E2)</f>
        <v>220.791666666667</v>
      </c>
      <c r="F32" s="371" t="n">
        <f aca="false">SUM(F9:F18)</f>
        <v>1351.245</v>
      </c>
      <c r="G32" s="371" t="n">
        <f aca="false">IF(Tables!B21=2,(SUM(G9:G18)*0.5),(SUM(G9:G18)))</f>
        <v>1377.74</v>
      </c>
      <c r="H32" s="371" t="n">
        <f aca="false">IF($H$2="EOC",0,(SUM(H9:H18)))</f>
        <v>1404.235</v>
      </c>
      <c r="I32" s="371" t="n">
        <f aca="false">IF($I$2="EOC",0,(SUM(I9:I19)))</f>
        <v>1430.73</v>
      </c>
      <c r="J32" s="379" t="n">
        <f aca="false">IF(I2="EOC",0,IF(Tables!B21=5,((SUM(J9:J19))*1),(SUM(J9:J19))))</f>
        <v>1457.225</v>
      </c>
      <c r="K32" s="371" t="n">
        <f aca="false">IF($I$2="EOC",0,IF($J$2="EOC",0,(SUM(K9:K19))))</f>
        <v>1483.72</v>
      </c>
      <c r="L32" s="371" t="n">
        <f aca="false">IF($I$2="EOC",0,IF($J$2="EOC",0,(SUM(L9:L19))))</f>
        <v>1510.215</v>
      </c>
      <c r="M32" s="371" t="n">
        <f aca="false">IF($I$2="EOC",0,IF($J$2="EOC",0,(SUM(M9:M19))))</f>
        <v>1536.71</v>
      </c>
      <c r="N32" s="371" t="n">
        <f aca="false">IF($I$2="EOC",0,IF($J$2="EOC",0,(SUM(N9:N19))))</f>
        <v>1563.205</v>
      </c>
      <c r="O32" s="371" t="n">
        <f aca="false">IF(I2="EOC",0,IF(J2="EOC",0,IF(Tables!B21=10,(SUM(O9:O19))*1,(SUM(O9:O19)))))</f>
        <v>1589.7</v>
      </c>
      <c r="P32" s="371" t="n">
        <f aca="false">IF($I$2="EOC",0,IF($J$2="EOC",0,IF($O$2="EOC",0,(SUM(P9:P19)))))</f>
        <v>1616.195</v>
      </c>
      <c r="Q32" s="371" t="n">
        <f aca="false">IF($I$2="EOC",0,IF($J$2="EOC",0,IF($O$2="EOC",0,(SUM(Q9:Q19)))))</f>
        <v>1642.69</v>
      </c>
      <c r="R32" s="371" t="n">
        <f aca="false">IF($I$2="EOC",0,IF($J$2="EOC",0,IF($O$2="EOC",0,(SUM(R9:R19)))))</f>
        <v>1669.185</v>
      </c>
      <c r="S32" s="371" t="n">
        <f aca="false">IF($I$2="EOC",0,IF($J$2="EOC",0,IF($O$2="EOC",0,(SUM(S9:S19)))))</f>
        <v>1695.68</v>
      </c>
      <c r="T32" s="371" t="n">
        <f aca="false">IF(I2="EOC",0,IF(J2="EOC",0,IF(O2="EOC",0,IF(Tables!$B$21=15,((SUM(T9:T19))*1),(SUM(T9:T18))))))</f>
        <v>1722.175</v>
      </c>
      <c r="U32" s="371" t="n">
        <f aca="false">IF($I$2="EOC",0,IF($J$2="EOC",0,IF($O$2="EOC",0,IF($T$2="EOC",0,(SUM(U9:U19))))))</f>
        <v>0</v>
      </c>
      <c r="V32" s="371" t="n">
        <f aca="false">IF($I$2="EOC",0,IF($J$2="EOC",0,IF($O$2="EOC",0,IF($T$2="EOC",0,(SUM(V9:V19))))))</f>
        <v>0</v>
      </c>
      <c r="W32" s="371" t="n">
        <f aca="false">IF($I$2="EOC",0,IF($J$2="EOC",0,IF($O$2="EOC",0,IF($T$2="EOC",0,(SUM(W9:W19))))))</f>
        <v>0</v>
      </c>
      <c r="X32" s="371" t="n">
        <f aca="false">IF($I$2="EOC",0,IF($J$2="EOC",0,IF($O$2="EOC",0,IF($T$2="EOC",0,(SUM(X9:X19))))))</f>
        <v>0</v>
      </c>
      <c r="Y32" s="371" t="n">
        <f aca="false">IF(I2="EOC",0,IF(J2="EOC",0,IF(O2="EOC",0,IF(T2="EOC",0,IF(Tables!$B$21=20,((SUM(Y9:Y19))*1),(SUM(Y9:Y19)))))))</f>
        <v>0</v>
      </c>
      <c r="Z32" s="376"/>
      <c r="AA32" s="376"/>
      <c r="AB32" s="376"/>
      <c r="AC32" s="376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</row>
    <row r="33" customFormat="false" ht="11.25" hidden="false" customHeight="false" outlineLevel="0" collapsed="false">
      <c r="A33" s="113"/>
      <c r="B33" s="113" t="s">
        <v>348</v>
      </c>
      <c r="C33" s="371" t="n">
        <f aca="false">+C20+C21+C22+C23</f>
        <v>1384.354272</v>
      </c>
      <c r="D33" s="371"/>
      <c r="E33" s="371" t="n">
        <f aca="false">(+E20+E21+E22+E23+E24+E25)</f>
        <v>0</v>
      </c>
      <c r="F33" s="371" t="n">
        <f aca="false">(+F20+F21+F22+F23+F24+F25)</f>
        <v>1465.00568572223</v>
      </c>
      <c r="G33" s="371" t="n">
        <f aca="false">(+G20+G21+G22+G23+G24+G25)</f>
        <v>1830.69541580406</v>
      </c>
      <c r="H33" s="371" t="n">
        <f aca="false">(+H20+H21+H22+H23+H24+H25)</f>
        <v>1897.43398134409</v>
      </c>
      <c r="I33" s="371" t="n">
        <f aca="false">(+I20+I21+I22+I23+I24+I25)</f>
        <v>1557.73863356163</v>
      </c>
      <c r="J33" s="379" t="n">
        <f aca="false">(+J20+J21+J22+J23+J24+J25)</f>
        <v>1582.91545957786</v>
      </c>
      <c r="K33" s="371" t="n">
        <f aca="false">(+K20+K21+K22+K23+K24+K25)</f>
        <v>1640.96528105242</v>
      </c>
      <c r="L33" s="371" t="n">
        <f aca="false">(+L20+L21+L22+L23+L24+L25)</f>
        <v>1646.88677138271</v>
      </c>
      <c r="M33" s="371" t="n">
        <f aca="false">(+M20+M21+M22+M23+M24+M25)</f>
        <v>1672.3331852547</v>
      </c>
      <c r="N33" s="371" t="n">
        <f aca="false">(+N20+N21+N22+N23+N24+N25)</f>
        <v>1718.20868121187</v>
      </c>
      <c r="O33" s="371" t="n">
        <f aca="false">(+O20+O21+O22+O23+O24+O25)</f>
        <v>1743.92802317611</v>
      </c>
      <c r="P33" s="371" t="n">
        <f aca="false">(+P20+P21+P22+P23+P24+P25)</f>
        <v>1769.64161732131</v>
      </c>
      <c r="Q33" s="371" t="n">
        <f aca="false">(+Q20+Q21+Q22+Q23+Q24+Q25)</f>
        <v>1560.42049338415</v>
      </c>
      <c r="R33" s="371" t="n">
        <f aca="false">(+R20+R21+R22+R23+R24+R25)</f>
        <v>1615.24891787582</v>
      </c>
      <c r="S33" s="371" t="n">
        <f aca="false">(+S20+S21+S22+S23+S24+S25)</f>
        <v>1638.31952419688</v>
      </c>
      <c r="T33" s="371" t="n">
        <f aca="false">(+T20+T21+T22+T23+T24+T25)</f>
        <v>1684.14262901887</v>
      </c>
      <c r="U33" s="371" t="n">
        <f aca="false">(+U20+U21+U22+U23+U24+U25)</f>
        <v>0</v>
      </c>
      <c r="V33" s="371" t="n">
        <f aca="false">(+V20+V21+V22+V23+V24+V25)</f>
        <v>0</v>
      </c>
      <c r="W33" s="371" t="n">
        <f aca="false">(+W20+W21+W22+W23+W24+W25)</f>
        <v>0</v>
      </c>
      <c r="X33" s="371" t="n">
        <f aca="false">(+X20+X21+X22+X23+X24+X25)</f>
        <v>0</v>
      </c>
      <c r="Y33" s="371" t="n">
        <f aca="false">(+Y20+Y21+Y22+Y23+Y24+Y25)</f>
        <v>0</v>
      </c>
      <c r="Z33" s="371"/>
      <c r="AA33" s="371"/>
      <c r="AB33" s="371"/>
      <c r="AC33" s="371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</row>
    <row r="34" customFormat="false" ht="11.25" hidden="false" customHeight="false" outlineLevel="0" collapsed="false">
      <c r="A34" s="113"/>
      <c r="B34" s="113" t="s">
        <v>349</v>
      </c>
      <c r="C34" s="371"/>
      <c r="D34" s="378"/>
      <c r="E34" s="371" t="n">
        <f aca="false">(Assumptions!$B$63*Assumptions!$E$10)*E2*(1+E6)</f>
        <v>150.441708885708</v>
      </c>
      <c r="F34" s="371" t="n">
        <f aca="false">((Assumptions!$B$63*Assumptions!$E$10)*(1+F6))</f>
        <v>920.703258380536</v>
      </c>
      <c r="G34" s="371" t="n">
        <f aca="false">IF(Tables!B21=2,((Assumptions!$B$63*Assumptions!$E$10)*(1+G6)*0.5),(Assumptions!$B$63*Assumptions!$E$10)*(1+G6))</f>
        <v>938.756263446821</v>
      </c>
      <c r="H34" s="371" t="n">
        <f aca="false">IF($H$2="EOC",0,(Assumptions!$B$63*Assumptions!$E$10)*(1+H6))</f>
        <v>956.809268513106</v>
      </c>
      <c r="I34" s="371" t="n">
        <f aca="false">IF($I$2="EOC",0,(Assumptions!$B$63*Assumptions!$E$10)*(1+I6))</f>
        <v>974.862273579391</v>
      </c>
      <c r="J34" s="379" t="n">
        <f aca="false">IF(I2="EOC",0,IF(Tables!B21=5,((Assumptions!$B$63*Assumptions!$E$10)*(1+J6)*0.25),(Assumptions!$B$63*Assumptions!$E$10)*(1+J6)))</f>
        <v>992.915278645676</v>
      </c>
      <c r="K34" s="371" t="n">
        <f aca="false">IF($I$2="EOC",0,IF($J$2="EOC",0,(Assumptions!$B$63*Assumptions!$E$10)*(1+K6)))</f>
        <v>1010.96828371196</v>
      </c>
      <c r="L34" s="371" t="n">
        <f aca="false">IF($I$2="EOC",0,IF($J$2="EOC",0,(Assumptions!$B$63*Assumptions!$E$10)*(1+L6)))</f>
        <v>1029.02128877825</v>
      </c>
      <c r="M34" s="371" t="n">
        <f aca="false">IF($I$2="EOC",0,IF($J$2="EOC",0,(Assumptions!$B$63*Assumptions!$E$10)*(1+M6)))</f>
        <v>1047.07429384453</v>
      </c>
      <c r="N34" s="371" t="n">
        <f aca="false">IF($I$2="EOC",0,IF($J$2="EOC",0,(Assumptions!$B$63*Assumptions!$E$10)*(1+N6)))</f>
        <v>1065.12729891082</v>
      </c>
      <c r="O34" s="371" t="n">
        <f aca="false">IF(I2="EOC",0,IF(J2="EOC",0,IF(Tables!B21=10,((Assumptions!$B$63*Assumptions!$E$10)*(1+O6)*0.25),(Assumptions!$B$63*Assumptions!$E$10)*(1+O6))))</f>
        <v>1083.1803039771</v>
      </c>
      <c r="P34" s="371" t="n">
        <f aca="false">IF($I$2="EOC",0,IF($J$2="EOC",0,IF($O$2="EOC",0,(Assumptions!$B$63*Assumptions!$E$10)*(1+P6))))</f>
        <v>1101.23330904339</v>
      </c>
      <c r="Q34" s="371" t="n">
        <f aca="false">IF($I$2="EOC",0,IF($J$2="EOC",0,IF($O$2="EOC",0,(Assumptions!$B$63*Assumptions!$E$10)*(1+Q6))))</f>
        <v>1119.28631410967</v>
      </c>
      <c r="R34" s="371" t="n">
        <f aca="false">IF($I$2="EOC",0,IF($J$2="EOC",0,IF($O$2="EOC",0,(Assumptions!$B$63*Assumptions!$E$10)*(1+R6))))</f>
        <v>1137.33931917596</v>
      </c>
      <c r="S34" s="371" t="n">
        <f aca="false">IF($I$2="EOC",0,IF($J$2="EOC",0,IF($O$2="EOC",0,(Assumptions!$B$63*Assumptions!$E$10)*(1+S6))))</f>
        <v>1155.39232424224</v>
      </c>
      <c r="T34" s="371" t="n">
        <f aca="false">IF($I$2="EOC",0,IF($J$2="EOC",0,IF($O$2="EOC",0,IF(Tables!B21=15,((Assumptions!$B$63*Assumptions!$E$10)*(1+T6)*1),(Assumptions!$B$63*Assumptions!$E$10)*(1+T6)))))</f>
        <v>1173.44532930853</v>
      </c>
      <c r="U34" s="371" t="n">
        <f aca="false">IF($I$2="EOC",0,IF($J$2="EOC",0,IF($O$2="EOC",0,IF($T$2="EOC",0,(Assumptions!$B$63*Assumptions!$E$10)*(1+U6)))))</f>
        <v>0</v>
      </c>
      <c r="V34" s="371" t="n">
        <f aca="false">IF($I$2="EOC",0,IF($J$2="EOC",0,IF($O$2="EOC",0,IF($T$2="EOC",0,(Assumptions!$B$63*Assumptions!$E$10)*(1+V6)))))</f>
        <v>0</v>
      </c>
      <c r="W34" s="371" t="n">
        <f aca="false">IF($I$2="EOC",0,IF($J$2="EOC",0,IF($O$2="EOC",0,IF($T$2="EOC",0,(Assumptions!$B$63*Assumptions!$E$10)*(1+W6)))))</f>
        <v>0</v>
      </c>
      <c r="X34" s="371" t="n">
        <f aca="false">IF($I$2="EOC",0,IF($J$2="EOC",0,IF($O$2="EOC",0,IF($T$2="EOC",0,(Assumptions!$B$63*Assumptions!$E$10)*(1+X6)))))</f>
        <v>0</v>
      </c>
      <c r="Y34" s="371" t="n">
        <f aca="false">IF(I2="EOC",0,IF(J2="EOC",0,IF(O2="EOC",0,IF(T2="EOC",0,IF(Tables!B21=20,((Assumptions!$B$63*Assumptions!$E$10)*(1+Y6)*0.25),(Assumptions!$B$63*Assumptions!$E$10)*(1+Y6))))))</f>
        <v>0</v>
      </c>
      <c r="Z34" s="371"/>
      <c r="AA34" s="371"/>
      <c r="AB34" s="371"/>
      <c r="AC34" s="371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</row>
    <row r="35" customFormat="false" ht="11.25" hidden="false" customHeight="false" outlineLevel="0" collapsed="false">
      <c r="A35" s="113"/>
      <c r="B35" s="113" t="s">
        <v>350</v>
      </c>
      <c r="C35" s="113"/>
      <c r="D35" s="378"/>
      <c r="E35" s="380" t="n">
        <f aca="false">(Assumptions!$E$10*Assumptions!$B$64*(1+E6))*E2</f>
        <v>75.2208544428542</v>
      </c>
      <c r="F35" s="380" t="n">
        <f aca="false">Assumptions!$E$10*Assumptions!$B$64*(1+F6)</f>
        <v>460.351629190268</v>
      </c>
      <c r="G35" s="380" t="n">
        <f aca="false">IF(Tables!B21=2,((Assumptions!$E$10*Assumptions!$B$64*(1+G6))*0.5),Assumptions!$E$10*Assumptions!$B$64*(1+G6))</f>
        <v>469.378131723411</v>
      </c>
      <c r="H35" s="380" t="n">
        <f aca="false">IF($H$2="EOC",0,Assumptions!$E$10*Assumptions!$B$64*(1+H6))</f>
        <v>478.404634256553</v>
      </c>
      <c r="I35" s="380" t="n">
        <f aca="false">IF($I$2="EOC",0,Assumptions!$E$10*Assumptions!$B$64*(1+I6))</f>
        <v>487.431136789696</v>
      </c>
      <c r="J35" s="381" t="n">
        <f aca="false">IF(I2="EOC",0,IF(Tables!B21=5,(Assumptions!$E$10*Assumptions!$B$64*(1+J6)*0.25),(Assumptions!$E$10*Assumptions!$B$64*(1+J6))))</f>
        <v>496.457639322838</v>
      </c>
      <c r="K35" s="380" t="n">
        <f aca="false">IF($I$2="EOC",0,IF($J$2="EOC",0,Assumptions!$E$10*Assumptions!$B$64*(1+K6)))</f>
        <v>505.484141855981</v>
      </c>
      <c r="L35" s="380" t="n">
        <f aca="false">IF($I$2="EOC",0,IF($J$2="EOC",0,Assumptions!$E$10*Assumptions!$B$64*(1+L6)))</f>
        <v>514.510644389123</v>
      </c>
      <c r="M35" s="380" t="n">
        <f aca="false">IF($I$2="EOC",0,IF($J$2="EOC",0,Assumptions!$E$10*Assumptions!$B$64*(1+M6)))</f>
        <v>523.537146922266</v>
      </c>
      <c r="N35" s="380" t="n">
        <f aca="false">IF($I$2="EOC",0,IF($J$2="EOC",0,Assumptions!$E$10*Assumptions!$B$64*(1+N6)))</f>
        <v>532.563649455408</v>
      </c>
      <c r="O35" s="380" t="n">
        <f aca="false">IF(I2="EOC",0,IF(J2="EOC",0,IF(Tables!B21=10,(Assumptions!$E$10*Assumptions!$B$64*(1+O6)*0.25),(Assumptions!$E$10*Assumptions!$B$64*(1+O6)))))</f>
        <v>541.590151988551</v>
      </c>
      <c r="P35" s="380" t="n">
        <f aca="false">IF($I$2="EOC",0,IF($J$2="EOC",0,IF($O$2="EOC",0,Assumptions!$E$10*Assumptions!$B$64*(1+P6))))</f>
        <v>550.616654521693</v>
      </c>
      <c r="Q35" s="380" t="n">
        <f aca="false">IF($I$2="EOC",0,IF($J$2="EOC",0,IF($O$2="EOC",0,Assumptions!$E$10*Assumptions!$B$64*(1+Q6))))</f>
        <v>559.643157054836</v>
      </c>
      <c r="R35" s="380" t="n">
        <f aca="false">IF($I$2="EOC",0,IF($J$2="EOC",0,IF($O$2="EOC",0,Assumptions!$E$10*Assumptions!$B$64*(1+R6))))</f>
        <v>568.669659587978</v>
      </c>
      <c r="S35" s="380" t="n">
        <f aca="false">IF($I$2="EOC",0,IF($J$2="EOC",0,IF($O$2="EOC",0,Assumptions!$E$10*Assumptions!$B$64*(1+S6))))</f>
        <v>577.696162121121</v>
      </c>
      <c r="T35" s="380" t="n">
        <f aca="false">IF(I2="EOC",0,IF(J2="EOC",0,IF(O2="EOC",0,IF(Tables!$B$21=15,(Assumptions!$E$10*Assumptions!$B$64*(1+T6)*1),(Assumptions!$E$10*Assumptions!$B$64*(1+T6))))))</f>
        <v>586.722664654263</v>
      </c>
      <c r="U35" s="380" t="n">
        <f aca="false">IF($I$2="EOC",0,IF($J$2="EOC",0,IF($O$2="EOC",0,IF($T$2="EOC",0,Assumptions!$E$10*Assumptions!$B$64*(1+U6)))))</f>
        <v>0</v>
      </c>
      <c r="V35" s="380" t="n">
        <f aca="false">IF($I$2="EOC",0,IF($J$2="EOC",0,IF($O$2="EOC",0,IF($T$2="EOC",0,Assumptions!$E$10*Assumptions!$B$64*(1+V6)))))</f>
        <v>0</v>
      </c>
      <c r="W35" s="380" t="n">
        <f aca="false">IF($I$2="EOC",0,IF($J$2="EOC",0,IF($O$2="EOC",0,IF($T$2="EOC",0,Assumptions!$E$10*Assumptions!$B$64*(1+W6)))))</f>
        <v>0</v>
      </c>
      <c r="X35" s="380" t="n">
        <f aca="false">IF($I$2="EOC",0,IF($J$2="EOC",0,IF($O$2="EOC",0,IF($T$2="EOC",0,Assumptions!$E$10*Assumptions!$B$64*(1+X6)))))</f>
        <v>0</v>
      </c>
      <c r="Y35" s="380" t="n">
        <f aca="false">IF(I2="EOC",0,IF(J2="EOC",0,IF(O2="EOC",0,IF(T2="EOC",0,IF(Tables!$B$21=20,(Assumptions!$E$10*Assumptions!$B$64*(1+Y6)*0.25),(Assumptions!$E$10*Assumptions!$B$64*(1+Y6)))))))</f>
        <v>0</v>
      </c>
      <c r="Z35" s="382"/>
      <c r="AA35" s="382"/>
      <c r="AB35" s="382"/>
      <c r="AC35" s="38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</row>
    <row r="36" customFormat="false" ht="11.25" hidden="false" customHeight="false" outlineLevel="0" collapsed="false">
      <c r="A36" s="113"/>
      <c r="B36" s="113"/>
      <c r="C36" s="113"/>
      <c r="D36" s="378"/>
      <c r="E36" s="376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</row>
    <row r="37" customFormat="false" ht="11.25" hidden="false" customHeight="false" outlineLevel="0" collapsed="false">
      <c r="A37" s="113"/>
      <c r="B37" s="113"/>
      <c r="C37" s="113"/>
      <c r="D37" s="378"/>
      <c r="E37" s="376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</row>
    <row r="38" customFormat="false" ht="11.25" hidden="false" customHeight="false" outlineLevel="0" collapsed="false">
      <c r="A38" s="113"/>
      <c r="B38" s="113" t="s">
        <v>351</v>
      </c>
      <c r="C38" s="113"/>
      <c r="D38" s="378"/>
      <c r="E38" s="352" t="n">
        <f aca="false">'Operational Detail'!D14</f>
        <v>0</v>
      </c>
      <c r="F38" s="352" t="n">
        <f aca="false">'Operational Detail'!E14</f>
        <v>664</v>
      </c>
      <c r="G38" s="352" t="n">
        <f aca="false">'Operational Detail'!F14</f>
        <v>816</v>
      </c>
      <c r="H38" s="352" t="n">
        <f aca="false">'Operational Detail'!G14</f>
        <v>832</v>
      </c>
      <c r="I38" s="352" t="n">
        <f aca="false">'Operational Detail'!H14</f>
        <v>672</v>
      </c>
      <c r="J38" s="352" t="n">
        <f aca="false">'Operational Detail'!I14</f>
        <v>672</v>
      </c>
      <c r="K38" s="352" t="n">
        <f aca="false">'Operational Detail'!J14</f>
        <v>672</v>
      </c>
      <c r="L38" s="352" t="n">
        <f aca="false">'Operational Detail'!K14</f>
        <v>664</v>
      </c>
      <c r="M38" s="352" t="n">
        <f aca="false">'Operational Detail'!L14</f>
        <v>664</v>
      </c>
      <c r="N38" s="352" t="n">
        <f aca="false">'Operational Detail'!M14</f>
        <v>672</v>
      </c>
      <c r="O38" s="352" t="n">
        <f aca="false">'Operational Detail'!N14</f>
        <v>672</v>
      </c>
      <c r="P38" s="352" t="n">
        <f aca="false">'Operational Detail'!O14</f>
        <v>672</v>
      </c>
      <c r="Q38" s="352" t="n">
        <f aca="false">'Operational Detail'!P14</f>
        <v>584</v>
      </c>
      <c r="R38" s="352" t="n">
        <f aca="false">'Operational Detail'!Q14</f>
        <v>584</v>
      </c>
      <c r="S38" s="352" t="n">
        <f aca="false">'Operational Detail'!R14</f>
        <v>584</v>
      </c>
      <c r="T38" s="352" t="n">
        <f aca="false">'Operational Detail'!S14</f>
        <v>592</v>
      </c>
      <c r="U38" s="352" t="n">
        <f aca="false">'Operational Detail'!T14</f>
        <v>0</v>
      </c>
      <c r="V38" s="352" t="n">
        <f aca="false">'Operational Detail'!U14</f>
        <v>0</v>
      </c>
      <c r="W38" s="352" t="n">
        <f aca="false">'Operational Detail'!V14</f>
        <v>0</v>
      </c>
      <c r="X38" s="352" t="n">
        <f aca="false">'Operational Detail'!W14</f>
        <v>0</v>
      </c>
      <c r="Y38" s="352" t="n">
        <f aca="false">'Operational Detail'!X14</f>
        <v>0</v>
      </c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</row>
    <row r="39" customFormat="false" ht="11.25" hidden="false" customHeight="false" outlineLevel="0" collapsed="false">
      <c r="A39" s="113"/>
      <c r="B39" s="113" t="s">
        <v>352</v>
      </c>
      <c r="C39" s="113"/>
      <c r="D39" s="378"/>
      <c r="E39" s="352" t="n">
        <f aca="false">'Operational Detail'!D17-Assumptions!B17</f>
        <v>0</v>
      </c>
      <c r="F39" s="352" t="n">
        <f aca="false">'Operational Detail'!E17</f>
        <v>2064</v>
      </c>
      <c r="G39" s="352" t="n">
        <f aca="false">'Operational Detail'!F17</f>
        <v>2216</v>
      </c>
      <c r="H39" s="352" t="n">
        <f aca="false">'Operational Detail'!G17</f>
        <v>2232</v>
      </c>
      <c r="I39" s="352" t="n">
        <f aca="false">'Operational Detail'!H17</f>
        <v>2072</v>
      </c>
      <c r="J39" s="352" t="n">
        <f aca="false">'Operational Detail'!I17</f>
        <v>2072</v>
      </c>
      <c r="K39" s="352" t="n">
        <f aca="false">'Operational Detail'!J17</f>
        <v>2072</v>
      </c>
      <c r="L39" s="352" t="n">
        <f aca="false">'Operational Detail'!K17</f>
        <v>2064</v>
      </c>
      <c r="M39" s="352" t="n">
        <f aca="false">'Operational Detail'!L17</f>
        <v>2064</v>
      </c>
      <c r="N39" s="352" t="n">
        <f aca="false">'Operational Detail'!M17</f>
        <v>2072</v>
      </c>
      <c r="O39" s="352" t="n">
        <f aca="false">'Operational Detail'!N17</f>
        <v>2072</v>
      </c>
      <c r="P39" s="352" t="n">
        <f aca="false">'Operational Detail'!O17</f>
        <v>2072</v>
      </c>
      <c r="Q39" s="352" t="n">
        <f aca="false">'Operational Detail'!P17</f>
        <v>1984</v>
      </c>
      <c r="R39" s="352" t="n">
        <f aca="false">'Operational Detail'!Q17</f>
        <v>1984</v>
      </c>
      <c r="S39" s="352" t="n">
        <f aca="false">'Operational Detail'!R17</f>
        <v>1984</v>
      </c>
      <c r="T39" s="352" t="n">
        <f aca="false">'Operational Detail'!S17</f>
        <v>1992</v>
      </c>
      <c r="U39" s="352" t="n">
        <f aca="false">'Operational Detail'!T17</f>
        <v>0</v>
      </c>
      <c r="V39" s="352" t="n">
        <f aca="false">'Operational Detail'!U17</f>
        <v>0</v>
      </c>
      <c r="W39" s="352" t="n">
        <f aca="false">'Operational Detail'!V17</f>
        <v>0</v>
      </c>
      <c r="X39" s="352" t="n">
        <f aca="false">'Operational Detail'!W17</f>
        <v>0</v>
      </c>
      <c r="Y39" s="352" t="n">
        <f aca="false">'Operational Detail'!X17</f>
        <v>0</v>
      </c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</row>
    <row r="40" customFormat="false" ht="11.25" hidden="false" customHeight="false" outlineLevel="0" collapsed="false">
      <c r="A40" s="113"/>
      <c r="B40" s="113" t="s">
        <v>353</v>
      </c>
      <c r="C40" s="113"/>
      <c r="D40" s="113"/>
      <c r="E40" s="352" t="n">
        <f aca="false">'Operational Detail'!D18</f>
        <v>5000</v>
      </c>
      <c r="F40" s="352" t="n">
        <f aca="false">'Operational Detail'!E18</f>
        <v>7064</v>
      </c>
      <c r="G40" s="352" t="n">
        <f aca="false">'Operational Detail'!F18</f>
        <v>9280</v>
      </c>
      <c r="H40" s="352" t="n">
        <f aca="false">'Operational Detail'!G18</f>
        <v>11512</v>
      </c>
      <c r="I40" s="352" t="n">
        <f aca="false">'Operational Detail'!H18</f>
        <v>13584</v>
      </c>
      <c r="J40" s="352" t="n">
        <f aca="false">'Operational Detail'!I18</f>
        <v>15656</v>
      </c>
      <c r="K40" s="352" t="n">
        <f aca="false">'Operational Detail'!J18</f>
        <v>17728</v>
      </c>
      <c r="L40" s="352" t="n">
        <f aca="false">'Operational Detail'!K18</f>
        <v>19792</v>
      </c>
      <c r="M40" s="352" t="n">
        <f aca="false">'Operational Detail'!L18</f>
        <v>21856</v>
      </c>
      <c r="N40" s="352" t="n">
        <f aca="false">'Operational Detail'!M18</f>
        <v>23928</v>
      </c>
      <c r="O40" s="352" t="n">
        <f aca="false">'Operational Detail'!N18</f>
        <v>26000</v>
      </c>
      <c r="P40" s="352" t="n">
        <f aca="false">'Operational Detail'!O18</f>
        <v>28072</v>
      </c>
      <c r="Q40" s="352" t="n">
        <f aca="false">'Operational Detail'!P18</f>
        <v>30056</v>
      </c>
      <c r="R40" s="352" t="n">
        <f aca="false">'Operational Detail'!Q18</f>
        <v>32040</v>
      </c>
      <c r="S40" s="352" t="n">
        <f aca="false">'Operational Detail'!R18</f>
        <v>34024</v>
      </c>
      <c r="T40" s="352" t="n">
        <f aca="false">'Operational Detail'!S18</f>
        <v>36016</v>
      </c>
      <c r="U40" s="352" t="n">
        <f aca="false">'Operational Detail'!T18</f>
        <v>0</v>
      </c>
      <c r="V40" s="352" t="n">
        <f aca="false">'Operational Detail'!U18</f>
        <v>0</v>
      </c>
      <c r="W40" s="352" t="n">
        <f aca="false">'Operational Detail'!V18</f>
        <v>0</v>
      </c>
      <c r="X40" s="352" t="n">
        <f aca="false">'Operational Detail'!W18</f>
        <v>0</v>
      </c>
      <c r="Y40" s="352" t="n">
        <f aca="false">'Operational Detail'!X18</f>
        <v>0</v>
      </c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</row>
    <row r="41" customFormat="false" ht="11.25" hidden="false" customHeight="false" outlineLevel="0" collapsed="false">
      <c r="A41" s="113"/>
      <c r="B41" s="206" t="s">
        <v>354</v>
      </c>
      <c r="C41" s="383"/>
      <c r="D41" s="383"/>
      <c r="E41" s="384" t="n">
        <f aca="false">'Operational Detail'!D19</f>
        <v>5000</v>
      </c>
      <c r="F41" s="384" t="n">
        <f aca="false">'Operational Detail'!E19</f>
        <v>7064</v>
      </c>
      <c r="G41" s="384" t="n">
        <f aca="false">'Operational Detail'!F19</f>
        <v>9280</v>
      </c>
      <c r="H41" s="384" t="n">
        <f aca="false">'Operational Detail'!G19</f>
        <v>11512</v>
      </c>
      <c r="I41" s="384" t="n">
        <f aca="false">'Operational Detail'!H19</f>
        <v>13584</v>
      </c>
      <c r="J41" s="384" t="n">
        <f aca="false">'Operational Detail'!I19</f>
        <v>15656</v>
      </c>
      <c r="K41" s="384" t="n">
        <f aca="false">'Operational Detail'!J19</f>
        <v>1728</v>
      </c>
      <c r="L41" s="384" t="n">
        <f aca="false">'Operational Detail'!K19</f>
        <v>3792</v>
      </c>
      <c r="M41" s="384" t="n">
        <f aca="false">'Operational Detail'!L19</f>
        <v>5856</v>
      </c>
      <c r="N41" s="384" t="n">
        <f aca="false">'Operational Detail'!M19</f>
        <v>7928</v>
      </c>
      <c r="O41" s="384" t="n">
        <f aca="false">'Operational Detail'!N19</f>
        <v>10000</v>
      </c>
      <c r="P41" s="384" t="n">
        <f aca="false">'Operational Detail'!O19</f>
        <v>12072</v>
      </c>
      <c r="Q41" s="384" t="n">
        <f aca="false">'Operational Detail'!P19</f>
        <v>14056</v>
      </c>
      <c r="R41" s="384" t="n">
        <f aca="false">'Operational Detail'!Q19</f>
        <v>40</v>
      </c>
      <c r="S41" s="384" t="n">
        <f aca="false">'Operational Detail'!R19</f>
        <v>2024</v>
      </c>
      <c r="T41" s="384" t="n">
        <f aca="false">'Operational Detail'!S19</f>
        <v>4016</v>
      </c>
      <c r="U41" s="384" t="n">
        <f aca="false">'Operational Detail'!T19</f>
        <v>0</v>
      </c>
      <c r="V41" s="384" t="n">
        <f aca="false">'Operational Detail'!U19</f>
        <v>0</v>
      </c>
      <c r="W41" s="384" t="n">
        <f aca="false">'Operational Detail'!V19</f>
        <v>0</v>
      </c>
      <c r="X41" s="384" t="n">
        <f aca="false">'Operational Detail'!W19</f>
        <v>0</v>
      </c>
      <c r="Y41" s="384" t="n">
        <f aca="false">'Operational Detail'!X19</f>
        <v>0</v>
      </c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</row>
    <row r="42" customFormat="false" ht="11.25" hidden="false" customHeight="false" outlineLevel="0" collapsed="false">
      <c r="A42" s="113"/>
      <c r="B42" s="385" t="s">
        <v>355</v>
      </c>
      <c r="C42" s="385"/>
      <c r="D42" s="386"/>
      <c r="E42" s="387" t="n">
        <f aca="false">'Operational Detail'!D21</f>
        <v>0</v>
      </c>
      <c r="F42" s="387" t="n">
        <f aca="false">'Operational Detail'!E21</f>
        <v>213236.34912</v>
      </c>
      <c r="G42" s="387" t="n">
        <f aca="false">'Operational Detail'!F21</f>
        <v>261317.1456</v>
      </c>
      <c r="H42" s="387" t="n">
        <f aca="false">'Operational Detail'!G21</f>
        <v>265688.91648</v>
      </c>
      <c r="I42" s="387" t="n">
        <f aca="false">'Operational Detail'!H21</f>
        <v>214030.97856</v>
      </c>
      <c r="J42" s="387" t="n">
        <f aca="false">'Operational Detail'!I21</f>
        <v>213467.06304</v>
      </c>
      <c r="K42" s="387" t="n">
        <f aca="false">'Operational Detail'!J21</f>
        <v>217257.70752</v>
      </c>
      <c r="L42" s="387" t="n">
        <f aca="false">'Operational Detail'!K21</f>
        <v>214116.25536</v>
      </c>
      <c r="M42" s="387" t="n">
        <f aca="false">'Operational Detail'!L21</f>
        <v>213561.20448</v>
      </c>
      <c r="N42" s="387" t="n">
        <f aca="false">'Operational Detail'!M21</f>
        <v>215570.31552</v>
      </c>
      <c r="O42" s="387" t="n">
        <f aca="false">'Operational Detail'!N21</f>
        <v>215006.4</v>
      </c>
      <c r="P42" s="387" t="n">
        <f aca="false">'Operational Detail'!O21</f>
        <v>214442.48448</v>
      </c>
      <c r="Q42" s="387" t="n">
        <f aca="false">'Operational Detail'!P21</f>
        <v>185891.47488</v>
      </c>
      <c r="R42" s="387" t="n">
        <f aca="false">'Operational Detail'!Q21</f>
        <v>189206.5392</v>
      </c>
      <c r="S42" s="387" t="n">
        <f aca="false">'Operational Detail'!R21</f>
        <v>188737.28352</v>
      </c>
      <c r="T42" s="387" t="n">
        <f aca="false">'Operational Detail'!S21</f>
        <v>190845.12384</v>
      </c>
      <c r="U42" s="387" t="n">
        <f aca="false">'Operational Detail'!T21</f>
        <v>0</v>
      </c>
      <c r="V42" s="387" t="n">
        <f aca="false">'Operational Detail'!U21</f>
        <v>0</v>
      </c>
      <c r="W42" s="387" t="n">
        <f aca="false">'Operational Detail'!V21</f>
        <v>0</v>
      </c>
      <c r="X42" s="387" t="n">
        <f aca="false">'Operational Detail'!W21</f>
        <v>0</v>
      </c>
      <c r="Y42" s="387" t="n">
        <f aca="false">'Operational Detail'!X21</f>
        <v>0</v>
      </c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</row>
    <row r="43" customFormat="false" ht="11.25" hidden="false" customHeight="false" outlineLevel="0" collapsed="false">
      <c r="A43" s="113"/>
      <c r="B43" s="113"/>
      <c r="C43" s="113"/>
      <c r="D43" s="378"/>
      <c r="E43" s="376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</row>
    <row r="44" customFormat="false" ht="11.25" hidden="false" customHeight="false" outlineLevel="0" collapsed="false">
      <c r="A44" s="113"/>
      <c r="B44" s="113"/>
      <c r="C44" s="113"/>
      <c r="D44" s="378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</row>
    <row r="45" customFormat="false" ht="11.25" hidden="false" customHeight="false" outlineLevel="0" collapsed="false">
      <c r="A45" s="113"/>
      <c r="B45" s="113"/>
      <c r="C45" s="113"/>
      <c r="D45" s="378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</row>
    <row r="46" customFormat="false" ht="11.25" hidden="false" customHeight="false" outlineLevel="0" collapsed="false">
      <c r="A46" s="113"/>
      <c r="B46" s="124" t="s">
        <v>356</v>
      </c>
      <c r="C46" s="113"/>
      <c r="D46" s="378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</row>
    <row r="47" customFormat="false" ht="11.25" hidden="false" customHeight="false" outlineLevel="0" collapsed="false">
      <c r="A47" s="113"/>
      <c r="B47" s="113" t="s">
        <v>357</v>
      </c>
      <c r="C47" s="113"/>
      <c r="D47" s="378"/>
      <c r="E47" s="388" t="n">
        <f aca="false">Tables!N10*(1+H1)</f>
        <v>1.49</v>
      </c>
      <c r="F47" s="376" t="n">
        <f aca="false">E47*(1+Assumptions!$E$32)</f>
        <v>1.5198</v>
      </c>
      <c r="G47" s="376" t="n">
        <f aca="false">F47*(1+Assumptions!$E$32)</f>
        <v>1.550196</v>
      </c>
      <c r="H47" s="376" t="n">
        <f aca="false">G47*(1+Assumptions!$E$32)</f>
        <v>1.58119992</v>
      </c>
      <c r="I47" s="376" t="n">
        <f aca="false">H47*(1+Assumptions!$E$32)</f>
        <v>1.6128239184</v>
      </c>
      <c r="J47" s="376" t="n">
        <f aca="false">I47*(1+Assumptions!$E$32)</f>
        <v>1.645080396768</v>
      </c>
      <c r="K47" s="376" t="n">
        <f aca="false">J47*(1+Assumptions!$E$32)</f>
        <v>1.67798200470336</v>
      </c>
      <c r="L47" s="376" t="n">
        <f aca="false">K47*(1+Assumptions!$E$32)</f>
        <v>1.71154164479743</v>
      </c>
      <c r="M47" s="376" t="n">
        <f aca="false">L47*(1+Assumptions!$E$32)</f>
        <v>1.74577247769338</v>
      </c>
      <c r="N47" s="376" t="n">
        <f aca="false">M47*(1+Assumptions!$E$32)</f>
        <v>1.78068792724724</v>
      </c>
      <c r="O47" s="376" t="n">
        <f aca="false">N47*(1+Assumptions!$E$32)</f>
        <v>1.81630168579219</v>
      </c>
      <c r="P47" s="376" t="n">
        <f aca="false">O47*(1+Assumptions!$E$32)</f>
        <v>1.85262771950803</v>
      </c>
      <c r="Q47" s="376" t="n">
        <f aca="false">P47*(1+Assumptions!$E$32)</f>
        <v>1.88968027389819</v>
      </c>
      <c r="R47" s="376" t="n">
        <f aca="false">Q47*(1+Assumptions!$E$32)</f>
        <v>1.92747387937616</v>
      </c>
      <c r="S47" s="376" t="n">
        <f aca="false">R47*(1+Assumptions!$E$32)</f>
        <v>1.96602335696368</v>
      </c>
      <c r="T47" s="376" t="n">
        <f aca="false">S47*(1+Assumptions!$E$32)</f>
        <v>2.00534382410295</v>
      </c>
      <c r="U47" s="376" t="n">
        <f aca="false">T47*(1+Assumptions!$E$32)</f>
        <v>2.04545070058501</v>
      </c>
      <c r="V47" s="376" t="n">
        <f aca="false">U47*(1+Assumptions!$E$32)</f>
        <v>2.08635971459671</v>
      </c>
      <c r="W47" s="376" t="n">
        <f aca="false">V47*(1+Assumptions!$E$32)</f>
        <v>2.12808690888865</v>
      </c>
      <c r="X47" s="376" t="n">
        <f aca="false">W47*(1+Assumptions!$E$32)</f>
        <v>2.17064864706642</v>
      </c>
      <c r="Y47" s="376" t="n">
        <f aca="false">X47*(1+Assumptions!$E$32)</f>
        <v>2.21406162000775</v>
      </c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</row>
    <row r="48" customFormat="false" ht="11.25" hidden="false" customHeight="false" outlineLevel="0" collapsed="false">
      <c r="A48" s="113"/>
      <c r="B48" s="113" t="s">
        <v>358</v>
      </c>
      <c r="C48" s="113"/>
      <c r="D48" s="378"/>
      <c r="E48" s="388" t="n">
        <f aca="false">(0.260416666666667*Assumptions!E31)*(1+H1)</f>
        <v>0.382812500000001</v>
      </c>
      <c r="F48" s="376" t="n">
        <f aca="false">$E$48*(1+F$6)</f>
        <v>0.390468750000001</v>
      </c>
      <c r="G48" s="376" t="n">
        <f aca="false">$E$48*(1+G$6)</f>
        <v>0.398125000000001</v>
      </c>
      <c r="H48" s="376" t="n">
        <f aca="false">$E$48*(1+H$6)</f>
        <v>0.405781250000001</v>
      </c>
      <c r="I48" s="376" t="n">
        <f aca="false">$E$48*(1+I$6)</f>
        <v>0.413437500000001</v>
      </c>
      <c r="J48" s="376" t="n">
        <f aca="false">$E$48*(1+J$6)</f>
        <v>0.421093750000001</v>
      </c>
      <c r="K48" s="376" t="n">
        <f aca="false">$E$48*(1+K$6)</f>
        <v>0.428750000000001</v>
      </c>
      <c r="L48" s="376" t="n">
        <f aca="false">$E$48*(1+L$6)</f>
        <v>0.436406250000001</v>
      </c>
      <c r="M48" s="376" t="n">
        <f aca="false">$E$48*(1+M$6)</f>
        <v>0.444062500000001</v>
      </c>
      <c r="N48" s="376" t="n">
        <f aca="false">$E$48*(1+N$6)</f>
        <v>0.451718750000001</v>
      </c>
      <c r="O48" s="376" t="n">
        <f aca="false">$E$48*(1+O$6)</f>
        <v>0.459375000000001</v>
      </c>
      <c r="P48" s="376" t="n">
        <f aca="false">$E$48*(1+P$6)</f>
        <v>0.467031250000001</v>
      </c>
      <c r="Q48" s="376" t="n">
        <f aca="false">$E$48*(1+Q$6)</f>
        <v>0.474687500000001</v>
      </c>
      <c r="R48" s="376" t="n">
        <f aca="false">$E$48*(1+R$6)</f>
        <v>0.482343750000001</v>
      </c>
      <c r="S48" s="376" t="n">
        <f aca="false">$E$48*(1+S$6)</f>
        <v>0.490000000000001</v>
      </c>
      <c r="T48" s="376" t="n">
        <f aca="false">$E$48*(1+T$6)</f>
        <v>0.497656250000001</v>
      </c>
      <c r="U48" s="376" t="n">
        <f aca="false">$E$48*(1+U$6)</f>
        <v>0.505312500000001</v>
      </c>
      <c r="V48" s="376" t="n">
        <f aca="false">$E$48*(1+V$6)</f>
        <v>0.512968750000001</v>
      </c>
      <c r="W48" s="376" t="n">
        <f aca="false">$E$48*(1+W$6)</f>
        <v>0.520625000000001</v>
      </c>
      <c r="X48" s="376" t="n">
        <f aca="false">$E$48*(1+X$6)</f>
        <v>0.528281250000001</v>
      </c>
      <c r="Y48" s="376" t="n">
        <f aca="false">$E$48*(1+Y$6)</f>
        <v>0.535937500000001</v>
      </c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</row>
    <row r="49" customFormat="false" ht="11.25" hidden="false" customHeight="false" outlineLevel="0" collapsed="false">
      <c r="A49" s="113"/>
      <c r="B49" s="113" t="s">
        <v>359</v>
      </c>
      <c r="C49" s="113"/>
      <c r="D49" s="378"/>
      <c r="E49" s="388" t="n">
        <f aca="false">(0.260416666666667*Assumptions!E31)*(1+H1)</f>
        <v>0.382812500000001</v>
      </c>
      <c r="F49" s="376" t="n">
        <f aca="false">$E$49*(1+F$6)</f>
        <v>0.390468750000001</v>
      </c>
      <c r="G49" s="376" t="n">
        <f aca="false">$E$49*(1+G$6)</f>
        <v>0.398125000000001</v>
      </c>
      <c r="H49" s="376" t="n">
        <f aca="false">$E$49*(1+H$6)</f>
        <v>0.405781250000001</v>
      </c>
      <c r="I49" s="376" t="n">
        <f aca="false">$E$49*(1+I$6)</f>
        <v>0.413437500000001</v>
      </c>
      <c r="J49" s="376" t="n">
        <f aca="false">$E$49*(1+J$6)</f>
        <v>0.421093750000001</v>
      </c>
      <c r="K49" s="376" t="n">
        <f aca="false">$E$49*(1+K$6)</f>
        <v>0.428750000000001</v>
      </c>
      <c r="L49" s="376" t="n">
        <f aca="false">$E$49*(1+L$6)</f>
        <v>0.436406250000001</v>
      </c>
      <c r="M49" s="376" t="n">
        <f aca="false">$E$49*(1+M$6)</f>
        <v>0.444062500000001</v>
      </c>
      <c r="N49" s="376" t="n">
        <f aca="false">$E$49*(1+N$6)</f>
        <v>0.451718750000001</v>
      </c>
      <c r="O49" s="376" t="n">
        <f aca="false">$E$49*(1+O$6)</f>
        <v>0.459375000000001</v>
      </c>
      <c r="P49" s="376" t="n">
        <f aca="false">$E$49*(1+P$6)</f>
        <v>0.467031250000001</v>
      </c>
      <c r="Q49" s="376" t="n">
        <f aca="false">$E$49*(1+Q$6)</f>
        <v>0.474687500000001</v>
      </c>
      <c r="R49" s="376" t="n">
        <f aca="false">$E$49*(1+R$6)</f>
        <v>0.482343750000001</v>
      </c>
      <c r="S49" s="376" t="n">
        <f aca="false">$E$49*(1+S$6)</f>
        <v>0.490000000000001</v>
      </c>
      <c r="T49" s="376" t="n">
        <f aca="false">$E$49*(1+T$6)</f>
        <v>0.497656250000001</v>
      </c>
      <c r="U49" s="376" t="n">
        <f aca="false">$E$49*(1+U$6)</f>
        <v>0.505312500000001</v>
      </c>
      <c r="V49" s="376" t="n">
        <f aca="false">$E$49*(1+V$6)</f>
        <v>0.512968750000001</v>
      </c>
      <c r="W49" s="376" t="n">
        <f aca="false">$E$49*(1+W$6)</f>
        <v>0.520625000000001</v>
      </c>
      <c r="X49" s="376" t="n">
        <f aca="false">$E$49*(1+X$6)</f>
        <v>0.528281250000001</v>
      </c>
      <c r="Y49" s="376" t="n">
        <f aca="false">$E$49*(1+Y$6)</f>
        <v>0.535937500000001</v>
      </c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</row>
    <row r="50" customFormat="false" ht="11.25" hidden="false" customHeight="false" outlineLevel="0" collapsed="false">
      <c r="A50" s="113"/>
      <c r="B50" s="383" t="s">
        <v>360</v>
      </c>
      <c r="C50" s="383"/>
      <c r="D50" s="389"/>
      <c r="E50" s="390" t="n">
        <f aca="false">4.48*(1+H1)</f>
        <v>4.48</v>
      </c>
      <c r="F50" s="391" t="n">
        <f aca="false">$E$50*(1+F6)</f>
        <v>4.5696</v>
      </c>
      <c r="G50" s="391" t="n">
        <f aca="false">$E$50*(1+G6)</f>
        <v>4.6592</v>
      </c>
      <c r="H50" s="391" t="n">
        <f aca="false">$E$50*(1+H6)</f>
        <v>4.7488</v>
      </c>
      <c r="I50" s="391" t="n">
        <f aca="false">$E$50*(1+I6)</f>
        <v>4.8384</v>
      </c>
      <c r="J50" s="391" t="n">
        <f aca="false">$E$50*(1+J6)</f>
        <v>4.928</v>
      </c>
      <c r="K50" s="391" t="n">
        <f aca="false">$E$50*(1+K6)</f>
        <v>5.0176</v>
      </c>
      <c r="L50" s="391" t="n">
        <f aca="false">$E$50*(1+L6)</f>
        <v>5.1072</v>
      </c>
      <c r="M50" s="391" t="n">
        <f aca="false">$E$50*(1+M6)</f>
        <v>5.1968</v>
      </c>
      <c r="N50" s="391" t="n">
        <f aca="false">$E$50*(1+N6)</f>
        <v>5.2864</v>
      </c>
      <c r="O50" s="391" t="n">
        <f aca="false">$E$50*(1+O6)</f>
        <v>5.376</v>
      </c>
      <c r="P50" s="391" t="n">
        <f aca="false">$E$50*(1+P6)</f>
        <v>5.4656</v>
      </c>
      <c r="Q50" s="391" t="n">
        <f aca="false">$E$50*(1+Q6)</f>
        <v>5.5552</v>
      </c>
      <c r="R50" s="391" t="n">
        <f aca="false">$E$50*(1+R6)</f>
        <v>5.6448</v>
      </c>
      <c r="S50" s="391" t="n">
        <f aca="false">$E$50*(1+S6)</f>
        <v>5.7344</v>
      </c>
      <c r="T50" s="391" t="n">
        <f aca="false">$E$50*(1+T6)</f>
        <v>5.824</v>
      </c>
      <c r="U50" s="391" t="n">
        <f aca="false">$E$50*(1+U6)</f>
        <v>5.9136</v>
      </c>
      <c r="V50" s="391" t="n">
        <f aca="false">$E$50*(1+V6)</f>
        <v>6.0032</v>
      </c>
      <c r="W50" s="391" t="n">
        <f aca="false">$E$50*(1+W6)</f>
        <v>6.0928</v>
      </c>
      <c r="X50" s="391" t="n">
        <f aca="false">$E$50*(1+X6)</f>
        <v>6.1824</v>
      </c>
      <c r="Y50" s="391" t="n">
        <f aca="false">$E$50*(1+Y6)</f>
        <v>6.272</v>
      </c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</row>
    <row r="51" customFormat="false" ht="11.25" hidden="false" customHeight="false" outlineLevel="0" collapsed="false">
      <c r="A51" s="113"/>
      <c r="B51" s="295" t="s">
        <v>361</v>
      </c>
      <c r="C51" s="295"/>
      <c r="D51" s="392"/>
      <c r="E51" s="393" t="n">
        <f aca="false">Tables!N36</f>
        <v>0</v>
      </c>
      <c r="F51" s="393" t="n">
        <f aca="false">$E$51*(1+F6)</f>
        <v>0</v>
      </c>
      <c r="G51" s="393" t="n">
        <f aca="false">$E$51*(1+G6)</f>
        <v>0</v>
      </c>
      <c r="H51" s="393" t="n">
        <f aca="false">$E$51*(1+H6)</f>
        <v>0</v>
      </c>
      <c r="I51" s="393" t="n">
        <f aca="false">$E$51*(1+I6)</f>
        <v>0</v>
      </c>
      <c r="J51" s="393" t="n">
        <f aca="false">$E$51*(1+J6)</f>
        <v>0</v>
      </c>
      <c r="K51" s="393" t="n">
        <f aca="false">$E$51*(1+K6)</f>
        <v>0</v>
      </c>
      <c r="L51" s="393" t="n">
        <f aca="false">$E$51*(1+L6)</f>
        <v>0</v>
      </c>
      <c r="M51" s="393" t="n">
        <f aca="false">$E$51*(1+M6)</f>
        <v>0</v>
      </c>
      <c r="N51" s="393" t="n">
        <f aca="false">$E$51*(1+N6)</f>
        <v>0</v>
      </c>
      <c r="O51" s="393" t="n">
        <f aca="false">$E$51*(1+O6)</f>
        <v>0</v>
      </c>
      <c r="P51" s="393" t="n">
        <f aca="false">$E$51*(1+P6)</f>
        <v>0</v>
      </c>
      <c r="Q51" s="393" t="n">
        <f aca="false">$E$51*(1+Q6)</f>
        <v>0</v>
      </c>
      <c r="R51" s="393" t="n">
        <f aca="false">$E$51*(1+R6)</f>
        <v>0</v>
      </c>
      <c r="S51" s="393" t="n">
        <f aca="false">$E$51*(1+S6)</f>
        <v>0</v>
      </c>
      <c r="T51" s="393" t="n">
        <f aca="false">$E$51*(1+T6)</f>
        <v>0</v>
      </c>
      <c r="U51" s="393" t="n">
        <f aca="false">$E$51*(1+U6)</f>
        <v>0</v>
      </c>
      <c r="V51" s="393" t="n">
        <f aca="false">$E$51*(1+V6)</f>
        <v>0</v>
      </c>
      <c r="W51" s="393" t="n">
        <f aca="false">$E$51*(1+W6)</f>
        <v>0</v>
      </c>
      <c r="X51" s="393" t="n">
        <f aca="false">$E$51*(1+X6)</f>
        <v>0</v>
      </c>
      <c r="Y51" s="393" t="n">
        <f aca="false">$E$51*(1+Y6)</f>
        <v>0</v>
      </c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</row>
    <row r="52" customFormat="false" ht="11.25" hidden="false" customHeight="false" outlineLevel="0" collapsed="false">
      <c r="A52" s="113"/>
      <c r="B52" s="113"/>
      <c r="C52" s="113"/>
      <c r="D52" s="378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W52" s="393"/>
      <c r="X52" s="393"/>
      <c r="Y52" s="393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</row>
    <row r="53" customFormat="false" ht="11.25" hidden="false" customHeight="false" outlineLevel="0" collapsed="false">
      <c r="A53" s="113"/>
      <c r="B53" s="113"/>
      <c r="C53" s="113"/>
      <c r="D53" s="378"/>
      <c r="E53" s="393"/>
      <c r="F53" s="393"/>
      <c r="G53" s="393"/>
      <c r="H53" s="393"/>
      <c r="I53" s="393"/>
      <c r="J53" s="393"/>
      <c r="K53" s="393"/>
      <c r="L53" s="393"/>
      <c r="M53" s="393"/>
      <c r="N53" s="393"/>
      <c r="O53" s="393"/>
      <c r="P53" s="393"/>
      <c r="Q53" s="393"/>
      <c r="R53" s="393"/>
      <c r="S53" s="393"/>
      <c r="T53" s="393"/>
      <c r="U53" s="393"/>
      <c r="V53" s="393"/>
      <c r="W53" s="393"/>
      <c r="X53" s="393"/>
      <c r="Y53" s="393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</row>
    <row r="54" customFormat="false" ht="11.25" hidden="false" customHeight="false" outlineLevel="0" collapsed="false">
      <c r="A54" s="113"/>
      <c r="B54" s="113"/>
      <c r="C54" s="113"/>
      <c r="D54" s="378"/>
      <c r="E54" s="394" t="n">
        <f aca="false">SUM(E47:E52)</f>
        <v>6.735625</v>
      </c>
      <c r="F54" s="394" t="n">
        <f aca="false">SUM(F47:F52)</f>
        <v>6.8703375</v>
      </c>
      <c r="G54" s="394" t="n">
        <f aca="false">SUM(G47:G52)</f>
        <v>7.005646</v>
      </c>
      <c r="H54" s="394" t="n">
        <f aca="false">SUM(H47:H52)</f>
        <v>7.14156242</v>
      </c>
      <c r="I54" s="394" t="n">
        <f aca="false">SUM(I47:I52)</f>
        <v>7.2780989184</v>
      </c>
      <c r="J54" s="394" t="n">
        <f aca="false">SUM(J47:J52)</f>
        <v>7.415267896768</v>
      </c>
      <c r="K54" s="394" t="n">
        <f aca="false">SUM(K47:K52)</f>
        <v>7.55308200470336</v>
      </c>
      <c r="L54" s="394" t="n">
        <f aca="false">SUM(L47:L52)</f>
        <v>7.69155414479743</v>
      </c>
      <c r="M54" s="394" t="n">
        <f aca="false">SUM(M47:M52)</f>
        <v>7.83069747769338</v>
      </c>
      <c r="N54" s="394" t="n">
        <f aca="false">SUM(N47:N52)</f>
        <v>7.97052542724725</v>
      </c>
      <c r="O54" s="394" t="n">
        <f aca="false">SUM(O47:O52)</f>
        <v>8.11105168579219</v>
      </c>
      <c r="P54" s="394" t="n">
        <f aca="false">SUM(P47:P52)</f>
        <v>8.25229021950803</v>
      </c>
      <c r="Q54" s="394" t="n">
        <f aca="false">SUM(Q47:Q52)</f>
        <v>8.39425527389819</v>
      </c>
      <c r="R54" s="394" t="n">
        <f aca="false">SUM(R47:R52)</f>
        <v>8.53696137937616</v>
      </c>
      <c r="S54" s="394" t="n">
        <f aca="false">SUM(S47:S52)</f>
        <v>8.68042335696368</v>
      </c>
      <c r="T54" s="394" t="n">
        <f aca="false">SUM(T47:T52)</f>
        <v>8.82465632410296</v>
      </c>
      <c r="U54" s="394" t="n">
        <f aca="false">SUM(U47:U52)</f>
        <v>8.96967570058502</v>
      </c>
      <c r="V54" s="394" t="n">
        <f aca="false">SUM(V47:V52)</f>
        <v>9.11549721459672</v>
      </c>
      <c r="W54" s="394" t="n">
        <f aca="false">SUM(W47:W52)</f>
        <v>9.26213690888865</v>
      </c>
      <c r="X54" s="394" t="n">
        <f aca="false">SUM(X47:X52)</f>
        <v>9.40961114706642</v>
      </c>
      <c r="Y54" s="394" t="n">
        <f aca="false">SUM(Y47:Y52)</f>
        <v>9.55793662000775</v>
      </c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</row>
    <row r="55" customFormat="false" ht="11.25" hidden="false" customHeight="false" outlineLevel="0" collapsed="false">
      <c r="A55" s="113"/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</row>
    <row r="56" customFormat="false" ht="11.25" hidden="false" customHeight="false" outlineLevel="0" collapsed="false">
      <c r="A56" s="113"/>
      <c r="B56" s="124" t="s">
        <v>337</v>
      </c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  <c r="AQ56" s="142"/>
      <c r="AR56" s="142"/>
      <c r="AS56" s="142"/>
    </row>
    <row r="57" customFormat="false" ht="11.25" hidden="false" customHeight="false" outlineLevel="0" collapsed="false">
      <c r="A57" s="113"/>
      <c r="B57" s="113" t="s">
        <v>362</v>
      </c>
      <c r="C57" s="352" t="n">
        <f aca="false">54.5*365*Assumptions!B21</f>
        <v>18897.875</v>
      </c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  <c r="AQ57" s="142"/>
      <c r="AR57" s="142"/>
      <c r="AS57" s="142"/>
    </row>
    <row r="58" customFormat="false" ht="11.25" hidden="false" customHeight="false" outlineLevel="0" collapsed="false">
      <c r="A58" s="113"/>
      <c r="B58" s="113" t="s">
        <v>363</v>
      </c>
      <c r="C58" s="113"/>
      <c r="D58" s="113"/>
      <c r="E58" s="113" t="n">
        <v>0.441</v>
      </c>
      <c r="F58" s="113" t="n">
        <f aca="false">$E$58*(1+F6)</f>
        <v>0.44982</v>
      </c>
      <c r="G58" s="113" t="n">
        <f aca="false">$E$58*(1+G6)</f>
        <v>0.45864</v>
      </c>
      <c r="H58" s="113" t="n">
        <f aca="false">$E$58*(1+H6)</f>
        <v>0.46746</v>
      </c>
      <c r="I58" s="113" t="n">
        <f aca="false">$E$58*(1+I6)</f>
        <v>0.47628</v>
      </c>
      <c r="J58" s="113" t="n">
        <f aca="false">$E$58*(1+J6)</f>
        <v>0.4851</v>
      </c>
      <c r="K58" s="113" t="n">
        <f aca="false">$E$58*(1+K6)</f>
        <v>0.49392</v>
      </c>
      <c r="L58" s="113" t="n">
        <f aca="false">$E$58*(1+L6)</f>
        <v>0.50274</v>
      </c>
      <c r="M58" s="113" t="n">
        <f aca="false">$E$58*(1+M6)</f>
        <v>0.51156</v>
      </c>
      <c r="N58" s="113" t="n">
        <f aca="false">$E$58*(1+N6)</f>
        <v>0.52038</v>
      </c>
      <c r="O58" s="113" t="n">
        <f aca="false">$E$58*(1+O6)</f>
        <v>0.5292</v>
      </c>
      <c r="P58" s="113" t="n">
        <f aca="false">$E$58*(1+P6)</f>
        <v>0.53802</v>
      </c>
      <c r="Q58" s="113" t="n">
        <f aca="false">$E$58*(1+Q6)</f>
        <v>0.54684</v>
      </c>
      <c r="R58" s="113" t="n">
        <f aca="false">$E$58*(1+R6)</f>
        <v>0.55566</v>
      </c>
      <c r="S58" s="113" t="n">
        <f aca="false">$E$58*(1+S6)</f>
        <v>0.56448</v>
      </c>
      <c r="T58" s="113" t="n">
        <f aca="false">$E$58*(1+T6)</f>
        <v>0.5733</v>
      </c>
      <c r="U58" s="113" t="n">
        <f aca="false">$E$58*(1+U6)</f>
        <v>0.58212</v>
      </c>
      <c r="V58" s="113" t="n">
        <f aca="false">$E$58*(1+V6)</f>
        <v>0.59094</v>
      </c>
      <c r="W58" s="113" t="n">
        <f aca="false">$E$58*(1+W6)</f>
        <v>0.59976</v>
      </c>
      <c r="X58" s="113" t="n">
        <f aca="false">$E$58*(1+X6)</f>
        <v>0.60858</v>
      </c>
      <c r="Y58" s="113" t="n">
        <f aca="false">$E$58*(1+Y6)</f>
        <v>0.6174</v>
      </c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  <c r="AQ58" s="142"/>
      <c r="AR58" s="142"/>
      <c r="AS58" s="142"/>
    </row>
    <row r="59" customFormat="false" ht="11.25" hidden="false" customHeight="false" outlineLevel="0" collapsed="false">
      <c r="A59" s="113"/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</row>
    <row r="60" customFormat="false" ht="11.25" hidden="false" customHeight="false" outlineLevel="0" collapsed="false">
      <c r="A60" s="113"/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142"/>
      <c r="AO60" s="142"/>
      <c r="AP60" s="142"/>
      <c r="AQ60" s="142"/>
      <c r="AR60" s="142"/>
      <c r="AS60" s="142"/>
    </row>
    <row r="61" customFormat="false" ht="11.25" hidden="false" customHeight="false" outlineLevel="0" collapsed="false">
      <c r="A61" s="113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  <c r="AQ61" s="142"/>
      <c r="AR61" s="142"/>
      <c r="AS61" s="142"/>
    </row>
    <row r="62" customFormat="false" ht="11.25" hidden="false" customHeight="false" outlineLevel="0" collapsed="false">
      <c r="A62" s="113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O62" s="142"/>
      <c r="AP62" s="142"/>
      <c r="AQ62" s="142"/>
      <c r="AR62" s="142"/>
      <c r="AS62" s="142"/>
    </row>
    <row r="63" customFormat="false" ht="11.25" hidden="false" customHeight="false" outlineLevel="0" collapsed="false">
      <c r="A63" s="113"/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  <c r="AQ63" s="142"/>
      <c r="AR63" s="142"/>
      <c r="AS63" s="142"/>
    </row>
    <row r="64" customFormat="false" ht="11.25" hidden="false" customHeight="false" outlineLevel="0" collapsed="false">
      <c r="A64" s="113"/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  <c r="AQ64" s="142"/>
      <c r="AR64" s="142"/>
      <c r="AS64" s="142"/>
    </row>
  </sheetData>
  <printOptions headings="false" gridLines="false" gridLinesSet="true" horizontalCentered="false" verticalCentered="false"/>
  <pageMargins left="0.2" right="0.229861111111111" top="0.320138888888889" bottom="0.509722222222222" header="0.511811023622047" footer="0.2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>&amp;LI:CES\IS\KChaney\Power\Omers\New Models\&amp;F
&amp;D
&amp;T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21" activeCellId="0" sqref="J2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4" width="10.28"/>
    <col collapsed="false" customWidth="true" hidden="false" outlineLevel="0" max="2" min="2" style="114" width="12.56"/>
    <col collapsed="false" customWidth="false" hidden="false" outlineLevel="0" max="4" min="3" style="114" width="9.14"/>
    <col collapsed="false" customWidth="true" hidden="false" outlineLevel="0" max="5" min="5" style="114" width="7.7"/>
    <col collapsed="false" customWidth="true" hidden="false" outlineLevel="0" max="7" min="6" style="114" width="9.41"/>
    <col collapsed="false" customWidth="true" hidden="false" outlineLevel="0" max="8" min="8" style="114" width="9.85"/>
    <col collapsed="false" customWidth="true" hidden="false" outlineLevel="0" max="9" min="9" style="114" width="13.14"/>
    <col collapsed="false" customWidth="true" hidden="false" outlineLevel="0" max="10" min="10" style="142" width="6.56"/>
    <col collapsed="false" customWidth="true" hidden="false" outlineLevel="0" max="11" min="11" style="142" width="9.85"/>
    <col collapsed="false" customWidth="false" hidden="false" outlineLevel="0" max="20" min="12" style="142" width="9.14"/>
    <col collapsed="false" customWidth="true" hidden="false" outlineLevel="0" max="21" min="21" style="142" width="11.85"/>
    <col collapsed="false" customWidth="false" hidden="false" outlineLevel="0" max="257" min="22" style="142" width="9.14"/>
  </cols>
  <sheetData>
    <row r="1" customFormat="false" ht="18" hidden="false" customHeight="false" outlineLevel="0" collapsed="false">
      <c r="A1" s="395" t="s">
        <v>364</v>
      </c>
      <c r="B1" s="113"/>
      <c r="C1" s="113"/>
      <c r="D1" s="113"/>
      <c r="E1" s="113"/>
      <c r="F1" s="113"/>
      <c r="G1" s="113"/>
      <c r="H1" s="113"/>
      <c r="I1" s="113"/>
      <c r="M1" s="142" t="s">
        <v>365</v>
      </c>
    </row>
    <row r="2" customFormat="false" ht="11.25" hidden="false" customHeight="false" outlineLevel="0" collapsed="false">
      <c r="A2" s="113"/>
      <c r="B2" s="113"/>
      <c r="C2" s="113"/>
      <c r="D2" s="113"/>
      <c r="E2" s="113"/>
      <c r="F2" s="113"/>
      <c r="G2" s="113"/>
      <c r="H2" s="113"/>
      <c r="I2" s="113"/>
      <c r="M2" s="113"/>
      <c r="N2" s="113"/>
      <c r="O2" s="113"/>
      <c r="P2" s="113"/>
      <c r="Q2" s="113"/>
      <c r="R2" s="113"/>
      <c r="S2" s="113"/>
      <c r="T2" s="113"/>
      <c r="U2" s="113"/>
    </row>
    <row r="3" customFormat="false" ht="13.5" hidden="false" customHeight="false" outlineLevel="0" collapsed="false">
      <c r="A3" s="113"/>
      <c r="B3" s="9" t="s">
        <v>366</v>
      </c>
      <c r="C3" s="113"/>
      <c r="D3" s="295"/>
      <c r="E3" s="295"/>
      <c r="F3" s="113"/>
      <c r="G3" s="113"/>
      <c r="H3" s="113"/>
      <c r="I3" s="113"/>
      <c r="M3" s="113"/>
      <c r="N3" s="9" t="s">
        <v>367</v>
      </c>
      <c r="O3" s="113"/>
      <c r="P3" s="295"/>
      <c r="Q3" s="295"/>
      <c r="R3" s="113"/>
      <c r="S3" s="113"/>
      <c r="T3" s="113"/>
      <c r="U3" s="113"/>
    </row>
    <row r="4" customFormat="false" ht="11.25" hidden="false" customHeight="false" outlineLevel="0" collapsed="false">
      <c r="A4" s="396"/>
      <c r="B4" s="397" t="s">
        <v>177</v>
      </c>
      <c r="C4" s="398" t="n">
        <f aca="false">Assumptions!$B$31</f>
        <v>0.1</v>
      </c>
      <c r="D4" s="396"/>
      <c r="E4" s="295"/>
      <c r="F4" s="113"/>
      <c r="G4" s="113"/>
      <c r="H4" s="399" t="s">
        <v>368</v>
      </c>
      <c r="I4" s="400" t="e">
        <f aca="false">SUM(I14:I21)</f>
        <v>#VALUE!</v>
      </c>
      <c r="M4" s="396"/>
      <c r="N4" s="397" t="s">
        <v>177</v>
      </c>
      <c r="O4" s="398" t="n">
        <f aca="false">Assumptions!$B$31</f>
        <v>0.1</v>
      </c>
      <c r="P4" s="396"/>
      <c r="Q4" s="295"/>
      <c r="R4" s="113"/>
      <c r="S4" s="113"/>
      <c r="T4" s="399" t="s">
        <v>368</v>
      </c>
      <c r="U4" s="400" t="e">
        <f aca="false">SUM(U14:U21)</f>
        <v>#VALUE!</v>
      </c>
    </row>
    <row r="5" customFormat="false" ht="12" hidden="false" customHeight="false" outlineLevel="0" collapsed="false">
      <c r="A5" s="401"/>
      <c r="B5" s="402" t="s">
        <v>369</v>
      </c>
      <c r="C5" s="403" t="n">
        <f aca="false">Assumptions!$B$26</f>
        <v>45926.9398576025</v>
      </c>
      <c r="D5" s="401"/>
      <c r="E5" s="295"/>
      <c r="F5" s="113"/>
      <c r="G5" s="113"/>
      <c r="H5" s="399" t="s">
        <v>370</v>
      </c>
      <c r="I5" s="400" t="e">
        <f aca="false">SUM(I14:I25)</f>
        <v>#VALUE!</v>
      </c>
      <c r="M5" s="401"/>
      <c r="N5" s="402" t="s">
        <v>369</v>
      </c>
      <c r="O5" s="403" t="n">
        <f aca="false">Assumptions!$B$26</f>
        <v>45926.9398576025</v>
      </c>
      <c r="P5" s="401"/>
      <c r="Q5" s="295"/>
      <c r="R5" s="113"/>
      <c r="S5" s="113"/>
      <c r="T5" s="399" t="s">
        <v>370</v>
      </c>
      <c r="U5" s="400" t="e">
        <f aca="false">SUM(U14:U25)</f>
        <v>#VALUE!</v>
      </c>
    </row>
    <row r="6" customFormat="false" ht="11.25" hidden="false" customHeight="false" outlineLevel="0" collapsed="false">
      <c r="A6" s="404"/>
      <c r="B6" s="113"/>
      <c r="C6" s="405"/>
      <c r="D6" s="404"/>
      <c r="E6" s="295"/>
      <c r="F6" s="113"/>
      <c r="G6" s="113"/>
      <c r="H6" s="399" t="s">
        <v>371</v>
      </c>
      <c r="I6" s="400" t="e">
        <f aca="false">SUM(I14:I35)</f>
        <v>#VALUE!</v>
      </c>
      <c r="M6" s="404"/>
      <c r="N6" s="113"/>
      <c r="O6" s="405"/>
      <c r="P6" s="404"/>
      <c r="Q6" s="295"/>
      <c r="R6" s="113"/>
      <c r="S6" s="113"/>
      <c r="T6" s="399" t="s">
        <v>371</v>
      </c>
      <c r="U6" s="400" t="e">
        <f aca="false">SUM(U14:U35)</f>
        <v>#VALUE!</v>
      </c>
    </row>
    <row r="7" customFormat="false" ht="11.25" hidden="false" customHeight="false" outlineLevel="0" collapsed="false">
      <c r="A7" s="405"/>
      <c r="B7" s="113"/>
      <c r="C7" s="405"/>
      <c r="D7" s="404"/>
      <c r="E7" s="295"/>
      <c r="F7" s="113"/>
      <c r="G7" s="113"/>
      <c r="H7" s="399" t="s">
        <v>372</v>
      </c>
      <c r="I7" s="400" t="e">
        <f aca="false">SUM(I14:I45)</f>
        <v>#VALUE!</v>
      </c>
      <c r="M7" s="405"/>
      <c r="N7" s="113"/>
      <c r="O7" s="405"/>
      <c r="P7" s="404"/>
      <c r="Q7" s="295"/>
      <c r="R7" s="113"/>
      <c r="S7" s="113"/>
      <c r="T7" s="399" t="s">
        <v>372</v>
      </c>
      <c r="U7" s="400" t="e">
        <f aca="false">SUM(U14:U45)</f>
        <v>#VALUE!</v>
      </c>
    </row>
    <row r="8" customFormat="false" ht="11.25" hidden="false" customHeight="false" outlineLevel="0" collapsed="false">
      <c r="A8" s="405"/>
      <c r="B8" s="113"/>
      <c r="C8" s="405"/>
      <c r="D8" s="405"/>
      <c r="E8" s="113"/>
      <c r="F8" s="113"/>
      <c r="G8" s="113"/>
      <c r="H8" s="406" t="s">
        <v>373</v>
      </c>
      <c r="I8" s="407" t="n">
        <f aca="false">IF(Tables!B21=15,0,SUM(I14:I55))</f>
        <v>0</v>
      </c>
      <c r="M8" s="405"/>
      <c r="N8" s="113"/>
      <c r="O8" s="405"/>
      <c r="P8" s="405"/>
      <c r="Q8" s="113"/>
      <c r="R8" s="113"/>
      <c r="S8" s="113"/>
      <c r="T8" s="406" t="s">
        <v>373</v>
      </c>
      <c r="U8" s="407" t="n">
        <f aca="false">IF(Tables!B21=15,0,SUM(U14:U55))</f>
        <v>0</v>
      </c>
    </row>
    <row r="9" customFormat="false" ht="11.25" hidden="false" customHeight="false" outlineLevel="0" collapsed="false">
      <c r="A9" s="405"/>
      <c r="B9" s="113"/>
      <c r="C9" s="405"/>
      <c r="D9" s="405"/>
      <c r="E9" s="113"/>
      <c r="F9" s="113"/>
      <c r="G9" s="113"/>
      <c r="H9" s="408"/>
      <c r="I9" s="409"/>
      <c r="M9" s="405"/>
      <c r="N9" s="113"/>
      <c r="O9" s="405"/>
      <c r="P9" s="405"/>
      <c r="Q9" s="113"/>
      <c r="R9" s="113"/>
      <c r="S9" s="113"/>
      <c r="T9" s="408"/>
      <c r="U9" s="409"/>
    </row>
    <row r="10" customFormat="false" ht="11.25" hidden="false" customHeight="false" outlineLevel="0" collapsed="false">
      <c r="A10" s="405"/>
      <c r="B10" s="113"/>
      <c r="C10" s="405"/>
      <c r="D10" s="405"/>
      <c r="E10" s="113"/>
      <c r="F10" s="113"/>
      <c r="G10" s="113"/>
      <c r="H10" s="408"/>
      <c r="I10" s="409"/>
      <c r="M10" s="405"/>
      <c r="N10" s="113"/>
      <c r="O10" s="405"/>
      <c r="P10" s="405"/>
      <c r="Q10" s="113"/>
      <c r="R10" s="113"/>
      <c r="S10" s="113"/>
      <c r="T10" s="408"/>
      <c r="U10" s="409"/>
    </row>
    <row r="11" customFormat="false" ht="11.25" hidden="false" customHeight="false" outlineLevel="0" collapsed="false">
      <c r="A11" s="113"/>
      <c r="B11" s="113"/>
      <c r="C11" s="113"/>
      <c r="D11" s="113"/>
      <c r="E11" s="113"/>
      <c r="F11" s="113"/>
      <c r="G11" s="113"/>
      <c r="H11" s="332" t="e">
        <f aca="false">SUM(H14:H259)</f>
        <v>#VALUE!</v>
      </c>
      <c r="I11" s="332" t="e">
        <f aca="false">SUM(Cashflow!$A60:$IV60)+SUM(Cashflow!$A44:$IV44)+SUM(Cashflow!D57:X57)</f>
        <v>#VALUE!</v>
      </c>
      <c r="J11" s="142" t="s">
        <v>374</v>
      </c>
      <c r="L11" s="142" t="n">
        <f aca="false">SUM(L13:L44)</f>
        <v>0</v>
      </c>
      <c r="M11" s="113"/>
      <c r="N11" s="113"/>
      <c r="O11" s="113"/>
      <c r="P11" s="113"/>
      <c r="Q11" s="113"/>
      <c r="R11" s="113"/>
      <c r="S11" s="113"/>
      <c r="T11" s="332" t="e">
        <f aca="false">SUM(T14:T259)</f>
        <v>#VALUE!</v>
      </c>
      <c r="U11" s="332" t="e">
        <f aca="false">SUM(Cashflow!$A64:$IV64)+SUM(Cashflow!$A44:$IV44)+SUM(Cashflow!P57:AJ57)</f>
        <v>#VALUE!</v>
      </c>
      <c r="V11" s="142" t="s">
        <v>374</v>
      </c>
    </row>
    <row r="12" customFormat="false" ht="22.5" hidden="false" customHeight="false" outlineLevel="0" collapsed="false">
      <c r="A12" s="410" t="s">
        <v>375</v>
      </c>
      <c r="B12" s="410" t="s">
        <v>376</v>
      </c>
      <c r="C12" s="410" t="s">
        <v>377</v>
      </c>
      <c r="D12" s="410" t="s">
        <v>378</v>
      </c>
      <c r="E12" s="410" t="s">
        <v>177</v>
      </c>
      <c r="F12" s="410" t="s">
        <v>379</v>
      </c>
      <c r="G12" s="410" t="s">
        <v>380</v>
      </c>
      <c r="H12" s="410" t="s">
        <v>381</v>
      </c>
      <c r="I12" s="410" t="s">
        <v>382</v>
      </c>
      <c r="M12" s="410" t="s">
        <v>375</v>
      </c>
      <c r="N12" s="410" t="s">
        <v>376</v>
      </c>
      <c r="O12" s="410" t="s">
        <v>377</v>
      </c>
      <c r="P12" s="410" t="s">
        <v>378</v>
      </c>
      <c r="Q12" s="410" t="s">
        <v>177</v>
      </c>
      <c r="R12" s="410" t="s">
        <v>379</v>
      </c>
      <c r="S12" s="410" t="s">
        <v>380</v>
      </c>
      <c r="T12" s="410" t="s">
        <v>381</v>
      </c>
      <c r="U12" s="410" t="s">
        <v>382</v>
      </c>
    </row>
    <row r="13" customFormat="false" ht="11.25" hidden="false" customHeight="false" outlineLevel="0" collapsed="false">
      <c r="A13" s="411"/>
      <c r="B13" s="412"/>
      <c r="C13" s="412"/>
      <c r="D13" s="412"/>
      <c r="E13" s="413"/>
      <c r="F13" s="414"/>
      <c r="G13" s="414"/>
      <c r="H13" s="415"/>
      <c r="I13" s="415"/>
      <c r="J13" s="114"/>
      <c r="K13" s="114"/>
      <c r="L13" s="114"/>
      <c r="M13" s="411"/>
      <c r="N13" s="412"/>
      <c r="O13" s="412"/>
      <c r="P13" s="412"/>
      <c r="Q13" s="413"/>
      <c r="R13" s="414"/>
      <c r="S13" s="414"/>
      <c r="T13" s="415"/>
      <c r="U13" s="415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4"/>
      <c r="EL13" s="114"/>
      <c r="EM13" s="114"/>
      <c r="EN13" s="114"/>
      <c r="EO13" s="114"/>
      <c r="EP13" s="114"/>
      <c r="EQ13" s="114"/>
      <c r="ER13" s="114"/>
      <c r="ES13" s="114"/>
      <c r="ET13" s="114"/>
      <c r="EU13" s="114"/>
      <c r="EV13" s="114"/>
      <c r="EW13" s="114"/>
      <c r="EX13" s="114"/>
      <c r="EY13" s="114"/>
      <c r="EZ13" s="114"/>
      <c r="FA13" s="114"/>
      <c r="FB13" s="114"/>
      <c r="FC13" s="114"/>
      <c r="FD13" s="114"/>
      <c r="FE13" s="114"/>
      <c r="FF13" s="114"/>
      <c r="FG13" s="114"/>
      <c r="FH13" s="114"/>
      <c r="FI13" s="114"/>
      <c r="FJ13" s="114"/>
      <c r="FK13" s="114"/>
      <c r="FL13" s="114"/>
      <c r="FM13" s="114"/>
      <c r="FN13" s="114"/>
      <c r="FO13" s="114"/>
      <c r="FP13" s="114"/>
      <c r="FQ13" s="114"/>
      <c r="FR13" s="114"/>
      <c r="FS13" s="114"/>
      <c r="FT13" s="114"/>
      <c r="FU13" s="114"/>
      <c r="FV13" s="114"/>
      <c r="FW13" s="114"/>
      <c r="FX13" s="114"/>
      <c r="FY13" s="114"/>
      <c r="FZ13" s="114"/>
      <c r="GA13" s="114"/>
      <c r="GB13" s="114"/>
      <c r="GC13" s="114"/>
      <c r="GD13" s="114"/>
      <c r="GE13" s="114"/>
      <c r="GF13" s="114"/>
      <c r="GG13" s="114"/>
      <c r="GH13" s="114"/>
      <c r="GI13" s="114"/>
      <c r="GJ13" s="114"/>
      <c r="GK13" s="114"/>
      <c r="GL13" s="114"/>
      <c r="GM13" s="114"/>
      <c r="GN13" s="114"/>
      <c r="GO13" s="114"/>
      <c r="GP13" s="114"/>
      <c r="GQ13" s="114"/>
      <c r="GR13" s="114"/>
      <c r="GS13" s="114"/>
      <c r="GT13" s="114"/>
      <c r="GU13" s="114"/>
      <c r="GV13" s="114"/>
      <c r="GW13" s="114"/>
      <c r="GX13" s="114"/>
      <c r="GY13" s="114"/>
      <c r="GZ13" s="114"/>
      <c r="HA13" s="114"/>
      <c r="HB13" s="114"/>
      <c r="HC13" s="114"/>
      <c r="HD13" s="114"/>
      <c r="HE13" s="114"/>
      <c r="HF13" s="114"/>
      <c r="HG13" s="114"/>
      <c r="HH13" s="114"/>
      <c r="HI13" s="114"/>
      <c r="HJ13" s="114"/>
      <c r="HK13" s="114"/>
      <c r="HL13" s="114"/>
      <c r="HM13" s="114"/>
      <c r="HN13" s="114"/>
      <c r="HO13" s="114"/>
      <c r="HP13" s="114"/>
      <c r="HQ13" s="114"/>
      <c r="HR13" s="114"/>
      <c r="HS13" s="114"/>
      <c r="HT13" s="114"/>
      <c r="HU13" s="114"/>
      <c r="HV13" s="114"/>
      <c r="HW13" s="114"/>
      <c r="HX13" s="114"/>
      <c r="HY13" s="114"/>
      <c r="HZ13" s="114"/>
      <c r="IA13" s="114"/>
      <c r="IB13" s="114"/>
      <c r="IC13" s="114"/>
      <c r="ID13" s="114"/>
      <c r="IE13" s="114"/>
      <c r="IF13" s="114"/>
      <c r="IG13" s="114"/>
      <c r="IH13" s="114"/>
      <c r="II13" s="114"/>
      <c r="IJ13" s="114"/>
      <c r="IK13" s="114"/>
      <c r="IL13" s="114"/>
      <c r="IM13" s="114"/>
      <c r="IN13" s="114"/>
      <c r="IO13" s="114"/>
      <c r="IP13" s="114"/>
      <c r="IQ13" s="114"/>
      <c r="IR13" s="114"/>
      <c r="IS13" s="114"/>
      <c r="IT13" s="114"/>
      <c r="IU13" s="114"/>
      <c r="IV13" s="114"/>
      <c r="IW13" s="114"/>
    </row>
    <row r="14" customFormat="false" ht="11.25" hidden="false" customHeight="false" outlineLevel="0" collapsed="false">
      <c r="A14" s="198" t="n">
        <f aca="false">YEAR(B14)</f>
        <v>2000</v>
      </c>
      <c r="B14" s="416" t="n">
        <f aca="false">Assumptions!$E$47</f>
        <v>36586</v>
      </c>
      <c r="C14" s="416" t="n">
        <f aca="false">DATE(YEAR(B14),MONTH(B14)+3,25)</f>
        <v>36702</v>
      </c>
      <c r="D14" s="417" t="n">
        <f aca="false">DATE(YEAR(C14),MONTH(C14)+1,25)</f>
        <v>36732</v>
      </c>
      <c r="E14" s="418" t="n">
        <f aca="false">Assumptions!$B$29</f>
        <v>0.1</v>
      </c>
      <c r="F14" s="419" t="n">
        <f aca="false">+((1+E14/2)^(-2*(D14-$C$5)/365.25))</f>
        <v>11.6641917540619</v>
      </c>
      <c r="G14" s="419"/>
      <c r="H14" s="420" t="n">
        <f aca="false">-SUM(Construction!$D$43:$O$43)-SUM(Construction!$D$55:$AA$55)</f>
        <v>-121897.846528664</v>
      </c>
      <c r="I14" s="421" t="n">
        <f aca="false">+H14*F14</f>
        <v>-1421839.85631754</v>
      </c>
      <c r="J14" s="422"/>
      <c r="K14" s="423"/>
      <c r="L14" s="421"/>
      <c r="M14" s="198" t="n">
        <f aca="false">YEAR(N14)</f>
        <v>2000</v>
      </c>
      <c r="N14" s="416" t="n">
        <f aca="false">Assumptions!$E$47</f>
        <v>36586</v>
      </c>
      <c r="O14" s="416" t="n">
        <f aca="false">C14</f>
        <v>36702</v>
      </c>
      <c r="P14" s="417" t="n">
        <f aca="false">DATE(YEAR(O14),MONTH(O14)+1,25)</f>
        <v>36732</v>
      </c>
      <c r="Q14" s="418" t="n">
        <f aca="false">Assumptions!$B$29</f>
        <v>0.1</v>
      </c>
      <c r="R14" s="419" t="n">
        <f aca="false">+((1+Q14/2)^(-2*(P14-$C$5)/365.25))</f>
        <v>11.6641917540619</v>
      </c>
      <c r="S14" s="419"/>
      <c r="T14" s="424" t="n">
        <f aca="false">-SUM(Construction!$D$43:$O$43)-SUM(Construction!$D$55:$AA$55)</f>
        <v>-121897.846528664</v>
      </c>
      <c r="U14" s="421" t="n">
        <f aca="false">+T14*R14</f>
        <v>-1421839.85631754</v>
      </c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2"/>
      <c r="AY14" s="422"/>
      <c r="AZ14" s="422"/>
      <c r="BA14" s="422"/>
      <c r="BB14" s="422"/>
      <c r="BC14" s="422"/>
      <c r="BD14" s="422"/>
      <c r="BE14" s="422"/>
      <c r="BF14" s="422"/>
      <c r="BG14" s="422"/>
      <c r="BH14" s="422"/>
      <c r="BI14" s="422"/>
      <c r="BJ14" s="422"/>
      <c r="BK14" s="422"/>
      <c r="BL14" s="422"/>
      <c r="BM14" s="422"/>
      <c r="BN14" s="422"/>
      <c r="BO14" s="422"/>
      <c r="BP14" s="422"/>
      <c r="BQ14" s="422"/>
      <c r="BR14" s="422"/>
      <c r="BS14" s="422"/>
      <c r="BT14" s="422"/>
      <c r="BU14" s="422"/>
      <c r="BV14" s="422"/>
      <c r="BW14" s="422"/>
      <c r="BX14" s="422"/>
      <c r="BY14" s="422"/>
      <c r="BZ14" s="422"/>
      <c r="CA14" s="422"/>
      <c r="CB14" s="422"/>
      <c r="CC14" s="422"/>
      <c r="CD14" s="422"/>
      <c r="CE14" s="422"/>
      <c r="CF14" s="422"/>
      <c r="CG14" s="422"/>
      <c r="CH14" s="422"/>
      <c r="CI14" s="422"/>
      <c r="CJ14" s="422"/>
      <c r="CK14" s="422"/>
      <c r="CL14" s="422"/>
      <c r="CM14" s="422"/>
      <c r="CN14" s="422"/>
      <c r="CO14" s="422"/>
      <c r="CP14" s="422"/>
      <c r="CQ14" s="422"/>
      <c r="CR14" s="422"/>
      <c r="CS14" s="422"/>
      <c r="CT14" s="422"/>
      <c r="CU14" s="422"/>
      <c r="CV14" s="422"/>
      <c r="CW14" s="422"/>
      <c r="CX14" s="422"/>
      <c r="CY14" s="422"/>
      <c r="CZ14" s="422"/>
      <c r="DA14" s="422"/>
      <c r="DB14" s="422"/>
      <c r="DC14" s="422"/>
      <c r="DD14" s="422"/>
      <c r="DE14" s="422"/>
      <c r="DF14" s="422"/>
      <c r="DG14" s="422"/>
      <c r="DH14" s="422"/>
      <c r="DI14" s="422"/>
      <c r="DJ14" s="422"/>
      <c r="DK14" s="422"/>
      <c r="DL14" s="422"/>
      <c r="DM14" s="422"/>
      <c r="DN14" s="422"/>
      <c r="DO14" s="422"/>
      <c r="DP14" s="422"/>
      <c r="DQ14" s="422"/>
      <c r="DR14" s="422"/>
      <c r="DS14" s="422"/>
      <c r="DT14" s="422"/>
      <c r="DU14" s="422"/>
      <c r="DV14" s="422"/>
      <c r="DW14" s="422"/>
      <c r="DX14" s="422"/>
      <c r="DY14" s="422"/>
      <c r="DZ14" s="422"/>
      <c r="EA14" s="422"/>
      <c r="EB14" s="422"/>
      <c r="EC14" s="422"/>
      <c r="ED14" s="422"/>
      <c r="EE14" s="422"/>
      <c r="EF14" s="422"/>
      <c r="EG14" s="422"/>
      <c r="EH14" s="422"/>
      <c r="EI14" s="422"/>
      <c r="EJ14" s="422"/>
      <c r="EK14" s="422"/>
      <c r="EL14" s="422"/>
      <c r="EM14" s="422"/>
      <c r="EN14" s="422"/>
      <c r="EO14" s="422"/>
      <c r="EP14" s="422"/>
      <c r="EQ14" s="422"/>
      <c r="ER14" s="422"/>
      <c r="ES14" s="422"/>
      <c r="ET14" s="422"/>
      <c r="EU14" s="422"/>
      <c r="EV14" s="422"/>
      <c r="EW14" s="422"/>
      <c r="EX14" s="422"/>
      <c r="EY14" s="422"/>
      <c r="EZ14" s="422"/>
      <c r="FA14" s="422"/>
      <c r="FB14" s="422"/>
      <c r="FC14" s="422"/>
      <c r="FD14" s="422"/>
      <c r="FE14" s="422"/>
      <c r="FF14" s="422"/>
      <c r="FG14" s="422"/>
      <c r="FH14" s="422"/>
      <c r="FI14" s="422"/>
      <c r="FJ14" s="422"/>
      <c r="FK14" s="422"/>
      <c r="FL14" s="422"/>
      <c r="FM14" s="422"/>
      <c r="FN14" s="422"/>
      <c r="FO14" s="422"/>
      <c r="FP14" s="422"/>
      <c r="FQ14" s="422"/>
      <c r="FR14" s="422"/>
      <c r="FS14" s="422"/>
      <c r="FT14" s="422"/>
      <c r="FU14" s="422"/>
      <c r="FV14" s="422"/>
      <c r="FW14" s="422"/>
      <c r="FX14" s="422"/>
      <c r="FY14" s="422"/>
      <c r="FZ14" s="422"/>
      <c r="GA14" s="422"/>
      <c r="GB14" s="422"/>
      <c r="GC14" s="422"/>
      <c r="GD14" s="422"/>
      <c r="GE14" s="422"/>
      <c r="GF14" s="422"/>
      <c r="GG14" s="422"/>
      <c r="GH14" s="422"/>
      <c r="GI14" s="422"/>
      <c r="GJ14" s="422"/>
      <c r="GK14" s="422"/>
      <c r="GL14" s="422"/>
      <c r="GM14" s="422"/>
      <c r="GN14" s="422"/>
      <c r="GO14" s="422"/>
      <c r="GP14" s="422"/>
      <c r="GQ14" s="422"/>
      <c r="GR14" s="422"/>
      <c r="GS14" s="422"/>
      <c r="GT14" s="422"/>
      <c r="GU14" s="422"/>
      <c r="GV14" s="422"/>
      <c r="GW14" s="422"/>
      <c r="GX14" s="422"/>
      <c r="GY14" s="422"/>
      <c r="GZ14" s="422"/>
      <c r="HA14" s="422"/>
      <c r="HB14" s="422"/>
      <c r="HC14" s="422"/>
      <c r="HD14" s="422"/>
      <c r="HE14" s="422"/>
      <c r="HF14" s="422"/>
      <c r="HG14" s="422"/>
      <c r="HH14" s="422"/>
      <c r="HI14" s="422"/>
      <c r="HJ14" s="422"/>
      <c r="HK14" s="422"/>
      <c r="HL14" s="422"/>
      <c r="HM14" s="422"/>
      <c r="HN14" s="422"/>
      <c r="HO14" s="422"/>
      <c r="HP14" s="422"/>
      <c r="HQ14" s="422"/>
      <c r="HR14" s="422"/>
      <c r="HS14" s="422"/>
      <c r="HT14" s="422"/>
      <c r="HU14" s="422"/>
      <c r="HV14" s="422"/>
      <c r="HW14" s="422"/>
      <c r="HX14" s="422"/>
      <c r="HY14" s="422"/>
      <c r="HZ14" s="422"/>
      <c r="IA14" s="422"/>
      <c r="IB14" s="422"/>
      <c r="IC14" s="422"/>
      <c r="ID14" s="422"/>
      <c r="IE14" s="422"/>
      <c r="IF14" s="422"/>
      <c r="IG14" s="422"/>
      <c r="IH14" s="422"/>
      <c r="II14" s="422"/>
      <c r="IJ14" s="422"/>
      <c r="IK14" s="422"/>
      <c r="IL14" s="422"/>
      <c r="IM14" s="422"/>
      <c r="IN14" s="422"/>
      <c r="IO14" s="422"/>
      <c r="IP14" s="422"/>
      <c r="IQ14" s="422"/>
      <c r="IR14" s="422"/>
      <c r="IS14" s="422"/>
      <c r="IT14" s="422"/>
      <c r="IU14" s="422"/>
      <c r="IV14" s="422"/>
      <c r="IW14" s="422"/>
    </row>
    <row r="15" customFormat="false" ht="11.25" hidden="false" customHeight="false" outlineLevel="0" collapsed="false">
      <c r="A15" s="198" t="n">
        <f aca="false">YEAR(B15)</f>
        <v>2000</v>
      </c>
      <c r="B15" s="425" t="n">
        <f aca="false">DATE(YEAR(B14),MONTH(B14)+4,1)</f>
        <v>36708</v>
      </c>
      <c r="C15" s="425" t="n">
        <f aca="false">DATE(YEAR(B15),MONTH(B15)+5,25)</f>
        <v>36885</v>
      </c>
      <c r="D15" s="417" t="n">
        <f aca="false">DATE(YEAR(C15),MONTH(C15)+1,25)</f>
        <v>36916</v>
      </c>
      <c r="E15" s="418" t="n">
        <f aca="false">Assumptions!$B$29</f>
        <v>0.1</v>
      </c>
      <c r="F15" s="426" t="n">
        <f aca="false">+((1+E15/2)^(-2*(D15-$C$5)/365.25))</f>
        <v>11.1046740498763</v>
      </c>
      <c r="G15" s="419"/>
      <c r="H15" s="427" t="n">
        <f aca="false">Cashflow!$D$60</f>
        <v>-446.454229995229</v>
      </c>
      <c r="I15" s="334" t="n">
        <f aca="false">+H15*F15</f>
        <v>-4957.72870228551</v>
      </c>
      <c r="J15" s="422"/>
      <c r="K15" s="423"/>
      <c r="L15" s="421"/>
      <c r="M15" s="198" t="n">
        <f aca="false">YEAR(N15)</f>
        <v>2000</v>
      </c>
      <c r="N15" s="425" t="n">
        <f aca="false">B15</f>
        <v>36708</v>
      </c>
      <c r="O15" s="425" t="n">
        <f aca="false">DATE(YEAR(N15),MONTH(N15)+5,25)</f>
        <v>36885</v>
      </c>
      <c r="P15" s="417" t="n">
        <f aca="false">DATE(YEAR(O15),MONTH(O15)+1,25)</f>
        <v>36916</v>
      </c>
      <c r="Q15" s="418" t="n">
        <f aca="false">Assumptions!$B$29</f>
        <v>0.1</v>
      </c>
      <c r="R15" s="426" t="n">
        <f aca="false">+((1+Q15/2)^(-2*(P15-$C$5)/365.25))</f>
        <v>11.1046740498763</v>
      </c>
      <c r="S15" s="419"/>
      <c r="T15" s="428" t="e">
        <f aca="false">Cashflow!$D$64</f>
        <v>#VALUE!</v>
      </c>
      <c r="U15" s="334" t="e">
        <f aca="false">+T15*R15</f>
        <v>#VALUE!</v>
      </c>
      <c r="V15" s="422"/>
      <c r="W15" s="422"/>
      <c r="X15" s="422"/>
      <c r="Y15" s="422"/>
      <c r="Z15" s="422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2"/>
      <c r="AY15" s="422"/>
      <c r="AZ15" s="422"/>
      <c r="BA15" s="422"/>
      <c r="BB15" s="422"/>
      <c r="BC15" s="422"/>
      <c r="BD15" s="422"/>
      <c r="BE15" s="422"/>
      <c r="BF15" s="422"/>
      <c r="BG15" s="422"/>
      <c r="BH15" s="422"/>
      <c r="BI15" s="422"/>
      <c r="BJ15" s="422"/>
      <c r="BK15" s="422"/>
      <c r="BL15" s="422"/>
      <c r="BM15" s="422"/>
      <c r="BN15" s="422"/>
      <c r="BO15" s="422"/>
      <c r="BP15" s="422"/>
      <c r="BQ15" s="422"/>
      <c r="BR15" s="422"/>
      <c r="BS15" s="422"/>
      <c r="BT15" s="422"/>
      <c r="BU15" s="422"/>
      <c r="BV15" s="422"/>
      <c r="BW15" s="422"/>
      <c r="BX15" s="422"/>
      <c r="BY15" s="422"/>
      <c r="BZ15" s="422"/>
      <c r="CA15" s="422"/>
      <c r="CB15" s="422"/>
      <c r="CC15" s="422"/>
      <c r="CD15" s="422"/>
      <c r="CE15" s="422"/>
      <c r="CF15" s="422"/>
      <c r="CG15" s="422"/>
      <c r="CH15" s="422"/>
      <c r="CI15" s="422"/>
      <c r="CJ15" s="422"/>
      <c r="CK15" s="422"/>
      <c r="CL15" s="422"/>
      <c r="CM15" s="422"/>
      <c r="CN15" s="422"/>
      <c r="CO15" s="422"/>
      <c r="CP15" s="422"/>
      <c r="CQ15" s="422"/>
      <c r="CR15" s="422"/>
      <c r="CS15" s="422"/>
      <c r="CT15" s="422"/>
      <c r="CU15" s="422"/>
      <c r="CV15" s="422"/>
      <c r="CW15" s="422"/>
      <c r="CX15" s="422"/>
      <c r="CY15" s="422"/>
      <c r="CZ15" s="422"/>
      <c r="DA15" s="422"/>
      <c r="DB15" s="422"/>
      <c r="DC15" s="422"/>
      <c r="DD15" s="422"/>
      <c r="DE15" s="422"/>
      <c r="DF15" s="422"/>
      <c r="DG15" s="422"/>
      <c r="DH15" s="422"/>
      <c r="DI15" s="422"/>
      <c r="DJ15" s="422"/>
      <c r="DK15" s="422"/>
      <c r="DL15" s="422"/>
      <c r="DM15" s="422"/>
      <c r="DN15" s="422"/>
      <c r="DO15" s="422"/>
      <c r="DP15" s="422"/>
      <c r="DQ15" s="422"/>
      <c r="DR15" s="422"/>
      <c r="DS15" s="422"/>
      <c r="DT15" s="422"/>
      <c r="DU15" s="422"/>
      <c r="DV15" s="422"/>
      <c r="DW15" s="422"/>
      <c r="DX15" s="422"/>
      <c r="DY15" s="422"/>
      <c r="DZ15" s="422"/>
      <c r="EA15" s="422"/>
      <c r="EB15" s="422"/>
      <c r="EC15" s="422"/>
      <c r="ED15" s="422"/>
      <c r="EE15" s="422"/>
      <c r="EF15" s="422"/>
      <c r="EG15" s="422"/>
      <c r="EH15" s="422"/>
      <c r="EI15" s="422"/>
      <c r="EJ15" s="422"/>
      <c r="EK15" s="422"/>
      <c r="EL15" s="422"/>
      <c r="EM15" s="422"/>
      <c r="EN15" s="422"/>
      <c r="EO15" s="422"/>
      <c r="EP15" s="422"/>
      <c r="EQ15" s="422"/>
      <c r="ER15" s="422"/>
      <c r="ES15" s="422"/>
      <c r="ET15" s="422"/>
      <c r="EU15" s="422"/>
      <c r="EV15" s="422"/>
      <c r="EW15" s="422"/>
      <c r="EX15" s="422"/>
      <c r="EY15" s="422"/>
      <c r="EZ15" s="422"/>
      <c r="FA15" s="422"/>
      <c r="FB15" s="422"/>
      <c r="FC15" s="422"/>
      <c r="FD15" s="422"/>
      <c r="FE15" s="422"/>
      <c r="FF15" s="422"/>
      <c r="FG15" s="422"/>
      <c r="FH15" s="422"/>
      <c r="FI15" s="422"/>
      <c r="FJ15" s="422"/>
      <c r="FK15" s="422"/>
      <c r="FL15" s="422"/>
      <c r="FM15" s="422"/>
      <c r="FN15" s="422"/>
      <c r="FO15" s="422"/>
      <c r="FP15" s="422"/>
      <c r="FQ15" s="422"/>
      <c r="FR15" s="422"/>
      <c r="FS15" s="422"/>
      <c r="FT15" s="422"/>
      <c r="FU15" s="422"/>
      <c r="FV15" s="422"/>
      <c r="FW15" s="422"/>
      <c r="FX15" s="422"/>
      <c r="FY15" s="422"/>
      <c r="FZ15" s="422"/>
      <c r="GA15" s="422"/>
      <c r="GB15" s="422"/>
      <c r="GC15" s="422"/>
      <c r="GD15" s="422"/>
      <c r="GE15" s="422"/>
      <c r="GF15" s="422"/>
      <c r="GG15" s="422"/>
      <c r="GH15" s="422"/>
      <c r="GI15" s="422"/>
      <c r="GJ15" s="422"/>
      <c r="GK15" s="422"/>
      <c r="GL15" s="422"/>
      <c r="GM15" s="422"/>
      <c r="GN15" s="422"/>
      <c r="GO15" s="422"/>
      <c r="GP15" s="422"/>
      <c r="GQ15" s="422"/>
      <c r="GR15" s="422"/>
      <c r="GS15" s="422"/>
      <c r="GT15" s="422"/>
      <c r="GU15" s="422"/>
      <c r="GV15" s="422"/>
      <c r="GW15" s="422"/>
      <c r="GX15" s="422"/>
      <c r="GY15" s="422"/>
      <c r="GZ15" s="422"/>
      <c r="HA15" s="422"/>
      <c r="HB15" s="422"/>
      <c r="HC15" s="422"/>
      <c r="HD15" s="422"/>
      <c r="HE15" s="422"/>
      <c r="HF15" s="422"/>
      <c r="HG15" s="422"/>
      <c r="HH15" s="422"/>
      <c r="HI15" s="422"/>
      <c r="HJ15" s="422"/>
      <c r="HK15" s="422"/>
      <c r="HL15" s="422"/>
      <c r="HM15" s="422"/>
      <c r="HN15" s="422"/>
      <c r="HO15" s="422"/>
      <c r="HP15" s="422"/>
      <c r="HQ15" s="422"/>
      <c r="HR15" s="422"/>
      <c r="HS15" s="422"/>
      <c r="HT15" s="422"/>
      <c r="HU15" s="422"/>
      <c r="HV15" s="422"/>
      <c r="HW15" s="422"/>
      <c r="HX15" s="422"/>
      <c r="HY15" s="422"/>
      <c r="HZ15" s="422"/>
      <c r="IA15" s="422"/>
      <c r="IB15" s="422"/>
      <c r="IC15" s="422"/>
      <c r="ID15" s="422"/>
      <c r="IE15" s="422"/>
      <c r="IF15" s="422"/>
      <c r="IG15" s="422"/>
      <c r="IH15" s="422"/>
      <c r="II15" s="422"/>
      <c r="IJ15" s="422"/>
      <c r="IK15" s="422"/>
      <c r="IL15" s="422"/>
      <c r="IM15" s="422"/>
      <c r="IN15" s="422"/>
      <c r="IO15" s="422"/>
      <c r="IP15" s="422"/>
      <c r="IQ15" s="422"/>
      <c r="IR15" s="422"/>
      <c r="IS15" s="422"/>
      <c r="IT15" s="422"/>
      <c r="IU15" s="422"/>
      <c r="IV15" s="422"/>
      <c r="IW15" s="422"/>
    </row>
    <row r="16" customFormat="false" ht="11.25" hidden="false" customHeight="false" outlineLevel="0" collapsed="false">
      <c r="A16" s="198" t="n">
        <f aca="false">YEAR(B16)</f>
        <v>2001</v>
      </c>
      <c r="B16" s="425" t="n">
        <f aca="false">DATE(YEAR(B15),MONTH(B15)+6,1)</f>
        <v>36892</v>
      </c>
      <c r="C16" s="425" t="n">
        <f aca="false">DATE(YEAR(B16),MONTH(B16)+5,25)</f>
        <v>37067</v>
      </c>
      <c r="D16" s="417" t="n">
        <f aca="false">DATE(YEAR(C16),MONTH(C16)+1,25)</f>
        <v>37097</v>
      </c>
      <c r="E16" s="418" t="n">
        <f aca="false">Assumptions!$B$29</f>
        <v>0.1</v>
      </c>
      <c r="F16" s="419" t="n">
        <f aca="false">+((1+E16/2)^(-2*(D16-$C$5)/365.25))</f>
        <v>10.5804724104768</v>
      </c>
      <c r="G16" s="419"/>
      <c r="H16" s="428" t="e">
        <f aca="false">INDEX(CashflowTable,MATCH("DISTRIBUTABLE CASHFLOW     (including equity injection)",CashflowColumn,0),MATCH(A16,CashflowRow,0))/2+G16</f>
        <v>#VALUE!</v>
      </c>
      <c r="I16" s="334" t="e">
        <f aca="false">+H16*F16</f>
        <v>#VALUE!</v>
      </c>
      <c r="J16" s="422"/>
      <c r="K16" s="423"/>
      <c r="L16" s="421"/>
      <c r="M16" s="198" t="n">
        <f aca="false">YEAR(N16)</f>
        <v>2001</v>
      </c>
      <c r="N16" s="425" t="n">
        <f aca="false">DATE(YEAR(N15),MONTH(N15)+6,1)</f>
        <v>36892</v>
      </c>
      <c r="O16" s="425" t="n">
        <f aca="false">DATE(YEAR(N16),MONTH(N16)+5,25)</f>
        <v>37067</v>
      </c>
      <c r="P16" s="417" t="n">
        <f aca="false">DATE(YEAR(O16),MONTH(O16)+1,25)</f>
        <v>37097</v>
      </c>
      <c r="Q16" s="418" t="n">
        <f aca="false">Assumptions!$B$29</f>
        <v>0.1</v>
      </c>
      <c r="R16" s="419" t="n">
        <f aca="false">+((1+Q16/2)^(-2*(P16-$C$5)/365.25))</f>
        <v>10.5804724104768</v>
      </c>
      <c r="S16" s="419"/>
      <c r="T16" s="428" t="e">
        <f aca="false">INDEX(CashflowTable,MATCH("Equity Cash Flow (After Cash taxes)",CashflowColumn,0),MATCH(M16,CashflowRow,0))/2+S16</f>
        <v>#VALUE!</v>
      </c>
      <c r="U16" s="334" t="e">
        <f aca="false">+T16*R16</f>
        <v>#VALUE!</v>
      </c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2"/>
      <c r="AY16" s="422"/>
      <c r="AZ16" s="422"/>
      <c r="BA16" s="422"/>
      <c r="BB16" s="422"/>
      <c r="BC16" s="422"/>
      <c r="BD16" s="422"/>
      <c r="BE16" s="422"/>
      <c r="BF16" s="422"/>
      <c r="BG16" s="422"/>
      <c r="BH16" s="422"/>
      <c r="BI16" s="422"/>
      <c r="BJ16" s="422"/>
      <c r="BK16" s="422"/>
      <c r="BL16" s="422"/>
      <c r="BM16" s="422"/>
      <c r="BN16" s="422"/>
      <c r="BO16" s="422"/>
      <c r="BP16" s="422"/>
      <c r="BQ16" s="422"/>
      <c r="BR16" s="422"/>
      <c r="BS16" s="422"/>
      <c r="BT16" s="422"/>
      <c r="BU16" s="422"/>
      <c r="BV16" s="422"/>
      <c r="BW16" s="422"/>
      <c r="BX16" s="422"/>
      <c r="BY16" s="422"/>
      <c r="BZ16" s="422"/>
      <c r="CA16" s="422"/>
      <c r="CB16" s="422"/>
      <c r="CC16" s="422"/>
      <c r="CD16" s="422"/>
      <c r="CE16" s="422"/>
      <c r="CF16" s="422"/>
      <c r="CG16" s="422"/>
      <c r="CH16" s="422"/>
      <c r="CI16" s="422"/>
      <c r="CJ16" s="422"/>
      <c r="CK16" s="422"/>
      <c r="CL16" s="422"/>
      <c r="CM16" s="422"/>
      <c r="CN16" s="422"/>
      <c r="CO16" s="422"/>
      <c r="CP16" s="422"/>
      <c r="CQ16" s="422"/>
      <c r="CR16" s="422"/>
      <c r="CS16" s="422"/>
      <c r="CT16" s="422"/>
      <c r="CU16" s="422"/>
      <c r="CV16" s="422"/>
      <c r="CW16" s="422"/>
      <c r="CX16" s="422"/>
      <c r="CY16" s="422"/>
      <c r="CZ16" s="422"/>
      <c r="DA16" s="422"/>
      <c r="DB16" s="422"/>
      <c r="DC16" s="422"/>
      <c r="DD16" s="422"/>
      <c r="DE16" s="422"/>
      <c r="DF16" s="422"/>
      <c r="DG16" s="422"/>
      <c r="DH16" s="422"/>
      <c r="DI16" s="422"/>
      <c r="DJ16" s="422"/>
      <c r="DK16" s="422"/>
      <c r="DL16" s="422"/>
      <c r="DM16" s="422"/>
      <c r="DN16" s="422"/>
      <c r="DO16" s="422"/>
      <c r="DP16" s="422"/>
      <c r="DQ16" s="422"/>
      <c r="DR16" s="422"/>
      <c r="DS16" s="422"/>
      <c r="DT16" s="422"/>
      <c r="DU16" s="422"/>
      <c r="DV16" s="422"/>
      <c r="DW16" s="422"/>
      <c r="DX16" s="422"/>
      <c r="DY16" s="422"/>
      <c r="DZ16" s="422"/>
      <c r="EA16" s="422"/>
      <c r="EB16" s="422"/>
      <c r="EC16" s="422"/>
      <c r="ED16" s="422"/>
      <c r="EE16" s="422"/>
      <c r="EF16" s="422"/>
      <c r="EG16" s="422"/>
      <c r="EH16" s="422"/>
      <c r="EI16" s="422"/>
      <c r="EJ16" s="422"/>
      <c r="EK16" s="422"/>
      <c r="EL16" s="422"/>
      <c r="EM16" s="422"/>
      <c r="EN16" s="422"/>
      <c r="EO16" s="422"/>
      <c r="EP16" s="422"/>
      <c r="EQ16" s="422"/>
      <c r="ER16" s="422"/>
      <c r="ES16" s="422"/>
      <c r="ET16" s="422"/>
      <c r="EU16" s="422"/>
      <c r="EV16" s="422"/>
      <c r="EW16" s="422"/>
      <c r="EX16" s="422"/>
      <c r="EY16" s="422"/>
      <c r="EZ16" s="422"/>
      <c r="FA16" s="422"/>
      <c r="FB16" s="422"/>
      <c r="FC16" s="422"/>
      <c r="FD16" s="422"/>
      <c r="FE16" s="422"/>
      <c r="FF16" s="422"/>
      <c r="FG16" s="422"/>
      <c r="FH16" s="422"/>
      <c r="FI16" s="422"/>
      <c r="FJ16" s="422"/>
      <c r="FK16" s="422"/>
      <c r="FL16" s="422"/>
      <c r="FM16" s="422"/>
      <c r="FN16" s="422"/>
      <c r="FO16" s="422"/>
      <c r="FP16" s="422"/>
      <c r="FQ16" s="422"/>
      <c r="FR16" s="422"/>
      <c r="FS16" s="422"/>
      <c r="FT16" s="422"/>
      <c r="FU16" s="422"/>
      <c r="FV16" s="422"/>
      <c r="FW16" s="422"/>
      <c r="FX16" s="422"/>
      <c r="FY16" s="422"/>
      <c r="FZ16" s="422"/>
      <c r="GA16" s="422"/>
      <c r="GB16" s="422"/>
      <c r="GC16" s="422"/>
      <c r="GD16" s="422"/>
      <c r="GE16" s="422"/>
      <c r="GF16" s="422"/>
      <c r="GG16" s="422"/>
      <c r="GH16" s="422"/>
      <c r="GI16" s="422"/>
      <c r="GJ16" s="422"/>
      <c r="GK16" s="422"/>
      <c r="GL16" s="422"/>
      <c r="GM16" s="422"/>
      <c r="GN16" s="422"/>
      <c r="GO16" s="422"/>
      <c r="GP16" s="422"/>
      <c r="GQ16" s="422"/>
      <c r="GR16" s="422"/>
      <c r="GS16" s="422"/>
      <c r="GT16" s="422"/>
      <c r="GU16" s="422"/>
      <c r="GV16" s="422"/>
      <c r="GW16" s="422"/>
      <c r="GX16" s="422"/>
      <c r="GY16" s="422"/>
      <c r="GZ16" s="422"/>
      <c r="HA16" s="422"/>
      <c r="HB16" s="422"/>
      <c r="HC16" s="422"/>
      <c r="HD16" s="422"/>
      <c r="HE16" s="422"/>
      <c r="HF16" s="422"/>
      <c r="HG16" s="422"/>
      <c r="HH16" s="422"/>
      <c r="HI16" s="422"/>
      <c r="HJ16" s="422"/>
      <c r="HK16" s="422"/>
      <c r="HL16" s="422"/>
      <c r="HM16" s="422"/>
      <c r="HN16" s="422"/>
      <c r="HO16" s="422"/>
      <c r="HP16" s="422"/>
      <c r="HQ16" s="422"/>
      <c r="HR16" s="422"/>
      <c r="HS16" s="422"/>
      <c r="HT16" s="422"/>
      <c r="HU16" s="422"/>
      <c r="HV16" s="422"/>
      <c r="HW16" s="422"/>
      <c r="HX16" s="422"/>
      <c r="HY16" s="422"/>
      <c r="HZ16" s="422"/>
      <c r="IA16" s="422"/>
      <c r="IB16" s="422"/>
      <c r="IC16" s="422"/>
      <c r="ID16" s="422"/>
      <c r="IE16" s="422"/>
      <c r="IF16" s="422"/>
      <c r="IG16" s="422"/>
      <c r="IH16" s="422"/>
      <c r="II16" s="422"/>
      <c r="IJ16" s="422"/>
      <c r="IK16" s="422"/>
      <c r="IL16" s="422"/>
      <c r="IM16" s="422"/>
      <c r="IN16" s="422"/>
      <c r="IO16" s="422"/>
      <c r="IP16" s="422"/>
      <c r="IQ16" s="422"/>
      <c r="IR16" s="422"/>
      <c r="IS16" s="422"/>
      <c r="IT16" s="422"/>
      <c r="IU16" s="422"/>
      <c r="IV16" s="422"/>
      <c r="IW16" s="422"/>
    </row>
    <row r="17" customFormat="false" ht="11.25" hidden="false" customHeight="false" outlineLevel="0" collapsed="false">
      <c r="A17" s="198" t="n">
        <f aca="false">YEAR(B17)</f>
        <v>2001</v>
      </c>
      <c r="B17" s="425" t="n">
        <f aca="false">DATE(YEAR(B16),MONTH(B16)+6,1)</f>
        <v>37073</v>
      </c>
      <c r="C17" s="425" t="n">
        <f aca="false">DATE(YEAR(B17),MONTH(B17)+5,25)</f>
        <v>37250</v>
      </c>
      <c r="D17" s="417" t="n">
        <f aca="false">DATE(YEAR(C17),MONTH(C17)+1,25)</f>
        <v>37281</v>
      </c>
      <c r="E17" s="418" t="n">
        <f aca="false">Assumptions!$B$29</f>
        <v>0.1</v>
      </c>
      <c r="F17" s="419" t="n">
        <f aca="false">+((1+E17/2)^(-2*(D17-$C$5)/365.25))</f>
        <v>10.0729394620196</v>
      </c>
      <c r="G17" s="419"/>
      <c r="H17" s="428" t="e">
        <f aca="false">INDEX(CashflowTable,MATCH("DISTRIBUTABLE CASHFLOW     (including equity injection)",CashflowColumn,0),MATCH(A17,CashflowRow,0))/2+G17</f>
        <v>#VALUE!</v>
      </c>
      <c r="I17" s="334" t="e">
        <f aca="false">+H17*F17</f>
        <v>#VALUE!</v>
      </c>
      <c r="J17" s="422" t="s">
        <v>383</v>
      </c>
      <c r="K17" s="423"/>
      <c r="L17" s="421"/>
      <c r="M17" s="198" t="n">
        <f aca="false">YEAR(N17)</f>
        <v>2001</v>
      </c>
      <c r="N17" s="425" t="n">
        <f aca="false">DATE(YEAR(N16),MONTH(N16)+6,1)</f>
        <v>37073</v>
      </c>
      <c r="O17" s="425" t="n">
        <f aca="false">DATE(YEAR(N17),MONTH(N17)+5,25)</f>
        <v>37250</v>
      </c>
      <c r="P17" s="417" t="n">
        <f aca="false">DATE(YEAR(O17),MONTH(O17)+1,25)</f>
        <v>37281</v>
      </c>
      <c r="Q17" s="418" t="n">
        <f aca="false">Assumptions!$B$29</f>
        <v>0.1</v>
      </c>
      <c r="R17" s="419" t="n">
        <f aca="false">+((1+Q17/2)^(-2*(P17-$C$5)/365.25))</f>
        <v>10.0729394620196</v>
      </c>
      <c r="S17" s="419"/>
      <c r="T17" s="428" t="e">
        <f aca="false">INDEX(CashflowTable,MATCH("Equity Cash Flow (After Cash taxes)",CashflowColumn,0),MATCH(M17,CashflowRow,0))/2+S17</f>
        <v>#VALUE!</v>
      </c>
      <c r="U17" s="334" t="e">
        <f aca="false">+T17*R17</f>
        <v>#VALUE!</v>
      </c>
      <c r="V17" s="422" t="s">
        <v>383</v>
      </c>
      <c r="W17" s="422"/>
      <c r="X17" s="422"/>
      <c r="Y17" s="422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2"/>
      <c r="BD17" s="422"/>
      <c r="BE17" s="422"/>
      <c r="BF17" s="422"/>
      <c r="BG17" s="422"/>
      <c r="BH17" s="422"/>
      <c r="BI17" s="422"/>
      <c r="BJ17" s="422"/>
      <c r="BK17" s="422"/>
      <c r="BL17" s="422"/>
      <c r="BM17" s="422"/>
      <c r="BN17" s="422"/>
      <c r="BO17" s="422"/>
      <c r="BP17" s="422"/>
      <c r="BQ17" s="422"/>
      <c r="BR17" s="422"/>
      <c r="BS17" s="422"/>
      <c r="BT17" s="422"/>
      <c r="BU17" s="422"/>
      <c r="BV17" s="422"/>
      <c r="BW17" s="422"/>
      <c r="BX17" s="422"/>
      <c r="BY17" s="422"/>
      <c r="BZ17" s="422"/>
      <c r="CA17" s="422"/>
      <c r="CB17" s="422"/>
      <c r="CC17" s="422"/>
      <c r="CD17" s="422"/>
      <c r="CE17" s="422"/>
      <c r="CF17" s="422"/>
      <c r="CG17" s="422"/>
      <c r="CH17" s="422"/>
      <c r="CI17" s="422"/>
      <c r="CJ17" s="422"/>
      <c r="CK17" s="422"/>
      <c r="CL17" s="422"/>
      <c r="CM17" s="422"/>
      <c r="CN17" s="422"/>
      <c r="CO17" s="422"/>
      <c r="CP17" s="422"/>
      <c r="CQ17" s="422"/>
      <c r="CR17" s="422"/>
      <c r="CS17" s="422"/>
      <c r="CT17" s="422"/>
      <c r="CU17" s="422"/>
      <c r="CV17" s="422"/>
      <c r="CW17" s="422"/>
      <c r="CX17" s="422"/>
      <c r="CY17" s="422"/>
      <c r="CZ17" s="422"/>
      <c r="DA17" s="422"/>
      <c r="DB17" s="422"/>
      <c r="DC17" s="422"/>
      <c r="DD17" s="422"/>
      <c r="DE17" s="422"/>
      <c r="DF17" s="422"/>
      <c r="DG17" s="422"/>
      <c r="DH17" s="422"/>
      <c r="DI17" s="422"/>
      <c r="DJ17" s="422"/>
      <c r="DK17" s="422"/>
      <c r="DL17" s="422"/>
      <c r="DM17" s="422"/>
      <c r="DN17" s="422"/>
      <c r="DO17" s="422"/>
      <c r="DP17" s="422"/>
      <c r="DQ17" s="422"/>
      <c r="DR17" s="422"/>
      <c r="DS17" s="422"/>
      <c r="DT17" s="422"/>
      <c r="DU17" s="422"/>
      <c r="DV17" s="422"/>
      <c r="DW17" s="422"/>
      <c r="DX17" s="422"/>
      <c r="DY17" s="422"/>
      <c r="DZ17" s="422"/>
      <c r="EA17" s="422"/>
      <c r="EB17" s="422"/>
      <c r="EC17" s="422"/>
      <c r="ED17" s="422"/>
      <c r="EE17" s="422"/>
      <c r="EF17" s="422"/>
      <c r="EG17" s="422"/>
      <c r="EH17" s="422"/>
      <c r="EI17" s="422"/>
      <c r="EJ17" s="422"/>
      <c r="EK17" s="422"/>
      <c r="EL17" s="422"/>
      <c r="EM17" s="422"/>
      <c r="EN17" s="422"/>
      <c r="EO17" s="422"/>
      <c r="EP17" s="422"/>
      <c r="EQ17" s="422"/>
      <c r="ER17" s="422"/>
      <c r="ES17" s="422"/>
      <c r="ET17" s="422"/>
      <c r="EU17" s="422"/>
      <c r="EV17" s="422"/>
      <c r="EW17" s="422"/>
      <c r="EX17" s="422"/>
      <c r="EY17" s="422"/>
      <c r="EZ17" s="422"/>
      <c r="FA17" s="422"/>
      <c r="FB17" s="422"/>
      <c r="FC17" s="422"/>
      <c r="FD17" s="422"/>
      <c r="FE17" s="422"/>
      <c r="FF17" s="422"/>
      <c r="FG17" s="422"/>
      <c r="FH17" s="422"/>
      <c r="FI17" s="422"/>
      <c r="FJ17" s="422"/>
      <c r="FK17" s="422"/>
      <c r="FL17" s="422"/>
      <c r="FM17" s="422"/>
      <c r="FN17" s="422"/>
      <c r="FO17" s="422"/>
      <c r="FP17" s="422"/>
      <c r="FQ17" s="422"/>
      <c r="FR17" s="422"/>
      <c r="FS17" s="422"/>
      <c r="FT17" s="422"/>
      <c r="FU17" s="422"/>
      <c r="FV17" s="422"/>
      <c r="FW17" s="422"/>
      <c r="FX17" s="422"/>
      <c r="FY17" s="422"/>
      <c r="FZ17" s="422"/>
      <c r="GA17" s="422"/>
      <c r="GB17" s="422"/>
      <c r="GC17" s="422"/>
      <c r="GD17" s="422"/>
      <c r="GE17" s="422"/>
      <c r="GF17" s="422"/>
      <c r="GG17" s="422"/>
      <c r="GH17" s="422"/>
      <c r="GI17" s="422"/>
      <c r="GJ17" s="422"/>
      <c r="GK17" s="422"/>
      <c r="GL17" s="422"/>
      <c r="GM17" s="422"/>
      <c r="GN17" s="422"/>
      <c r="GO17" s="422"/>
      <c r="GP17" s="422"/>
      <c r="GQ17" s="422"/>
      <c r="GR17" s="422"/>
      <c r="GS17" s="422"/>
      <c r="GT17" s="422"/>
      <c r="GU17" s="422"/>
      <c r="GV17" s="422"/>
      <c r="GW17" s="422"/>
      <c r="GX17" s="422"/>
      <c r="GY17" s="422"/>
      <c r="GZ17" s="422"/>
      <c r="HA17" s="422"/>
      <c r="HB17" s="422"/>
      <c r="HC17" s="422"/>
      <c r="HD17" s="422"/>
      <c r="HE17" s="422"/>
      <c r="HF17" s="422"/>
      <c r="HG17" s="422"/>
      <c r="HH17" s="422"/>
      <c r="HI17" s="422"/>
      <c r="HJ17" s="422"/>
      <c r="HK17" s="422"/>
      <c r="HL17" s="422"/>
      <c r="HM17" s="422"/>
      <c r="HN17" s="422"/>
      <c r="HO17" s="422"/>
      <c r="HP17" s="422"/>
      <c r="HQ17" s="422"/>
      <c r="HR17" s="422"/>
      <c r="HS17" s="422"/>
      <c r="HT17" s="422"/>
      <c r="HU17" s="422"/>
      <c r="HV17" s="422"/>
      <c r="HW17" s="422"/>
      <c r="HX17" s="422"/>
      <c r="HY17" s="422"/>
      <c r="HZ17" s="422"/>
      <c r="IA17" s="422"/>
      <c r="IB17" s="422"/>
      <c r="IC17" s="422"/>
      <c r="ID17" s="422"/>
      <c r="IE17" s="422"/>
      <c r="IF17" s="422"/>
      <c r="IG17" s="422"/>
      <c r="IH17" s="422"/>
      <c r="II17" s="422"/>
      <c r="IJ17" s="422"/>
      <c r="IK17" s="422"/>
      <c r="IL17" s="422"/>
      <c r="IM17" s="422"/>
      <c r="IN17" s="422"/>
      <c r="IO17" s="422"/>
      <c r="IP17" s="422"/>
      <c r="IQ17" s="422"/>
      <c r="IR17" s="422"/>
      <c r="IS17" s="422"/>
      <c r="IT17" s="422"/>
      <c r="IU17" s="422"/>
      <c r="IV17" s="422"/>
      <c r="IW17" s="422"/>
    </row>
    <row r="18" customFormat="false" ht="11.25" hidden="false" customHeight="false" outlineLevel="0" collapsed="false">
      <c r="A18" s="198" t="n">
        <f aca="false">YEAR(B18)</f>
        <v>2002</v>
      </c>
      <c r="B18" s="425" t="n">
        <f aca="false">DATE(YEAR(B17),MONTH(B17)+6,1)</f>
        <v>37257</v>
      </c>
      <c r="C18" s="425" t="n">
        <f aca="false">DATE(YEAR(B18),MONTH(B18)+5,25)</f>
        <v>37432</v>
      </c>
      <c r="D18" s="417" t="n">
        <f aca="false">DATE(YEAR(C18),MONTH(C18)+1,25)</f>
        <v>37462</v>
      </c>
      <c r="E18" s="418" t="n">
        <f aca="false">Assumptions!$B$29</f>
        <v>0.1</v>
      </c>
      <c r="F18" s="419" t="n">
        <f aca="false">+((1+E18/2)^(-2*(D18-$C$5)/365.25))</f>
        <v>9.59744136492587</v>
      </c>
      <c r="G18" s="422"/>
      <c r="H18" s="428" t="e">
        <f aca="false">INDEX(CashflowTable,MATCH("DISTRIBUTABLE CASHFLOW     (including equity injection)",CashflowColumn,0),MATCH(A18,CashflowRow,0))/IF(Tables!$B$21=2,1,2)+G18</f>
        <v>#VALUE!</v>
      </c>
      <c r="I18" s="334" t="e">
        <f aca="false">+H18*F18</f>
        <v>#VALUE!</v>
      </c>
      <c r="J18" s="422"/>
      <c r="K18" s="423"/>
      <c r="L18" s="421"/>
      <c r="M18" s="198" t="n">
        <f aca="false">YEAR(N18)</f>
        <v>2002</v>
      </c>
      <c r="N18" s="425" t="n">
        <f aca="false">DATE(YEAR(N17),MONTH(N17)+6,1)</f>
        <v>37257</v>
      </c>
      <c r="O18" s="425" t="n">
        <f aca="false">DATE(YEAR(N18),MONTH(N18)+5,25)</f>
        <v>37432</v>
      </c>
      <c r="P18" s="417" t="n">
        <f aca="false">DATE(YEAR(O18),MONTH(O18)+1,25)</f>
        <v>37462</v>
      </c>
      <c r="Q18" s="418" t="n">
        <f aca="false">Assumptions!$B$29</f>
        <v>0.1</v>
      </c>
      <c r="R18" s="419" t="n">
        <f aca="false">+((1+Q18/2)^(-2*(P18-$C$5)/365.25))</f>
        <v>9.59744136492587</v>
      </c>
      <c r="S18" s="422"/>
      <c r="T18" s="428" t="e">
        <f aca="false">INDEX(CashflowTable,MATCH("Equity Cash Flow (After Cash taxes)",CashflowColumn,0),MATCH(M18,CashflowRow,0))/2+S18</f>
        <v>#VALUE!</v>
      </c>
      <c r="U18" s="334" t="e">
        <f aca="false">+T18*R18</f>
        <v>#VALUE!</v>
      </c>
      <c r="V18" s="422"/>
      <c r="W18" s="422"/>
      <c r="X18" s="422"/>
      <c r="Y18" s="422"/>
      <c r="Z18" s="422"/>
      <c r="AA18" s="422"/>
      <c r="AB18" s="422"/>
      <c r="AC18" s="422"/>
      <c r="AD18" s="422"/>
      <c r="AE18" s="422"/>
      <c r="AF18" s="422"/>
      <c r="AG18" s="422"/>
      <c r="AH18" s="422"/>
      <c r="AI18" s="422"/>
      <c r="AJ18" s="422"/>
      <c r="AK18" s="422"/>
      <c r="AL18" s="422"/>
      <c r="AM18" s="422"/>
      <c r="AN18" s="422"/>
      <c r="AO18" s="422"/>
      <c r="AP18" s="422"/>
      <c r="AQ18" s="422"/>
      <c r="AR18" s="422"/>
      <c r="AS18" s="422"/>
      <c r="AT18" s="422"/>
      <c r="AU18" s="422"/>
      <c r="AV18" s="422"/>
      <c r="AW18" s="422"/>
      <c r="AX18" s="422"/>
      <c r="AY18" s="422"/>
      <c r="AZ18" s="422"/>
      <c r="BA18" s="422"/>
      <c r="BB18" s="422"/>
      <c r="BC18" s="422"/>
      <c r="BD18" s="422"/>
      <c r="BE18" s="422"/>
      <c r="BF18" s="422"/>
      <c r="BG18" s="422"/>
      <c r="BH18" s="422"/>
      <c r="BI18" s="422"/>
      <c r="BJ18" s="422"/>
      <c r="BK18" s="422"/>
      <c r="BL18" s="422"/>
      <c r="BM18" s="422"/>
      <c r="BN18" s="422"/>
      <c r="BO18" s="422"/>
      <c r="BP18" s="422"/>
      <c r="BQ18" s="422"/>
      <c r="BR18" s="422"/>
      <c r="BS18" s="422"/>
      <c r="BT18" s="422"/>
      <c r="BU18" s="422"/>
      <c r="BV18" s="422"/>
      <c r="BW18" s="422"/>
      <c r="BX18" s="422"/>
      <c r="BY18" s="422"/>
      <c r="BZ18" s="422"/>
      <c r="CA18" s="422"/>
      <c r="CB18" s="422"/>
      <c r="CC18" s="422"/>
      <c r="CD18" s="422"/>
      <c r="CE18" s="422"/>
      <c r="CF18" s="422"/>
      <c r="CG18" s="422"/>
      <c r="CH18" s="422"/>
      <c r="CI18" s="422"/>
      <c r="CJ18" s="422"/>
      <c r="CK18" s="422"/>
      <c r="CL18" s="422"/>
      <c r="CM18" s="422"/>
      <c r="CN18" s="422"/>
      <c r="CO18" s="422"/>
      <c r="CP18" s="422"/>
      <c r="CQ18" s="422"/>
      <c r="CR18" s="422"/>
      <c r="CS18" s="422"/>
      <c r="CT18" s="422"/>
      <c r="CU18" s="422"/>
      <c r="CV18" s="422"/>
      <c r="CW18" s="422"/>
      <c r="CX18" s="422"/>
      <c r="CY18" s="422"/>
      <c r="CZ18" s="422"/>
      <c r="DA18" s="422"/>
      <c r="DB18" s="422"/>
      <c r="DC18" s="422"/>
      <c r="DD18" s="422"/>
      <c r="DE18" s="422"/>
      <c r="DF18" s="422"/>
      <c r="DG18" s="422"/>
      <c r="DH18" s="422"/>
      <c r="DI18" s="422"/>
      <c r="DJ18" s="422"/>
      <c r="DK18" s="422"/>
      <c r="DL18" s="422"/>
      <c r="DM18" s="422"/>
      <c r="DN18" s="422"/>
      <c r="DO18" s="422"/>
      <c r="DP18" s="422"/>
      <c r="DQ18" s="422"/>
      <c r="DR18" s="422"/>
      <c r="DS18" s="422"/>
      <c r="DT18" s="422"/>
      <c r="DU18" s="422"/>
      <c r="DV18" s="422"/>
      <c r="DW18" s="422"/>
      <c r="DX18" s="422"/>
      <c r="DY18" s="422"/>
      <c r="DZ18" s="422"/>
      <c r="EA18" s="422"/>
      <c r="EB18" s="422"/>
      <c r="EC18" s="422"/>
      <c r="ED18" s="422"/>
      <c r="EE18" s="422"/>
      <c r="EF18" s="422"/>
      <c r="EG18" s="422"/>
      <c r="EH18" s="422"/>
      <c r="EI18" s="422"/>
      <c r="EJ18" s="422"/>
      <c r="EK18" s="422"/>
      <c r="EL18" s="422"/>
      <c r="EM18" s="422"/>
      <c r="EN18" s="422"/>
      <c r="EO18" s="422"/>
      <c r="EP18" s="422"/>
      <c r="EQ18" s="422"/>
      <c r="ER18" s="422"/>
      <c r="ES18" s="422"/>
      <c r="ET18" s="422"/>
      <c r="EU18" s="422"/>
      <c r="EV18" s="422"/>
      <c r="EW18" s="422"/>
      <c r="EX18" s="422"/>
      <c r="EY18" s="422"/>
      <c r="EZ18" s="422"/>
      <c r="FA18" s="422"/>
      <c r="FB18" s="422"/>
      <c r="FC18" s="422"/>
      <c r="FD18" s="422"/>
      <c r="FE18" s="422"/>
      <c r="FF18" s="422"/>
      <c r="FG18" s="422"/>
      <c r="FH18" s="422"/>
      <c r="FI18" s="422"/>
      <c r="FJ18" s="422"/>
      <c r="FK18" s="422"/>
      <c r="FL18" s="422"/>
      <c r="FM18" s="422"/>
      <c r="FN18" s="422"/>
      <c r="FO18" s="422"/>
      <c r="FP18" s="422"/>
      <c r="FQ18" s="422"/>
      <c r="FR18" s="422"/>
      <c r="FS18" s="422"/>
      <c r="FT18" s="422"/>
      <c r="FU18" s="422"/>
      <c r="FV18" s="422"/>
      <c r="FW18" s="422"/>
      <c r="FX18" s="422"/>
      <c r="FY18" s="422"/>
      <c r="FZ18" s="422"/>
      <c r="GA18" s="422"/>
      <c r="GB18" s="422"/>
      <c r="GC18" s="422"/>
      <c r="GD18" s="422"/>
      <c r="GE18" s="422"/>
      <c r="GF18" s="422"/>
      <c r="GG18" s="422"/>
      <c r="GH18" s="422"/>
      <c r="GI18" s="422"/>
      <c r="GJ18" s="422"/>
      <c r="GK18" s="422"/>
      <c r="GL18" s="422"/>
      <c r="GM18" s="422"/>
      <c r="GN18" s="422"/>
      <c r="GO18" s="422"/>
      <c r="GP18" s="422"/>
      <c r="GQ18" s="422"/>
      <c r="GR18" s="422"/>
      <c r="GS18" s="422"/>
      <c r="GT18" s="422"/>
      <c r="GU18" s="422"/>
      <c r="GV18" s="422"/>
      <c r="GW18" s="422"/>
      <c r="GX18" s="422"/>
      <c r="GY18" s="422"/>
      <c r="GZ18" s="422"/>
      <c r="HA18" s="422"/>
      <c r="HB18" s="422"/>
      <c r="HC18" s="422"/>
      <c r="HD18" s="422"/>
      <c r="HE18" s="422"/>
      <c r="HF18" s="422"/>
      <c r="HG18" s="422"/>
      <c r="HH18" s="422"/>
      <c r="HI18" s="422"/>
      <c r="HJ18" s="422"/>
      <c r="HK18" s="422"/>
      <c r="HL18" s="422"/>
      <c r="HM18" s="422"/>
      <c r="HN18" s="422"/>
      <c r="HO18" s="422"/>
      <c r="HP18" s="422"/>
      <c r="HQ18" s="422"/>
      <c r="HR18" s="422"/>
      <c r="HS18" s="422"/>
      <c r="HT18" s="422"/>
      <c r="HU18" s="422"/>
      <c r="HV18" s="422"/>
      <c r="HW18" s="422"/>
      <c r="HX18" s="422"/>
      <c r="HY18" s="422"/>
      <c r="HZ18" s="422"/>
      <c r="IA18" s="422"/>
      <c r="IB18" s="422"/>
      <c r="IC18" s="422"/>
      <c r="ID18" s="422"/>
      <c r="IE18" s="422"/>
      <c r="IF18" s="422"/>
      <c r="IG18" s="422"/>
      <c r="IH18" s="422"/>
      <c r="II18" s="422"/>
      <c r="IJ18" s="422"/>
      <c r="IK18" s="422"/>
      <c r="IL18" s="422"/>
      <c r="IM18" s="422"/>
      <c r="IN18" s="422"/>
      <c r="IO18" s="422"/>
      <c r="IP18" s="422"/>
      <c r="IQ18" s="422"/>
      <c r="IR18" s="422"/>
      <c r="IS18" s="422"/>
      <c r="IT18" s="422"/>
      <c r="IU18" s="422"/>
      <c r="IV18" s="422"/>
      <c r="IW18" s="422"/>
    </row>
    <row r="19" customFormat="false" ht="11.25" hidden="false" customHeight="false" outlineLevel="0" collapsed="false">
      <c r="A19" s="198" t="n">
        <f aca="false">YEAR(B19)</f>
        <v>2002</v>
      </c>
      <c r="B19" s="425" t="n">
        <f aca="false">DATE(YEAR(B18),MONTH(B18)+6,1)</f>
        <v>37438</v>
      </c>
      <c r="C19" s="425" t="n">
        <f aca="false">DATE(YEAR(B19),MONTH(B19)+5,25)</f>
        <v>37615</v>
      </c>
      <c r="D19" s="417" t="n">
        <f aca="false">DATE(YEAR(C19),MONTH(C19)+1,25)</f>
        <v>37646</v>
      </c>
      <c r="E19" s="418" t="n">
        <f aca="false">Assumptions!$B$29</f>
        <v>0.1</v>
      </c>
      <c r="F19" s="419" t="n">
        <f aca="false">+((1+E19/2)^(-2*(D19-$C$5)/365.25))</f>
        <v>9.13706327171684</v>
      </c>
      <c r="G19" s="419"/>
      <c r="H19" s="428" t="e">
        <f aca="false">INDEX(CashflowTable,MATCH("DISTRIBUTABLE CASHFLOW     (including equity injection)",CashflowColumn,0),MATCH(A19,CashflowRow,0))/2+G19</f>
        <v>#VALUE!</v>
      </c>
      <c r="I19" s="334" t="e">
        <f aca="false">+H19*F19</f>
        <v>#VALUE!</v>
      </c>
      <c r="J19" s="422" t="s">
        <v>384</v>
      </c>
      <c r="K19" s="423"/>
      <c r="L19" s="421"/>
      <c r="M19" s="198" t="n">
        <f aca="false">YEAR(N19)</f>
        <v>2002</v>
      </c>
      <c r="N19" s="425" t="n">
        <f aca="false">DATE(YEAR(N18),MONTH(N18)+6,1)</f>
        <v>37438</v>
      </c>
      <c r="O19" s="425" t="n">
        <f aca="false">DATE(YEAR(N19),MONTH(N19)+5,25)</f>
        <v>37615</v>
      </c>
      <c r="P19" s="417" t="n">
        <f aca="false">DATE(YEAR(O19),MONTH(O19)+1,25)</f>
        <v>37646</v>
      </c>
      <c r="Q19" s="418" t="n">
        <f aca="false">Assumptions!$B$29</f>
        <v>0.1</v>
      </c>
      <c r="R19" s="419" t="n">
        <f aca="false">+((1+Q19/2)^(-2*(P19-$C$5)/365.25))</f>
        <v>9.13706327171684</v>
      </c>
      <c r="S19" s="419"/>
      <c r="T19" s="428" t="e">
        <f aca="false">INDEX(CashflowTable,MATCH("Equity Cash Flow (After Cash taxes)",CashflowColumn,0),MATCH(M19,CashflowRow,0))/2+S19</f>
        <v>#VALUE!</v>
      </c>
      <c r="U19" s="334" t="e">
        <f aca="false">+T19*R19</f>
        <v>#VALUE!</v>
      </c>
      <c r="V19" s="422" t="s">
        <v>384</v>
      </c>
      <c r="W19" s="422"/>
      <c r="X19" s="422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422"/>
      <c r="AY19" s="422"/>
      <c r="AZ19" s="422"/>
      <c r="BA19" s="422"/>
      <c r="BB19" s="422"/>
      <c r="BC19" s="422"/>
      <c r="BD19" s="422"/>
      <c r="BE19" s="422"/>
      <c r="BF19" s="422"/>
      <c r="BG19" s="422"/>
      <c r="BH19" s="422"/>
      <c r="BI19" s="422"/>
      <c r="BJ19" s="422"/>
      <c r="BK19" s="422"/>
      <c r="BL19" s="422"/>
      <c r="BM19" s="422"/>
      <c r="BN19" s="422"/>
      <c r="BO19" s="422"/>
      <c r="BP19" s="422"/>
      <c r="BQ19" s="422"/>
      <c r="BR19" s="422"/>
      <c r="BS19" s="422"/>
      <c r="BT19" s="422"/>
      <c r="BU19" s="422"/>
      <c r="BV19" s="422"/>
      <c r="BW19" s="422"/>
      <c r="BX19" s="422"/>
      <c r="BY19" s="422"/>
      <c r="BZ19" s="422"/>
      <c r="CA19" s="422"/>
      <c r="CB19" s="422"/>
      <c r="CC19" s="422"/>
      <c r="CD19" s="422"/>
      <c r="CE19" s="422"/>
      <c r="CF19" s="422"/>
      <c r="CG19" s="422"/>
      <c r="CH19" s="422"/>
      <c r="CI19" s="422"/>
      <c r="CJ19" s="422"/>
      <c r="CK19" s="422"/>
      <c r="CL19" s="422"/>
      <c r="CM19" s="422"/>
      <c r="CN19" s="422"/>
      <c r="CO19" s="422"/>
      <c r="CP19" s="422"/>
      <c r="CQ19" s="422"/>
      <c r="CR19" s="422"/>
      <c r="CS19" s="422"/>
      <c r="CT19" s="422"/>
      <c r="CU19" s="422"/>
      <c r="CV19" s="422"/>
      <c r="CW19" s="422"/>
      <c r="CX19" s="422"/>
      <c r="CY19" s="422"/>
      <c r="CZ19" s="422"/>
      <c r="DA19" s="422"/>
      <c r="DB19" s="422"/>
      <c r="DC19" s="422"/>
      <c r="DD19" s="422"/>
      <c r="DE19" s="422"/>
      <c r="DF19" s="422"/>
      <c r="DG19" s="422"/>
      <c r="DH19" s="422"/>
      <c r="DI19" s="422"/>
      <c r="DJ19" s="422"/>
      <c r="DK19" s="422"/>
      <c r="DL19" s="422"/>
      <c r="DM19" s="422"/>
      <c r="DN19" s="422"/>
      <c r="DO19" s="422"/>
      <c r="DP19" s="422"/>
      <c r="DQ19" s="422"/>
      <c r="DR19" s="422"/>
      <c r="DS19" s="422"/>
      <c r="DT19" s="422"/>
      <c r="DU19" s="422"/>
      <c r="DV19" s="422"/>
      <c r="DW19" s="422"/>
      <c r="DX19" s="422"/>
      <c r="DY19" s="422"/>
      <c r="DZ19" s="422"/>
      <c r="EA19" s="422"/>
      <c r="EB19" s="422"/>
      <c r="EC19" s="422"/>
      <c r="ED19" s="422"/>
      <c r="EE19" s="422"/>
      <c r="EF19" s="422"/>
      <c r="EG19" s="422"/>
      <c r="EH19" s="422"/>
      <c r="EI19" s="422"/>
      <c r="EJ19" s="422"/>
      <c r="EK19" s="422"/>
      <c r="EL19" s="422"/>
      <c r="EM19" s="422"/>
      <c r="EN19" s="422"/>
      <c r="EO19" s="422"/>
      <c r="EP19" s="422"/>
      <c r="EQ19" s="422"/>
      <c r="ER19" s="422"/>
      <c r="ES19" s="422"/>
      <c r="ET19" s="422"/>
      <c r="EU19" s="422"/>
      <c r="EV19" s="422"/>
      <c r="EW19" s="422"/>
      <c r="EX19" s="422"/>
      <c r="EY19" s="422"/>
      <c r="EZ19" s="422"/>
      <c r="FA19" s="422"/>
      <c r="FB19" s="422"/>
      <c r="FC19" s="422"/>
      <c r="FD19" s="422"/>
      <c r="FE19" s="422"/>
      <c r="FF19" s="422"/>
      <c r="FG19" s="422"/>
      <c r="FH19" s="422"/>
      <c r="FI19" s="422"/>
      <c r="FJ19" s="422"/>
      <c r="FK19" s="422"/>
      <c r="FL19" s="422"/>
      <c r="FM19" s="422"/>
      <c r="FN19" s="422"/>
      <c r="FO19" s="422"/>
      <c r="FP19" s="422"/>
      <c r="FQ19" s="422"/>
      <c r="FR19" s="422"/>
      <c r="FS19" s="422"/>
      <c r="FT19" s="422"/>
      <c r="FU19" s="422"/>
      <c r="FV19" s="422"/>
      <c r="FW19" s="422"/>
      <c r="FX19" s="422"/>
      <c r="FY19" s="422"/>
      <c r="FZ19" s="422"/>
      <c r="GA19" s="422"/>
      <c r="GB19" s="422"/>
      <c r="GC19" s="422"/>
      <c r="GD19" s="422"/>
      <c r="GE19" s="422"/>
      <c r="GF19" s="422"/>
      <c r="GG19" s="422"/>
      <c r="GH19" s="422"/>
      <c r="GI19" s="422"/>
      <c r="GJ19" s="422"/>
      <c r="GK19" s="422"/>
      <c r="GL19" s="422"/>
      <c r="GM19" s="422"/>
      <c r="GN19" s="422"/>
      <c r="GO19" s="422"/>
      <c r="GP19" s="422"/>
      <c r="GQ19" s="422"/>
      <c r="GR19" s="422"/>
      <c r="GS19" s="422"/>
      <c r="GT19" s="422"/>
      <c r="GU19" s="422"/>
      <c r="GV19" s="422"/>
      <c r="GW19" s="422"/>
      <c r="GX19" s="422"/>
      <c r="GY19" s="422"/>
      <c r="GZ19" s="422"/>
      <c r="HA19" s="422"/>
      <c r="HB19" s="422"/>
      <c r="HC19" s="422"/>
      <c r="HD19" s="422"/>
      <c r="HE19" s="422"/>
      <c r="HF19" s="422"/>
      <c r="HG19" s="422"/>
      <c r="HH19" s="422"/>
      <c r="HI19" s="422"/>
      <c r="HJ19" s="422"/>
      <c r="HK19" s="422"/>
      <c r="HL19" s="422"/>
      <c r="HM19" s="422"/>
      <c r="HN19" s="422"/>
      <c r="HO19" s="422"/>
      <c r="HP19" s="422"/>
      <c r="HQ19" s="422"/>
      <c r="HR19" s="422"/>
      <c r="HS19" s="422"/>
      <c r="HT19" s="422"/>
      <c r="HU19" s="422"/>
      <c r="HV19" s="422"/>
      <c r="HW19" s="422"/>
      <c r="HX19" s="422"/>
      <c r="HY19" s="422"/>
      <c r="HZ19" s="422"/>
      <c r="IA19" s="422"/>
      <c r="IB19" s="422"/>
      <c r="IC19" s="422"/>
      <c r="ID19" s="422"/>
      <c r="IE19" s="422"/>
      <c r="IF19" s="422"/>
      <c r="IG19" s="422"/>
      <c r="IH19" s="422"/>
      <c r="II19" s="422"/>
      <c r="IJ19" s="422"/>
      <c r="IK19" s="422"/>
      <c r="IL19" s="422"/>
      <c r="IM19" s="422"/>
      <c r="IN19" s="422"/>
      <c r="IO19" s="422"/>
      <c r="IP19" s="422"/>
      <c r="IQ19" s="422"/>
      <c r="IR19" s="422"/>
      <c r="IS19" s="422"/>
      <c r="IT19" s="422"/>
      <c r="IU19" s="422"/>
      <c r="IV19" s="422"/>
      <c r="IW19" s="422"/>
    </row>
    <row r="20" customFormat="false" ht="11.25" hidden="false" customHeight="false" outlineLevel="0" collapsed="false">
      <c r="A20" s="198" t="n">
        <f aca="false">YEAR(B20)</f>
        <v>2003</v>
      </c>
      <c r="B20" s="425" t="n">
        <f aca="false">DATE(YEAR(B19),MONTH(B19)+6,1)</f>
        <v>37622</v>
      </c>
      <c r="C20" s="425" t="n">
        <f aca="false">DATE(YEAR(B20),MONTH(B20)+5,25)</f>
        <v>37797</v>
      </c>
      <c r="D20" s="417" t="n">
        <f aca="false">DATE(YEAR(C20),MONTH(C20)+1,25)</f>
        <v>37827</v>
      </c>
      <c r="E20" s="429" t="n">
        <f aca="false">Assumptions!$B$29</f>
        <v>0.1</v>
      </c>
      <c r="F20" s="419" t="n">
        <f aca="false">+((1+E20/2)^(-2*(D20-$C$5)/365.25))</f>
        <v>8.70574367378736</v>
      </c>
      <c r="G20" s="202"/>
      <c r="H20" s="428" t="e">
        <f aca="false">INDEX(CashflowTable,MATCH("DISTRIBUTABLE CASHFLOW     (including equity injection)",CashflowColumn,0),MATCH(A20,CashflowRow,0))/2+G20</f>
        <v>#VALUE!</v>
      </c>
      <c r="I20" s="334" t="e">
        <f aca="false">+H20*F20</f>
        <v>#VALUE!</v>
      </c>
      <c r="J20" s="422"/>
      <c r="K20" s="422"/>
      <c r="L20" s="421"/>
      <c r="M20" s="198" t="n">
        <f aca="false">YEAR(N20)</f>
        <v>2003</v>
      </c>
      <c r="N20" s="425" t="n">
        <f aca="false">DATE(YEAR(N19),MONTH(N19)+6,1)</f>
        <v>37622</v>
      </c>
      <c r="O20" s="425" t="n">
        <f aca="false">DATE(YEAR(N20),MONTH(N20)+5,25)</f>
        <v>37797</v>
      </c>
      <c r="P20" s="417" t="n">
        <f aca="false">DATE(YEAR(O20),MONTH(O20)+1,25)</f>
        <v>37827</v>
      </c>
      <c r="Q20" s="429" t="n">
        <f aca="false">Assumptions!$B$29</f>
        <v>0.1</v>
      </c>
      <c r="R20" s="419" t="n">
        <f aca="false">+((1+Q20/2)^(-2*(P20-$C$5)/365.25))</f>
        <v>8.70574367378736</v>
      </c>
      <c r="S20" s="202"/>
      <c r="T20" s="428" t="e">
        <f aca="false">INDEX(CashflowTable,MATCH("Equity Cash Flow (After Cash taxes)",CashflowColumn,0),MATCH(M20,CashflowRow,0))/2+S20</f>
        <v>#VALUE!</v>
      </c>
      <c r="U20" s="334" t="e">
        <f aca="false">+T20*R20</f>
        <v>#VALUE!</v>
      </c>
      <c r="V20" s="422"/>
      <c r="W20" s="430"/>
      <c r="X20" s="430"/>
      <c r="Y20" s="430"/>
      <c r="Z20" s="430"/>
      <c r="AA20" s="430"/>
      <c r="AB20" s="430"/>
      <c r="AC20" s="430"/>
      <c r="AD20" s="430"/>
      <c r="AE20" s="430"/>
      <c r="AF20" s="430"/>
      <c r="AG20" s="430"/>
      <c r="AH20" s="430"/>
      <c r="AI20" s="430"/>
      <c r="AJ20" s="430"/>
      <c r="AK20" s="430"/>
      <c r="AL20" s="430"/>
      <c r="AM20" s="430"/>
      <c r="AN20" s="430"/>
      <c r="AO20" s="430"/>
      <c r="AP20" s="430"/>
      <c r="AQ20" s="430"/>
      <c r="AR20" s="430"/>
      <c r="AS20" s="430"/>
      <c r="AT20" s="430"/>
      <c r="AU20" s="430"/>
      <c r="AV20" s="430"/>
      <c r="AW20" s="430"/>
      <c r="AX20" s="430"/>
      <c r="AY20" s="430"/>
      <c r="AZ20" s="430"/>
      <c r="BA20" s="430"/>
      <c r="BB20" s="430"/>
      <c r="BC20" s="430"/>
      <c r="BD20" s="430"/>
      <c r="BE20" s="430"/>
      <c r="BF20" s="430"/>
      <c r="BG20" s="430"/>
      <c r="BH20" s="430"/>
      <c r="BI20" s="430"/>
      <c r="BJ20" s="430"/>
      <c r="BK20" s="430"/>
      <c r="BL20" s="430"/>
      <c r="BM20" s="430"/>
      <c r="BN20" s="430"/>
      <c r="BO20" s="430"/>
      <c r="BP20" s="430"/>
      <c r="BQ20" s="430"/>
      <c r="BR20" s="430"/>
      <c r="BS20" s="430"/>
      <c r="BT20" s="430"/>
      <c r="BU20" s="430"/>
      <c r="BV20" s="430"/>
      <c r="BW20" s="430"/>
      <c r="BX20" s="430"/>
      <c r="BY20" s="430"/>
      <c r="BZ20" s="430"/>
      <c r="CA20" s="430"/>
      <c r="CB20" s="430"/>
      <c r="CC20" s="430"/>
      <c r="CD20" s="430"/>
      <c r="CE20" s="430"/>
      <c r="CF20" s="430"/>
      <c r="CG20" s="430"/>
      <c r="CH20" s="430"/>
      <c r="CI20" s="430"/>
      <c r="CJ20" s="430"/>
      <c r="CK20" s="430"/>
      <c r="CL20" s="430"/>
      <c r="CM20" s="430"/>
      <c r="CN20" s="430"/>
      <c r="CO20" s="430"/>
      <c r="CP20" s="430"/>
      <c r="CQ20" s="430"/>
      <c r="CR20" s="430"/>
      <c r="CS20" s="430"/>
      <c r="CT20" s="430"/>
      <c r="CU20" s="430"/>
      <c r="CV20" s="430"/>
      <c r="CW20" s="430"/>
      <c r="CX20" s="430"/>
      <c r="CY20" s="430"/>
      <c r="CZ20" s="430"/>
      <c r="DA20" s="430"/>
      <c r="DB20" s="430"/>
      <c r="DC20" s="430"/>
      <c r="DD20" s="430"/>
      <c r="DE20" s="430"/>
      <c r="DF20" s="430"/>
      <c r="DG20" s="430"/>
      <c r="DH20" s="430"/>
      <c r="DI20" s="430"/>
      <c r="DJ20" s="430"/>
      <c r="DK20" s="430"/>
      <c r="DL20" s="430"/>
      <c r="DM20" s="430"/>
      <c r="DN20" s="430"/>
      <c r="DO20" s="430"/>
      <c r="DP20" s="430"/>
      <c r="DQ20" s="430"/>
      <c r="DR20" s="430"/>
      <c r="DS20" s="430"/>
      <c r="DT20" s="430"/>
      <c r="DU20" s="430"/>
      <c r="DV20" s="430"/>
      <c r="DW20" s="430"/>
      <c r="DX20" s="430"/>
      <c r="DY20" s="430"/>
      <c r="DZ20" s="430"/>
      <c r="EA20" s="430"/>
      <c r="EB20" s="430"/>
      <c r="EC20" s="430"/>
      <c r="ED20" s="430"/>
      <c r="EE20" s="430"/>
      <c r="EF20" s="430"/>
      <c r="EG20" s="430"/>
      <c r="EH20" s="430"/>
      <c r="EI20" s="430"/>
      <c r="EJ20" s="430"/>
      <c r="EK20" s="430"/>
      <c r="EL20" s="430"/>
      <c r="EM20" s="430"/>
      <c r="EN20" s="430"/>
      <c r="EO20" s="430"/>
      <c r="EP20" s="430"/>
      <c r="EQ20" s="430"/>
      <c r="ER20" s="430"/>
      <c r="ES20" s="430"/>
      <c r="ET20" s="430"/>
      <c r="EU20" s="430"/>
      <c r="EV20" s="430"/>
      <c r="EW20" s="430"/>
      <c r="EX20" s="430"/>
      <c r="EY20" s="430"/>
      <c r="EZ20" s="430"/>
      <c r="FA20" s="430"/>
      <c r="FB20" s="430"/>
      <c r="FC20" s="430"/>
      <c r="FD20" s="430"/>
      <c r="FE20" s="430"/>
      <c r="FF20" s="430"/>
      <c r="FG20" s="430"/>
      <c r="FH20" s="430"/>
      <c r="FI20" s="430"/>
      <c r="FJ20" s="430"/>
      <c r="FK20" s="430"/>
      <c r="FL20" s="430"/>
      <c r="FM20" s="430"/>
      <c r="FN20" s="430"/>
      <c r="FO20" s="430"/>
      <c r="FP20" s="430"/>
      <c r="FQ20" s="430"/>
      <c r="FR20" s="430"/>
      <c r="FS20" s="430"/>
      <c r="FT20" s="430"/>
      <c r="FU20" s="430"/>
      <c r="FV20" s="430"/>
      <c r="FW20" s="430"/>
      <c r="FX20" s="430"/>
      <c r="FY20" s="430"/>
      <c r="FZ20" s="430"/>
      <c r="GA20" s="430"/>
      <c r="GB20" s="430"/>
      <c r="GC20" s="430"/>
      <c r="GD20" s="430"/>
      <c r="GE20" s="430"/>
      <c r="GF20" s="430"/>
      <c r="GG20" s="430"/>
      <c r="GH20" s="430"/>
      <c r="GI20" s="430"/>
      <c r="GJ20" s="430"/>
      <c r="GK20" s="430"/>
      <c r="GL20" s="430"/>
      <c r="GM20" s="430"/>
      <c r="GN20" s="430"/>
      <c r="GO20" s="430"/>
      <c r="GP20" s="430"/>
      <c r="GQ20" s="430"/>
      <c r="GR20" s="430"/>
      <c r="GS20" s="430"/>
      <c r="GT20" s="430"/>
      <c r="GU20" s="430"/>
      <c r="GV20" s="430"/>
      <c r="GW20" s="430"/>
      <c r="GX20" s="430"/>
      <c r="GY20" s="430"/>
      <c r="GZ20" s="430"/>
      <c r="HA20" s="430"/>
      <c r="HB20" s="430"/>
      <c r="HC20" s="430"/>
      <c r="HD20" s="430"/>
      <c r="HE20" s="430"/>
      <c r="HF20" s="430"/>
      <c r="HG20" s="430"/>
      <c r="HH20" s="430"/>
      <c r="HI20" s="430"/>
      <c r="HJ20" s="430"/>
      <c r="HK20" s="430"/>
      <c r="HL20" s="430"/>
      <c r="HM20" s="430"/>
      <c r="HN20" s="430"/>
      <c r="HO20" s="430"/>
      <c r="HP20" s="430"/>
      <c r="HQ20" s="430"/>
      <c r="HR20" s="430"/>
      <c r="HS20" s="430"/>
      <c r="HT20" s="430"/>
      <c r="HU20" s="430"/>
      <c r="HV20" s="430"/>
      <c r="HW20" s="430"/>
      <c r="HX20" s="430"/>
      <c r="HY20" s="430"/>
      <c r="HZ20" s="430"/>
      <c r="IA20" s="430"/>
      <c r="IB20" s="430"/>
      <c r="IC20" s="430"/>
      <c r="ID20" s="430"/>
      <c r="IE20" s="430"/>
      <c r="IF20" s="430"/>
      <c r="IG20" s="430"/>
      <c r="IH20" s="430"/>
      <c r="II20" s="430"/>
      <c r="IJ20" s="430"/>
      <c r="IK20" s="430"/>
      <c r="IL20" s="430"/>
      <c r="IM20" s="430"/>
      <c r="IN20" s="430"/>
      <c r="IO20" s="430"/>
      <c r="IP20" s="430"/>
      <c r="IQ20" s="430"/>
      <c r="IR20" s="430"/>
      <c r="IS20" s="430"/>
      <c r="IT20" s="430"/>
      <c r="IU20" s="430"/>
      <c r="IV20" s="430"/>
      <c r="IW20" s="430"/>
    </row>
    <row r="21" customFormat="false" ht="11.25" hidden="false" customHeight="false" outlineLevel="0" collapsed="false">
      <c r="A21" s="198" t="n">
        <f aca="false">YEAR(B21)</f>
        <v>2003</v>
      </c>
      <c r="B21" s="425" t="n">
        <f aca="false">DATE(YEAR(B20),MONTH(B20)+6,1)</f>
        <v>37803</v>
      </c>
      <c r="C21" s="425" t="n">
        <f aca="false">DATE(YEAR(B21),MONTH(B21)+5,25)</f>
        <v>37980</v>
      </c>
      <c r="D21" s="417" t="n">
        <f aca="false">DATE(YEAR(C21),MONTH(C21)+1,25)</f>
        <v>38011</v>
      </c>
      <c r="E21" s="429" t="n">
        <f aca="false">Assumptions!$B$29</f>
        <v>0.1</v>
      </c>
      <c r="F21" s="419" t="n">
        <f aca="false">+((1+E21/2)^(-2*(D21-$C$5)/365.25))</f>
        <v>8.28813928110496</v>
      </c>
      <c r="G21" s="202" t="n">
        <f aca="false">IF(Tables!$B$21=3,Cashflow!$G$44,0)</f>
        <v>0</v>
      </c>
      <c r="H21" s="428" t="e">
        <f aca="false">INDEX(CashflowTable,MATCH("DISTRIBUTABLE CASHFLOW     (including equity injection)",CashflowColumn,0),MATCH(A21,CashflowRow,0))/2+G21</f>
        <v>#VALUE!</v>
      </c>
      <c r="I21" s="334" t="e">
        <f aca="false">+H21*F21</f>
        <v>#VALUE!</v>
      </c>
      <c r="J21" s="430" t="s">
        <v>385</v>
      </c>
      <c r="K21" s="422"/>
      <c r="L21" s="421"/>
      <c r="M21" s="198" t="n">
        <f aca="false">YEAR(N21)</f>
        <v>2003</v>
      </c>
      <c r="N21" s="425" t="n">
        <f aca="false">DATE(YEAR(N20),MONTH(N20)+6,1)</f>
        <v>37803</v>
      </c>
      <c r="O21" s="425" t="n">
        <f aca="false">DATE(YEAR(N21),MONTH(N21)+5,25)</f>
        <v>37980</v>
      </c>
      <c r="P21" s="417" t="n">
        <f aca="false">DATE(YEAR(O21),MONTH(O21)+1,25)</f>
        <v>38011</v>
      </c>
      <c r="Q21" s="429" t="n">
        <f aca="false">Assumptions!$B$29</f>
        <v>0.1</v>
      </c>
      <c r="R21" s="419" t="n">
        <f aca="false">+((1+Q21/2)^(-2*(P21-$C$5)/365.25))</f>
        <v>8.28813928110496</v>
      </c>
      <c r="S21" s="202" t="n">
        <f aca="false">IF(Tables!B22=3,Cashflow!$G$44,0)</f>
        <v>0</v>
      </c>
      <c r="T21" s="428" t="e">
        <f aca="false">INDEX(CashflowTable,MATCH("Equity Cash Flow (After Cash taxes)",CashflowColumn,0),MATCH(M21,CashflowRow,0))/2+S21</f>
        <v>#VALUE!</v>
      </c>
      <c r="U21" s="334" t="e">
        <f aca="false">+T21*R21</f>
        <v>#VALUE!</v>
      </c>
      <c r="V21" s="430" t="s">
        <v>385</v>
      </c>
      <c r="W21" s="430"/>
      <c r="X21" s="430"/>
      <c r="Y21" s="430"/>
      <c r="Z21" s="430"/>
      <c r="AA21" s="430"/>
      <c r="AB21" s="430"/>
      <c r="AC21" s="430"/>
      <c r="AD21" s="430"/>
      <c r="AE21" s="430"/>
      <c r="AF21" s="430"/>
      <c r="AG21" s="430"/>
      <c r="AH21" s="430"/>
      <c r="AI21" s="430"/>
      <c r="AJ21" s="430"/>
      <c r="AK21" s="430"/>
      <c r="AL21" s="430"/>
      <c r="AM21" s="430"/>
      <c r="AN21" s="430"/>
      <c r="AO21" s="430"/>
      <c r="AP21" s="430"/>
      <c r="AQ21" s="430"/>
      <c r="AR21" s="430"/>
      <c r="AS21" s="430"/>
      <c r="AT21" s="430"/>
      <c r="AU21" s="430"/>
      <c r="AV21" s="430"/>
      <c r="AW21" s="430"/>
      <c r="AX21" s="430"/>
      <c r="AY21" s="430"/>
      <c r="AZ21" s="430"/>
      <c r="BA21" s="430"/>
      <c r="BB21" s="430"/>
      <c r="BC21" s="430"/>
      <c r="BD21" s="430"/>
      <c r="BE21" s="430"/>
      <c r="BF21" s="430"/>
      <c r="BG21" s="430"/>
      <c r="BH21" s="430"/>
      <c r="BI21" s="430"/>
      <c r="BJ21" s="430"/>
      <c r="BK21" s="430"/>
      <c r="BL21" s="430"/>
      <c r="BM21" s="430"/>
      <c r="BN21" s="430"/>
      <c r="BO21" s="430"/>
      <c r="BP21" s="430"/>
      <c r="BQ21" s="430"/>
      <c r="BR21" s="430"/>
      <c r="BS21" s="430"/>
      <c r="BT21" s="430"/>
      <c r="BU21" s="430"/>
      <c r="BV21" s="430"/>
      <c r="BW21" s="430"/>
      <c r="BX21" s="430"/>
      <c r="BY21" s="430"/>
      <c r="BZ21" s="430"/>
      <c r="CA21" s="430"/>
      <c r="CB21" s="430"/>
      <c r="CC21" s="430"/>
      <c r="CD21" s="430"/>
      <c r="CE21" s="430"/>
      <c r="CF21" s="430"/>
      <c r="CG21" s="430"/>
      <c r="CH21" s="430"/>
      <c r="CI21" s="430"/>
      <c r="CJ21" s="430"/>
      <c r="CK21" s="430"/>
      <c r="CL21" s="430"/>
      <c r="CM21" s="430"/>
      <c r="CN21" s="430"/>
      <c r="CO21" s="430"/>
      <c r="CP21" s="430"/>
      <c r="CQ21" s="430"/>
      <c r="CR21" s="430"/>
      <c r="CS21" s="430"/>
      <c r="CT21" s="430"/>
      <c r="CU21" s="430"/>
      <c r="CV21" s="430"/>
      <c r="CW21" s="430"/>
      <c r="CX21" s="430"/>
      <c r="CY21" s="430"/>
      <c r="CZ21" s="430"/>
      <c r="DA21" s="430"/>
      <c r="DB21" s="430"/>
      <c r="DC21" s="430"/>
      <c r="DD21" s="430"/>
      <c r="DE21" s="430"/>
      <c r="DF21" s="430"/>
      <c r="DG21" s="430"/>
      <c r="DH21" s="430"/>
      <c r="DI21" s="430"/>
      <c r="DJ21" s="430"/>
      <c r="DK21" s="430"/>
      <c r="DL21" s="430"/>
      <c r="DM21" s="430"/>
      <c r="DN21" s="430"/>
      <c r="DO21" s="430"/>
      <c r="DP21" s="430"/>
      <c r="DQ21" s="430"/>
      <c r="DR21" s="430"/>
      <c r="DS21" s="430"/>
      <c r="DT21" s="430"/>
      <c r="DU21" s="430"/>
      <c r="DV21" s="430"/>
      <c r="DW21" s="430"/>
      <c r="DX21" s="430"/>
      <c r="DY21" s="430"/>
      <c r="DZ21" s="430"/>
      <c r="EA21" s="430"/>
      <c r="EB21" s="430"/>
      <c r="EC21" s="430"/>
      <c r="ED21" s="430"/>
      <c r="EE21" s="430"/>
      <c r="EF21" s="430"/>
      <c r="EG21" s="430"/>
      <c r="EH21" s="430"/>
      <c r="EI21" s="430"/>
      <c r="EJ21" s="430"/>
      <c r="EK21" s="430"/>
      <c r="EL21" s="430"/>
      <c r="EM21" s="430"/>
      <c r="EN21" s="430"/>
      <c r="EO21" s="430"/>
      <c r="EP21" s="430"/>
      <c r="EQ21" s="430"/>
      <c r="ER21" s="430"/>
      <c r="ES21" s="430"/>
      <c r="ET21" s="430"/>
      <c r="EU21" s="430"/>
      <c r="EV21" s="430"/>
      <c r="EW21" s="430"/>
      <c r="EX21" s="430"/>
      <c r="EY21" s="430"/>
      <c r="EZ21" s="430"/>
      <c r="FA21" s="430"/>
      <c r="FB21" s="430"/>
      <c r="FC21" s="430"/>
      <c r="FD21" s="430"/>
      <c r="FE21" s="430"/>
      <c r="FF21" s="430"/>
      <c r="FG21" s="430"/>
      <c r="FH21" s="430"/>
      <c r="FI21" s="430"/>
      <c r="FJ21" s="430"/>
      <c r="FK21" s="430"/>
      <c r="FL21" s="430"/>
      <c r="FM21" s="430"/>
      <c r="FN21" s="430"/>
      <c r="FO21" s="430"/>
      <c r="FP21" s="430"/>
      <c r="FQ21" s="430"/>
      <c r="FR21" s="430"/>
      <c r="FS21" s="430"/>
      <c r="FT21" s="430"/>
      <c r="FU21" s="430"/>
      <c r="FV21" s="430"/>
      <c r="FW21" s="430"/>
      <c r="FX21" s="430"/>
      <c r="FY21" s="430"/>
      <c r="FZ21" s="430"/>
      <c r="GA21" s="430"/>
      <c r="GB21" s="430"/>
      <c r="GC21" s="430"/>
      <c r="GD21" s="430"/>
      <c r="GE21" s="430"/>
      <c r="GF21" s="430"/>
      <c r="GG21" s="430"/>
      <c r="GH21" s="430"/>
      <c r="GI21" s="430"/>
      <c r="GJ21" s="430"/>
      <c r="GK21" s="430"/>
      <c r="GL21" s="430"/>
      <c r="GM21" s="430"/>
      <c r="GN21" s="430"/>
      <c r="GO21" s="430"/>
      <c r="GP21" s="430"/>
      <c r="GQ21" s="430"/>
      <c r="GR21" s="430"/>
      <c r="GS21" s="430"/>
      <c r="GT21" s="430"/>
      <c r="GU21" s="430"/>
      <c r="GV21" s="430"/>
      <c r="GW21" s="430"/>
      <c r="GX21" s="430"/>
      <c r="GY21" s="430"/>
      <c r="GZ21" s="430"/>
      <c r="HA21" s="430"/>
      <c r="HB21" s="430"/>
      <c r="HC21" s="430"/>
      <c r="HD21" s="430"/>
      <c r="HE21" s="430"/>
      <c r="HF21" s="430"/>
      <c r="HG21" s="430"/>
      <c r="HH21" s="430"/>
      <c r="HI21" s="430"/>
      <c r="HJ21" s="430"/>
      <c r="HK21" s="430"/>
      <c r="HL21" s="430"/>
      <c r="HM21" s="430"/>
      <c r="HN21" s="430"/>
      <c r="HO21" s="430"/>
      <c r="HP21" s="430"/>
      <c r="HQ21" s="430"/>
      <c r="HR21" s="430"/>
      <c r="HS21" s="430"/>
      <c r="HT21" s="430"/>
      <c r="HU21" s="430"/>
      <c r="HV21" s="430"/>
      <c r="HW21" s="430"/>
      <c r="HX21" s="430"/>
      <c r="HY21" s="430"/>
      <c r="HZ21" s="430"/>
      <c r="IA21" s="430"/>
      <c r="IB21" s="430"/>
      <c r="IC21" s="430"/>
      <c r="ID21" s="430"/>
      <c r="IE21" s="430"/>
      <c r="IF21" s="430"/>
      <c r="IG21" s="430"/>
      <c r="IH21" s="430"/>
      <c r="II21" s="430"/>
      <c r="IJ21" s="430"/>
      <c r="IK21" s="430"/>
      <c r="IL21" s="430"/>
      <c r="IM21" s="430"/>
      <c r="IN21" s="430"/>
      <c r="IO21" s="430"/>
      <c r="IP21" s="430"/>
      <c r="IQ21" s="430"/>
      <c r="IR21" s="430"/>
      <c r="IS21" s="430"/>
      <c r="IT21" s="430"/>
      <c r="IU21" s="430"/>
      <c r="IV21" s="430"/>
      <c r="IW21" s="430"/>
    </row>
    <row r="22" customFormat="false" ht="11.25" hidden="false" customHeight="false" outlineLevel="0" collapsed="false">
      <c r="A22" s="198" t="n">
        <f aca="false">YEAR(B22)</f>
        <v>2004</v>
      </c>
      <c r="B22" s="425" t="n">
        <f aca="false">DATE(YEAR(B21),MONTH(B21)+6,1)</f>
        <v>37987</v>
      </c>
      <c r="C22" s="425" t="n">
        <f aca="false">DATE(YEAR(B22),MONTH(B22)+5,25)</f>
        <v>38163</v>
      </c>
      <c r="D22" s="417" t="n">
        <f aca="false">DATE(YEAR(C22),MONTH(C22)+1,25)</f>
        <v>38193</v>
      </c>
      <c r="E22" s="429" t="n">
        <f aca="false">Assumptions!$B$29</f>
        <v>0.1</v>
      </c>
      <c r="F22" s="419" t="n">
        <f aca="false">+((1+E22/2)^(-2*(D22-$C$5)/365.25))</f>
        <v>7.89478410539953</v>
      </c>
      <c r="G22" s="202"/>
      <c r="H22" s="428" t="e">
        <f aca="false">INDEX(CashflowTable,MATCH("DISTRIBUTABLE CASHFLOW     (including equity injection)",CashflowColumn,0),MATCH(A22,CashflowRow,0))/2+G22</f>
        <v>#VALUE!</v>
      </c>
      <c r="I22" s="334" t="e">
        <f aca="false">+H22*F22</f>
        <v>#VALUE!</v>
      </c>
      <c r="J22" s="422"/>
      <c r="K22" s="422"/>
      <c r="L22" s="421"/>
      <c r="M22" s="198" t="n">
        <f aca="false">YEAR(N22)</f>
        <v>2004</v>
      </c>
      <c r="N22" s="425" t="n">
        <f aca="false">DATE(YEAR(N21),MONTH(N21)+6,1)</f>
        <v>37987</v>
      </c>
      <c r="O22" s="425" t="n">
        <f aca="false">DATE(YEAR(N22),MONTH(N22)+5,25)</f>
        <v>38163</v>
      </c>
      <c r="P22" s="417" t="n">
        <f aca="false">DATE(YEAR(O22),MONTH(O22)+1,25)</f>
        <v>38193</v>
      </c>
      <c r="Q22" s="429" t="n">
        <f aca="false">Assumptions!$B$29</f>
        <v>0.1</v>
      </c>
      <c r="R22" s="419" t="n">
        <f aca="false">+((1+Q22/2)^(-2*(P22-$C$5)/365.25))</f>
        <v>7.89478410539953</v>
      </c>
      <c r="S22" s="202"/>
      <c r="T22" s="428" t="e">
        <f aca="false">INDEX(CashflowTable,MATCH("Equity Cash Flow (After Cash taxes)",CashflowColumn,0),MATCH(M22,CashflowRow,0))/2+S22</f>
        <v>#VALUE!</v>
      </c>
      <c r="U22" s="334" t="e">
        <f aca="false">+T22*R22</f>
        <v>#VALUE!</v>
      </c>
      <c r="V22" s="422"/>
      <c r="W22" s="430"/>
      <c r="X22" s="430"/>
      <c r="Y22" s="430"/>
      <c r="Z22" s="430"/>
      <c r="AA22" s="430"/>
      <c r="AB22" s="430"/>
      <c r="AC22" s="430"/>
      <c r="AD22" s="430"/>
      <c r="AE22" s="430"/>
      <c r="AF22" s="430"/>
      <c r="AG22" s="430"/>
      <c r="AH22" s="430"/>
      <c r="AI22" s="430"/>
      <c r="AJ22" s="430"/>
      <c r="AK22" s="430"/>
      <c r="AL22" s="430"/>
      <c r="AM22" s="430"/>
      <c r="AN22" s="430"/>
      <c r="AO22" s="430"/>
      <c r="AP22" s="430"/>
      <c r="AQ22" s="430"/>
      <c r="AR22" s="430"/>
      <c r="AS22" s="430"/>
      <c r="AT22" s="430"/>
      <c r="AU22" s="430"/>
      <c r="AV22" s="430"/>
      <c r="AW22" s="430"/>
      <c r="AX22" s="430"/>
      <c r="AY22" s="430"/>
      <c r="AZ22" s="430"/>
      <c r="BA22" s="430"/>
      <c r="BB22" s="430"/>
      <c r="BC22" s="430"/>
      <c r="BD22" s="430"/>
      <c r="BE22" s="430"/>
      <c r="BF22" s="430"/>
      <c r="BG22" s="430"/>
      <c r="BH22" s="430"/>
      <c r="BI22" s="430"/>
      <c r="BJ22" s="430"/>
      <c r="BK22" s="430"/>
      <c r="BL22" s="430"/>
      <c r="BM22" s="430"/>
      <c r="BN22" s="430"/>
      <c r="BO22" s="430"/>
      <c r="BP22" s="430"/>
      <c r="BQ22" s="430"/>
      <c r="BR22" s="430"/>
      <c r="BS22" s="430"/>
      <c r="BT22" s="430"/>
      <c r="BU22" s="430"/>
      <c r="BV22" s="430"/>
      <c r="BW22" s="430"/>
      <c r="BX22" s="430"/>
      <c r="BY22" s="430"/>
      <c r="BZ22" s="430"/>
      <c r="CA22" s="430"/>
      <c r="CB22" s="430"/>
      <c r="CC22" s="430"/>
      <c r="CD22" s="430"/>
      <c r="CE22" s="430"/>
      <c r="CF22" s="430"/>
      <c r="CG22" s="430"/>
      <c r="CH22" s="430"/>
      <c r="CI22" s="430"/>
      <c r="CJ22" s="430"/>
      <c r="CK22" s="430"/>
      <c r="CL22" s="430"/>
      <c r="CM22" s="430"/>
      <c r="CN22" s="430"/>
      <c r="CO22" s="430"/>
      <c r="CP22" s="430"/>
      <c r="CQ22" s="430"/>
      <c r="CR22" s="430"/>
      <c r="CS22" s="430"/>
      <c r="CT22" s="430"/>
      <c r="CU22" s="430"/>
      <c r="CV22" s="430"/>
      <c r="CW22" s="430"/>
      <c r="CX22" s="430"/>
      <c r="CY22" s="430"/>
      <c r="CZ22" s="430"/>
      <c r="DA22" s="430"/>
      <c r="DB22" s="430"/>
      <c r="DC22" s="430"/>
      <c r="DD22" s="430"/>
      <c r="DE22" s="430"/>
      <c r="DF22" s="430"/>
      <c r="DG22" s="430"/>
      <c r="DH22" s="430"/>
      <c r="DI22" s="430"/>
      <c r="DJ22" s="430"/>
      <c r="DK22" s="430"/>
      <c r="DL22" s="430"/>
      <c r="DM22" s="430"/>
      <c r="DN22" s="430"/>
      <c r="DO22" s="430"/>
      <c r="DP22" s="430"/>
      <c r="DQ22" s="430"/>
      <c r="DR22" s="430"/>
      <c r="DS22" s="430"/>
      <c r="DT22" s="430"/>
      <c r="DU22" s="430"/>
      <c r="DV22" s="430"/>
      <c r="DW22" s="430"/>
      <c r="DX22" s="430"/>
      <c r="DY22" s="430"/>
      <c r="DZ22" s="430"/>
      <c r="EA22" s="430"/>
      <c r="EB22" s="430"/>
      <c r="EC22" s="430"/>
      <c r="ED22" s="430"/>
      <c r="EE22" s="430"/>
      <c r="EF22" s="430"/>
      <c r="EG22" s="430"/>
      <c r="EH22" s="430"/>
      <c r="EI22" s="430"/>
      <c r="EJ22" s="430"/>
      <c r="EK22" s="430"/>
      <c r="EL22" s="430"/>
      <c r="EM22" s="430"/>
      <c r="EN22" s="430"/>
      <c r="EO22" s="430"/>
      <c r="EP22" s="430"/>
      <c r="EQ22" s="430"/>
      <c r="ER22" s="430"/>
      <c r="ES22" s="430"/>
      <c r="ET22" s="430"/>
      <c r="EU22" s="430"/>
      <c r="EV22" s="430"/>
      <c r="EW22" s="430"/>
      <c r="EX22" s="430"/>
      <c r="EY22" s="430"/>
      <c r="EZ22" s="430"/>
      <c r="FA22" s="430"/>
      <c r="FB22" s="430"/>
      <c r="FC22" s="430"/>
      <c r="FD22" s="430"/>
      <c r="FE22" s="430"/>
      <c r="FF22" s="430"/>
      <c r="FG22" s="430"/>
      <c r="FH22" s="430"/>
      <c r="FI22" s="430"/>
      <c r="FJ22" s="430"/>
      <c r="FK22" s="430"/>
      <c r="FL22" s="430"/>
      <c r="FM22" s="430"/>
      <c r="FN22" s="430"/>
      <c r="FO22" s="430"/>
      <c r="FP22" s="430"/>
      <c r="FQ22" s="430"/>
      <c r="FR22" s="430"/>
      <c r="FS22" s="430"/>
      <c r="FT22" s="430"/>
      <c r="FU22" s="430"/>
      <c r="FV22" s="430"/>
      <c r="FW22" s="430"/>
      <c r="FX22" s="430"/>
      <c r="FY22" s="430"/>
      <c r="FZ22" s="430"/>
      <c r="GA22" s="430"/>
      <c r="GB22" s="430"/>
      <c r="GC22" s="430"/>
      <c r="GD22" s="430"/>
      <c r="GE22" s="430"/>
      <c r="GF22" s="430"/>
      <c r="GG22" s="430"/>
      <c r="GH22" s="430"/>
      <c r="GI22" s="430"/>
      <c r="GJ22" s="430"/>
      <c r="GK22" s="430"/>
      <c r="GL22" s="430"/>
      <c r="GM22" s="430"/>
      <c r="GN22" s="430"/>
      <c r="GO22" s="430"/>
      <c r="GP22" s="430"/>
      <c r="GQ22" s="430"/>
      <c r="GR22" s="430"/>
      <c r="GS22" s="430"/>
      <c r="GT22" s="430"/>
      <c r="GU22" s="430"/>
      <c r="GV22" s="430"/>
      <c r="GW22" s="430"/>
      <c r="GX22" s="430"/>
      <c r="GY22" s="430"/>
      <c r="GZ22" s="430"/>
      <c r="HA22" s="430"/>
      <c r="HB22" s="430"/>
      <c r="HC22" s="430"/>
      <c r="HD22" s="430"/>
      <c r="HE22" s="430"/>
      <c r="HF22" s="430"/>
      <c r="HG22" s="430"/>
      <c r="HH22" s="430"/>
      <c r="HI22" s="430"/>
      <c r="HJ22" s="430"/>
      <c r="HK22" s="430"/>
      <c r="HL22" s="430"/>
      <c r="HM22" s="430"/>
      <c r="HN22" s="430"/>
      <c r="HO22" s="430"/>
      <c r="HP22" s="430"/>
      <c r="HQ22" s="430"/>
      <c r="HR22" s="430"/>
      <c r="HS22" s="430"/>
      <c r="HT22" s="430"/>
      <c r="HU22" s="430"/>
      <c r="HV22" s="430"/>
      <c r="HW22" s="430"/>
      <c r="HX22" s="430"/>
      <c r="HY22" s="430"/>
      <c r="HZ22" s="430"/>
      <c r="IA22" s="430"/>
      <c r="IB22" s="430"/>
      <c r="IC22" s="430"/>
      <c r="ID22" s="430"/>
      <c r="IE22" s="430"/>
      <c r="IF22" s="430"/>
      <c r="IG22" s="430"/>
      <c r="IH22" s="430"/>
      <c r="II22" s="430"/>
      <c r="IJ22" s="430"/>
      <c r="IK22" s="430"/>
      <c r="IL22" s="430"/>
      <c r="IM22" s="430"/>
      <c r="IN22" s="430"/>
      <c r="IO22" s="430"/>
      <c r="IP22" s="430"/>
      <c r="IQ22" s="430"/>
      <c r="IR22" s="430"/>
      <c r="IS22" s="430"/>
      <c r="IT22" s="430"/>
      <c r="IU22" s="430"/>
      <c r="IV22" s="430"/>
      <c r="IW22" s="430"/>
    </row>
    <row r="23" customFormat="false" ht="11.25" hidden="false" customHeight="false" outlineLevel="0" collapsed="false">
      <c r="A23" s="198" t="n">
        <f aca="false">YEAR(B23)</f>
        <v>2004</v>
      </c>
      <c r="B23" s="425" t="n">
        <f aca="false">DATE(YEAR(B22),MONTH(B22)+6,1)</f>
        <v>38169</v>
      </c>
      <c r="C23" s="425" t="n">
        <f aca="false">DATE(YEAR(B23),MONTH(B23)+5,25)</f>
        <v>38346</v>
      </c>
      <c r="D23" s="417" t="n">
        <f aca="false">DATE(YEAR(C23),MONTH(C23)+1,25)</f>
        <v>38377</v>
      </c>
      <c r="E23" s="429" t="n">
        <f aca="false">Assumptions!$B$29</f>
        <v>0.1</v>
      </c>
      <c r="F23" s="419" t="n">
        <f aca="false">+((1+E23/2)^(-2*(D23-$C$5)/365.25))</f>
        <v>7.51608049945477</v>
      </c>
      <c r="G23" s="202"/>
      <c r="H23" s="428" t="e">
        <f aca="false">INDEX(CashflowTable,MATCH("DISTRIBUTABLE CASHFLOW     (including equity injection)",CashflowColumn,0),MATCH(A23,CashflowRow,0))/2+G23</f>
        <v>#VALUE!</v>
      </c>
      <c r="I23" s="334" t="e">
        <f aca="false">+H23*F23</f>
        <v>#VALUE!</v>
      </c>
      <c r="J23" s="422" t="s">
        <v>386</v>
      </c>
      <c r="K23" s="422"/>
      <c r="L23" s="421"/>
      <c r="M23" s="198" t="n">
        <f aca="false">YEAR(N23)</f>
        <v>2004</v>
      </c>
      <c r="N23" s="425" t="n">
        <f aca="false">DATE(YEAR(N22),MONTH(N22)+6,1)</f>
        <v>38169</v>
      </c>
      <c r="O23" s="425" t="n">
        <f aca="false">DATE(YEAR(N23),MONTH(N23)+5,25)</f>
        <v>38346</v>
      </c>
      <c r="P23" s="417" t="n">
        <f aca="false">DATE(YEAR(O23),MONTH(O23)+1,25)</f>
        <v>38377</v>
      </c>
      <c r="Q23" s="429" t="n">
        <f aca="false">Assumptions!$B$29</f>
        <v>0.1</v>
      </c>
      <c r="R23" s="419" t="n">
        <f aca="false">+((1+Q23/2)^(-2*(P23-$C$5)/365.25))</f>
        <v>7.51608049945477</v>
      </c>
      <c r="S23" s="202"/>
      <c r="T23" s="428" t="e">
        <f aca="false">INDEX(CashflowTable,MATCH("Equity Cash Flow (After Cash taxes)",CashflowColumn,0),MATCH(M23,CashflowRow,0))/2+S23</f>
        <v>#VALUE!</v>
      </c>
      <c r="U23" s="334" t="e">
        <f aca="false">+T23*R23</f>
        <v>#VALUE!</v>
      </c>
      <c r="V23" s="422" t="s">
        <v>386</v>
      </c>
      <c r="W23" s="430"/>
      <c r="X23" s="430"/>
      <c r="Y23" s="430"/>
      <c r="Z23" s="430"/>
      <c r="AA23" s="430"/>
      <c r="AB23" s="430"/>
      <c r="AC23" s="430"/>
      <c r="AD23" s="430"/>
      <c r="AE23" s="430"/>
      <c r="AF23" s="430"/>
      <c r="AG23" s="430"/>
      <c r="AH23" s="430"/>
      <c r="AI23" s="430"/>
      <c r="AJ23" s="430"/>
      <c r="AK23" s="430"/>
      <c r="AL23" s="430"/>
      <c r="AM23" s="430"/>
      <c r="AN23" s="430"/>
      <c r="AO23" s="430"/>
      <c r="AP23" s="430"/>
      <c r="AQ23" s="430"/>
      <c r="AR23" s="430"/>
      <c r="AS23" s="430"/>
      <c r="AT23" s="430"/>
      <c r="AU23" s="430"/>
      <c r="AV23" s="430"/>
      <c r="AW23" s="430"/>
      <c r="AX23" s="430"/>
      <c r="AY23" s="430"/>
      <c r="AZ23" s="430"/>
      <c r="BA23" s="430"/>
      <c r="BB23" s="430"/>
      <c r="BC23" s="430"/>
      <c r="BD23" s="430"/>
      <c r="BE23" s="430"/>
      <c r="BF23" s="430"/>
      <c r="BG23" s="430"/>
      <c r="BH23" s="430"/>
      <c r="BI23" s="430"/>
      <c r="BJ23" s="430"/>
      <c r="BK23" s="430"/>
      <c r="BL23" s="430"/>
      <c r="BM23" s="430"/>
      <c r="BN23" s="430"/>
      <c r="BO23" s="430"/>
      <c r="BP23" s="430"/>
      <c r="BQ23" s="430"/>
      <c r="BR23" s="430"/>
      <c r="BS23" s="430"/>
      <c r="BT23" s="430"/>
      <c r="BU23" s="430"/>
      <c r="BV23" s="430"/>
      <c r="BW23" s="430"/>
      <c r="BX23" s="430"/>
      <c r="BY23" s="430"/>
      <c r="BZ23" s="430"/>
      <c r="CA23" s="430"/>
      <c r="CB23" s="430"/>
      <c r="CC23" s="430"/>
      <c r="CD23" s="430"/>
      <c r="CE23" s="430"/>
      <c r="CF23" s="430"/>
      <c r="CG23" s="430"/>
      <c r="CH23" s="430"/>
      <c r="CI23" s="430"/>
      <c r="CJ23" s="430"/>
      <c r="CK23" s="430"/>
      <c r="CL23" s="430"/>
      <c r="CM23" s="430"/>
      <c r="CN23" s="430"/>
      <c r="CO23" s="430"/>
      <c r="CP23" s="430"/>
      <c r="CQ23" s="430"/>
      <c r="CR23" s="430"/>
      <c r="CS23" s="430"/>
      <c r="CT23" s="430"/>
      <c r="CU23" s="430"/>
      <c r="CV23" s="430"/>
      <c r="CW23" s="430"/>
      <c r="CX23" s="430"/>
      <c r="CY23" s="430"/>
      <c r="CZ23" s="430"/>
      <c r="DA23" s="430"/>
      <c r="DB23" s="430"/>
      <c r="DC23" s="430"/>
      <c r="DD23" s="430"/>
      <c r="DE23" s="430"/>
      <c r="DF23" s="430"/>
      <c r="DG23" s="430"/>
      <c r="DH23" s="430"/>
      <c r="DI23" s="430"/>
      <c r="DJ23" s="430"/>
      <c r="DK23" s="430"/>
      <c r="DL23" s="430"/>
      <c r="DM23" s="430"/>
      <c r="DN23" s="430"/>
      <c r="DO23" s="430"/>
      <c r="DP23" s="430"/>
      <c r="DQ23" s="430"/>
      <c r="DR23" s="430"/>
      <c r="DS23" s="430"/>
      <c r="DT23" s="430"/>
      <c r="DU23" s="430"/>
      <c r="DV23" s="430"/>
      <c r="DW23" s="430"/>
      <c r="DX23" s="430"/>
      <c r="DY23" s="430"/>
      <c r="DZ23" s="430"/>
      <c r="EA23" s="430"/>
      <c r="EB23" s="430"/>
      <c r="EC23" s="430"/>
      <c r="ED23" s="430"/>
      <c r="EE23" s="430"/>
      <c r="EF23" s="430"/>
      <c r="EG23" s="430"/>
      <c r="EH23" s="430"/>
      <c r="EI23" s="430"/>
      <c r="EJ23" s="430"/>
      <c r="EK23" s="430"/>
      <c r="EL23" s="430"/>
      <c r="EM23" s="430"/>
      <c r="EN23" s="430"/>
      <c r="EO23" s="430"/>
      <c r="EP23" s="430"/>
      <c r="EQ23" s="430"/>
      <c r="ER23" s="430"/>
      <c r="ES23" s="430"/>
      <c r="ET23" s="430"/>
      <c r="EU23" s="430"/>
      <c r="EV23" s="430"/>
      <c r="EW23" s="430"/>
      <c r="EX23" s="430"/>
      <c r="EY23" s="430"/>
      <c r="EZ23" s="430"/>
      <c r="FA23" s="430"/>
      <c r="FB23" s="430"/>
      <c r="FC23" s="430"/>
      <c r="FD23" s="430"/>
      <c r="FE23" s="430"/>
      <c r="FF23" s="430"/>
      <c r="FG23" s="430"/>
      <c r="FH23" s="430"/>
      <c r="FI23" s="430"/>
      <c r="FJ23" s="430"/>
      <c r="FK23" s="430"/>
      <c r="FL23" s="430"/>
      <c r="FM23" s="430"/>
      <c r="FN23" s="430"/>
      <c r="FO23" s="430"/>
      <c r="FP23" s="430"/>
      <c r="FQ23" s="430"/>
      <c r="FR23" s="430"/>
      <c r="FS23" s="430"/>
      <c r="FT23" s="430"/>
      <c r="FU23" s="430"/>
      <c r="FV23" s="430"/>
      <c r="FW23" s="430"/>
      <c r="FX23" s="430"/>
      <c r="FY23" s="430"/>
      <c r="FZ23" s="430"/>
      <c r="GA23" s="430"/>
      <c r="GB23" s="430"/>
      <c r="GC23" s="430"/>
      <c r="GD23" s="430"/>
      <c r="GE23" s="430"/>
      <c r="GF23" s="430"/>
      <c r="GG23" s="430"/>
      <c r="GH23" s="430"/>
      <c r="GI23" s="430"/>
      <c r="GJ23" s="430"/>
      <c r="GK23" s="430"/>
      <c r="GL23" s="430"/>
      <c r="GM23" s="430"/>
      <c r="GN23" s="430"/>
      <c r="GO23" s="430"/>
      <c r="GP23" s="430"/>
      <c r="GQ23" s="430"/>
      <c r="GR23" s="430"/>
      <c r="GS23" s="430"/>
      <c r="GT23" s="430"/>
      <c r="GU23" s="430"/>
      <c r="GV23" s="430"/>
      <c r="GW23" s="430"/>
      <c r="GX23" s="430"/>
      <c r="GY23" s="430"/>
      <c r="GZ23" s="430"/>
      <c r="HA23" s="430"/>
      <c r="HB23" s="430"/>
      <c r="HC23" s="430"/>
      <c r="HD23" s="430"/>
      <c r="HE23" s="430"/>
      <c r="HF23" s="430"/>
      <c r="HG23" s="430"/>
      <c r="HH23" s="430"/>
      <c r="HI23" s="430"/>
      <c r="HJ23" s="430"/>
      <c r="HK23" s="430"/>
      <c r="HL23" s="430"/>
      <c r="HM23" s="430"/>
      <c r="HN23" s="430"/>
      <c r="HO23" s="430"/>
      <c r="HP23" s="430"/>
      <c r="HQ23" s="430"/>
      <c r="HR23" s="430"/>
      <c r="HS23" s="430"/>
      <c r="HT23" s="430"/>
      <c r="HU23" s="430"/>
      <c r="HV23" s="430"/>
      <c r="HW23" s="430"/>
      <c r="HX23" s="430"/>
      <c r="HY23" s="430"/>
      <c r="HZ23" s="430"/>
      <c r="IA23" s="430"/>
      <c r="IB23" s="430"/>
      <c r="IC23" s="430"/>
      <c r="ID23" s="430"/>
      <c r="IE23" s="430"/>
      <c r="IF23" s="430"/>
      <c r="IG23" s="430"/>
      <c r="IH23" s="430"/>
      <c r="II23" s="430"/>
      <c r="IJ23" s="430"/>
      <c r="IK23" s="430"/>
      <c r="IL23" s="430"/>
      <c r="IM23" s="430"/>
      <c r="IN23" s="430"/>
      <c r="IO23" s="430"/>
      <c r="IP23" s="430"/>
      <c r="IQ23" s="430"/>
      <c r="IR23" s="430"/>
      <c r="IS23" s="430"/>
      <c r="IT23" s="430"/>
      <c r="IU23" s="430"/>
      <c r="IV23" s="430"/>
      <c r="IW23" s="430"/>
    </row>
    <row r="24" customFormat="false" ht="11.25" hidden="false" customHeight="false" outlineLevel="0" collapsed="false">
      <c r="A24" s="198" t="n">
        <f aca="false">YEAR(B24)</f>
        <v>2005</v>
      </c>
      <c r="B24" s="425" t="n">
        <f aca="false">DATE(YEAR(B23),MONTH(B23)+6,1)</f>
        <v>38353</v>
      </c>
      <c r="C24" s="425" t="n">
        <f aca="false">DATE(YEAR(B24),MONTH(B24)+5,25)</f>
        <v>38528</v>
      </c>
      <c r="D24" s="417" t="n">
        <f aca="false">DATE(YEAR(C24),MONTH(C24)+1,25)</f>
        <v>38558</v>
      </c>
      <c r="E24" s="429" t="n">
        <f aca="false">Assumptions!$B$29</f>
        <v>0.1</v>
      </c>
      <c r="F24" s="419" t="n">
        <f aca="false">+((1+E24/2)^(-2*(D24-$C$5)/365.25))</f>
        <v>7.16128019626925</v>
      </c>
      <c r="G24" s="202"/>
      <c r="H24" s="428" t="e">
        <f aca="false">INDEX(CashflowTable,MATCH("DISTRIBUTABLE CASHFLOW     (including equity injection)",CashflowColumn,0),MATCH(A24,CashflowRow,0))/2+G24</f>
        <v>#VALUE!</v>
      </c>
      <c r="I24" s="334" t="e">
        <f aca="false">+H24*F24</f>
        <v>#VALUE!</v>
      </c>
      <c r="J24" s="422"/>
      <c r="K24" s="423"/>
      <c r="L24" s="421"/>
      <c r="M24" s="198" t="n">
        <f aca="false">YEAR(N24)</f>
        <v>2005</v>
      </c>
      <c r="N24" s="425" t="n">
        <f aca="false">DATE(YEAR(N23),MONTH(N23)+6,1)</f>
        <v>38353</v>
      </c>
      <c r="O24" s="425" t="n">
        <f aca="false">DATE(YEAR(N24),MONTH(N24)+5,25)</f>
        <v>38528</v>
      </c>
      <c r="P24" s="417" t="n">
        <f aca="false">DATE(YEAR(O24),MONTH(O24)+1,25)</f>
        <v>38558</v>
      </c>
      <c r="Q24" s="429" t="n">
        <f aca="false">Assumptions!$B$29</f>
        <v>0.1</v>
      </c>
      <c r="R24" s="419" t="n">
        <f aca="false">+((1+Q24/2)^(-2*(P24-$C$5)/365.25))</f>
        <v>7.16128019626925</v>
      </c>
      <c r="S24" s="202"/>
      <c r="T24" s="428" t="e">
        <f aca="false">INDEX(CashflowTable,MATCH("Equity Cash Flow (After Cash taxes)",CashflowColumn,0),MATCH(M24,CashflowRow,0))/2+S24</f>
        <v>#VALUE!</v>
      </c>
      <c r="U24" s="334" t="e">
        <f aca="false">+T24*R24</f>
        <v>#VALUE!</v>
      </c>
      <c r="V24" s="422"/>
      <c r="W24" s="430"/>
      <c r="X24" s="430"/>
      <c r="Y24" s="430"/>
      <c r="Z24" s="430"/>
      <c r="AA24" s="430"/>
      <c r="AB24" s="430"/>
      <c r="AC24" s="430"/>
      <c r="AD24" s="430"/>
      <c r="AE24" s="430"/>
      <c r="AF24" s="430"/>
      <c r="AG24" s="430"/>
      <c r="AH24" s="430"/>
      <c r="AI24" s="430"/>
      <c r="AJ24" s="430"/>
      <c r="AK24" s="430"/>
      <c r="AL24" s="430"/>
      <c r="AM24" s="430"/>
      <c r="AN24" s="430"/>
      <c r="AO24" s="430"/>
      <c r="AP24" s="430"/>
      <c r="AQ24" s="430"/>
      <c r="AR24" s="430"/>
      <c r="AS24" s="430"/>
      <c r="AT24" s="430"/>
      <c r="AU24" s="430"/>
      <c r="AV24" s="430"/>
      <c r="AW24" s="430"/>
      <c r="AX24" s="430"/>
      <c r="AY24" s="430"/>
      <c r="AZ24" s="430"/>
      <c r="BA24" s="430"/>
      <c r="BB24" s="430"/>
      <c r="BC24" s="430"/>
      <c r="BD24" s="430"/>
      <c r="BE24" s="430"/>
      <c r="BF24" s="430"/>
      <c r="BG24" s="430"/>
      <c r="BH24" s="430"/>
      <c r="BI24" s="430"/>
      <c r="BJ24" s="430"/>
      <c r="BK24" s="430"/>
      <c r="BL24" s="430"/>
      <c r="BM24" s="430"/>
      <c r="BN24" s="430"/>
      <c r="BO24" s="430"/>
      <c r="BP24" s="430"/>
      <c r="BQ24" s="430"/>
      <c r="BR24" s="430"/>
      <c r="BS24" s="430"/>
      <c r="BT24" s="430"/>
      <c r="BU24" s="430"/>
      <c r="BV24" s="430"/>
      <c r="BW24" s="430"/>
      <c r="BX24" s="430"/>
      <c r="BY24" s="430"/>
      <c r="BZ24" s="430"/>
      <c r="CA24" s="430"/>
      <c r="CB24" s="430"/>
      <c r="CC24" s="430"/>
      <c r="CD24" s="430"/>
      <c r="CE24" s="430"/>
      <c r="CF24" s="430"/>
      <c r="CG24" s="430"/>
      <c r="CH24" s="430"/>
      <c r="CI24" s="430"/>
      <c r="CJ24" s="430"/>
      <c r="CK24" s="430"/>
      <c r="CL24" s="430"/>
      <c r="CM24" s="430"/>
      <c r="CN24" s="430"/>
      <c r="CO24" s="430"/>
      <c r="CP24" s="430"/>
      <c r="CQ24" s="430"/>
      <c r="CR24" s="430"/>
      <c r="CS24" s="430"/>
      <c r="CT24" s="430"/>
      <c r="CU24" s="430"/>
      <c r="CV24" s="430"/>
      <c r="CW24" s="430"/>
      <c r="CX24" s="430"/>
      <c r="CY24" s="430"/>
      <c r="CZ24" s="430"/>
      <c r="DA24" s="430"/>
      <c r="DB24" s="430"/>
      <c r="DC24" s="430"/>
      <c r="DD24" s="430"/>
      <c r="DE24" s="430"/>
      <c r="DF24" s="430"/>
      <c r="DG24" s="430"/>
      <c r="DH24" s="430"/>
      <c r="DI24" s="430"/>
      <c r="DJ24" s="430"/>
      <c r="DK24" s="430"/>
      <c r="DL24" s="430"/>
      <c r="DM24" s="430"/>
      <c r="DN24" s="430"/>
      <c r="DO24" s="430"/>
      <c r="DP24" s="430"/>
      <c r="DQ24" s="430"/>
      <c r="DR24" s="430"/>
      <c r="DS24" s="430"/>
      <c r="DT24" s="430"/>
      <c r="DU24" s="430"/>
      <c r="DV24" s="430"/>
      <c r="DW24" s="430"/>
      <c r="DX24" s="430"/>
      <c r="DY24" s="430"/>
      <c r="DZ24" s="430"/>
      <c r="EA24" s="430"/>
      <c r="EB24" s="430"/>
      <c r="EC24" s="430"/>
      <c r="ED24" s="430"/>
      <c r="EE24" s="430"/>
      <c r="EF24" s="430"/>
      <c r="EG24" s="430"/>
      <c r="EH24" s="430"/>
      <c r="EI24" s="430"/>
      <c r="EJ24" s="430"/>
      <c r="EK24" s="430"/>
      <c r="EL24" s="430"/>
      <c r="EM24" s="430"/>
      <c r="EN24" s="430"/>
      <c r="EO24" s="430"/>
      <c r="EP24" s="430"/>
      <c r="EQ24" s="430"/>
      <c r="ER24" s="430"/>
      <c r="ES24" s="430"/>
      <c r="ET24" s="430"/>
      <c r="EU24" s="430"/>
      <c r="EV24" s="430"/>
      <c r="EW24" s="430"/>
      <c r="EX24" s="430"/>
      <c r="EY24" s="430"/>
      <c r="EZ24" s="430"/>
      <c r="FA24" s="430"/>
      <c r="FB24" s="430"/>
      <c r="FC24" s="430"/>
      <c r="FD24" s="430"/>
      <c r="FE24" s="430"/>
      <c r="FF24" s="430"/>
      <c r="FG24" s="430"/>
      <c r="FH24" s="430"/>
      <c r="FI24" s="430"/>
      <c r="FJ24" s="430"/>
      <c r="FK24" s="430"/>
      <c r="FL24" s="430"/>
      <c r="FM24" s="430"/>
      <c r="FN24" s="430"/>
      <c r="FO24" s="430"/>
      <c r="FP24" s="430"/>
      <c r="FQ24" s="430"/>
      <c r="FR24" s="430"/>
      <c r="FS24" s="430"/>
      <c r="FT24" s="430"/>
      <c r="FU24" s="430"/>
      <c r="FV24" s="430"/>
      <c r="FW24" s="430"/>
      <c r="FX24" s="430"/>
      <c r="FY24" s="430"/>
      <c r="FZ24" s="430"/>
      <c r="GA24" s="430"/>
      <c r="GB24" s="430"/>
      <c r="GC24" s="430"/>
      <c r="GD24" s="430"/>
      <c r="GE24" s="430"/>
      <c r="GF24" s="430"/>
      <c r="GG24" s="430"/>
      <c r="GH24" s="430"/>
      <c r="GI24" s="430"/>
      <c r="GJ24" s="430"/>
      <c r="GK24" s="430"/>
      <c r="GL24" s="430"/>
      <c r="GM24" s="430"/>
      <c r="GN24" s="430"/>
      <c r="GO24" s="430"/>
      <c r="GP24" s="430"/>
      <c r="GQ24" s="430"/>
      <c r="GR24" s="430"/>
      <c r="GS24" s="430"/>
      <c r="GT24" s="430"/>
      <c r="GU24" s="430"/>
      <c r="GV24" s="430"/>
      <c r="GW24" s="430"/>
      <c r="GX24" s="430"/>
      <c r="GY24" s="430"/>
      <c r="GZ24" s="430"/>
      <c r="HA24" s="430"/>
      <c r="HB24" s="430"/>
      <c r="HC24" s="430"/>
      <c r="HD24" s="430"/>
      <c r="HE24" s="430"/>
      <c r="HF24" s="430"/>
      <c r="HG24" s="430"/>
      <c r="HH24" s="430"/>
      <c r="HI24" s="430"/>
      <c r="HJ24" s="430"/>
      <c r="HK24" s="430"/>
      <c r="HL24" s="430"/>
      <c r="HM24" s="430"/>
      <c r="HN24" s="430"/>
      <c r="HO24" s="430"/>
      <c r="HP24" s="430"/>
      <c r="HQ24" s="430"/>
      <c r="HR24" s="430"/>
      <c r="HS24" s="430"/>
      <c r="HT24" s="430"/>
      <c r="HU24" s="430"/>
      <c r="HV24" s="430"/>
      <c r="HW24" s="430"/>
      <c r="HX24" s="430"/>
      <c r="HY24" s="430"/>
      <c r="HZ24" s="430"/>
      <c r="IA24" s="430"/>
      <c r="IB24" s="430"/>
      <c r="IC24" s="430"/>
      <c r="ID24" s="430"/>
      <c r="IE24" s="430"/>
      <c r="IF24" s="430"/>
      <c r="IG24" s="430"/>
      <c r="IH24" s="430"/>
      <c r="II24" s="430"/>
      <c r="IJ24" s="430"/>
      <c r="IK24" s="430"/>
      <c r="IL24" s="430"/>
      <c r="IM24" s="430"/>
      <c r="IN24" s="430"/>
      <c r="IO24" s="430"/>
      <c r="IP24" s="430"/>
      <c r="IQ24" s="430"/>
      <c r="IR24" s="430"/>
      <c r="IS24" s="430"/>
      <c r="IT24" s="430"/>
      <c r="IU24" s="430"/>
      <c r="IV24" s="430"/>
      <c r="IW24" s="430"/>
    </row>
    <row r="25" customFormat="false" ht="10.5" hidden="false" customHeight="true" outlineLevel="0" collapsed="false">
      <c r="A25" s="198" t="n">
        <f aca="false">YEAR(B25)</f>
        <v>2005</v>
      </c>
      <c r="B25" s="425" t="n">
        <f aca="false">DATE(YEAR(B24),MONTH(B24)+6,1)</f>
        <v>38534</v>
      </c>
      <c r="C25" s="425" t="n">
        <f aca="false">DATE(YEAR(B25),MONTH(B25)+5,25)</f>
        <v>38711</v>
      </c>
      <c r="D25" s="417" t="n">
        <f aca="false">DATE(YEAR(C25),MONTH(C25)+1,25)</f>
        <v>38742</v>
      </c>
      <c r="E25" s="429" t="n">
        <f aca="false">Assumptions!$B$29</f>
        <v>0.1</v>
      </c>
      <c r="F25" s="419" t="n">
        <f aca="false">+((1+E25/2)^(-2*(D25-$C$5)/365.25))</f>
        <v>6.81776191922693</v>
      </c>
      <c r="G25" s="202" t="n">
        <f aca="false">IF(Tables!$B$21=5,Cashflow!$I$44,0)</f>
        <v>0</v>
      </c>
      <c r="H25" s="431" t="e">
        <f aca="false">IF(Tables!B21=5,0,INDEX(CashflowTable,MATCH("DISTRIBUTABLE CASHFLOW     (including equity injection)",CashflowColumn,0),MATCH(A25,CashflowRow,0))/2+G25)</f>
        <v>#VALUE!</v>
      </c>
      <c r="I25" s="334" t="e">
        <f aca="false">+H25*F25</f>
        <v>#VALUE!</v>
      </c>
      <c r="J25" s="422" t="s">
        <v>387</v>
      </c>
      <c r="K25" s="422"/>
      <c r="L25" s="421"/>
      <c r="M25" s="198" t="n">
        <f aca="false">YEAR(N25)</f>
        <v>2005</v>
      </c>
      <c r="N25" s="425" t="n">
        <f aca="false">DATE(YEAR(N24),MONTH(N24)+6,1)</f>
        <v>38534</v>
      </c>
      <c r="O25" s="425" t="n">
        <f aca="false">DATE(YEAR(N25),MONTH(N25)+5,25)</f>
        <v>38711</v>
      </c>
      <c r="P25" s="417" t="n">
        <f aca="false">DATE(YEAR(O25),MONTH(O25)+1,25)</f>
        <v>38742</v>
      </c>
      <c r="Q25" s="429" t="n">
        <f aca="false">Assumptions!$B$29</f>
        <v>0.1</v>
      </c>
      <c r="R25" s="419" t="n">
        <f aca="false">+((1+Q25/2)^(-2*(P25-$C$5)/365.25))</f>
        <v>6.81776191922693</v>
      </c>
      <c r="S25" s="202" t="n">
        <f aca="false">IF(Tables!$B$21=5,Cashflow!$I$44,0)</f>
        <v>0</v>
      </c>
      <c r="T25" s="428" t="e">
        <f aca="false">INDEX(CashflowTable,MATCH("Equity Cash Flow (After Cash taxes)",CashflowColumn,0),MATCH(M25,CashflowRow,0))/2+S25</f>
        <v>#VALUE!</v>
      </c>
      <c r="U25" s="334" t="e">
        <f aca="false">+T25*R25</f>
        <v>#VALUE!</v>
      </c>
      <c r="V25" s="422" t="s">
        <v>387</v>
      </c>
      <c r="W25" s="430"/>
      <c r="X25" s="430"/>
      <c r="Y25" s="430"/>
      <c r="Z25" s="430"/>
      <c r="AA25" s="430"/>
      <c r="AB25" s="430"/>
      <c r="AC25" s="430"/>
      <c r="AD25" s="430"/>
      <c r="AE25" s="430"/>
      <c r="AF25" s="430"/>
      <c r="AG25" s="430"/>
      <c r="AH25" s="430"/>
      <c r="AI25" s="430"/>
      <c r="AJ25" s="430"/>
      <c r="AK25" s="430"/>
      <c r="AL25" s="430"/>
      <c r="AM25" s="430"/>
      <c r="AN25" s="430"/>
      <c r="AO25" s="430"/>
      <c r="AP25" s="430"/>
      <c r="AQ25" s="430"/>
      <c r="AR25" s="430"/>
      <c r="AS25" s="430"/>
      <c r="AT25" s="430"/>
      <c r="AU25" s="430"/>
      <c r="AV25" s="430"/>
      <c r="AW25" s="430"/>
      <c r="AX25" s="430"/>
      <c r="AY25" s="430"/>
      <c r="AZ25" s="430"/>
      <c r="BA25" s="430"/>
      <c r="BB25" s="430"/>
      <c r="BC25" s="430"/>
      <c r="BD25" s="430"/>
      <c r="BE25" s="430"/>
      <c r="BF25" s="430"/>
      <c r="BG25" s="430"/>
      <c r="BH25" s="430"/>
      <c r="BI25" s="430"/>
      <c r="BJ25" s="430"/>
      <c r="BK25" s="430"/>
      <c r="BL25" s="430"/>
      <c r="BM25" s="430"/>
      <c r="BN25" s="430"/>
      <c r="BO25" s="430"/>
      <c r="BP25" s="430"/>
      <c r="BQ25" s="430"/>
      <c r="BR25" s="430"/>
      <c r="BS25" s="430"/>
      <c r="BT25" s="430"/>
      <c r="BU25" s="430"/>
      <c r="BV25" s="430"/>
      <c r="BW25" s="430"/>
      <c r="BX25" s="430"/>
      <c r="BY25" s="430"/>
      <c r="BZ25" s="430"/>
      <c r="CA25" s="430"/>
      <c r="CB25" s="430"/>
      <c r="CC25" s="430"/>
      <c r="CD25" s="430"/>
      <c r="CE25" s="430"/>
      <c r="CF25" s="430"/>
      <c r="CG25" s="430"/>
      <c r="CH25" s="430"/>
      <c r="CI25" s="430"/>
      <c r="CJ25" s="430"/>
      <c r="CK25" s="430"/>
      <c r="CL25" s="430"/>
      <c r="CM25" s="430"/>
      <c r="CN25" s="430"/>
      <c r="CO25" s="430"/>
      <c r="CP25" s="430"/>
      <c r="CQ25" s="430"/>
      <c r="CR25" s="430"/>
      <c r="CS25" s="430"/>
      <c r="CT25" s="430"/>
      <c r="CU25" s="430"/>
      <c r="CV25" s="430"/>
      <c r="CW25" s="430"/>
      <c r="CX25" s="430"/>
      <c r="CY25" s="430"/>
      <c r="CZ25" s="430"/>
      <c r="DA25" s="430"/>
      <c r="DB25" s="430"/>
      <c r="DC25" s="430"/>
      <c r="DD25" s="430"/>
      <c r="DE25" s="430"/>
      <c r="DF25" s="430"/>
      <c r="DG25" s="430"/>
      <c r="DH25" s="430"/>
      <c r="DI25" s="430"/>
      <c r="DJ25" s="430"/>
      <c r="DK25" s="430"/>
      <c r="DL25" s="430"/>
      <c r="DM25" s="430"/>
      <c r="DN25" s="430"/>
      <c r="DO25" s="430"/>
      <c r="DP25" s="430"/>
      <c r="DQ25" s="430"/>
      <c r="DR25" s="430"/>
      <c r="DS25" s="430"/>
      <c r="DT25" s="430"/>
      <c r="DU25" s="430"/>
      <c r="DV25" s="430"/>
      <c r="DW25" s="430"/>
      <c r="DX25" s="430"/>
      <c r="DY25" s="430"/>
      <c r="DZ25" s="430"/>
      <c r="EA25" s="430"/>
      <c r="EB25" s="430"/>
      <c r="EC25" s="430"/>
      <c r="ED25" s="430"/>
      <c r="EE25" s="430"/>
      <c r="EF25" s="430"/>
      <c r="EG25" s="430"/>
      <c r="EH25" s="430"/>
      <c r="EI25" s="430"/>
      <c r="EJ25" s="430"/>
      <c r="EK25" s="430"/>
      <c r="EL25" s="430"/>
      <c r="EM25" s="430"/>
      <c r="EN25" s="430"/>
      <c r="EO25" s="430"/>
      <c r="EP25" s="430"/>
      <c r="EQ25" s="430"/>
      <c r="ER25" s="430"/>
      <c r="ES25" s="430"/>
      <c r="ET25" s="430"/>
      <c r="EU25" s="430"/>
      <c r="EV25" s="430"/>
      <c r="EW25" s="430"/>
      <c r="EX25" s="430"/>
      <c r="EY25" s="430"/>
      <c r="EZ25" s="430"/>
      <c r="FA25" s="430"/>
      <c r="FB25" s="430"/>
      <c r="FC25" s="430"/>
      <c r="FD25" s="430"/>
      <c r="FE25" s="430"/>
      <c r="FF25" s="430"/>
      <c r="FG25" s="430"/>
      <c r="FH25" s="430"/>
      <c r="FI25" s="430"/>
      <c r="FJ25" s="430"/>
      <c r="FK25" s="430"/>
      <c r="FL25" s="430"/>
      <c r="FM25" s="430"/>
      <c r="FN25" s="430"/>
      <c r="FO25" s="430"/>
      <c r="FP25" s="430"/>
      <c r="FQ25" s="430"/>
      <c r="FR25" s="430"/>
      <c r="FS25" s="430"/>
      <c r="FT25" s="430"/>
      <c r="FU25" s="430"/>
      <c r="FV25" s="430"/>
      <c r="FW25" s="430"/>
      <c r="FX25" s="430"/>
      <c r="FY25" s="430"/>
      <c r="FZ25" s="430"/>
      <c r="GA25" s="430"/>
      <c r="GB25" s="430"/>
      <c r="GC25" s="430"/>
      <c r="GD25" s="430"/>
      <c r="GE25" s="430"/>
      <c r="GF25" s="430"/>
      <c r="GG25" s="430"/>
      <c r="GH25" s="430"/>
      <c r="GI25" s="430"/>
      <c r="GJ25" s="430"/>
      <c r="GK25" s="430"/>
      <c r="GL25" s="430"/>
      <c r="GM25" s="430"/>
      <c r="GN25" s="430"/>
      <c r="GO25" s="430"/>
      <c r="GP25" s="430"/>
      <c r="GQ25" s="430"/>
      <c r="GR25" s="430"/>
      <c r="GS25" s="430"/>
      <c r="GT25" s="430"/>
      <c r="GU25" s="430"/>
      <c r="GV25" s="430"/>
      <c r="GW25" s="430"/>
      <c r="GX25" s="430"/>
      <c r="GY25" s="430"/>
      <c r="GZ25" s="430"/>
      <c r="HA25" s="430"/>
      <c r="HB25" s="430"/>
      <c r="HC25" s="430"/>
      <c r="HD25" s="430"/>
      <c r="HE25" s="430"/>
      <c r="HF25" s="430"/>
      <c r="HG25" s="430"/>
      <c r="HH25" s="430"/>
      <c r="HI25" s="430"/>
      <c r="HJ25" s="430"/>
      <c r="HK25" s="430"/>
      <c r="HL25" s="430"/>
      <c r="HM25" s="430"/>
      <c r="HN25" s="430"/>
      <c r="HO25" s="430"/>
      <c r="HP25" s="430"/>
      <c r="HQ25" s="430"/>
      <c r="HR25" s="430"/>
      <c r="HS25" s="430"/>
      <c r="HT25" s="430"/>
      <c r="HU25" s="430"/>
      <c r="HV25" s="430"/>
      <c r="HW25" s="430"/>
      <c r="HX25" s="430"/>
      <c r="HY25" s="430"/>
      <c r="HZ25" s="430"/>
      <c r="IA25" s="430"/>
      <c r="IB25" s="430"/>
      <c r="IC25" s="430"/>
      <c r="ID25" s="430"/>
      <c r="IE25" s="430"/>
      <c r="IF25" s="430"/>
      <c r="IG25" s="430"/>
      <c r="IH25" s="430"/>
      <c r="II25" s="430"/>
      <c r="IJ25" s="430"/>
      <c r="IK25" s="430"/>
      <c r="IL25" s="430"/>
      <c r="IM25" s="430"/>
      <c r="IN25" s="430"/>
      <c r="IO25" s="430"/>
      <c r="IP25" s="430"/>
      <c r="IQ25" s="430"/>
      <c r="IR25" s="430"/>
      <c r="IS25" s="430"/>
      <c r="IT25" s="430"/>
      <c r="IU25" s="430"/>
      <c r="IV25" s="430"/>
      <c r="IW25" s="430"/>
    </row>
    <row r="26" customFormat="false" ht="11.25" hidden="false" customHeight="false" outlineLevel="0" collapsed="false">
      <c r="A26" s="198" t="n">
        <f aca="false">YEAR(B26)</f>
        <v>2006</v>
      </c>
      <c r="B26" s="425" t="n">
        <f aca="false">DATE(YEAR(B25),MONTH(B25)+6,1)</f>
        <v>38718</v>
      </c>
      <c r="C26" s="425" t="n">
        <f aca="false">DATE(YEAR(B26),MONTH(B26)+5,25)</f>
        <v>38893</v>
      </c>
      <c r="D26" s="417" t="n">
        <f aca="false">DATE(YEAR(C26),MONTH(C26)+1,25)</f>
        <v>38923</v>
      </c>
      <c r="E26" s="429" t="n">
        <f aca="false">Assumptions!$B$29</f>
        <v>0.1</v>
      </c>
      <c r="F26" s="419" t="n">
        <f aca="false">+((1+E26/2)^(-2*(D26-$C$5)/365.25))</f>
        <v>6.49592609054416</v>
      </c>
      <c r="G26" s="202"/>
      <c r="H26" s="428" t="e">
        <f aca="false">INDEX(CashflowTable,MATCH("DISTRIBUTABLE CASHFLOW     (including equity injection)",CashflowColumn,0),MATCH(A26,CashflowRow,0))/2+G26</f>
        <v>#VALUE!</v>
      </c>
      <c r="I26" s="334" t="e">
        <f aca="false">+H26*F26</f>
        <v>#VALUE!</v>
      </c>
      <c r="J26" s="430"/>
      <c r="K26" s="422"/>
      <c r="L26" s="421"/>
      <c r="M26" s="198" t="n">
        <f aca="false">YEAR(N26)</f>
        <v>2006</v>
      </c>
      <c r="N26" s="425" t="n">
        <f aca="false">DATE(YEAR(N25),MONTH(N25)+6,1)</f>
        <v>38718</v>
      </c>
      <c r="O26" s="425" t="n">
        <f aca="false">DATE(YEAR(N26),MONTH(N26)+5,25)</f>
        <v>38893</v>
      </c>
      <c r="P26" s="417" t="n">
        <f aca="false">DATE(YEAR(O26),MONTH(O26)+1,25)</f>
        <v>38923</v>
      </c>
      <c r="Q26" s="429" t="n">
        <f aca="false">Assumptions!$B$29</f>
        <v>0.1</v>
      </c>
      <c r="R26" s="419" t="n">
        <f aca="false">+((1+Q26/2)^(-2*(P26-$C$5)/365.25))</f>
        <v>6.49592609054416</v>
      </c>
      <c r="S26" s="202"/>
      <c r="T26" s="428" t="e">
        <f aca="false">INDEX(CashflowTable,MATCH("Equity Cash Flow (After Cash taxes)",CashflowColumn,0),MATCH(M26,CashflowRow,0))/2+S26</f>
        <v>#VALUE!</v>
      </c>
      <c r="U26" s="334" t="e">
        <f aca="false">+T26*R26</f>
        <v>#VALUE!</v>
      </c>
      <c r="V26" s="430"/>
    </row>
    <row r="27" customFormat="false" ht="11.25" hidden="false" customHeight="false" outlineLevel="0" collapsed="false">
      <c r="A27" s="198" t="n">
        <f aca="false">YEAR(B27)</f>
        <v>2006</v>
      </c>
      <c r="B27" s="425" t="n">
        <f aca="false">DATE(YEAR(B26),MONTH(B26)+6,1)</f>
        <v>38899</v>
      </c>
      <c r="C27" s="425" t="n">
        <f aca="false">DATE(YEAR(B27),MONTH(B27)+5,25)</f>
        <v>39076</v>
      </c>
      <c r="D27" s="417" t="n">
        <f aca="false">DATE(YEAR(C27),MONTH(C27)+1,25)</f>
        <v>39107</v>
      </c>
      <c r="E27" s="429" t="n">
        <f aca="false">Assumptions!$B$29</f>
        <v>0.1</v>
      </c>
      <c r="F27" s="419" t="n">
        <f aca="false">+((1+E27/2)^(-2*(D27-$C$5)/365.25))</f>
        <v>6.18432407564457</v>
      </c>
      <c r="G27" s="202"/>
      <c r="H27" s="428" t="e">
        <f aca="false">INDEX(CashflowTable,MATCH("DISTRIBUTABLE CASHFLOW     (including equity injection)",CashflowColumn,0),MATCH(A27,CashflowRow,0))/2+G27</f>
        <v>#VALUE!</v>
      </c>
      <c r="I27" s="334" t="e">
        <f aca="false">+H27*F27</f>
        <v>#VALUE!</v>
      </c>
      <c r="J27" s="422" t="s">
        <v>388</v>
      </c>
      <c r="K27" s="422"/>
      <c r="L27" s="421"/>
      <c r="M27" s="198" t="n">
        <f aca="false">YEAR(N27)</f>
        <v>2006</v>
      </c>
      <c r="N27" s="425" t="n">
        <f aca="false">DATE(YEAR(N26),MONTH(N26)+6,1)</f>
        <v>38899</v>
      </c>
      <c r="O27" s="425" t="n">
        <f aca="false">DATE(YEAR(N27),MONTH(N27)+5,25)</f>
        <v>39076</v>
      </c>
      <c r="P27" s="417" t="n">
        <f aca="false">DATE(YEAR(O27),MONTH(O27)+1,25)</f>
        <v>39107</v>
      </c>
      <c r="Q27" s="429" t="n">
        <f aca="false">Assumptions!$B$29</f>
        <v>0.1</v>
      </c>
      <c r="R27" s="419" t="n">
        <f aca="false">+((1+Q27/2)^(-2*(P27-$C$5)/365.25))</f>
        <v>6.18432407564457</v>
      </c>
      <c r="S27" s="202"/>
      <c r="T27" s="428" t="e">
        <f aca="false">INDEX(CashflowTable,MATCH("Equity Cash Flow (After Cash taxes)",CashflowColumn,0),MATCH(M27,CashflowRow,0))/2+S27</f>
        <v>#VALUE!</v>
      </c>
      <c r="U27" s="334" t="e">
        <f aca="false">+T27*R27</f>
        <v>#VALUE!</v>
      </c>
      <c r="V27" s="422" t="s">
        <v>388</v>
      </c>
    </row>
    <row r="28" customFormat="false" ht="11.25" hidden="false" customHeight="false" outlineLevel="0" collapsed="false">
      <c r="A28" s="198" t="n">
        <f aca="false">YEAR(B28)</f>
        <v>2007</v>
      </c>
      <c r="B28" s="425" t="n">
        <f aca="false">DATE(YEAR(B27),MONTH(B27)+6,1)</f>
        <v>39083</v>
      </c>
      <c r="C28" s="425" t="n">
        <f aca="false">DATE(YEAR(B28),MONTH(B28)+5,25)</f>
        <v>39258</v>
      </c>
      <c r="D28" s="417" t="n">
        <f aca="false">DATE(YEAR(C28),MONTH(C28)+1,25)</f>
        <v>39288</v>
      </c>
      <c r="E28" s="429" t="n">
        <f aca="false">Assumptions!$B$29</f>
        <v>0.1</v>
      </c>
      <c r="F28" s="419" t="n">
        <f aca="false">+((1+E28/2)^(-2*(D28-$C$5)/365.25))</f>
        <v>5.89238999415151</v>
      </c>
      <c r="G28" s="202"/>
      <c r="H28" s="428" t="e">
        <f aca="false">INDEX(CashflowTable,MATCH("DISTRIBUTABLE CASHFLOW     (including equity injection)",CashflowColumn,0),MATCH(A28,CashflowRow,0))/2+G28</f>
        <v>#VALUE!</v>
      </c>
      <c r="I28" s="334" t="e">
        <f aca="false">+H28*F28</f>
        <v>#VALUE!</v>
      </c>
      <c r="J28" s="422"/>
      <c r="K28" s="332"/>
      <c r="L28" s="421"/>
      <c r="M28" s="198" t="n">
        <f aca="false">YEAR(N28)</f>
        <v>2007</v>
      </c>
      <c r="N28" s="425" t="n">
        <f aca="false">DATE(YEAR(N27),MONTH(N27)+6,1)</f>
        <v>39083</v>
      </c>
      <c r="O28" s="425" t="n">
        <f aca="false">DATE(YEAR(N28),MONTH(N28)+5,25)</f>
        <v>39258</v>
      </c>
      <c r="P28" s="417" t="n">
        <f aca="false">DATE(YEAR(O28),MONTH(O28)+1,25)</f>
        <v>39288</v>
      </c>
      <c r="Q28" s="429" t="n">
        <f aca="false">Assumptions!$B$29</f>
        <v>0.1</v>
      </c>
      <c r="R28" s="419" t="n">
        <f aca="false">+((1+Q28/2)^(-2*(P28-$C$5)/365.25))</f>
        <v>5.89238999415151</v>
      </c>
      <c r="S28" s="202"/>
      <c r="T28" s="428" t="e">
        <f aca="false">INDEX(CashflowTable,MATCH("Equity Cash Flow (After Cash taxes)",CashflowColumn,0),MATCH(M28,CashflowRow,0))/2+S28</f>
        <v>#VALUE!</v>
      </c>
      <c r="U28" s="334" t="e">
        <f aca="false">+T28*R28</f>
        <v>#VALUE!</v>
      </c>
      <c r="V28" s="422"/>
    </row>
    <row r="29" customFormat="false" ht="11.25" hidden="false" customHeight="false" outlineLevel="0" collapsed="false">
      <c r="A29" s="198" t="n">
        <f aca="false">YEAR(B29)</f>
        <v>2007</v>
      </c>
      <c r="B29" s="425" t="n">
        <f aca="false">DATE(YEAR(B28),MONTH(B28)+6,1)</f>
        <v>39264</v>
      </c>
      <c r="C29" s="425" t="n">
        <f aca="false">DATE(YEAR(B29),MONTH(B29)+5,25)</f>
        <v>39441</v>
      </c>
      <c r="D29" s="417" t="n">
        <f aca="false">DATE(YEAR(C29),MONTH(C29)+1,25)</f>
        <v>39472</v>
      </c>
      <c r="E29" s="429" t="n">
        <f aca="false">Assumptions!$B$29</f>
        <v>0.1</v>
      </c>
      <c r="F29" s="419" t="n">
        <f aca="false">+((1+E29/2)^(-2*(D29-$C$5)/365.25))</f>
        <v>5.60973890342798</v>
      </c>
      <c r="G29" s="202"/>
      <c r="H29" s="428" t="e">
        <f aca="false">INDEX(CashflowTable,MATCH("DISTRIBUTABLE CASHFLOW     (including equity injection)",CashflowColumn,0),MATCH(A29,CashflowRow,0))/2+G29</f>
        <v>#VALUE!</v>
      </c>
      <c r="I29" s="334" t="e">
        <f aca="false">+H29*F29</f>
        <v>#VALUE!</v>
      </c>
      <c r="J29" s="422" t="s">
        <v>389</v>
      </c>
      <c r="K29" s="422"/>
      <c r="L29" s="421"/>
      <c r="M29" s="198" t="n">
        <f aca="false">YEAR(N29)</f>
        <v>2007</v>
      </c>
      <c r="N29" s="425" t="n">
        <f aca="false">DATE(YEAR(N28),MONTH(N28)+6,1)</f>
        <v>39264</v>
      </c>
      <c r="O29" s="425" t="n">
        <f aca="false">DATE(YEAR(N29),MONTH(N29)+5,25)</f>
        <v>39441</v>
      </c>
      <c r="P29" s="417" t="n">
        <f aca="false">DATE(YEAR(O29),MONTH(O29)+1,25)</f>
        <v>39472</v>
      </c>
      <c r="Q29" s="429" t="n">
        <f aca="false">Assumptions!$B$29</f>
        <v>0.1</v>
      </c>
      <c r="R29" s="419" t="n">
        <f aca="false">+((1+Q29/2)^(-2*(P29-$C$5)/365.25))</f>
        <v>5.60973890342798</v>
      </c>
      <c r="S29" s="202"/>
      <c r="T29" s="428" t="e">
        <f aca="false">INDEX(CashflowTable,MATCH("Equity Cash Flow (After Cash taxes)",CashflowColumn,0),MATCH(M29,CashflowRow,0))/2+S29</f>
        <v>#VALUE!</v>
      </c>
      <c r="U29" s="334" t="e">
        <f aca="false">+T29*R29</f>
        <v>#VALUE!</v>
      </c>
      <c r="V29" s="422" t="s">
        <v>389</v>
      </c>
    </row>
    <row r="30" customFormat="false" ht="11.25" hidden="false" customHeight="false" outlineLevel="0" collapsed="false">
      <c r="A30" s="198" t="n">
        <f aca="false">YEAR(B30)</f>
        <v>2008</v>
      </c>
      <c r="B30" s="425" t="n">
        <f aca="false">DATE(YEAR(B29),MONTH(B29)+6,1)</f>
        <v>39448</v>
      </c>
      <c r="C30" s="425" t="n">
        <f aca="false">DATE(YEAR(B30),MONTH(B30)+5,25)</f>
        <v>39624</v>
      </c>
      <c r="D30" s="417" t="n">
        <f aca="false">DATE(YEAR(C30),MONTH(C30)+1,25)</f>
        <v>39654</v>
      </c>
      <c r="E30" s="429" t="n">
        <f aca="false">Assumptions!$B$29</f>
        <v>0.1</v>
      </c>
      <c r="F30" s="419" t="n">
        <f aca="false">+((1+E30/2)^(-2*(D30-$C$5)/365.25))</f>
        <v>5.34350063725283</v>
      </c>
      <c r="G30" s="202"/>
      <c r="H30" s="428" t="e">
        <f aca="false">INDEX(CashflowTable,MATCH("DISTRIBUTABLE CASHFLOW     (including equity injection)",CashflowColumn,0),MATCH(A30,CashflowRow,0))/2+G30</f>
        <v>#VALUE!</v>
      </c>
      <c r="I30" s="334" t="e">
        <f aca="false">+H30*F30</f>
        <v>#VALUE!</v>
      </c>
      <c r="J30" s="422"/>
      <c r="K30" s="422"/>
      <c r="L30" s="421"/>
      <c r="M30" s="198" t="n">
        <f aca="false">YEAR(N30)</f>
        <v>2008</v>
      </c>
      <c r="N30" s="425" t="n">
        <f aca="false">DATE(YEAR(N29),MONTH(N29)+6,1)</f>
        <v>39448</v>
      </c>
      <c r="O30" s="425" t="n">
        <f aca="false">DATE(YEAR(N30),MONTH(N30)+5,25)</f>
        <v>39624</v>
      </c>
      <c r="P30" s="417" t="n">
        <f aca="false">DATE(YEAR(O30),MONTH(O30)+1,25)</f>
        <v>39654</v>
      </c>
      <c r="Q30" s="429" t="n">
        <f aca="false">Assumptions!$B$29</f>
        <v>0.1</v>
      </c>
      <c r="R30" s="419" t="n">
        <f aca="false">+((1+Q30/2)^(-2*(P30-$C$5)/365.25))</f>
        <v>5.34350063725283</v>
      </c>
      <c r="S30" s="202"/>
      <c r="T30" s="428" t="e">
        <f aca="false">INDEX(CashflowTable,MATCH("Equity Cash Flow (After Cash taxes)",CashflowColumn,0),MATCH(M30,CashflowRow,0))/2+S30</f>
        <v>#VALUE!</v>
      </c>
      <c r="U30" s="334" t="e">
        <f aca="false">+T30*R30</f>
        <v>#VALUE!</v>
      </c>
      <c r="V30" s="422"/>
    </row>
    <row r="31" customFormat="false" ht="12.75" hidden="false" customHeight="true" outlineLevel="0" collapsed="false">
      <c r="A31" s="198" t="n">
        <f aca="false">YEAR(B31)</f>
        <v>2008</v>
      </c>
      <c r="B31" s="425" t="n">
        <f aca="false">DATE(YEAR(B30),MONTH(B30)+6,1)</f>
        <v>39630</v>
      </c>
      <c r="C31" s="425" t="n">
        <f aca="false">DATE(YEAR(B31),MONTH(B31)+5,25)</f>
        <v>39807</v>
      </c>
      <c r="D31" s="417" t="n">
        <f aca="false">DATE(YEAR(C31),MONTH(C31)+1,25)</f>
        <v>39838</v>
      </c>
      <c r="E31" s="429" t="n">
        <f aca="false">Assumptions!$B$29</f>
        <v>0.1</v>
      </c>
      <c r="F31" s="419" t="n">
        <f aca="false">+((1+E31/2)^(-2*(D31-$C$5)/365.25))</f>
        <v>5.08717913020722</v>
      </c>
      <c r="G31" s="202"/>
      <c r="H31" s="428" t="e">
        <f aca="false">INDEX(CashflowTable,MATCH("DISTRIBUTABLE CASHFLOW     (including equity injection)",CashflowColumn,0),MATCH(A31,CashflowRow,0))/2+G31</f>
        <v>#VALUE!</v>
      </c>
      <c r="I31" s="334" t="e">
        <f aca="false">+H31*F31</f>
        <v>#VALUE!</v>
      </c>
      <c r="J31" s="430" t="s">
        <v>390</v>
      </c>
      <c r="K31" s="422"/>
      <c r="L31" s="421"/>
      <c r="M31" s="198" t="n">
        <f aca="false">YEAR(N31)</f>
        <v>2008</v>
      </c>
      <c r="N31" s="425" t="n">
        <f aca="false">DATE(YEAR(N30),MONTH(N30)+6,1)</f>
        <v>39630</v>
      </c>
      <c r="O31" s="425" t="n">
        <f aca="false">DATE(YEAR(N31),MONTH(N31)+5,25)</f>
        <v>39807</v>
      </c>
      <c r="P31" s="417" t="n">
        <f aca="false">DATE(YEAR(O31),MONTH(O31)+1,25)</f>
        <v>39838</v>
      </c>
      <c r="Q31" s="429" t="n">
        <f aca="false">Assumptions!$B$29</f>
        <v>0.1</v>
      </c>
      <c r="R31" s="419" t="n">
        <f aca="false">+((1+Q31/2)^(-2*(P31-$C$5)/365.25))</f>
        <v>5.08717913020722</v>
      </c>
      <c r="S31" s="202"/>
      <c r="T31" s="428" t="e">
        <f aca="false">INDEX(CashflowTable,MATCH("Equity Cash Flow (After Cash taxes)",CashflowColumn,0),MATCH(M31,CashflowRow,0))/2+S31</f>
        <v>#VALUE!</v>
      </c>
      <c r="U31" s="334" t="e">
        <f aca="false">+T31*R31</f>
        <v>#VALUE!</v>
      </c>
      <c r="V31" s="430" t="s">
        <v>390</v>
      </c>
    </row>
    <row r="32" customFormat="false" ht="11.25" hidden="false" customHeight="false" outlineLevel="0" collapsed="false">
      <c r="A32" s="198" t="n">
        <f aca="false">YEAR(B32)</f>
        <v>2009</v>
      </c>
      <c r="B32" s="425" t="n">
        <f aca="false">DATE(YEAR(B31),MONTH(B31)+6,1)</f>
        <v>39814</v>
      </c>
      <c r="C32" s="425" t="n">
        <f aca="false">DATE(YEAR(B32),MONTH(B32)+5,25)</f>
        <v>39989</v>
      </c>
      <c r="D32" s="417" t="n">
        <f aca="false">DATE(YEAR(C32),MONTH(C32)+1,25)</f>
        <v>40019</v>
      </c>
      <c r="E32" s="429" t="n">
        <f aca="false">Assumptions!$B$29</f>
        <v>0.1</v>
      </c>
      <c r="F32" s="419" t="n">
        <f aca="false">+((1+E32/2)^(-2*(D32-$C$5)/365.25))</f>
        <v>4.84703631935155</v>
      </c>
      <c r="G32" s="202"/>
      <c r="H32" s="428" t="e">
        <f aca="false">INDEX(CashflowTable,MATCH("DISTRIBUTABLE CASHFLOW     (including equity injection)",CashflowColumn,0),MATCH(A32,CashflowRow,0))/2+G32</f>
        <v>#VALUE!</v>
      </c>
      <c r="I32" s="334" t="e">
        <f aca="false">+H32*F32</f>
        <v>#VALUE!</v>
      </c>
      <c r="J32" s="422"/>
      <c r="K32" s="422"/>
      <c r="L32" s="421"/>
      <c r="M32" s="198" t="n">
        <f aca="false">YEAR(N32)</f>
        <v>2009</v>
      </c>
      <c r="N32" s="425" t="n">
        <f aca="false">DATE(YEAR(N31),MONTH(N31)+6,1)</f>
        <v>39814</v>
      </c>
      <c r="O32" s="425" t="n">
        <f aca="false">DATE(YEAR(N32),MONTH(N32)+5,25)</f>
        <v>39989</v>
      </c>
      <c r="P32" s="417" t="n">
        <f aca="false">DATE(YEAR(O32),MONTH(O32)+1,25)</f>
        <v>40019</v>
      </c>
      <c r="Q32" s="429" t="n">
        <f aca="false">Assumptions!$B$29</f>
        <v>0.1</v>
      </c>
      <c r="R32" s="419" t="n">
        <f aca="false">+((1+Q32/2)^(-2*(P32-$C$5)/365.25))</f>
        <v>4.84703631935155</v>
      </c>
      <c r="S32" s="202"/>
      <c r="T32" s="428" t="e">
        <f aca="false">INDEX(CashflowTable,MATCH("Equity Cash Flow (After Cash taxes)",CashflowColumn,0),MATCH(M32,CashflowRow,0))/2+S32</f>
        <v>#VALUE!</v>
      </c>
      <c r="U32" s="334" t="e">
        <f aca="false">+T32*R32</f>
        <v>#VALUE!</v>
      </c>
      <c r="V32" s="422"/>
    </row>
    <row r="33" customFormat="false" ht="11.25" hidden="false" customHeight="false" outlineLevel="0" collapsed="false">
      <c r="A33" s="198" t="n">
        <f aca="false">YEAR(B33)</f>
        <v>2009</v>
      </c>
      <c r="B33" s="425" t="n">
        <f aca="false">DATE(YEAR(B32),MONTH(B32)+6,1)</f>
        <v>39995</v>
      </c>
      <c r="C33" s="425" t="n">
        <f aca="false">DATE(YEAR(B33),MONTH(B33)+5,25)</f>
        <v>40172</v>
      </c>
      <c r="D33" s="417" t="n">
        <f aca="false">DATE(YEAR(C33),MONTH(C33)+1,25)</f>
        <v>40203</v>
      </c>
      <c r="E33" s="429" t="n">
        <f aca="false">Assumptions!$B$29</f>
        <v>0.1</v>
      </c>
      <c r="F33" s="419" t="n">
        <f aca="false">+((1+E33/2)^(-2*(D33-$C$5)/365.25))</f>
        <v>4.61452962787303</v>
      </c>
      <c r="G33" s="202"/>
      <c r="H33" s="428" t="e">
        <f aca="false">INDEX(CashflowTable,MATCH("DISTRIBUTABLE CASHFLOW     (including equity injection)",CashflowColumn,0),MATCH(A33,CashflowRow,0))/2+G33</f>
        <v>#VALUE!</v>
      </c>
      <c r="I33" s="334" t="e">
        <f aca="false">+H33*F33</f>
        <v>#VALUE!</v>
      </c>
      <c r="J33" s="422" t="s">
        <v>391</v>
      </c>
      <c r="K33" s="422"/>
      <c r="L33" s="421"/>
      <c r="M33" s="198" t="n">
        <f aca="false">YEAR(N33)</f>
        <v>2009</v>
      </c>
      <c r="N33" s="425" t="n">
        <f aca="false">DATE(YEAR(N32),MONTH(N32)+6,1)</f>
        <v>39995</v>
      </c>
      <c r="O33" s="425" t="n">
        <f aca="false">DATE(YEAR(N33),MONTH(N33)+5,25)</f>
        <v>40172</v>
      </c>
      <c r="P33" s="417" t="n">
        <f aca="false">DATE(YEAR(O33),MONTH(O33)+1,25)</f>
        <v>40203</v>
      </c>
      <c r="Q33" s="429" t="n">
        <f aca="false">Assumptions!$B$29</f>
        <v>0.1</v>
      </c>
      <c r="R33" s="419" t="n">
        <f aca="false">+((1+Q33/2)^(-2*(P33-$C$5)/365.25))</f>
        <v>4.61452962787303</v>
      </c>
      <c r="S33" s="202"/>
      <c r="T33" s="428" t="e">
        <f aca="false">INDEX(CashflowTable,MATCH("Equity Cash Flow (After Cash taxes)",CashflowColumn,0),MATCH(M33,CashflowRow,0))/2+S33</f>
        <v>#VALUE!</v>
      </c>
      <c r="U33" s="334" t="e">
        <f aca="false">+T33*R33</f>
        <v>#VALUE!</v>
      </c>
      <c r="V33" s="422" t="s">
        <v>391</v>
      </c>
    </row>
    <row r="34" customFormat="false" ht="11.25" hidden="false" customHeight="false" outlineLevel="0" collapsed="false">
      <c r="A34" s="198" t="n">
        <f aca="false">YEAR(B34)</f>
        <v>2010</v>
      </c>
      <c r="B34" s="425" t="n">
        <f aca="false">DATE(YEAR(B33),MONTH(B33)+6,1)</f>
        <v>40179</v>
      </c>
      <c r="C34" s="425" t="n">
        <f aca="false">DATE(YEAR(B34),MONTH(B34)+5,25)</f>
        <v>40354</v>
      </c>
      <c r="D34" s="417" t="n">
        <f aca="false">DATE(YEAR(C34),MONTH(C34)+1,25)</f>
        <v>40384</v>
      </c>
      <c r="E34" s="429" t="n">
        <f aca="false">Assumptions!$B$29</f>
        <v>0.1</v>
      </c>
      <c r="F34" s="419" t="n">
        <f aca="false">+((1+E34/2)^(-2*(D34-$C$5)/365.25))</f>
        <v>4.39669847090941</v>
      </c>
      <c r="G34" s="202"/>
      <c r="H34" s="428" t="e">
        <f aca="false">INDEX(CashflowTable,MATCH("DISTRIBUTABLE CASHFLOW     (including equity injection)",CashflowColumn,0),MATCH(A34,CashflowRow,0))/2+G34</f>
        <v>#VALUE!</v>
      </c>
      <c r="I34" s="334" t="e">
        <f aca="false">+H34*F34</f>
        <v>#VALUE!</v>
      </c>
      <c r="J34" s="422"/>
      <c r="K34" s="423"/>
      <c r="L34" s="421"/>
      <c r="M34" s="198" t="n">
        <f aca="false">YEAR(N34)</f>
        <v>2010</v>
      </c>
      <c r="N34" s="425" t="n">
        <f aca="false">DATE(YEAR(N33),MONTH(N33)+6,1)</f>
        <v>40179</v>
      </c>
      <c r="O34" s="425" t="n">
        <f aca="false">DATE(YEAR(N34),MONTH(N34)+5,25)</f>
        <v>40354</v>
      </c>
      <c r="P34" s="417" t="n">
        <f aca="false">DATE(YEAR(O34),MONTH(O34)+1,25)</f>
        <v>40384</v>
      </c>
      <c r="Q34" s="429" t="n">
        <f aca="false">Assumptions!$B$29</f>
        <v>0.1</v>
      </c>
      <c r="R34" s="419" t="n">
        <f aca="false">+((1+Q34/2)^(-2*(P34-$C$5)/365.25))</f>
        <v>4.39669847090941</v>
      </c>
      <c r="S34" s="202"/>
      <c r="T34" s="428" t="e">
        <f aca="false">INDEX(CashflowTable,MATCH("Equity Cash Flow (After Cash taxes)",CashflowColumn,0),MATCH(M34,CashflowRow,0))/2+S34</f>
        <v>#VALUE!</v>
      </c>
      <c r="U34" s="334" t="e">
        <f aca="false">+T34*R34</f>
        <v>#VALUE!</v>
      </c>
      <c r="V34" s="422"/>
    </row>
    <row r="35" customFormat="false" ht="11.25" hidden="false" customHeight="false" outlineLevel="0" collapsed="false">
      <c r="A35" s="198" t="n">
        <f aca="false">YEAR(B35)</f>
        <v>2010</v>
      </c>
      <c r="B35" s="425" t="n">
        <f aca="false">DATE(YEAR(B34),MONTH(B34)+6,1)</f>
        <v>40360</v>
      </c>
      <c r="C35" s="425" t="n">
        <f aca="false">DATE(YEAR(B35),MONTH(B35)+5,25)</f>
        <v>40537</v>
      </c>
      <c r="D35" s="417" t="n">
        <f aca="false">DATE(YEAR(C35),MONTH(C35)+1,25)</f>
        <v>40568</v>
      </c>
      <c r="E35" s="429" t="n">
        <f aca="false">Assumptions!$B$29</f>
        <v>0.1</v>
      </c>
      <c r="F35" s="419" t="n">
        <f aca="false">+((1+E35/2)^(-2*(D35-$C$5)/365.25))</f>
        <v>4.18579396193792</v>
      </c>
      <c r="G35" s="202" t="n">
        <f aca="false">IF(Tables!B22=10,Cashflow!$N$44,0)</f>
        <v>0</v>
      </c>
      <c r="H35" s="431" t="e">
        <f aca="false">IF(Tables!B21=10,0,INDEX(CashflowTable,MATCH("DISTRIBUTABLE CASHFLOW     (including equity injection)",CashflowColumn,0),MATCH(A35,CashflowRow,0))/2+G35)</f>
        <v>#VALUE!</v>
      </c>
      <c r="I35" s="334" t="e">
        <f aca="false">+H35*F35</f>
        <v>#VALUE!</v>
      </c>
      <c r="J35" s="422" t="s">
        <v>392</v>
      </c>
      <c r="K35" s="422"/>
      <c r="L35" s="421"/>
      <c r="M35" s="198" t="n">
        <f aca="false">YEAR(N35)</f>
        <v>2010</v>
      </c>
      <c r="N35" s="425" t="n">
        <f aca="false">DATE(YEAR(N34),MONTH(N34)+6,1)</f>
        <v>40360</v>
      </c>
      <c r="O35" s="425" t="n">
        <f aca="false">DATE(YEAR(N35),MONTH(N35)+5,25)</f>
        <v>40537</v>
      </c>
      <c r="P35" s="417" t="n">
        <f aca="false">DATE(YEAR(O35),MONTH(O35)+1,25)</f>
        <v>40568</v>
      </c>
      <c r="Q35" s="429" t="n">
        <f aca="false">Assumptions!$B$29</f>
        <v>0.1</v>
      </c>
      <c r="R35" s="419" t="n">
        <f aca="false">+((1+Q35/2)^(-2*(P35-$C$5)/365.25))</f>
        <v>4.18579396193792</v>
      </c>
      <c r="S35" s="202" t="n">
        <f aca="false">IF(Tables!B22=10,Cashflow!$N$44,0)</f>
        <v>0</v>
      </c>
      <c r="T35" s="428" t="e">
        <f aca="false">INDEX(CashflowTable,MATCH("Equity Cash Flow (After Cash taxes)",CashflowColumn,0),MATCH(M35,CashflowRow,0))/2+S35</f>
        <v>#VALUE!</v>
      </c>
      <c r="U35" s="334" t="e">
        <f aca="false">+T35*R35</f>
        <v>#VALUE!</v>
      </c>
      <c r="V35" s="422" t="s">
        <v>392</v>
      </c>
    </row>
    <row r="36" customFormat="false" ht="11.25" hidden="false" customHeight="false" outlineLevel="0" collapsed="false">
      <c r="A36" s="198" t="n">
        <f aca="false">YEAR(B36)</f>
        <v>2011</v>
      </c>
      <c r="B36" s="425" t="n">
        <f aca="false">DATE(YEAR(B35),MONTH(B35)+6,1)</f>
        <v>40544</v>
      </c>
      <c r="C36" s="425" t="n">
        <f aca="false">DATE(YEAR(B36),MONTH(B36)+5,25)</f>
        <v>40719</v>
      </c>
      <c r="D36" s="417" t="n">
        <f aca="false">DATE(YEAR(C36),MONTH(C36)+1,25)</f>
        <v>40749</v>
      </c>
      <c r="E36" s="429" t="n">
        <f aca="false">Assumptions!$B$29</f>
        <v>0.1</v>
      </c>
      <c r="F36" s="419" t="n">
        <f aca="false">+((1+E36/2)^(-2*(D36-$C$5)/365.25))</f>
        <v>3.98820148446573</v>
      </c>
      <c r="G36" s="202"/>
      <c r="H36" s="428" t="e">
        <f aca="false">INDEX(CashflowTable,MATCH("DISTRIBUTABLE CASHFLOW     (including equity injection)",CashflowColumn,0),MATCH(A36,CashflowRow,0))/2+G36</f>
        <v>#VALUE!</v>
      </c>
      <c r="I36" s="334" t="e">
        <f aca="false">+H36*F36</f>
        <v>#VALUE!</v>
      </c>
      <c r="J36" s="430"/>
      <c r="K36" s="422"/>
      <c r="L36" s="421"/>
      <c r="M36" s="198" t="n">
        <f aca="false">YEAR(N36)</f>
        <v>2011</v>
      </c>
      <c r="N36" s="425" t="n">
        <f aca="false">DATE(YEAR(N35),MONTH(N35)+6,1)</f>
        <v>40544</v>
      </c>
      <c r="O36" s="425" t="n">
        <f aca="false">DATE(YEAR(N36),MONTH(N36)+5,25)</f>
        <v>40719</v>
      </c>
      <c r="P36" s="417" t="n">
        <f aca="false">DATE(YEAR(O36),MONTH(O36)+1,25)</f>
        <v>40749</v>
      </c>
      <c r="Q36" s="429" t="n">
        <f aca="false">Assumptions!$B$29</f>
        <v>0.1</v>
      </c>
      <c r="R36" s="419" t="n">
        <f aca="false">+((1+Q36/2)^(-2*(P36-$C$5)/365.25))</f>
        <v>3.98820148446573</v>
      </c>
      <c r="S36" s="202"/>
      <c r="T36" s="428" t="e">
        <f aca="false">INDEX(CashflowTable,MATCH("Equity Cash Flow (After Cash taxes)",CashflowColumn,0),MATCH(M36,CashflowRow,0))/2+S36</f>
        <v>#VALUE!</v>
      </c>
      <c r="U36" s="334" t="e">
        <f aca="false">+T36*R36</f>
        <v>#VALUE!</v>
      </c>
      <c r="V36" s="430"/>
    </row>
    <row r="37" customFormat="false" ht="11.25" hidden="false" customHeight="false" outlineLevel="0" collapsed="false">
      <c r="A37" s="198" t="n">
        <f aca="false">YEAR(B37)</f>
        <v>2011</v>
      </c>
      <c r="B37" s="425" t="n">
        <f aca="false">DATE(YEAR(B36),MONTH(B36)+6,1)</f>
        <v>40725</v>
      </c>
      <c r="C37" s="425" t="n">
        <f aca="false">DATE(YEAR(B37),MONTH(B37)+5,25)</f>
        <v>40902</v>
      </c>
      <c r="D37" s="417" t="n">
        <f aca="false">DATE(YEAR(C37),MONTH(C37)+1,25)</f>
        <v>40933</v>
      </c>
      <c r="E37" s="429" t="n">
        <f aca="false">Assumptions!$B$29</f>
        <v>0.1</v>
      </c>
      <c r="F37" s="419" t="n">
        <f aca="false">+((1+E37/2)^(-2*(D37-$C$5)/365.25))</f>
        <v>3.7968921005437</v>
      </c>
      <c r="G37" s="202"/>
      <c r="H37" s="428" t="e">
        <f aca="false">INDEX(CashflowTable,MATCH("DISTRIBUTABLE CASHFLOW     (including equity injection)",CashflowColumn,0),MATCH(A37,CashflowRow,0))/2+G37</f>
        <v>#VALUE!</v>
      </c>
      <c r="I37" s="334" t="e">
        <f aca="false">+H37*F37</f>
        <v>#VALUE!</v>
      </c>
      <c r="J37" s="422" t="s">
        <v>393</v>
      </c>
      <c r="K37" s="422"/>
      <c r="L37" s="421"/>
      <c r="M37" s="198" t="n">
        <f aca="false">YEAR(N37)</f>
        <v>2011</v>
      </c>
      <c r="N37" s="425" t="n">
        <f aca="false">DATE(YEAR(N36),MONTH(N36)+6,1)</f>
        <v>40725</v>
      </c>
      <c r="O37" s="425" t="n">
        <f aca="false">DATE(YEAR(N37),MONTH(N37)+5,25)</f>
        <v>40902</v>
      </c>
      <c r="P37" s="417" t="n">
        <f aca="false">DATE(YEAR(O37),MONTH(O37)+1,25)</f>
        <v>40933</v>
      </c>
      <c r="Q37" s="429" t="n">
        <f aca="false">Assumptions!$B$29</f>
        <v>0.1</v>
      </c>
      <c r="R37" s="419" t="n">
        <f aca="false">+((1+Q37/2)^(-2*(P37-$C$5)/365.25))</f>
        <v>3.7968921005437</v>
      </c>
      <c r="S37" s="202"/>
      <c r="T37" s="428" t="e">
        <f aca="false">INDEX(CashflowTable,MATCH("Equity Cash Flow (After Cash taxes)",CashflowColumn,0),MATCH(M37,CashflowRow,0))/2+S37</f>
        <v>#VALUE!</v>
      </c>
      <c r="U37" s="334" t="e">
        <f aca="false">+T37*R37</f>
        <v>#VALUE!</v>
      </c>
      <c r="V37" s="422" t="s">
        <v>393</v>
      </c>
    </row>
    <row r="38" customFormat="false" ht="11.25" hidden="false" customHeight="false" outlineLevel="0" collapsed="false">
      <c r="A38" s="198" t="n">
        <f aca="false">YEAR(B38)</f>
        <v>2012</v>
      </c>
      <c r="B38" s="425" t="n">
        <f aca="false">DATE(YEAR(B37),MONTH(B37)+6,1)</f>
        <v>40909</v>
      </c>
      <c r="C38" s="425" t="n">
        <f aca="false">DATE(YEAR(B38),MONTH(B38)+5,25)</f>
        <v>41085</v>
      </c>
      <c r="D38" s="417" t="n">
        <f aca="false">DATE(YEAR(C38),MONTH(C38)+1,25)</f>
        <v>41115</v>
      </c>
      <c r="E38" s="429" t="n">
        <f aca="false">Assumptions!$B$29</f>
        <v>0.1</v>
      </c>
      <c r="F38" s="419" t="n">
        <f aca="false">+((1+E38/2)^(-2*(D38-$C$5)/365.25))</f>
        <v>3.61669156231809</v>
      </c>
      <c r="G38" s="202"/>
      <c r="H38" s="428" t="e">
        <f aca="false">INDEX(CashflowTable,MATCH("DISTRIBUTABLE CASHFLOW     (including equity injection)",CashflowColumn,0),MATCH(A38,CashflowRow,0))/2+G38</f>
        <v>#VALUE!</v>
      </c>
      <c r="I38" s="334" t="e">
        <f aca="false">+H38*F38</f>
        <v>#VALUE!</v>
      </c>
      <c r="J38" s="422"/>
      <c r="K38" s="422"/>
      <c r="L38" s="421"/>
      <c r="M38" s="198" t="n">
        <f aca="false">YEAR(N38)</f>
        <v>2012</v>
      </c>
      <c r="N38" s="425" t="n">
        <f aca="false">DATE(YEAR(N37),MONTH(N37)+6,1)</f>
        <v>40909</v>
      </c>
      <c r="O38" s="425" t="n">
        <f aca="false">DATE(YEAR(N38),MONTH(N38)+5,25)</f>
        <v>41085</v>
      </c>
      <c r="P38" s="417" t="n">
        <f aca="false">DATE(YEAR(O38),MONTH(O38)+1,25)</f>
        <v>41115</v>
      </c>
      <c r="Q38" s="429" t="n">
        <f aca="false">Assumptions!$B$29</f>
        <v>0.1</v>
      </c>
      <c r="R38" s="419" t="n">
        <f aca="false">+((1+Q38/2)^(-2*(P38-$C$5)/365.25))</f>
        <v>3.61669156231809</v>
      </c>
      <c r="S38" s="202"/>
      <c r="T38" s="428" t="e">
        <f aca="false">INDEX(CashflowTable,MATCH("Equity Cash Flow (After Cash taxes)",CashflowColumn,0),MATCH(M38,CashflowRow,0))/2+S38</f>
        <v>#VALUE!</v>
      </c>
      <c r="U38" s="334" t="e">
        <f aca="false">+T38*R38</f>
        <v>#VALUE!</v>
      </c>
      <c r="V38" s="422"/>
    </row>
    <row r="39" customFormat="false" ht="11.25" hidden="false" customHeight="false" outlineLevel="0" collapsed="false">
      <c r="A39" s="198" t="n">
        <f aca="false">YEAR(B39)</f>
        <v>2012</v>
      </c>
      <c r="B39" s="425" t="n">
        <f aca="false">DATE(YEAR(B38),MONTH(B38)+6,1)</f>
        <v>41091</v>
      </c>
      <c r="C39" s="425" t="n">
        <f aca="false">DATE(YEAR(B39),MONTH(B39)+5,25)</f>
        <v>41268</v>
      </c>
      <c r="D39" s="417" t="n">
        <f aca="false">DATE(YEAR(C39),MONTH(C39)+1,25)</f>
        <v>41299</v>
      </c>
      <c r="E39" s="429" t="n">
        <f aca="false">Assumptions!$B$29</f>
        <v>0.1</v>
      </c>
      <c r="F39" s="419" t="n">
        <f aca="false">+((1+E39/2)^(-2*(D39-$C$5)/365.25))</f>
        <v>3.44320307701511</v>
      </c>
      <c r="G39" s="202"/>
      <c r="H39" s="428" t="e">
        <f aca="false">INDEX(CashflowTable,MATCH("DISTRIBUTABLE CASHFLOW     (including equity injection)",CashflowColumn,0),MATCH(A39,CashflowRow,0))/2+G39</f>
        <v>#VALUE!</v>
      </c>
      <c r="I39" s="334" t="e">
        <f aca="false">+H39*F39</f>
        <v>#VALUE!</v>
      </c>
      <c r="J39" s="422" t="s">
        <v>394</v>
      </c>
      <c r="K39" s="422"/>
      <c r="L39" s="421"/>
      <c r="M39" s="198" t="n">
        <f aca="false">YEAR(N39)</f>
        <v>2012</v>
      </c>
      <c r="N39" s="425" t="n">
        <f aca="false">DATE(YEAR(N38),MONTH(N38)+6,1)</f>
        <v>41091</v>
      </c>
      <c r="O39" s="425" t="n">
        <f aca="false">DATE(YEAR(N39),MONTH(N39)+5,25)</f>
        <v>41268</v>
      </c>
      <c r="P39" s="417" t="n">
        <f aca="false">DATE(YEAR(O39),MONTH(O39)+1,25)</f>
        <v>41299</v>
      </c>
      <c r="Q39" s="429" t="n">
        <f aca="false">Assumptions!$B$29</f>
        <v>0.1</v>
      </c>
      <c r="R39" s="419" t="n">
        <f aca="false">+((1+Q39/2)^(-2*(P39-$C$5)/365.25))</f>
        <v>3.44320307701511</v>
      </c>
      <c r="S39" s="202"/>
      <c r="T39" s="428" t="e">
        <f aca="false">INDEX(CashflowTable,MATCH("Equity Cash Flow (After Cash taxes)",CashflowColumn,0),MATCH(M39,CashflowRow,0))/2+S39</f>
        <v>#VALUE!</v>
      </c>
      <c r="U39" s="334" t="e">
        <f aca="false">+T39*R39</f>
        <v>#VALUE!</v>
      </c>
      <c r="V39" s="422" t="s">
        <v>394</v>
      </c>
    </row>
    <row r="40" customFormat="false" ht="11.25" hidden="false" customHeight="false" outlineLevel="0" collapsed="false">
      <c r="A40" s="198" t="n">
        <f aca="false">YEAR(B40)</f>
        <v>2013</v>
      </c>
      <c r="B40" s="425" t="n">
        <f aca="false">DATE(YEAR(B39),MONTH(B39)+6,1)</f>
        <v>41275</v>
      </c>
      <c r="C40" s="425" t="n">
        <f aca="false">DATE(YEAR(B40),MONTH(B40)+5,25)</f>
        <v>41450</v>
      </c>
      <c r="D40" s="417" t="n">
        <f aca="false">DATE(YEAR(C40),MONTH(C40)+1,25)</f>
        <v>41480</v>
      </c>
      <c r="E40" s="429" t="n">
        <f aca="false">Assumptions!$B$29</f>
        <v>0.1</v>
      </c>
      <c r="F40" s="419" t="n">
        <f aca="false">+((1+E40/2)^(-2*(D40-$C$5)/365.25))</f>
        <v>3.28066497011978</v>
      </c>
      <c r="G40" s="202"/>
      <c r="H40" s="428" t="e">
        <f aca="false">INDEX(CashflowTable,MATCH("DISTRIBUTABLE CASHFLOW     (including equity injection)",CashflowColumn,0),MATCH(A40,CashflowRow,0))/2+G40</f>
        <v>#VALUE!</v>
      </c>
      <c r="I40" s="334" t="e">
        <f aca="false">+H40*F40</f>
        <v>#VALUE!</v>
      </c>
      <c r="J40" s="422"/>
      <c r="K40" s="422"/>
      <c r="L40" s="421"/>
      <c r="M40" s="198" t="n">
        <f aca="false">YEAR(N40)</f>
        <v>2013</v>
      </c>
      <c r="N40" s="425" t="n">
        <f aca="false">DATE(YEAR(N39),MONTH(N39)+6,1)</f>
        <v>41275</v>
      </c>
      <c r="O40" s="425" t="n">
        <f aca="false">DATE(YEAR(N40),MONTH(N40)+5,25)</f>
        <v>41450</v>
      </c>
      <c r="P40" s="417" t="n">
        <f aca="false">DATE(YEAR(O40),MONTH(O40)+1,25)</f>
        <v>41480</v>
      </c>
      <c r="Q40" s="429" t="n">
        <f aca="false">Assumptions!$B$29</f>
        <v>0.1</v>
      </c>
      <c r="R40" s="419" t="n">
        <f aca="false">+((1+Q40/2)^(-2*(P40-$C$5)/365.25))</f>
        <v>3.28066497011978</v>
      </c>
      <c r="S40" s="202"/>
      <c r="T40" s="428" t="e">
        <f aca="false">INDEX(CashflowTable,MATCH("Equity Cash Flow (After Cash taxes)",CashflowColumn,0),MATCH(M40,CashflowRow,0))/2+S40</f>
        <v>#VALUE!</v>
      </c>
      <c r="U40" s="334" t="e">
        <f aca="false">+T40*R40</f>
        <v>#VALUE!</v>
      </c>
      <c r="V40" s="422"/>
    </row>
    <row r="41" customFormat="false" ht="11.25" hidden="false" customHeight="false" outlineLevel="0" collapsed="false">
      <c r="A41" s="198" t="n">
        <f aca="false">YEAR(B41)</f>
        <v>2013</v>
      </c>
      <c r="B41" s="425" t="n">
        <f aca="false">DATE(YEAR(B40),MONTH(B40)+6,1)</f>
        <v>41456</v>
      </c>
      <c r="C41" s="425" t="n">
        <f aca="false">DATE(YEAR(B41),MONTH(B41)+5,25)</f>
        <v>41633</v>
      </c>
      <c r="D41" s="417" t="n">
        <f aca="false">DATE(YEAR(C41),MONTH(C41)+1,25)</f>
        <v>41664</v>
      </c>
      <c r="E41" s="429" t="n">
        <f aca="false">Assumptions!$B$29</f>
        <v>0.1</v>
      </c>
      <c r="F41" s="419" t="n">
        <f aca="false">+((1+E41/2)^(-2*(D41-$C$5)/365.25))</f>
        <v>3.12329528939206</v>
      </c>
      <c r="G41" s="202"/>
      <c r="H41" s="428" t="e">
        <f aca="false">INDEX(CashflowTable,MATCH("DISTRIBUTABLE CASHFLOW     (including equity injection)",CashflowColumn,0),MATCH(A41,CashflowRow,0))/2+G41</f>
        <v>#VALUE!</v>
      </c>
      <c r="I41" s="334" t="e">
        <f aca="false">+H41*F41</f>
        <v>#VALUE!</v>
      </c>
      <c r="J41" s="430" t="s">
        <v>395</v>
      </c>
      <c r="K41" s="422"/>
      <c r="L41" s="421"/>
      <c r="M41" s="198" t="n">
        <f aca="false">YEAR(N41)</f>
        <v>2013</v>
      </c>
      <c r="N41" s="425" t="n">
        <f aca="false">DATE(YEAR(N40),MONTH(N40)+6,1)</f>
        <v>41456</v>
      </c>
      <c r="O41" s="425" t="n">
        <f aca="false">DATE(YEAR(N41),MONTH(N41)+5,25)</f>
        <v>41633</v>
      </c>
      <c r="P41" s="417" t="n">
        <f aca="false">DATE(YEAR(O41),MONTH(O41)+1,25)</f>
        <v>41664</v>
      </c>
      <c r="Q41" s="429" t="n">
        <f aca="false">Assumptions!$B$29</f>
        <v>0.1</v>
      </c>
      <c r="R41" s="419" t="n">
        <f aca="false">+((1+Q41/2)^(-2*(P41-$C$5)/365.25))</f>
        <v>3.12329528939206</v>
      </c>
      <c r="S41" s="202"/>
      <c r="T41" s="428" t="e">
        <f aca="false">INDEX(CashflowTable,MATCH("Equity Cash Flow (After Cash taxes)",CashflowColumn,0),MATCH(M41,CashflowRow,0))/2+S41</f>
        <v>#VALUE!</v>
      </c>
      <c r="U41" s="334" t="e">
        <f aca="false">+T41*R41</f>
        <v>#VALUE!</v>
      </c>
      <c r="V41" s="430" t="s">
        <v>395</v>
      </c>
    </row>
    <row r="42" customFormat="false" ht="11.25" hidden="false" customHeight="false" outlineLevel="0" collapsed="false">
      <c r="A42" s="198" t="n">
        <f aca="false">YEAR(B42)</f>
        <v>2014</v>
      </c>
      <c r="B42" s="425" t="n">
        <f aca="false">DATE(YEAR(B41),MONTH(B41)+6,1)</f>
        <v>41640</v>
      </c>
      <c r="C42" s="425" t="n">
        <f aca="false">DATE(YEAR(B42),MONTH(B42)+5,25)</f>
        <v>41815</v>
      </c>
      <c r="D42" s="417" t="n">
        <f aca="false">DATE(YEAR(C42),MONTH(C42)+1,25)</f>
        <v>41845</v>
      </c>
      <c r="E42" s="429" t="n">
        <f aca="false">Assumptions!$B$29</f>
        <v>0.1</v>
      </c>
      <c r="F42" s="419" t="n">
        <f aca="false">+((1+E42/2)^(-2*(D42-$C$5)/365.25))</f>
        <v>2.97585858808283</v>
      </c>
      <c r="G42" s="202"/>
      <c r="H42" s="428" t="e">
        <f aca="false">INDEX(CashflowTable,MATCH("DISTRIBUTABLE CASHFLOW     (including equity injection)",CashflowColumn,0),MATCH(A42,CashflowRow,0))/2+G42</f>
        <v>#VALUE!</v>
      </c>
      <c r="I42" s="334" t="e">
        <f aca="false">+H42*F42</f>
        <v>#VALUE!</v>
      </c>
      <c r="J42" s="422"/>
      <c r="K42" s="422"/>
      <c r="L42" s="421"/>
      <c r="M42" s="198" t="n">
        <f aca="false">YEAR(N42)</f>
        <v>2014</v>
      </c>
      <c r="N42" s="425" t="n">
        <f aca="false">DATE(YEAR(N41),MONTH(N41)+6,1)</f>
        <v>41640</v>
      </c>
      <c r="O42" s="425" t="n">
        <f aca="false">DATE(YEAR(N42),MONTH(N42)+5,25)</f>
        <v>41815</v>
      </c>
      <c r="P42" s="417" t="n">
        <f aca="false">DATE(YEAR(O42),MONTH(O42)+1,25)</f>
        <v>41845</v>
      </c>
      <c r="Q42" s="429" t="n">
        <f aca="false">Assumptions!$B$29</f>
        <v>0.1</v>
      </c>
      <c r="R42" s="419" t="n">
        <f aca="false">+((1+Q42/2)^(-2*(P42-$C$5)/365.25))</f>
        <v>2.97585858808283</v>
      </c>
      <c r="S42" s="202"/>
      <c r="T42" s="428" t="e">
        <f aca="false">INDEX(CashflowTable,MATCH("Equity Cash Flow (After Cash taxes)",CashflowColumn,0),MATCH(M42,CashflowRow,0))/2+S42</f>
        <v>#VALUE!</v>
      </c>
      <c r="U42" s="334" t="e">
        <f aca="false">+T42*R42</f>
        <v>#VALUE!</v>
      </c>
      <c r="V42" s="422"/>
    </row>
    <row r="43" customFormat="false" ht="12.75" hidden="false" customHeight="true" outlineLevel="0" collapsed="false">
      <c r="A43" s="198" t="n">
        <f aca="false">YEAR(B43)</f>
        <v>2014</v>
      </c>
      <c r="B43" s="425" t="n">
        <f aca="false">DATE(YEAR(B42),MONTH(B42)+6,1)</f>
        <v>41821</v>
      </c>
      <c r="C43" s="425" t="n">
        <f aca="false">DATE(YEAR(B43),MONTH(B43)+5,25)</f>
        <v>41998</v>
      </c>
      <c r="D43" s="417" t="n">
        <f aca="false">DATE(YEAR(C43),MONTH(C43)+1,25)</f>
        <v>42029</v>
      </c>
      <c r="E43" s="429" t="n">
        <f aca="false">Assumptions!$B$29</f>
        <v>0.1</v>
      </c>
      <c r="F43" s="419" t="n">
        <f aca="false">+((1+E43/2)^(-2*(D43-$C$5)/365.25))</f>
        <v>2.83311011478159</v>
      </c>
      <c r="G43" s="202"/>
      <c r="H43" s="428" t="e">
        <f aca="false">INDEX(CashflowTable,MATCH("DISTRIBUTABLE CASHFLOW     (including equity injection)",CashflowColumn,0),MATCH(A43,CashflowRow,0))/2+G43</f>
        <v>#VALUE!</v>
      </c>
      <c r="I43" s="334" t="e">
        <f aca="false">+H43*F43</f>
        <v>#VALUE!</v>
      </c>
      <c r="J43" s="422" t="s">
        <v>396</v>
      </c>
      <c r="K43" s="422"/>
      <c r="L43" s="421"/>
      <c r="M43" s="198" t="n">
        <f aca="false">YEAR(N43)</f>
        <v>2014</v>
      </c>
      <c r="N43" s="425" t="n">
        <f aca="false">DATE(YEAR(N42),MONTH(N42)+6,1)</f>
        <v>41821</v>
      </c>
      <c r="O43" s="425" t="n">
        <f aca="false">DATE(YEAR(N43),MONTH(N43)+5,25)</f>
        <v>41998</v>
      </c>
      <c r="P43" s="417" t="n">
        <f aca="false">DATE(YEAR(O43),MONTH(O43)+1,25)</f>
        <v>42029</v>
      </c>
      <c r="Q43" s="429" t="n">
        <f aca="false">Assumptions!$B$29</f>
        <v>0.1</v>
      </c>
      <c r="R43" s="419" t="n">
        <f aca="false">+((1+Q43/2)^(-2*(P43-$C$5)/365.25))</f>
        <v>2.83311011478159</v>
      </c>
      <c r="S43" s="202"/>
      <c r="T43" s="428" t="e">
        <f aca="false">INDEX(CashflowTable,MATCH("Equity Cash Flow (After Cash taxes)",CashflowColumn,0),MATCH(M43,CashflowRow,0))/2+S43</f>
        <v>#VALUE!</v>
      </c>
      <c r="U43" s="334" t="e">
        <f aca="false">+T43*R43</f>
        <v>#VALUE!</v>
      </c>
      <c r="V43" s="422" t="s">
        <v>396</v>
      </c>
    </row>
    <row r="44" customFormat="false" ht="11.25" hidden="false" customHeight="false" outlineLevel="0" collapsed="false">
      <c r="A44" s="198" t="n">
        <f aca="false">YEAR(B44)</f>
        <v>2015</v>
      </c>
      <c r="B44" s="425" t="n">
        <f aca="false">DATE(YEAR(B43),MONTH(B43)+6,1)</f>
        <v>42005</v>
      </c>
      <c r="C44" s="425" t="n">
        <f aca="false">DATE(YEAR(B44),MONTH(B44)+5,25)</f>
        <v>42180</v>
      </c>
      <c r="D44" s="417" t="n">
        <f aca="false">DATE(YEAR(C44),MONTH(C44)+1,25)</f>
        <v>42210</v>
      </c>
      <c r="E44" s="429" t="n">
        <f aca="false">Assumptions!$B$29</f>
        <v>0.1</v>
      </c>
      <c r="F44" s="419" t="n">
        <f aca="false">+((1+E44/2)^(-2*(D44-$C$5)/365.25))</f>
        <v>2.69937174838765</v>
      </c>
      <c r="H44" s="428" t="e">
        <f aca="false">INDEX(CashflowTable,MATCH("DISTRIBUTABLE CASHFLOW     (including equity injection)",CashflowColumn,0),MATCH(A44,CashflowRow,0))/2+G44</f>
        <v>#VALUE!</v>
      </c>
      <c r="I44" s="334" t="e">
        <f aca="false">+H44*F44</f>
        <v>#VALUE!</v>
      </c>
      <c r="J44" s="422"/>
      <c r="K44" s="432"/>
      <c r="M44" s="198" t="n">
        <f aca="false">YEAR(N44)</f>
        <v>2015</v>
      </c>
      <c r="N44" s="425" t="n">
        <f aca="false">DATE(YEAR(N43),MONTH(N43)+6,1)</f>
        <v>42005</v>
      </c>
      <c r="O44" s="425" t="n">
        <f aca="false">DATE(YEAR(N44),MONTH(N44)+5,25)</f>
        <v>42180</v>
      </c>
      <c r="P44" s="417" t="n">
        <f aca="false">DATE(YEAR(O44),MONTH(O44)+1,25)</f>
        <v>42210</v>
      </c>
      <c r="Q44" s="429" t="n">
        <f aca="false">Assumptions!$B$29</f>
        <v>0.1</v>
      </c>
      <c r="R44" s="419" t="n">
        <f aca="false">+((1+Q44/2)^(-2*(P44-$C$5)/365.25))</f>
        <v>2.69937174838765</v>
      </c>
      <c r="S44" s="114"/>
      <c r="T44" s="428" t="e">
        <f aca="false">INDEX(CashflowTable,MATCH("Equity Cash Flow (After Cash taxes)",CashflowColumn,0),MATCH(M44,CashflowRow,0))/2+S44</f>
        <v>#VALUE!</v>
      </c>
      <c r="U44" s="334" t="e">
        <f aca="false">+T44*R44</f>
        <v>#VALUE!</v>
      </c>
      <c r="V44" s="422"/>
    </row>
    <row r="45" customFormat="false" ht="11.25" hidden="false" customHeight="false" outlineLevel="0" collapsed="false">
      <c r="A45" s="198" t="n">
        <f aca="false">YEAR(B45)</f>
        <v>2015</v>
      </c>
      <c r="B45" s="425" t="n">
        <f aca="false">DATE(YEAR(B44),MONTH(B44)+6,1)</f>
        <v>42186</v>
      </c>
      <c r="C45" s="425" t="n">
        <f aca="false">DATE(YEAR(B45),MONTH(B45)+5,25)</f>
        <v>42363</v>
      </c>
      <c r="D45" s="417" t="n">
        <f aca="false">DATE(YEAR(C45),MONTH(C45)+1,25)</f>
        <v>42394</v>
      </c>
      <c r="E45" s="429" t="n">
        <f aca="false">Assumptions!$B$29</f>
        <v>0.1</v>
      </c>
      <c r="F45" s="419" t="n">
        <f aca="false">+((1+E45/2)^(-2*(D45-$C$5)/365.25))</f>
        <v>2.56988602702376</v>
      </c>
      <c r="G45" s="202" t="e">
        <f aca="false">IF(Tables!B21=15,Cashflow!S44,0)</f>
        <v>#VALUE!</v>
      </c>
      <c r="H45" s="428" t="e">
        <f aca="false">INDEX(CashflowTable,MATCH("DISTRIBUTABLE CASHFLOW     (including equity injection)",CashflowColumn,0),MATCH(A45,CashflowRow,0))/2+G45</f>
        <v>#VALUE!</v>
      </c>
      <c r="I45" s="334" t="e">
        <f aca="false">+H45*F45</f>
        <v>#VALUE!</v>
      </c>
      <c r="J45" s="422" t="s">
        <v>397</v>
      </c>
      <c r="M45" s="198" t="n">
        <f aca="false">YEAR(N45)</f>
        <v>2015</v>
      </c>
      <c r="N45" s="425" t="n">
        <f aca="false">DATE(YEAR(N44),MONTH(N44)+6,1)</f>
        <v>42186</v>
      </c>
      <c r="O45" s="425" t="n">
        <f aca="false">DATE(YEAR(N45),MONTH(N45)+5,25)</f>
        <v>42363</v>
      </c>
      <c r="P45" s="417" t="n">
        <f aca="false">DATE(YEAR(O45),MONTH(O45)+1,25)</f>
        <v>42394</v>
      </c>
      <c r="Q45" s="429" t="n">
        <f aca="false">Assumptions!$B$29</f>
        <v>0.1</v>
      </c>
      <c r="R45" s="419" t="n">
        <f aca="false">+((1+Q45/2)^(-2*(P45-$C$5)/365.25))</f>
        <v>2.56988602702376</v>
      </c>
      <c r="S45" s="202" t="e">
        <f aca="false">IF(Tables!B21=15,Cashflow!S44,0)</f>
        <v>#VALUE!</v>
      </c>
      <c r="T45" s="428" t="e">
        <f aca="false">INDEX(CashflowTable,MATCH("Equity Cash Flow (After Cash taxes)",CashflowColumn,0),MATCH(M45,CashflowRow,0))/2+S45</f>
        <v>#VALUE!</v>
      </c>
      <c r="U45" s="334" t="e">
        <f aca="false">+T45*R45</f>
        <v>#VALUE!</v>
      </c>
      <c r="V45" s="422" t="s">
        <v>397</v>
      </c>
    </row>
    <row r="46" customFormat="false" ht="11.25" hidden="false" customHeight="false" outlineLevel="0" collapsed="false">
      <c r="A46" s="198" t="n">
        <f aca="false">YEAR(B46)</f>
        <v>2016</v>
      </c>
      <c r="B46" s="425" t="n">
        <f aca="false">DATE(YEAR(B45),MONTH(B45)+6,1)</f>
        <v>42370</v>
      </c>
      <c r="C46" s="425" t="n">
        <f aca="false">DATE(YEAR(B46),MONTH(B46)+5,25)</f>
        <v>42546</v>
      </c>
      <c r="D46" s="417" t="n">
        <f aca="false">DATE(YEAR(C46),MONTH(C46)+1,25)</f>
        <v>42576</v>
      </c>
      <c r="E46" s="429" t="n">
        <f aca="false">Assumptions!$B$29</f>
        <v>0.1</v>
      </c>
      <c r="F46" s="419" t="n">
        <f aca="false">+((1+E46/2)^(-2*(D46-$C$5)/365.25))</f>
        <v>2.44791920969391</v>
      </c>
      <c r="G46" s="202"/>
      <c r="H46" s="428" t="e">
        <f aca="false">INDEX(CashflowTable,MATCH("DISTRIBUTABLE CASHFLOW     (including equity injection)",CashflowColumn,0),MATCH(A46,CashflowRow,0))/2+G46</f>
        <v>#VALUE!</v>
      </c>
      <c r="I46" s="334" t="e">
        <f aca="false">+H46*F46</f>
        <v>#VALUE!</v>
      </c>
      <c r="M46" s="198" t="n">
        <f aca="false">YEAR(N46)</f>
        <v>2016</v>
      </c>
      <c r="N46" s="425" t="n">
        <f aca="false">DATE(YEAR(N45),MONTH(N45)+6,1)</f>
        <v>42370</v>
      </c>
      <c r="O46" s="425" t="n">
        <f aca="false">DATE(YEAR(N46),MONTH(N46)+5,25)</f>
        <v>42546</v>
      </c>
      <c r="P46" s="417" t="n">
        <f aca="false">DATE(YEAR(O46),MONTH(O46)+1,25)</f>
        <v>42576</v>
      </c>
      <c r="Q46" s="429" t="n">
        <f aca="false">Assumptions!$B$29</f>
        <v>0.1</v>
      </c>
      <c r="R46" s="419" t="n">
        <f aca="false">+((1+Q46/2)^(-2*(P46-$C$5)/365.25))</f>
        <v>2.44791920969391</v>
      </c>
      <c r="S46" s="202"/>
      <c r="T46" s="428" t="e">
        <f aca="false">INDEX(CashflowTable,MATCH("Equity Cash Flow (After Cash taxes)",CashflowColumn,0),MATCH(M46,CashflowRow,0))/2+S46</f>
        <v>#VALUE!</v>
      </c>
      <c r="U46" s="334" t="e">
        <f aca="false">+T46*R46</f>
        <v>#VALUE!</v>
      </c>
    </row>
    <row r="47" customFormat="false" ht="11.25" hidden="false" customHeight="false" outlineLevel="0" collapsed="false">
      <c r="A47" s="198" t="n">
        <f aca="false">YEAR(B47)</f>
        <v>2016</v>
      </c>
      <c r="B47" s="425" t="n">
        <f aca="false">DATE(YEAR(B46),MONTH(B46)+6,1)</f>
        <v>42552</v>
      </c>
      <c r="C47" s="425" t="n">
        <f aca="false">DATE(YEAR(B47),MONTH(B47)+5,25)</f>
        <v>42729</v>
      </c>
      <c r="D47" s="417" t="n">
        <f aca="false">DATE(YEAR(C47),MONTH(C47)+1,25)</f>
        <v>42760</v>
      </c>
      <c r="E47" s="429" t="n">
        <f aca="false">Assumptions!$B$29</f>
        <v>0.1</v>
      </c>
      <c r="F47" s="419" t="n">
        <f aca="false">+((1+E47/2)^(-2*(D47-$C$5)/365.25))</f>
        <v>2.33049537398212</v>
      </c>
      <c r="G47" s="202"/>
      <c r="H47" s="428" t="e">
        <f aca="false">INDEX(CashflowTable,MATCH("DISTRIBUTABLE CASHFLOW     (including equity injection)",CashflowColumn,0),MATCH(A47,CashflowRow,0))/2+G47</f>
        <v>#VALUE!</v>
      </c>
      <c r="I47" s="334" t="e">
        <f aca="false">+H47*F47</f>
        <v>#VALUE!</v>
      </c>
      <c r="J47" s="422" t="s">
        <v>398</v>
      </c>
      <c r="M47" s="198" t="n">
        <f aca="false">YEAR(N47)</f>
        <v>2016</v>
      </c>
      <c r="N47" s="425" t="n">
        <f aca="false">DATE(YEAR(N46),MONTH(N46)+6,1)</f>
        <v>42552</v>
      </c>
      <c r="O47" s="425" t="n">
        <f aca="false">DATE(YEAR(N47),MONTH(N47)+5,25)</f>
        <v>42729</v>
      </c>
      <c r="P47" s="417" t="n">
        <f aca="false">DATE(YEAR(O47),MONTH(O47)+1,25)</f>
        <v>42760</v>
      </c>
      <c r="Q47" s="429" t="n">
        <f aca="false">Assumptions!$B$29</f>
        <v>0.1</v>
      </c>
      <c r="R47" s="419" t="n">
        <f aca="false">+((1+Q47/2)^(-2*(P47-$C$5)/365.25))</f>
        <v>2.33049537398212</v>
      </c>
      <c r="S47" s="202"/>
      <c r="T47" s="428" t="e">
        <f aca="false">INDEX(CashflowTable,MATCH("Equity Cash Flow (After Cash taxes)",CashflowColumn,0),MATCH(M47,CashflowRow,0))/2+S47</f>
        <v>#VALUE!</v>
      </c>
      <c r="U47" s="334" t="e">
        <f aca="false">+T47*R47</f>
        <v>#VALUE!</v>
      </c>
      <c r="V47" s="422" t="s">
        <v>398</v>
      </c>
    </row>
    <row r="48" customFormat="false" ht="11.25" hidden="false" customHeight="false" outlineLevel="0" collapsed="false">
      <c r="A48" s="198" t="n">
        <f aca="false">YEAR(B48)</f>
        <v>2017</v>
      </c>
      <c r="B48" s="425" t="n">
        <f aca="false">DATE(YEAR(B47),MONTH(B47)+6,1)</f>
        <v>42736</v>
      </c>
      <c r="C48" s="425" t="n">
        <f aca="false">DATE(YEAR(B48),MONTH(B48)+5,25)</f>
        <v>42911</v>
      </c>
      <c r="D48" s="417" t="n">
        <f aca="false">DATE(YEAR(C48),MONTH(C48)+1,25)</f>
        <v>42941</v>
      </c>
      <c r="E48" s="429" t="n">
        <f aca="false">Assumptions!$B$29</f>
        <v>0.1</v>
      </c>
      <c r="F48" s="419" t="n">
        <f aca="false">+((1+E48/2)^(-2*(D48-$C$5)/365.25))</f>
        <v>2.22048318540573</v>
      </c>
      <c r="G48" s="202"/>
      <c r="H48" s="428" t="e">
        <f aca="false">INDEX(CashflowTable,MATCH("DISTRIBUTABLE CASHFLOW     (including equity injection)",CashflowColumn,0),MATCH(A48,CashflowRow,0))/2+G48</f>
        <v>#VALUE!</v>
      </c>
      <c r="I48" s="334" t="e">
        <f aca="false">+H48*F48</f>
        <v>#VALUE!</v>
      </c>
      <c r="J48" s="422"/>
      <c r="M48" s="198" t="n">
        <f aca="false">YEAR(N48)</f>
        <v>2017</v>
      </c>
      <c r="N48" s="425" t="n">
        <f aca="false">DATE(YEAR(N47),MONTH(N47)+6,1)</f>
        <v>42736</v>
      </c>
      <c r="O48" s="425" t="n">
        <f aca="false">DATE(YEAR(N48),MONTH(N48)+5,25)</f>
        <v>42911</v>
      </c>
      <c r="P48" s="417" t="n">
        <f aca="false">DATE(YEAR(O48),MONTH(O48)+1,25)</f>
        <v>42941</v>
      </c>
      <c r="Q48" s="429" t="n">
        <f aca="false">Assumptions!$B$29</f>
        <v>0.1</v>
      </c>
      <c r="R48" s="419" t="n">
        <f aca="false">+((1+Q48/2)^(-2*(P48-$C$5)/365.25))</f>
        <v>2.22048318540573</v>
      </c>
      <c r="S48" s="202"/>
      <c r="T48" s="428" t="e">
        <f aca="false">INDEX(CashflowTable,MATCH("Equity Cash Flow (After Cash taxes)",CashflowColumn,0),MATCH(M48,CashflowRow,0))/2+S48</f>
        <v>#VALUE!</v>
      </c>
      <c r="U48" s="334" t="e">
        <f aca="false">+T48*R48</f>
        <v>#VALUE!</v>
      </c>
      <c r="V48" s="422"/>
    </row>
    <row r="49" customFormat="false" ht="11.25" hidden="false" customHeight="false" outlineLevel="0" collapsed="false">
      <c r="A49" s="198" t="n">
        <f aca="false">YEAR(B49)</f>
        <v>2017</v>
      </c>
      <c r="B49" s="425" t="n">
        <f aca="false">DATE(YEAR(B48),MONTH(B48)+6,1)</f>
        <v>42917</v>
      </c>
      <c r="C49" s="425" t="n">
        <f aca="false">DATE(YEAR(B49),MONTH(B49)+5,25)</f>
        <v>43094</v>
      </c>
      <c r="D49" s="417" t="n">
        <f aca="false">DATE(YEAR(C49),MONTH(C49)+1,25)</f>
        <v>43125</v>
      </c>
      <c r="E49" s="429" t="n">
        <f aca="false">Assumptions!$B$29</f>
        <v>0.1</v>
      </c>
      <c r="F49" s="419" t="n">
        <f aca="false">+((1+E49/2)^(-2*(D49-$C$5)/365.25))</f>
        <v>2.11396919109932</v>
      </c>
      <c r="G49" s="202"/>
      <c r="H49" s="428" t="e">
        <f aca="false">INDEX(CashflowTable,MATCH("DISTRIBUTABLE CASHFLOW     (including equity injection)",CashflowColumn,0),MATCH(A49,CashflowRow,0))/2+G49</f>
        <v>#VALUE!</v>
      </c>
      <c r="I49" s="334" t="e">
        <f aca="false">+H49*F49</f>
        <v>#VALUE!</v>
      </c>
      <c r="J49" s="422" t="s">
        <v>399</v>
      </c>
      <c r="M49" s="198" t="n">
        <f aca="false">YEAR(N49)</f>
        <v>2017</v>
      </c>
      <c r="N49" s="425" t="n">
        <f aca="false">DATE(YEAR(N48),MONTH(N48)+6,1)</f>
        <v>42917</v>
      </c>
      <c r="O49" s="425" t="n">
        <f aca="false">DATE(YEAR(N49),MONTH(N49)+5,25)</f>
        <v>43094</v>
      </c>
      <c r="P49" s="417" t="n">
        <f aca="false">DATE(YEAR(O49),MONTH(O49)+1,25)</f>
        <v>43125</v>
      </c>
      <c r="Q49" s="429" t="n">
        <f aca="false">Assumptions!$B$29</f>
        <v>0.1</v>
      </c>
      <c r="R49" s="419" t="n">
        <f aca="false">+((1+Q49/2)^(-2*(P49-$C$5)/365.25))</f>
        <v>2.11396919109932</v>
      </c>
      <c r="S49" s="202"/>
      <c r="T49" s="428" t="e">
        <f aca="false">INDEX(CashflowTable,MATCH("Equity Cash Flow (After Cash taxes)",CashflowColumn,0),MATCH(M49,CashflowRow,0))/2+S49</f>
        <v>#VALUE!</v>
      </c>
      <c r="U49" s="334" t="e">
        <f aca="false">+T49*R49</f>
        <v>#VALUE!</v>
      </c>
      <c r="V49" s="422" t="s">
        <v>399</v>
      </c>
    </row>
    <row r="50" customFormat="false" ht="11.25" hidden="false" customHeight="false" outlineLevel="0" collapsed="false">
      <c r="A50" s="198" t="n">
        <f aca="false">YEAR(B50)</f>
        <v>2018</v>
      </c>
      <c r="B50" s="425" t="n">
        <f aca="false">DATE(YEAR(B49),MONTH(B49)+6,1)</f>
        <v>43101</v>
      </c>
      <c r="C50" s="425" t="n">
        <f aca="false">DATE(YEAR(B50),MONTH(B50)+5,25)</f>
        <v>43276</v>
      </c>
      <c r="D50" s="417" t="n">
        <f aca="false">DATE(YEAR(C50),MONTH(C50)+1,25)</f>
        <v>43306</v>
      </c>
      <c r="E50" s="429" t="n">
        <f aca="false">Assumptions!$B$29</f>
        <v>0.1</v>
      </c>
      <c r="F50" s="419" t="n">
        <f aca="false">+((1+E50/2)^(-2*(D50-$C$5)/365.25))</f>
        <v>2.01417822824557</v>
      </c>
      <c r="G50" s="202"/>
      <c r="H50" s="428" t="e">
        <f aca="false">INDEX(CashflowTable,MATCH("DISTRIBUTABLE CASHFLOW     (including equity injection)",CashflowColumn,0),MATCH(A50,CashflowRow,0))/2+G50</f>
        <v>#VALUE!</v>
      </c>
      <c r="I50" s="334" t="e">
        <f aca="false">+H50*F50</f>
        <v>#VALUE!</v>
      </c>
      <c r="J50" s="422"/>
      <c r="M50" s="198" t="n">
        <f aca="false">YEAR(N50)</f>
        <v>2018</v>
      </c>
      <c r="N50" s="425" t="n">
        <f aca="false">DATE(YEAR(N49),MONTH(N49)+6,1)</f>
        <v>43101</v>
      </c>
      <c r="O50" s="425" t="n">
        <f aca="false">DATE(YEAR(N50),MONTH(N50)+5,25)</f>
        <v>43276</v>
      </c>
      <c r="P50" s="417" t="n">
        <f aca="false">DATE(YEAR(O50),MONTH(O50)+1,25)</f>
        <v>43306</v>
      </c>
      <c r="Q50" s="429" t="n">
        <f aca="false">Assumptions!$B$29</f>
        <v>0.1</v>
      </c>
      <c r="R50" s="419" t="n">
        <f aca="false">+((1+Q50/2)^(-2*(P50-$C$5)/365.25))</f>
        <v>2.01417822824557</v>
      </c>
      <c r="S50" s="202"/>
      <c r="T50" s="428" t="e">
        <f aca="false">INDEX(CashflowTable,MATCH("Equity Cash Flow (After Cash taxes)",CashflowColumn,0),MATCH(M50,CashflowRow,0))/2+S50</f>
        <v>#VALUE!</v>
      </c>
      <c r="U50" s="334" t="e">
        <f aca="false">+T50*R50</f>
        <v>#VALUE!</v>
      </c>
      <c r="V50" s="422"/>
    </row>
    <row r="51" customFormat="false" ht="11.25" hidden="false" customHeight="false" outlineLevel="0" collapsed="false">
      <c r="A51" s="198" t="n">
        <f aca="false">YEAR(B51)</f>
        <v>2018</v>
      </c>
      <c r="B51" s="425" t="n">
        <f aca="false">DATE(YEAR(B50),MONTH(B50)+6,1)</f>
        <v>43282</v>
      </c>
      <c r="C51" s="425" t="n">
        <f aca="false">DATE(YEAR(B51),MONTH(B51)+5,25)</f>
        <v>43459</v>
      </c>
      <c r="D51" s="417" t="n">
        <f aca="false">DATE(YEAR(C51),MONTH(C51)+1,25)</f>
        <v>43490</v>
      </c>
      <c r="E51" s="429" t="n">
        <f aca="false">Assumptions!$B$29</f>
        <v>0.1</v>
      </c>
      <c r="F51" s="419" t="n">
        <f aca="false">+((1+E51/2)^(-2*(D51-$C$5)/365.25))</f>
        <v>1.91756044264579</v>
      </c>
      <c r="G51" s="202"/>
      <c r="H51" s="428" t="e">
        <f aca="false">INDEX(CashflowTable,MATCH("DISTRIBUTABLE CASHFLOW     (including equity injection)",CashflowColumn,0),MATCH(A51,CashflowRow,0))/2+G51</f>
        <v>#VALUE!</v>
      </c>
      <c r="I51" s="334" t="e">
        <f aca="false">+H51*F51</f>
        <v>#VALUE!</v>
      </c>
      <c r="J51" s="430" t="s">
        <v>400</v>
      </c>
      <c r="M51" s="198" t="n">
        <f aca="false">YEAR(N51)</f>
        <v>2018</v>
      </c>
      <c r="N51" s="425" t="n">
        <f aca="false">DATE(YEAR(N50),MONTH(N50)+6,1)</f>
        <v>43282</v>
      </c>
      <c r="O51" s="425" t="n">
        <f aca="false">DATE(YEAR(N51),MONTH(N51)+5,25)</f>
        <v>43459</v>
      </c>
      <c r="P51" s="417" t="n">
        <f aca="false">DATE(YEAR(O51),MONTH(O51)+1,25)</f>
        <v>43490</v>
      </c>
      <c r="Q51" s="429" t="n">
        <f aca="false">Assumptions!$B$29</f>
        <v>0.1</v>
      </c>
      <c r="R51" s="419" t="n">
        <f aca="false">+((1+Q51/2)^(-2*(P51-$C$5)/365.25))</f>
        <v>1.91756044264579</v>
      </c>
      <c r="S51" s="202"/>
      <c r="T51" s="428" t="e">
        <f aca="false">INDEX(CashflowTable,MATCH("Equity Cash Flow (After Cash taxes)",CashflowColumn,0),MATCH(M51,CashflowRow,0))/2+S51</f>
        <v>#VALUE!</v>
      </c>
      <c r="U51" s="334" t="e">
        <f aca="false">+T51*R51</f>
        <v>#VALUE!</v>
      </c>
      <c r="V51" s="430" t="s">
        <v>400</v>
      </c>
    </row>
    <row r="52" customFormat="false" ht="11.25" hidden="false" customHeight="false" outlineLevel="0" collapsed="false">
      <c r="A52" s="198" t="n">
        <f aca="false">YEAR(B52)</f>
        <v>2019</v>
      </c>
      <c r="B52" s="425" t="n">
        <f aca="false">DATE(YEAR(B51),MONTH(B51)+6,1)</f>
        <v>43466</v>
      </c>
      <c r="C52" s="425" t="n">
        <f aca="false">DATE(YEAR(B52),MONTH(B52)+5,25)</f>
        <v>43641</v>
      </c>
      <c r="D52" s="417" t="n">
        <f aca="false">DATE(YEAR(C52),MONTH(C52)+1,25)</f>
        <v>43671</v>
      </c>
      <c r="E52" s="429" t="n">
        <f aca="false">Assumptions!$B$29</f>
        <v>0.1</v>
      </c>
      <c r="F52" s="419" t="n">
        <f aca="false">+((1+E52/2)^(-2*(D52-$C$5)/365.25))</f>
        <v>1.82704105205696</v>
      </c>
      <c r="G52" s="202"/>
      <c r="H52" s="428" t="e">
        <f aca="false">INDEX(CashflowTable,MATCH("DISTRIBUTABLE CASHFLOW     (including equity injection)",CashflowColumn,0),MATCH(A52,CashflowRow,0))/2+G52</f>
        <v>#DIV/0!</v>
      </c>
      <c r="I52" s="334" t="e">
        <f aca="false">+H52*F52</f>
        <v>#DIV/0!</v>
      </c>
      <c r="J52" s="422"/>
      <c r="M52" s="198" t="n">
        <f aca="false">YEAR(N52)</f>
        <v>2019</v>
      </c>
      <c r="N52" s="425" t="n">
        <f aca="false">DATE(YEAR(N51),MONTH(N51)+6,1)</f>
        <v>43466</v>
      </c>
      <c r="O52" s="425" t="n">
        <f aca="false">DATE(YEAR(N52),MONTH(N52)+5,25)</f>
        <v>43641</v>
      </c>
      <c r="P52" s="417" t="n">
        <f aca="false">DATE(YEAR(O52),MONTH(O52)+1,25)</f>
        <v>43671</v>
      </c>
      <c r="Q52" s="429" t="n">
        <f aca="false">Assumptions!$B$29</f>
        <v>0.1</v>
      </c>
      <c r="R52" s="419" t="n">
        <f aca="false">+((1+Q52/2)^(-2*(P52-$C$5)/365.25))</f>
        <v>1.82704105205696</v>
      </c>
      <c r="S52" s="202"/>
      <c r="T52" s="428" t="e">
        <f aca="false">INDEX(CashflowTable,MATCH("Equity Cash Flow (After Cash taxes)",CashflowColumn,0),MATCH(M52,CashflowRow,0))/2+S52</f>
        <v>#DIV/0!</v>
      </c>
      <c r="U52" s="334" t="e">
        <f aca="false">+T52*R52</f>
        <v>#DIV/0!</v>
      </c>
      <c r="V52" s="422"/>
    </row>
    <row r="53" customFormat="false" ht="11.25" hidden="false" customHeight="false" outlineLevel="0" collapsed="false">
      <c r="A53" s="198" t="n">
        <f aca="false">YEAR(B53)</f>
        <v>2019</v>
      </c>
      <c r="B53" s="425" t="n">
        <f aca="false">DATE(YEAR(B52),MONTH(B52)+6,1)</f>
        <v>43647</v>
      </c>
      <c r="C53" s="425" t="n">
        <f aca="false">DATE(YEAR(B53),MONTH(B53)+5,25)</f>
        <v>43824</v>
      </c>
      <c r="D53" s="417" t="n">
        <f aca="false">DATE(YEAR(C53),MONTH(C53)+1,25)</f>
        <v>43855</v>
      </c>
      <c r="E53" s="429" t="n">
        <f aca="false">Assumptions!$B$29</f>
        <v>0.1</v>
      </c>
      <c r="F53" s="419" t="n">
        <f aca="false">+((1+E53/2)^(-2*(D53-$C$5)/365.25))</f>
        <v>1.7394000190172</v>
      </c>
      <c r="G53" s="202"/>
      <c r="H53" s="428" t="e">
        <f aca="false">INDEX(CashflowTable,MATCH("DISTRIBUTABLE CASHFLOW     (including equity injection)",CashflowColumn,0),MATCH(A53,CashflowRow,0))/2+G53</f>
        <v>#DIV/0!</v>
      </c>
      <c r="I53" s="334" t="e">
        <f aca="false">+H53*F53</f>
        <v>#DIV/0!</v>
      </c>
      <c r="J53" s="422" t="s">
        <v>401</v>
      </c>
      <c r="M53" s="198" t="n">
        <f aca="false">YEAR(N53)</f>
        <v>2019</v>
      </c>
      <c r="N53" s="425" t="n">
        <f aca="false">DATE(YEAR(N52),MONTH(N52)+6,1)</f>
        <v>43647</v>
      </c>
      <c r="O53" s="425" t="n">
        <f aca="false">DATE(YEAR(N53),MONTH(N53)+5,25)</f>
        <v>43824</v>
      </c>
      <c r="P53" s="417" t="n">
        <f aca="false">DATE(YEAR(O53),MONTH(O53)+1,25)</f>
        <v>43855</v>
      </c>
      <c r="Q53" s="429" t="n">
        <f aca="false">Assumptions!$B$29</f>
        <v>0.1</v>
      </c>
      <c r="R53" s="419" t="n">
        <f aca="false">+((1+Q53/2)^(-2*(P53-$C$5)/365.25))</f>
        <v>1.7394000190172</v>
      </c>
      <c r="S53" s="202"/>
      <c r="T53" s="428" t="e">
        <f aca="false">INDEX(CashflowTable,MATCH("Equity Cash Flow (After Cash taxes)",CashflowColumn,0),MATCH(M53,CashflowRow,0))/2+S53</f>
        <v>#DIV/0!</v>
      </c>
      <c r="U53" s="334" t="e">
        <f aca="false">+T53*R53</f>
        <v>#DIV/0!</v>
      </c>
      <c r="V53" s="422" t="s">
        <v>401</v>
      </c>
    </row>
    <row r="54" customFormat="false" ht="11.25" hidden="false" customHeight="false" outlineLevel="0" collapsed="false">
      <c r="A54" s="198" t="n">
        <f aca="false">YEAR(B54)</f>
        <v>2020</v>
      </c>
      <c r="B54" s="425" t="n">
        <f aca="false">DATE(YEAR(B53),MONTH(B53)+6,1)</f>
        <v>43831</v>
      </c>
      <c r="C54" s="425" t="n">
        <f aca="false">DATE(YEAR(B54),MONTH(B54)+5,25)</f>
        <v>44007</v>
      </c>
      <c r="D54" s="417" t="n">
        <f aca="false">DATE(YEAR(C54),MONTH(C54)+1,25)</f>
        <v>44037</v>
      </c>
      <c r="E54" s="429" t="n">
        <f aca="false">Assumptions!$B$29</f>
        <v>0.1</v>
      </c>
      <c r="F54" s="419" t="n">
        <f aca="false">+((1+E54/2)^(-2*(D54-$C$5)/365.25))</f>
        <v>1.65684807618699</v>
      </c>
      <c r="G54" s="202" t="n">
        <f aca="false">IF(Tables!B21=20,Cashflow!X44,0)</f>
        <v>0</v>
      </c>
      <c r="H54" s="428" t="e">
        <f aca="false">INDEX(CashflowTable,MATCH("DISTRIBUTABLE CASHFLOW     (including equity injection)",CashflowColumn,0),MATCH(A54,CashflowRow,0))/IF(Tables!$B$21=20,1,2)+G54</f>
        <v>#DIV/0!</v>
      </c>
      <c r="I54" s="334" t="e">
        <f aca="false">+H54*F54</f>
        <v>#DIV/0!</v>
      </c>
      <c r="J54" s="422"/>
      <c r="K54" s="423"/>
      <c r="M54" s="198" t="n">
        <f aca="false">YEAR(N54)</f>
        <v>2020</v>
      </c>
      <c r="N54" s="425" t="n">
        <f aca="false">DATE(YEAR(N53),MONTH(N53)+6,1)</f>
        <v>43831</v>
      </c>
      <c r="O54" s="425" t="n">
        <f aca="false">DATE(YEAR(N54),MONTH(N54)+5,25)</f>
        <v>44007</v>
      </c>
      <c r="P54" s="417" t="n">
        <f aca="false">DATE(YEAR(O54),MONTH(O54)+1,25)</f>
        <v>44037</v>
      </c>
      <c r="Q54" s="429" t="n">
        <f aca="false">Assumptions!$B$29</f>
        <v>0.1</v>
      </c>
      <c r="R54" s="419" t="n">
        <f aca="false">+((1+Q54/2)^(-2*(P54-$C$5)/365.25))</f>
        <v>1.65684807618699</v>
      </c>
      <c r="S54" s="202" t="n">
        <f aca="false">IF(Tables!N21=20,Cashflow!AJ44,0)</f>
        <v>0</v>
      </c>
      <c r="T54" s="428" t="e">
        <f aca="false">INDEX(CashflowTable,MATCH("Equity Cash Flow (After Cash taxes)",CashflowColumn,0),MATCH(M54,CashflowRow,0))/2+S54</f>
        <v>#DIV/0!</v>
      </c>
      <c r="U54" s="334" t="e">
        <f aca="false">+T54*R54</f>
        <v>#DIV/0!</v>
      </c>
      <c r="V54" s="422"/>
    </row>
    <row r="55" customFormat="false" ht="12.75" hidden="false" customHeight="true" outlineLevel="0" collapsed="false">
      <c r="A55" s="198" t="n">
        <f aca="false">YEAR(B55)</f>
        <v>2020</v>
      </c>
      <c r="B55" s="425" t="n">
        <f aca="false">DATE(YEAR(B54),MONTH(B54)+6,1)</f>
        <v>44013</v>
      </c>
      <c r="C55" s="425" t="n">
        <f aca="false">DATE(YEAR(B55),MONTH(B55)+5,25)</f>
        <v>44190</v>
      </c>
      <c r="D55" s="417"/>
      <c r="E55" s="433"/>
      <c r="F55" s="419"/>
      <c r="G55" s="202" t="n">
        <f aca="false">IF(Tables!B22=20,Cashflow!X45,0)</f>
        <v>0</v>
      </c>
      <c r="H55" s="428" t="e">
        <f aca="false">INDEX(CashflowTable,MATCH("DISTRIBUTABLE CASHFLOW     (including equity injection)",CashflowColumn,0),MATCH(A55,CashflowRow,0))/IF(Tables!$B$21=20,1,2)+G55</f>
        <v>#DIV/0!</v>
      </c>
      <c r="I55" s="334" t="e">
        <f aca="false">+H55*F55</f>
        <v>#DIV/0!</v>
      </c>
      <c r="J55" s="422" t="s">
        <v>402</v>
      </c>
      <c r="M55" s="198" t="n">
        <f aca="false">YEAR(N55)</f>
        <v>2020</v>
      </c>
      <c r="N55" s="425" t="n">
        <f aca="false">DATE(YEAR(N54),MONTH(N54)+6,1)</f>
        <v>44013</v>
      </c>
      <c r="O55" s="425" t="n">
        <f aca="false">DATE(YEAR(N55),MONTH(N55)+5,25)</f>
        <v>44190</v>
      </c>
      <c r="P55" s="417"/>
      <c r="Q55" s="433"/>
      <c r="R55" s="419"/>
      <c r="S55" s="202" t="n">
        <f aca="false">IF(Tables!N22=20,Cashflow!AJ45,0)</f>
        <v>0</v>
      </c>
      <c r="T55" s="428" t="e">
        <f aca="false">INDEX(CashflowTable,MATCH("Equity Cash Flow (After Cash taxes)",CashflowColumn,0),MATCH(M55,CashflowRow,0))/2+S55</f>
        <v>#DIV/0!</v>
      </c>
      <c r="U55" s="334" t="e">
        <f aca="false">+T55*R55</f>
        <v>#DIV/0!</v>
      </c>
      <c r="V55" s="422" t="s">
        <v>402</v>
      </c>
    </row>
    <row r="56" customFormat="false" ht="11.25" hidden="false" customHeight="false" outlineLevel="0" collapsed="false">
      <c r="A56" s="434"/>
      <c r="B56" s="435"/>
      <c r="C56" s="435"/>
      <c r="D56" s="417"/>
      <c r="E56" s="429"/>
      <c r="F56" s="419"/>
      <c r="G56" s="202"/>
      <c r="H56" s="334"/>
      <c r="I56" s="334"/>
    </row>
    <row r="57" customFormat="false" ht="11.25" hidden="false" customHeight="false" outlineLevel="0" collapsed="false">
      <c r="A57" s="434"/>
      <c r="B57" s="435"/>
      <c r="C57" s="435"/>
      <c r="D57" s="417"/>
      <c r="E57" s="429"/>
      <c r="F57" s="419"/>
      <c r="G57" s="202"/>
      <c r="H57" s="334"/>
      <c r="I57" s="334"/>
    </row>
    <row r="58" customFormat="false" ht="11.25" hidden="false" customHeight="false" outlineLevel="0" collapsed="false">
      <c r="A58" s="296"/>
      <c r="B58" s="435"/>
      <c r="C58" s="435"/>
      <c r="D58" s="435"/>
      <c r="E58" s="429"/>
      <c r="F58" s="426"/>
      <c r="G58" s="426"/>
      <c r="H58" s="334"/>
      <c r="I58" s="334"/>
    </row>
    <row r="59" customFormat="false" ht="11.25" hidden="false" customHeight="false" outlineLevel="0" collapsed="false">
      <c r="A59" s="296"/>
      <c r="B59" s="435"/>
      <c r="C59" s="435"/>
      <c r="D59" s="435"/>
      <c r="E59" s="429"/>
      <c r="F59" s="426"/>
      <c r="G59" s="426"/>
      <c r="H59" s="334"/>
      <c r="I59" s="334"/>
    </row>
    <row r="60" customFormat="false" ht="11.25" hidden="false" customHeight="false" outlineLevel="0" collapsed="false">
      <c r="A60" s="296"/>
      <c r="B60" s="435"/>
      <c r="C60" s="435"/>
      <c r="D60" s="435"/>
      <c r="E60" s="429"/>
      <c r="F60" s="426"/>
      <c r="G60" s="426"/>
      <c r="H60" s="334"/>
      <c r="I60" s="334"/>
    </row>
    <row r="61" customFormat="false" ht="11.25" hidden="false" customHeight="false" outlineLevel="0" collapsed="false">
      <c r="A61" s="296"/>
      <c r="B61" s="435"/>
      <c r="C61" s="435"/>
      <c r="D61" s="435"/>
      <c r="E61" s="429"/>
      <c r="F61" s="426"/>
      <c r="G61" s="426"/>
      <c r="H61" s="334"/>
      <c r="I61" s="334"/>
    </row>
    <row r="62" customFormat="false" ht="11.25" hidden="false" customHeight="false" outlineLevel="0" collapsed="false">
      <c r="A62" s="296"/>
      <c r="B62" s="435"/>
      <c r="C62" s="435"/>
      <c r="D62" s="435"/>
      <c r="E62" s="429"/>
      <c r="F62" s="426"/>
      <c r="G62" s="426"/>
      <c r="H62" s="334"/>
      <c r="I62" s="334"/>
    </row>
    <row r="63" customFormat="false" ht="11.25" hidden="false" customHeight="false" outlineLevel="0" collapsed="false">
      <c r="A63" s="296"/>
      <c r="B63" s="435"/>
      <c r="C63" s="435"/>
      <c r="D63" s="435"/>
      <c r="E63" s="429"/>
      <c r="F63" s="426"/>
      <c r="G63" s="426"/>
      <c r="H63" s="334"/>
      <c r="I63" s="334"/>
    </row>
    <row r="64" customFormat="false" ht="11.25" hidden="false" customHeight="false" outlineLevel="0" collapsed="false">
      <c r="A64" s="296"/>
      <c r="B64" s="435"/>
      <c r="C64" s="435"/>
      <c r="D64" s="435"/>
      <c r="E64" s="429"/>
      <c r="F64" s="426"/>
      <c r="G64" s="426"/>
      <c r="H64" s="334"/>
      <c r="I64" s="334"/>
    </row>
    <row r="65" customFormat="false" ht="11.25" hidden="false" customHeight="false" outlineLevel="0" collapsed="false">
      <c r="A65" s="296"/>
      <c r="B65" s="435"/>
      <c r="C65" s="435"/>
      <c r="D65" s="435"/>
      <c r="E65" s="429"/>
      <c r="F65" s="426"/>
      <c r="G65" s="426"/>
      <c r="H65" s="334"/>
      <c r="I65" s="334"/>
    </row>
    <row r="66" customFormat="false" ht="11.25" hidden="false" customHeight="false" outlineLevel="0" collapsed="false">
      <c r="A66" s="296"/>
      <c r="B66" s="435"/>
      <c r="C66" s="435"/>
      <c r="D66" s="435"/>
      <c r="E66" s="429"/>
      <c r="F66" s="426"/>
      <c r="G66" s="426"/>
      <c r="H66" s="334"/>
      <c r="I66" s="334"/>
    </row>
    <row r="67" customFormat="false" ht="12.75" hidden="false" customHeight="true" outlineLevel="0" collapsed="false">
      <c r="A67" s="296"/>
      <c r="B67" s="435"/>
      <c r="C67" s="435"/>
      <c r="D67" s="435"/>
      <c r="E67" s="429"/>
      <c r="F67" s="426"/>
      <c r="G67" s="426"/>
      <c r="H67" s="334"/>
      <c r="I67" s="334"/>
    </row>
    <row r="68" customFormat="false" ht="11.25" hidden="false" customHeight="false" outlineLevel="0" collapsed="false">
      <c r="A68" s="296"/>
      <c r="B68" s="435"/>
      <c r="C68" s="435"/>
      <c r="D68" s="435"/>
      <c r="E68" s="429"/>
      <c r="F68" s="426"/>
      <c r="G68" s="426"/>
      <c r="H68" s="334"/>
      <c r="I68" s="334"/>
    </row>
    <row r="69" customFormat="false" ht="11.25" hidden="false" customHeight="false" outlineLevel="0" collapsed="false">
      <c r="A69" s="296"/>
      <c r="B69" s="435"/>
      <c r="C69" s="435"/>
      <c r="D69" s="435"/>
      <c r="E69" s="429"/>
      <c r="F69" s="426"/>
      <c r="G69" s="426"/>
      <c r="H69" s="334"/>
      <c r="I69" s="334"/>
    </row>
    <row r="70" customFormat="false" ht="11.25" hidden="false" customHeight="false" outlineLevel="0" collapsed="false">
      <c r="A70" s="296"/>
      <c r="B70" s="435"/>
      <c r="C70" s="435"/>
      <c r="D70" s="435"/>
      <c r="E70" s="429"/>
      <c r="F70" s="426"/>
      <c r="G70" s="426"/>
      <c r="H70" s="334"/>
      <c r="I70" s="334"/>
    </row>
    <row r="71" customFormat="false" ht="11.25" hidden="false" customHeight="false" outlineLevel="0" collapsed="false">
      <c r="A71" s="296"/>
      <c r="B71" s="435"/>
      <c r="C71" s="435"/>
      <c r="D71" s="435"/>
      <c r="E71" s="429"/>
      <c r="F71" s="426"/>
      <c r="G71" s="426"/>
      <c r="H71" s="334"/>
      <c r="I71" s="334"/>
    </row>
    <row r="72" customFormat="false" ht="11.25" hidden="false" customHeight="false" outlineLevel="0" collapsed="false">
      <c r="A72" s="296"/>
      <c r="B72" s="435"/>
      <c r="C72" s="435"/>
      <c r="D72" s="435"/>
      <c r="E72" s="429"/>
      <c r="F72" s="426"/>
      <c r="G72" s="426"/>
      <c r="H72" s="334"/>
      <c r="I72" s="334"/>
    </row>
    <row r="73" customFormat="false" ht="11.25" hidden="false" customHeight="false" outlineLevel="0" collapsed="false">
      <c r="A73" s="296"/>
      <c r="B73" s="435"/>
      <c r="C73" s="435"/>
      <c r="D73" s="435"/>
      <c r="E73" s="429"/>
      <c r="F73" s="426"/>
      <c r="G73" s="426"/>
      <c r="H73" s="334"/>
      <c r="I73" s="334"/>
    </row>
    <row r="74" customFormat="false" ht="11.25" hidden="false" customHeight="false" outlineLevel="0" collapsed="false">
      <c r="A74" s="296"/>
      <c r="B74" s="435"/>
      <c r="C74" s="435"/>
      <c r="D74" s="435"/>
      <c r="E74" s="429"/>
      <c r="F74" s="426"/>
      <c r="G74" s="426"/>
      <c r="H74" s="334"/>
      <c r="I74" s="334"/>
    </row>
    <row r="75" customFormat="false" ht="11.25" hidden="false" customHeight="false" outlineLevel="0" collapsed="false">
      <c r="A75" s="296"/>
      <c r="B75" s="435"/>
      <c r="C75" s="435"/>
      <c r="D75" s="435"/>
      <c r="E75" s="429"/>
      <c r="F75" s="426"/>
      <c r="G75" s="426"/>
      <c r="H75" s="334"/>
      <c r="I75" s="334"/>
    </row>
    <row r="76" customFormat="false" ht="11.25" hidden="false" customHeight="false" outlineLevel="0" collapsed="false">
      <c r="A76" s="296"/>
      <c r="B76" s="435"/>
      <c r="C76" s="435"/>
      <c r="D76" s="435"/>
      <c r="E76" s="429"/>
      <c r="F76" s="426"/>
      <c r="G76" s="426"/>
      <c r="H76" s="334"/>
      <c r="I76" s="334"/>
    </row>
    <row r="77" customFormat="false" ht="11.25" hidden="false" customHeight="false" outlineLevel="0" collapsed="false">
      <c r="A77" s="296"/>
      <c r="B77" s="435"/>
      <c r="C77" s="435"/>
      <c r="D77" s="435"/>
      <c r="E77" s="429"/>
      <c r="F77" s="426"/>
      <c r="G77" s="426"/>
      <c r="H77" s="334"/>
      <c r="I77" s="334"/>
    </row>
    <row r="78" customFormat="false" ht="11.25" hidden="false" customHeight="false" outlineLevel="0" collapsed="false">
      <c r="A78" s="296"/>
      <c r="B78" s="435"/>
      <c r="C78" s="435"/>
      <c r="D78" s="435"/>
      <c r="E78" s="429"/>
      <c r="F78" s="426"/>
      <c r="G78" s="426"/>
      <c r="H78" s="334"/>
      <c r="I78" s="334"/>
    </row>
    <row r="79" customFormat="false" ht="12.75" hidden="false" customHeight="true" outlineLevel="0" collapsed="false">
      <c r="A79" s="296"/>
      <c r="B79" s="435"/>
      <c r="C79" s="435"/>
      <c r="D79" s="435"/>
      <c r="E79" s="429"/>
      <c r="F79" s="426"/>
      <c r="G79" s="426"/>
      <c r="H79" s="334"/>
      <c r="I79" s="334"/>
    </row>
    <row r="80" customFormat="false" ht="11.25" hidden="false" customHeight="false" outlineLevel="0" collapsed="false">
      <c r="A80" s="296"/>
      <c r="B80" s="435"/>
      <c r="C80" s="435"/>
      <c r="D80" s="435"/>
      <c r="E80" s="429"/>
      <c r="F80" s="426"/>
      <c r="G80" s="426"/>
      <c r="H80" s="334"/>
      <c r="I80" s="334"/>
      <c r="J80" s="114"/>
      <c r="K80" s="114"/>
    </row>
    <row r="81" customFormat="false" ht="11.25" hidden="false" customHeight="false" outlineLevel="0" collapsed="false">
      <c r="A81" s="296"/>
      <c r="B81" s="435"/>
      <c r="C81" s="435"/>
      <c r="D81" s="435"/>
      <c r="E81" s="429"/>
      <c r="F81" s="426"/>
      <c r="G81" s="426"/>
      <c r="H81" s="334"/>
      <c r="I81" s="334"/>
      <c r="J81" s="114"/>
      <c r="K81" s="114"/>
    </row>
    <row r="82" customFormat="false" ht="11.25" hidden="false" customHeight="false" outlineLevel="0" collapsed="false">
      <c r="A82" s="296"/>
      <c r="B82" s="435"/>
      <c r="C82" s="435"/>
      <c r="D82" s="435"/>
      <c r="E82" s="429"/>
      <c r="F82" s="426"/>
      <c r="G82" s="426"/>
      <c r="H82" s="334"/>
      <c r="I82" s="334"/>
      <c r="J82" s="114"/>
      <c r="K82" s="114"/>
    </row>
    <row r="83" customFormat="false" ht="11.25" hidden="false" customHeight="false" outlineLevel="0" collapsed="false">
      <c r="A83" s="296"/>
      <c r="B83" s="435"/>
      <c r="C83" s="435"/>
      <c r="D83" s="435"/>
      <c r="E83" s="429"/>
      <c r="F83" s="426"/>
      <c r="G83" s="426"/>
      <c r="H83" s="334"/>
      <c r="I83" s="334"/>
      <c r="J83" s="114"/>
      <c r="K83" s="114"/>
    </row>
    <row r="84" customFormat="false" ht="11.25" hidden="false" customHeight="false" outlineLevel="0" collapsed="false">
      <c r="A84" s="296"/>
      <c r="B84" s="435"/>
      <c r="C84" s="435"/>
      <c r="D84" s="435"/>
      <c r="E84" s="429"/>
      <c r="F84" s="426"/>
      <c r="G84" s="426"/>
      <c r="H84" s="334"/>
      <c r="I84" s="334"/>
      <c r="J84" s="114"/>
      <c r="K84" s="114"/>
    </row>
    <row r="85" customFormat="false" ht="11.25" hidden="false" customHeight="false" outlineLevel="0" collapsed="false">
      <c r="A85" s="296"/>
      <c r="B85" s="435"/>
      <c r="C85" s="435"/>
      <c r="D85" s="435"/>
      <c r="E85" s="429"/>
      <c r="F85" s="426"/>
      <c r="G85" s="426"/>
      <c r="H85" s="334"/>
      <c r="I85" s="334"/>
      <c r="J85" s="114"/>
      <c r="K85" s="114"/>
    </row>
    <row r="86" customFormat="false" ht="11.25" hidden="false" customHeight="false" outlineLevel="0" collapsed="false">
      <c r="A86" s="296"/>
      <c r="B86" s="435"/>
      <c r="C86" s="435"/>
      <c r="D86" s="435"/>
      <c r="E86" s="429"/>
      <c r="F86" s="426"/>
      <c r="G86" s="426"/>
      <c r="H86" s="334"/>
      <c r="I86" s="334"/>
      <c r="J86" s="114"/>
      <c r="K86" s="114"/>
    </row>
    <row r="87" customFormat="false" ht="11.25" hidden="false" customHeight="false" outlineLevel="0" collapsed="false">
      <c r="A87" s="296"/>
      <c r="B87" s="435"/>
      <c r="C87" s="435"/>
      <c r="D87" s="435"/>
      <c r="E87" s="429"/>
      <c r="F87" s="426"/>
      <c r="G87" s="426"/>
      <c r="H87" s="334"/>
      <c r="I87" s="334"/>
    </row>
    <row r="88" customFormat="false" ht="11.25" hidden="false" customHeight="false" outlineLevel="0" collapsed="false">
      <c r="A88" s="296"/>
      <c r="B88" s="435"/>
      <c r="C88" s="435"/>
      <c r="D88" s="435"/>
      <c r="E88" s="429"/>
      <c r="F88" s="426"/>
      <c r="G88" s="426"/>
      <c r="H88" s="334"/>
      <c r="I88" s="334"/>
    </row>
    <row r="89" customFormat="false" ht="11.25" hidden="false" customHeight="false" outlineLevel="0" collapsed="false">
      <c r="A89" s="296"/>
      <c r="B89" s="435"/>
      <c r="C89" s="435"/>
      <c r="D89" s="435"/>
      <c r="E89" s="429"/>
      <c r="F89" s="426"/>
      <c r="G89" s="426"/>
      <c r="H89" s="334"/>
      <c r="I89" s="334"/>
    </row>
    <row r="90" customFormat="false" ht="11.25" hidden="false" customHeight="false" outlineLevel="0" collapsed="false">
      <c r="A90" s="296"/>
      <c r="B90" s="435"/>
      <c r="C90" s="435"/>
      <c r="D90" s="435"/>
      <c r="E90" s="429"/>
      <c r="F90" s="426"/>
      <c r="G90" s="426"/>
      <c r="H90" s="334"/>
      <c r="I90" s="334"/>
    </row>
    <row r="91" customFormat="false" ht="12.75" hidden="false" customHeight="true" outlineLevel="0" collapsed="false">
      <c r="A91" s="296"/>
      <c r="B91" s="435"/>
      <c r="C91" s="435"/>
      <c r="D91" s="435"/>
      <c r="E91" s="429"/>
      <c r="F91" s="426"/>
      <c r="G91" s="426"/>
      <c r="H91" s="334"/>
      <c r="I91" s="334"/>
    </row>
    <row r="92" customFormat="false" ht="11.25" hidden="false" customHeight="false" outlineLevel="0" collapsed="false">
      <c r="A92" s="296"/>
      <c r="B92" s="435"/>
      <c r="C92" s="435"/>
      <c r="D92" s="435"/>
      <c r="E92" s="429"/>
      <c r="F92" s="426"/>
      <c r="G92" s="426"/>
      <c r="H92" s="334"/>
      <c r="I92" s="334"/>
    </row>
    <row r="93" customFormat="false" ht="11.25" hidden="false" customHeight="false" outlineLevel="0" collapsed="false">
      <c r="A93" s="296"/>
      <c r="B93" s="435"/>
      <c r="C93" s="435"/>
      <c r="D93" s="435"/>
      <c r="E93" s="429"/>
      <c r="F93" s="426"/>
      <c r="G93" s="426"/>
      <c r="H93" s="334"/>
      <c r="I93" s="334"/>
    </row>
    <row r="94" customFormat="false" ht="11.25" hidden="false" customHeight="false" outlineLevel="0" collapsed="false">
      <c r="A94" s="296"/>
      <c r="B94" s="435"/>
      <c r="C94" s="435"/>
      <c r="D94" s="435"/>
      <c r="E94" s="429"/>
      <c r="F94" s="426"/>
      <c r="G94" s="426"/>
      <c r="H94" s="334"/>
      <c r="I94" s="334"/>
    </row>
    <row r="95" customFormat="false" ht="11.25" hidden="false" customHeight="false" outlineLevel="0" collapsed="false">
      <c r="A95" s="296"/>
      <c r="B95" s="435"/>
      <c r="C95" s="435"/>
      <c r="D95" s="435"/>
      <c r="E95" s="429"/>
      <c r="F95" s="426"/>
      <c r="G95" s="426"/>
      <c r="H95" s="334"/>
      <c r="I95" s="334"/>
    </row>
    <row r="96" customFormat="false" ht="11.25" hidden="false" customHeight="false" outlineLevel="0" collapsed="false">
      <c r="A96" s="296"/>
      <c r="B96" s="435"/>
      <c r="C96" s="435"/>
      <c r="D96" s="435"/>
      <c r="E96" s="429"/>
      <c r="F96" s="426"/>
      <c r="G96" s="426"/>
      <c r="H96" s="334"/>
      <c r="I96" s="334"/>
    </row>
    <row r="97" customFormat="false" ht="11.25" hidden="false" customHeight="false" outlineLevel="0" collapsed="false">
      <c r="A97" s="296"/>
      <c r="B97" s="435"/>
      <c r="C97" s="435"/>
      <c r="D97" s="435"/>
      <c r="E97" s="429"/>
      <c r="F97" s="426"/>
      <c r="G97" s="426"/>
      <c r="H97" s="334"/>
      <c r="I97" s="334"/>
    </row>
    <row r="98" customFormat="false" ht="11.25" hidden="false" customHeight="false" outlineLevel="0" collapsed="false">
      <c r="A98" s="296"/>
      <c r="B98" s="435"/>
      <c r="C98" s="435"/>
      <c r="D98" s="435"/>
      <c r="E98" s="429"/>
      <c r="F98" s="426"/>
      <c r="G98" s="426"/>
      <c r="H98" s="334"/>
      <c r="I98" s="334"/>
    </row>
    <row r="99" customFormat="false" ht="11.25" hidden="false" customHeight="false" outlineLevel="0" collapsed="false">
      <c r="A99" s="296"/>
      <c r="B99" s="435"/>
      <c r="C99" s="435"/>
      <c r="D99" s="435"/>
      <c r="E99" s="429"/>
      <c r="F99" s="426"/>
      <c r="G99" s="426"/>
      <c r="H99" s="334"/>
      <c r="I99" s="334"/>
    </row>
    <row r="100" customFormat="false" ht="11.25" hidden="false" customHeight="false" outlineLevel="0" collapsed="false">
      <c r="A100" s="296"/>
      <c r="B100" s="435"/>
      <c r="C100" s="435"/>
      <c r="D100" s="435"/>
      <c r="E100" s="429"/>
      <c r="F100" s="426"/>
      <c r="G100" s="426"/>
      <c r="H100" s="334"/>
      <c r="I100" s="334"/>
    </row>
    <row r="101" customFormat="false" ht="11.25" hidden="false" customHeight="false" outlineLevel="0" collapsed="false">
      <c r="A101" s="296"/>
      <c r="B101" s="435"/>
      <c r="C101" s="435"/>
      <c r="D101" s="435"/>
      <c r="E101" s="429"/>
      <c r="F101" s="426"/>
      <c r="G101" s="426"/>
      <c r="H101" s="334"/>
      <c r="I101" s="334"/>
    </row>
    <row r="102" customFormat="false" ht="11.25" hidden="false" customHeight="false" outlineLevel="0" collapsed="false">
      <c r="A102" s="296"/>
      <c r="B102" s="435"/>
      <c r="C102" s="435"/>
      <c r="D102" s="435"/>
      <c r="E102" s="429"/>
      <c r="F102" s="426"/>
      <c r="G102" s="426"/>
      <c r="H102" s="334"/>
      <c r="I102" s="334"/>
    </row>
    <row r="103" customFormat="false" ht="12.75" hidden="false" customHeight="true" outlineLevel="0" collapsed="false">
      <c r="A103" s="296"/>
      <c r="B103" s="435"/>
      <c r="C103" s="435"/>
      <c r="D103" s="435"/>
      <c r="E103" s="429"/>
      <c r="F103" s="426"/>
      <c r="G103" s="426"/>
      <c r="H103" s="334"/>
      <c r="I103" s="334"/>
    </row>
    <row r="104" customFormat="false" ht="11.25" hidden="false" customHeight="false" outlineLevel="0" collapsed="false">
      <c r="A104" s="296"/>
      <c r="B104" s="435"/>
      <c r="C104" s="435"/>
      <c r="D104" s="435"/>
      <c r="E104" s="429"/>
      <c r="F104" s="426"/>
      <c r="G104" s="426"/>
      <c r="H104" s="334"/>
      <c r="I104" s="334"/>
    </row>
    <row r="105" customFormat="false" ht="11.25" hidden="false" customHeight="false" outlineLevel="0" collapsed="false">
      <c r="A105" s="296"/>
      <c r="B105" s="435"/>
      <c r="C105" s="435"/>
      <c r="D105" s="435"/>
      <c r="E105" s="429"/>
      <c r="F105" s="426"/>
      <c r="G105" s="426"/>
      <c r="H105" s="334"/>
      <c r="I105" s="334"/>
    </row>
    <row r="106" customFormat="false" ht="11.25" hidden="false" customHeight="false" outlineLevel="0" collapsed="false">
      <c r="A106" s="296"/>
      <c r="B106" s="435"/>
      <c r="C106" s="435"/>
      <c r="D106" s="435"/>
      <c r="E106" s="429"/>
      <c r="F106" s="426"/>
      <c r="G106" s="426"/>
      <c r="H106" s="334"/>
      <c r="I106" s="334"/>
    </row>
    <row r="107" customFormat="false" ht="11.25" hidden="false" customHeight="false" outlineLevel="0" collapsed="false">
      <c r="A107" s="296"/>
      <c r="B107" s="435"/>
      <c r="C107" s="435"/>
      <c r="D107" s="435"/>
      <c r="E107" s="429"/>
      <c r="F107" s="426"/>
      <c r="G107" s="426"/>
      <c r="H107" s="334"/>
      <c r="I107" s="334"/>
    </row>
    <row r="108" customFormat="false" ht="11.25" hidden="false" customHeight="false" outlineLevel="0" collapsed="false">
      <c r="A108" s="296"/>
      <c r="B108" s="435"/>
      <c r="C108" s="435"/>
      <c r="D108" s="435"/>
      <c r="E108" s="429"/>
      <c r="F108" s="426"/>
      <c r="G108" s="426"/>
      <c r="H108" s="334"/>
      <c r="I108" s="334"/>
    </row>
    <row r="109" customFormat="false" ht="11.25" hidden="false" customHeight="false" outlineLevel="0" collapsed="false">
      <c r="A109" s="296"/>
      <c r="B109" s="435"/>
      <c r="C109" s="435"/>
      <c r="D109" s="435"/>
      <c r="E109" s="429"/>
      <c r="F109" s="426"/>
      <c r="G109" s="426"/>
      <c r="H109" s="334"/>
      <c r="I109" s="334"/>
    </row>
    <row r="110" customFormat="false" ht="11.25" hidden="false" customHeight="false" outlineLevel="0" collapsed="false">
      <c r="A110" s="296"/>
      <c r="B110" s="435"/>
      <c r="C110" s="435"/>
      <c r="D110" s="435"/>
      <c r="E110" s="429"/>
      <c r="F110" s="426"/>
      <c r="G110" s="426"/>
      <c r="H110" s="334"/>
      <c r="I110" s="334"/>
    </row>
    <row r="111" customFormat="false" ht="11.25" hidden="false" customHeight="false" outlineLevel="0" collapsed="false">
      <c r="A111" s="296"/>
      <c r="B111" s="435"/>
      <c r="C111" s="435"/>
      <c r="D111" s="435"/>
      <c r="E111" s="429"/>
      <c r="F111" s="426"/>
      <c r="G111" s="426"/>
      <c r="H111" s="334"/>
      <c r="I111" s="334"/>
    </row>
    <row r="112" customFormat="false" ht="11.25" hidden="false" customHeight="false" outlineLevel="0" collapsed="false">
      <c r="A112" s="296"/>
      <c r="B112" s="435"/>
      <c r="C112" s="435"/>
      <c r="D112" s="435"/>
      <c r="E112" s="429"/>
      <c r="F112" s="426"/>
      <c r="G112" s="426"/>
      <c r="H112" s="334"/>
      <c r="I112" s="334"/>
    </row>
    <row r="113" customFormat="false" ht="11.25" hidden="false" customHeight="false" outlineLevel="0" collapsed="false">
      <c r="A113" s="296"/>
      <c r="B113" s="435"/>
      <c r="C113" s="435"/>
      <c r="D113" s="435"/>
      <c r="E113" s="429"/>
      <c r="F113" s="426"/>
      <c r="G113" s="426"/>
      <c r="H113" s="334"/>
      <c r="I113" s="334"/>
    </row>
    <row r="114" customFormat="false" ht="11.25" hidden="false" customHeight="false" outlineLevel="0" collapsed="false">
      <c r="A114" s="296"/>
      <c r="B114" s="435"/>
      <c r="C114" s="435"/>
      <c r="D114" s="435"/>
      <c r="E114" s="429"/>
      <c r="F114" s="426"/>
      <c r="G114" s="426"/>
      <c r="H114" s="334"/>
      <c r="I114" s="334"/>
    </row>
    <row r="115" customFormat="false" ht="12.75" hidden="false" customHeight="true" outlineLevel="0" collapsed="false">
      <c r="A115" s="296"/>
      <c r="B115" s="435"/>
      <c r="C115" s="435"/>
      <c r="D115" s="435"/>
      <c r="E115" s="429"/>
      <c r="F115" s="426"/>
      <c r="G115" s="426"/>
      <c r="H115" s="334"/>
      <c r="I115" s="334"/>
    </row>
    <row r="116" customFormat="false" ht="11.25" hidden="false" customHeight="false" outlineLevel="0" collapsed="false">
      <c r="A116" s="296"/>
      <c r="B116" s="435"/>
      <c r="C116" s="435"/>
      <c r="D116" s="435"/>
      <c r="E116" s="429"/>
      <c r="F116" s="426"/>
      <c r="G116" s="426"/>
      <c r="H116" s="334"/>
      <c r="I116" s="334"/>
    </row>
    <row r="117" customFormat="false" ht="11.25" hidden="false" customHeight="false" outlineLevel="0" collapsed="false">
      <c r="A117" s="296"/>
      <c r="B117" s="435"/>
      <c r="C117" s="435"/>
      <c r="D117" s="435"/>
      <c r="E117" s="429"/>
      <c r="F117" s="426"/>
      <c r="G117" s="426"/>
      <c r="H117" s="334"/>
      <c r="I117" s="334"/>
    </row>
    <row r="118" customFormat="false" ht="11.25" hidden="false" customHeight="false" outlineLevel="0" collapsed="false">
      <c r="A118" s="296"/>
      <c r="B118" s="435"/>
      <c r="C118" s="435"/>
      <c r="D118" s="435"/>
      <c r="E118" s="429"/>
      <c r="F118" s="426"/>
      <c r="G118" s="426"/>
      <c r="H118" s="334"/>
      <c r="I118" s="334"/>
    </row>
    <row r="119" customFormat="false" ht="11.25" hidden="false" customHeight="false" outlineLevel="0" collapsed="false">
      <c r="A119" s="296"/>
      <c r="B119" s="435"/>
      <c r="C119" s="435"/>
      <c r="D119" s="435"/>
      <c r="E119" s="429"/>
      <c r="F119" s="426"/>
      <c r="G119" s="426"/>
      <c r="H119" s="334"/>
      <c r="I119" s="334"/>
    </row>
    <row r="120" customFormat="false" ht="11.25" hidden="false" customHeight="false" outlineLevel="0" collapsed="false">
      <c r="A120" s="296"/>
      <c r="B120" s="435"/>
      <c r="C120" s="435"/>
      <c r="D120" s="435"/>
      <c r="E120" s="429"/>
      <c r="F120" s="426"/>
      <c r="G120" s="426"/>
      <c r="H120" s="334"/>
      <c r="I120" s="334"/>
    </row>
    <row r="121" customFormat="false" ht="11.25" hidden="false" customHeight="false" outlineLevel="0" collapsed="false">
      <c r="A121" s="296"/>
      <c r="B121" s="435"/>
      <c r="C121" s="435"/>
      <c r="D121" s="435"/>
      <c r="E121" s="429"/>
      <c r="F121" s="426"/>
      <c r="G121" s="426"/>
      <c r="H121" s="334"/>
      <c r="I121" s="334"/>
    </row>
    <row r="122" customFormat="false" ht="11.25" hidden="false" customHeight="false" outlineLevel="0" collapsed="false">
      <c r="A122" s="296"/>
      <c r="B122" s="435"/>
      <c r="C122" s="435"/>
      <c r="D122" s="435"/>
      <c r="E122" s="429"/>
      <c r="F122" s="426"/>
      <c r="G122" s="426"/>
      <c r="H122" s="334"/>
      <c r="I122" s="334"/>
    </row>
    <row r="123" customFormat="false" ht="11.25" hidden="false" customHeight="false" outlineLevel="0" collapsed="false">
      <c r="A123" s="296"/>
      <c r="B123" s="435"/>
      <c r="C123" s="435"/>
      <c r="D123" s="435"/>
      <c r="E123" s="429"/>
      <c r="F123" s="426"/>
      <c r="G123" s="426"/>
      <c r="H123" s="334"/>
      <c r="I123" s="334"/>
    </row>
    <row r="124" customFormat="false" ht="11.25" hidden="false" customHeight="false" outlineLevel="0" collapsed="false">
      <c r="A124" s="296"/>
      <c r="B124" s="435"/>
      <c r="C124" s="435"/>
      <c r="D124" s="435"/>
      <c r="E124" s="429"/>
      <c r="F124" s="426"/>
      <c r="G124" s="426"/>
      <c r="H124" s="334"/>
      <c r="I124" s="334"/>
    </row>
    <row r="125" customFormat="false" ht="11.25" hidden="false" customHeight="false" outlineLevel="0" collapsed="false">
      <c r="A125" s="296"/>
      <c r="B125" s="435"/>
      <c r="C125" s="435"/>
      <c r="D125" s="435"/>
      <c r="E125" s="429"/>
      <c r="F125" s="426"/>
      <c r="G125" s="426"/>
      <c r="H125" s="334"/>
      <c r="I125" s="334"/>
    </row>
    <row r="126" customFormat="false" ht="11.25" hidden="false" customHeight="false" outlineLevel="0" collapsed="false">
      <c r="A126" s="296"/>
      <c r="B126" s="435"/>
      <c r="C126" s="435"/>
      <c r="D126" s="435"/>
      <c r="E126" s="429"/>
      <c r="F126" s="426"/>
      <c r="G126" s="426"/>
      <c r="H126" s="334"/>
      <c r="I126" s="334"/>
    </row>
    <row r="127" customFormat="false" ht="12.75" hidden="false" customHeight="true" outlineLevel="0" collapsed="false">
      <c r="A127" s="296"/>
      <c r="B127" s="435"/>
      <c r="C127" s="435"/>
      <c r="D127" s="435"/>
      <c r="E127" s="429"/>
      <c r="F127" s="426"/>
      <c r="G127" s="426"/>
      <c r="H127" s="334"/>
      <c r="I127" s="334"/>
    </row>
    <row r="128" customFormat="false" ht="11.25" hidden="false" customHeight="false" outlineLevel="0" collapsed="false">
      <c r="A128" s="296"/>
      <c r="B128" s="435"/>
      <c r="C128" s="435"/>
      <c r="D128" s="435"/>
      <c r="E128" s="429"/>
      <c r="F128" s="426"/>
      <c r="G128" s="426"/>
      <c r="H128" s="334"/>
      <c r="I128" s="334"/>
    </row>
    <row r="129" customFormat="false" ht="11.25" hidden="false" customHeight="false" outlineLevel="0" collapsed="false">
      <c r="A129" s="296"/>
      <c r="B129" s="435"/>
      <c r="C129" s="435"/>
      <c r="D129" s="435"/>
      <c r="E129" s="429"/>
      <c r="F129" s="426"/>
      <c r="G129" s="426"/>
      <c r="H129" s="334"/>
      <c r="I129" s="334"/>
    </row>
    <row r="130" customFormat="false" ht="11.25" hidden="false" customHeight="false" outlineLevel="0" collapsed="false">
      <c r="A130" s="296"/>
      <c r="B130" s="435"/>
      <c r="C130" s="435"/>
      <c r="D130" s="435"/>
      <c r="E130" s="429"/>
      <c r="F130" s="426"/>
      <c r="G130" s="426"/>
      <c r="H130" s="334"/>
      <c r="I130" s="334"/>
    </row>
    <row r="131" customFormat="false" ht="11.25" hidden="false" customHeight="false" outlineLevel="0" collapsed="false">
      <c r="A131" s="296"/>
      <c r="B131" s="435"/>
      <c r="C131" s="435"/>
      <c r="D131" s="435"/>
      <c r="E131" s="429"/>
      <c r="F131" s="426"/>
      <c r="G131" s="426"/>
      <c r="H131" s="334"/>
      <c r="I131" s="334"/>
    </row>
    <row r="132" customFormat="false" ht="11.25" hidden="false" customHeight="false" outlineLevel="0" collapsed="false">
      <c r="A132" s="296"/>
      <c r="B132" s="435"/>
      <c r="C132" s="435"/>
      <c r="D132" s="435"/>
      <c r="E132" s="429"/>
      <c r="F132" s="426"/>
      <c r="G132" s="426"/>
      <c r="H132" s="334"/>
      <c r="I132" s="334"/>
    </row>
    <row r="133" customFormat="false" ht="11.25" hidden="false" customHeight="false" outlineLevel="0" collapsed="false">
      <c r="A133" s="296"/>
      <c r="B133" s="435"/>
      <c r="C133" s="435"/>
      <c r="D133" s="435"/>
      <c r="E133" s="429"/>
      <c r="F133" s="426"/>
      <c r="G133" s="426"/>
      <c r="H133" s="334"/>
      <c r="I133" s="334"/>
    </row>
    <row r="134" customFormat="false" ht="11.25" hidden="false" customHeight="false" outlineLevel="0" collapsed="false">
      <c r="A134" s="296"/>
      <c r="B134" s="435"/>
      <c r="C134" s="435"/>
      <c r="D134" s="435"/>
      <c r="E134" s="429"/>
      <c r="F134" s="426"/>
      <c r="G134" s="426"/>
      <c r="H134" s="334"/>
      <c r="I134" s="334"/>
    </row>
    <row r="135" customFormat="false" ht="11.25" hidden="false" customHeight="false" outlineLevel="0" collapsed="false">
      <c r="A135" s="296"/>
      <c r="B135" s="435"/>
      <c r="C135" s="435"/>
      <c r="D135" s="435"/>
      <c r="E135" s="429"/>
      <c r="F135" s="426"/>
      <c r="G135" s="426"/>
      <c r="H135" s="334"/>
      <c r="I135" s="334"/>
    </row>
    <row r="136" customFormat="false" ht="11.25" hidden="false" customHeight="false" outlineLevel="0" collapsed="false">
      <c r="A136" s="296"/>
      <c r="B136" s="435"/>
      <c r="C136" s="435"/>
      <c r="D136" s="435"/>
      <c r="E136" s="429"/>
      <c r="F136" s="426"/>
      <c r="G136" s="426"/>
      <c r="H136" s="334"/>
      <c r="I136" s="334"/>
    </row>
    <row r="137" customFormat="false" ht="11.25" hidden="false" customHeight="false" outlineLevel="0" collapsed="false">
      <c r="A137" s="296"/>
      <c r="B137" s="435"/>
      <c r="C137" s="435"/>
      <c r="D137" s="435"/>
      <c r="E137" s="429"/>
      <c r="F137" s="426"/>
      <c r="G137" s="426"/>
      <c r="H137" s="334"/>
      <c r="I137" s="334"/>
    </row>
    <row r="138" customFormat="false" ht="11.25" hidden="false" customHeight="false" outlineLevel="0" collapsed="false">
      <c r="A138" s="296"/>
      <c r="B138" s="435"/>
      <c r="C138" s="435"/>
      <c r="D138" s="435"/>
      <c r="E138" s="429"/>
      <c r="F138" s="426"/>
      <c r="G138" s="426"/>
      <c r="H138" s="334"/>
      <c r="I138" s="334"/>
    </row>
    <row r="139" customFormat="false" ht="12.75" hidden="false" customHeight="true" outlineLevel="0" collapsed="false">
      <c r="A139" s="296"/>
      <c r="B139" s="435"/>
      <c r="C139" s="435"/>
      <c r="D139" s="435"/>
      <c r="E139" s="429"/>
      <c r="F139" s="426"/>
      <c r="G139" s="426"/>
      <c r="H139" s="334"/>
      <c r="I139" s="334"/>
    </row>
    <row r="140" customFormat="false" ht="11.25" hidden="false" customHeight="false" outlineLevel="0" collapsed="false">
      <c r="A140" s="296"/>
      <c r="B140" s="435"/>
      <c r="C140" s="435"/>
      <c r="D140" s="435"/>
      <c r="E140" s="429"/>
      <c r="F140" s="426"/>
      <c r="G140" s="426"/>
      <c r="H140" s="334"/>
      <c r="I140" s="334"/>
    </row>
    <row r="141" customFormat="false" ht="11.25" hidden="false" customHeight="false" outlineLevel="0" collapsed="false">
      <c r="A141" s="296"/>
      <c r="B141" s="435"/>
      <c r="C141" s="435"/>
      <c r="D141" s="435"/>
      <c r="E141" s="429"/>
      <c r="F141" s="426"/>
      <c r="G141" s="426"/>
      <c r="H141" s="334"/>
      <c r="I141" s="334"/>
    </row>
    <row r="142" customFormat="false" ht="11.25" hidden="false" customHeight="false" outlineLevel="0" collapsed="false">
      <c r="A142" s="296"/>
      <c r="B142" s="435"/>
      <c r="C142" s="435"/>
      <c r="D142" s="435"/>
      <c r="E142" s="429"/>
      <c r="F142" s="426"/>
      <c r="G142" s="426"/>
      <c r="H142" s="334"/>
      <c r="I142" s="334"/>
    </row>
    <row r="143" customFormat="false" ht="11.25" hidden="false" customHeight="false" outlineLevel="0" collapsed="false">
      <c r="A143" s="296"/>
      <c r="B143" s="435"/>
      <c r="C143" s="435"/>
      <c r="D143" s="435"/>
      <c r="E143" s="429"/>
      <c r="F143" s="426"/>
      <c r="G143" s="426"/>
      <c r="H143" s="334"/>
      <c r="I143" s="334"/>
    </row>
    <row r="144" customFormat="false" ht="11.25" hidden="false" customHeight="false" outlineLevel="0" collapsed="false">
      <c r="A144" s="296"/>
      <c r="B144" s="435"/>
      <c r="C144" s="435"/>
      <c r="D144" s="435"/>
      <c r="E144" s="429"/>
      <c r="F144" s="426"/>
      <c r="G144" s="426"/>
      <c r="H144" s="334"/>
      <c r="I144" s="334"/>
    </row>
    <row r="145" customFormat="false" ht="11.25" hidden="false" customHeight="false" outlineLevel="0" collapsed="false">
      <c r="A145" s="296"/>
      <c r="B145" s="435"/>
      <c r="C145" s="435"/>
      <c r="D145" s="435"/>
      <c r="E145" s="429"/>
      <c r="F145" s="426"/>
      <c r="G145" s="426"/>
      <c r="H145" s="334"/>
      <c r="I145" s="334"/>
    </row>
    <row r="146" customFormat="false" ht="11.25" hidden="false" customHeight="false" outlineLevel="0" collapsed="false">
      <c r="A146" s="296"/>
      <c r="B146" s="435"/>
      <c r="C146" s="435"/>
      <c r="D146" s="435"/>
      <c r="E146" s="429"/>
      <c r="F146" s="426"/>
      <c r="G146" s="426"/>
      <c r="H146" s="334"/>
      <c r="I146" s="334"/>
    </row>
    <row r="147" customFormat="false" ht="11.25" hidden="false" customHeight="false" outlineLevel="0" collapsed="false">
      <c r="A147" s="296"/>
      <c r="B147" s="435"/>
      <c r="C147" s="435"/>
      <c r="D147" s="435"/>
      <c r="E147" s="429"/>
      <c r="F147" s="426"/>
      <c r="G147" s="426"/>
      <c r="H147" s="334"/>
      <c r="I147" s="334"/>
    </row>
    <row r="148" customFormat="false" ht="11.25" hidden="false" customHeight="false" outlineLevel="0" collapsed="false">
      <c r="A148" s="296"/>
      <c r="B148" s="435"/>
      <c r="C148" s="435"/>
      <c r="D148" s="435"/>
      <c r="E148" s="429"/>
      <c r="F148" s="426"/>
      <c r="G148" s="426"/>
      <c r="H148" s="334"/>
      <c r="I148" s="334"/>
    </row>
    <row r="149" customFormat="false" ht="11.25" hidden="false" customHeight="false" outlineLevel="0" collapsed="false">
      <c r="A149" s="296"/>
      <c r="B149" s="435"/>
      <c r="C149" s="435"/>
      <c r="D149" s="435"/>
      <c r="E149" s="429"/>
      <c r="F149" s="426"/>
      <c r="G149" s="426"/>
      <c r="H149" s="334"/>
      <c r="I149" s="334"/>
    </row>
    <row r="150" customFormat="false" ht="11.25" hidden="false" customHeight="false" outlineLevel="0" collapsed="false">
      <c r="A150" s="296"/>
      <c r="B150" s="435"/>
      <c r="C150" s="435"/>
      <c r="D150" s="435"/>
      <c r="E150" s="429"/>
      <c r="F150" s="426"/>
      <c r="G150" s="426"/>
      <c r="H150" s="334"/>
      <c r="I150" s="334"/>
    </row>
    <row r="151" customFormat="false" ht="12.75" hidden="false" customHeight="true" outlineLevel="0" collapsed="false">
      <c r="A151" s="296"/>
      <c r="B151" s="435"/>
      <c r="C151" s="435"/>
      <c r="D151" s="435"/>
      <c r="E151" s="429"/>
      <c r="F151" s="426"/>
      <c r="G151" s="426"/>
      <c r="H151" s="334"/>
      <c r="I151" s="334"/>
    </row>
    <row r="152" customFormat="false" ht="11.25" hidden="false" customHeight="false" outlineLevel="0" collapsed="false">
      <c r="A152" s="296"/>
      <c r="B152" s="435"/>
      <c r="C152" s="435"/>
      <c r="D152" s="435"/>
      <c r="E152" s="429"/>
      <c r="F152" s="426"/>
      <c r="G152" s="426"/>
      <c r="H152" s="334"/>
      <c r="I152" s="334"/>
    </row>
    <row r="153" customFormat="false" ht="11.25" hidden="false" customHeight="false" outlineLevel="0" collapsed="false">
      <c r="A153" s="296"/>
      <c r="B153" s="435"/>
      <c r="C153" s="435"/>
      <c r="D153" s="435"/>
      <c r="E153" s="429"/>
      <c r="F153" s="426"/>
      <c r="G153" s="426"/>
      <c r="H153" s="334"/>
      <c r="I153" s="334"/>
    </row>
    <row r="154" customFormat="false" ht="11.25" hidden="false" customHeight="false" outlineLevel="0" collapsed="false">
      <c r="A154" s="296"/>
      <c r="B154" s="435"/>
      <c r="C154" s="435"/>
      <c r="D154" s="435"/>
      <c r="E154" s="429"/>
      <c r="F154" s="426"/>
      <c r="G154" s="426"/>
      <c r="H154" s="334"/>
      <c r="I154" s="334"/>
    </row>
    <row r="155" customFormat="false" ht="11.25" hidden="false" customHeight="false" outlineLevel="0" collapsed="false">
      <c r="A155" s="296"/>
      <c r="B155" s="435"/>
      <c r="C155" s="435"/>
      <c r="D155" s="435"/>
      <c r="E155" s="429"/>
      <c r="F155" s="426"/>
      <c r="G155" s="426"/>
      <c r="H155" s="334"/>
      <c r="I155" s="334"/>
    </row>
    <row r="156" customFormat="false" ht="11.25" hidden="false" customHeight="false" outlineLevel="0" collapsed="false">
      <c r="A156" s="296"/>
      <c r="B156" s="435"/>
      <c r="C156" s="435"/>
      <c r="D156" s="435"/>
      <c r="E156" s="429"/>
      <c r="F156" s="426"/>
      <c r="G156" s="426"/>
      <c r="H156" s="334"/>
      <c r="I156" s="334"/>
    </row>
    <row r="157" customFormat="false" ht="11.25" hidden="false" customHeight="false" outlineLevel="0" collapsed="false">
      <c r="A157" s="296"/>
      <c r="B157" s="435"/>
      <c r="C157" s="435"/>
      <c r="D157" s="435"/>
      <c r="E157" s="429"/>
      <c r="F157" s="426"/>
      <c r="G157" s="426"/>
      <c r="H157" s="334"/>
      <c r="I157" s="334"/>
    </row>
    <row r="158" customFormat="false" ht="11.25" hidden="false" customHeight="false" outlineLevel="0" collapsed="false">
      <c r="A158" s="296"/>
      <c r="B158" s="435"/>
      <c r="C158" s="435"/>
      <c r="D158" s="435"/>
      <c r="E158" s="429"/>
      <c r="F158" s="426"/>
      <c r="G158" s="426"/>
      <c r="H158" s="334"/>
      <c r="I158" s="334"/>
    </row>
    <row r="159" customFormat="false" ht="11.25" hidden="false" customHeight="false" outlineLevel="0" collapsed="false">
      <c r="A159" s="296"/>
      <c r="B159" s="435"/>
      <c r="C159" s="435"/>
      <c r="D159" s="435"/>
      <c r="E159" s="429"/>
      <c r="F159" s="426"/>
      <c r="G159" s="426"/>
      <c r="H159" s="334"/>
      <c r="I159" s="334"/>
    </row>
    <row r="160" customFormat="false" ht="11.25" hidden="false" customHeight="false" outlineLevel="0" collapsed="false">
      <c r="A160" s="296"/>
      <c r="B160" s="435"/>
      <c r="C160" s="435"/>
      <c r="D160" s="435"/>
      <c r="E160" s="429"/>
      <c r="F160" s="426"/>
      <c r="G160" s="426"/>
      <c r="H160" s="334"/>
      <c r="I160" s="334"/>
    </row>
    <row r="161" customFormat="false" ht="11.25" hidden="false" customHeight="false" outlineLevel="0" collapsed="false">
      <c r="A161" s="296"/>
      <c r="B161" s="435"/>
      <c r="C161" s="435"/>
      <c r="D161" s="435"/>
      <c r="E161" s="429"/>
      <c r="F161" s="426"/>
      <c r="G161" s="426"/>
      <c r="H161" s="334"/>
      <c r="I161" s="334"/>
    </row>
    <row r="162" customFormat="false" ht="11.25" hidden="false" customHeight="false" outlineLevel="0" collapsed="false">
      <c r="A162" s="296"/>
      <c r="B162" s="435"/>
      <c r="C162" s="435"/>
      <c r="D162" s="435"/>
      <c r="E162" s="429"/>
      <c r="F162" s="426"/>
      <c r="G162" s="426"/>
      <c r="H162" s="334"/>
      <c r="I162" s="334"/>
    </row>
    <row r="163" customFormat="false" ht="12.75" hidden="false" customHeight="true" outlineLevel="0" collapsed="false">
      <c r="A163" s="296"/>
      <c r="B163" s="435"/>
      <c r="C163" s="435"/>
      <c r="D163" s="435"/>
      <c r="E163" s="429"/>
      <c r="F163" s="426"/>
      <c r="G163" s="426"/>
      <c r="H163" s="334"/>
      <c r="I163" s="334"/>
    </row>
    <row r="164" customFormat="false" ht="11.25" hidden="false" customHeight="false" outlineLevel="0" collapsed="false">
      <c r="A164" s="296"/>
      <c r="B164" s="435"/>
      <c r="C164" s="435"/>
      <c r="D164" s="435"/>
      <c r="E164" s="429"/>
      <c r="F164" s="426"/>
      <c r="G164" s="426"/>
      <c r="H164" s="334"/>
      <c r="I164" s="334"/>
    </row>
    <row r="165" customFormat="false" ht="11.25" hidden="false" customHeight="false" outlineLevel="0" collapsed="false">
      <c r="A165" s="296"/>
      <c r="B165" s="435"/>
      <c r="C165" s="435"/>
      <c r="D165" s="435"/>
      <c r="E165" s="429"/>
      <c r="F165" s="426"/>
      <c r="G165" s="426"/>
      <c r="H165" s="334"/>
      <c r="I165" s="334"/>
    </row>
    <row r="166" customFormat="false" ht="11.25" hidden="false" customHeight="false" outlineLevel="0" collapsed="false">
      <c r="A166" s="296"/>
      <c r="B166" s="435"/>
      <c r="C166" s="435"/>
      <c r="D166" s="435"/>
      <c r="E166" s="429"/>
      <c r="F166" s="426"/>
      <c r="G166" s="426"/>
      <c r="H166" s="334"/>
      <c r="I166" s="334"/>
    </row>
    <row r="167" customFormat="false" ht="11.25" hidden="false" customHeight="false" outlineLevel="0" collapsed="false">
      <c r="A167" s="296"/>
      <c r="B167" s="435"/>
      <c r="C167" s="435"/>
      <c r="D167" s="435"/>
      <c r="E167" s="429"/>
      <c r="F167" s="426"/>
      <c r="G167" s="426"/>
      <c r="H167" s="334"/>
      <c r="I167" s="334"/>
    </row>
    <row r="168" customFormat="false" ht="11.25" hidden="false" customHeight="false" outlineLevel="0" collapsed="false">
      <c r="A168" s="296"/>
      <c r="B168" s="435"/>
      <c r="C168" s="435"/>
      <c r="D168" s="435"/>
      <c r="E168" s="429"/>
      <c r="F168" s="426"/>
      <c r="G168" s="426"/>
      <c r="H168" s="334"/>
      <c r="I168" s="334"/>
    </row>
    <row r="169" customFormat="false" ht="11.25" hidden="false" customHeight="false" outlineLevel="0" collapsed="false">
      <c r="A169" s="296"/>
      <c r="B169" s="435"/>
      <c r="C169" s="435"/>
      <c r="D169" s="435"/>
      <c r="E169" s="429"/>
      <c r="F169" s="426"/>
      <c r="G169" s="426"/>
      <c r="H169" s="334"/>
      <c r="I169" s="334"/>
    </row>
    <row r="170" customFormat="false" ht="11.25" hidden="false" customHeight="false" outlineLevel="0" collapsed="false">
      <c r="A170" s="296"/>
      <c r="B170" s="435"/>
      <c r="C170" s="435"/>
      <c r="D170" s="435"/>
      <c r="E170" s="429"/>
      <c r="F170" s="426"/>
      <c r="G170" s="426"/>
      <c r="H170" s="334"/>
      <c r="I170" s="334"/>
    </row>
    <row r="171" customFormat="false" ht="11.25" hidden="false" customHeight="false" outlineLevel="0" collapsed="false">
      <c r="A171" s="296"/>
      <c r="B171" s="435"/>
      <c r="C171" s="435"/>
      <c r="D171" s="435"/>
      <c r="E171" s="429"/>
      <c r="F171" s="426"/>
      <c r="G171" s="426"/>
      <c r="H171" s="334"/>
      <c r="I171" s="334"/>
    </row>
    <row r="172" customFormat="false" ht="11.25" hidden="false" customHeight="false" outlineLevel="0" collapsed="false">
      <c r="A172" s="296"/>
      <c r="B172" s="435"/>
      <c r="C172" s="435"/>
      <c r="D172" s="435"/>
      <c r="E172" s="429"/>
      <c r="F172" s="426"/>
      <c r="G172" s="426"/>
      <c r="H172" s="334"/>
      <c r="I172" s="334"/>
    </row>
    <row r="173" customFormat="false" ht="11.25" hidden="false" customHeight="false" outlineLevel="0" collapsed="false">
      <c r="A173" s="296"/>
      <c r="B173" s="435"/>
      <c r="C173" s="435"/>
      <c r="D173" s="435"/>
      <c r="E173" s="429"/>
      <c r="F173" s="426"/>
      <c r="G173" s="426"/>
      <c r="H173" s="334"/>
      <c r="I173" s="334"/>
    </row>
    <row r="174" customFormat="false" ht="11.25" hidden="false" customHeight="false" outlineLevel="0" collapsed="false">
      <c r="A174" s="296"/>
      <c r="B174" s="435"/>
      <c r="C174" s="435"/>
      <c r="D174" s="435"/>
      <c r="E174" s="429"/>
      <c r="F174" s="426"/>
      <c r="G174" s="426"/>
      <c r="H174" s="334"/>
      <c r="I174" s="334"/>
    </row>
    <row r="175" customFormat="false" ht="12.75" hidden="false" customHeight="true" outlineLevel="0" collapsed="false">
      <c r="A175" s="296"/>
      <c r="B175" s="435"/>
      <c r="C175" s="435"/>
      <c r="D175" s="435"/>
      <c r="E175" s="429"/>
      <c r="F175" s="426"/>
      <c r="G175" s="426"/>
      <c r="H175" s="334"/>
      <c r="I175" s="334"/>
    </row>
    <row r="176" customFormat="false" ht="11.25" hidden="false" customHeight="false" outlineLevel="0" collapsed="false">
      <c r="A176" s="296"/>
      <c r="B176" s="435"/>
      <c r="C176" s="435"/>
      <c r="D176" s="435"/>
      <c r="E176" s="429"/>
      <c r="F176" s="426"/>
      <c r="G176" s="426"/>
      <c r="H176" s="334"/>
      <c r="I176" s="334"/>
    </row>
    <row r="177" customFormat="false" ht="11.25" hidden="false" customHeight="false" outlineLevel="0" collapsed="false">
      <c r="A177" s="296"/>
      <c r="B177" s="435"/>
      <c r="C177" s="435"/>
      <c r="D177" s="435"/>
      <c r="E177" s="429"/>
      <c r="F177" s="426"/>
      <c r="G177" s="426"/>
      <c r="H177" s="334"/>
      <c r="I177" s="334"/>
    </row>
    <row r="178" customFormat="false" ht="11.25" hidden="false" customHeight="false" outlineLevel="0" collapsed="false">
      <c r="A178" s="296"/>
      <c r="B178" s="435"/>
      <c r="C178" s="435"/>
      <c r="D178" s="435"/>
      <c r="E178" s="429"/>
      <c r="F178" s="426"/>
      <c r="G178" s="426"/>
      <c r="H178" s="334"/>
      <c r="I178" s="334"/>
    </row>
    <row r="179" customFormat="false" ht="11.25" hidden="false" customHeight="false" outlineLevel="0" collapsed="false">
      <c r="A179" s="296"/>
      <c r="B179" s="435"/>
      <c r="C179" s="435"/>
      <c r="D179" s="435"/>
      <c r="E179" s="429"/>
      <c r="F179" s="426"/>
      <c r="G179" s="426"/>
      <c r="H179" s="334"/>
      <c r="I179" s="334"/>
    </row>
    <row r="180" customFormat="false" ht="11.25" hidden="false" customHeight="false" outlineLevel="0" collapsed="false">
      <c r="A180" s="296"/>
      <c r="B180" s="435"/>
      <c r="C180" s="435"/>
      <c r="D180" s="435"/>
      <c r="E180" s="429"/>
      <c r="F180" s="426"/>
      <c r="G180" s="426"/>
      <c r="H180" s="334"/>
      <c r="I180" s="334"/>
    </row>
    <row r="181" customFormat="false" ht="11.25" hidden="false" customHeight="false" outlineLevel="0" collapsed="false">
      <c r="A181" s="296"/>
      <c r="B181" s="435"/>
      <c r="C181" s="435"/>
      <c r="D181" s="435"/>
      <c r="E181" s="429"/>
      <c r="F181" s="426"/>
      <c r="G181" s="426"/>
      <c r="H181" s="334"/>
      <c r="I181" s="334"/>
    </row>
    <row r="182" customFormat="false" ht="11.25" hidden="false" customHeight="false" outlineLevel="0" collapsed="false">
      <c r="A182" s="296"/>
      <c r="B182" s="435"/>
      <c r="C182" s="435"/>
      <c r="D182" s="435"/>
      <c r="E182" s="429"/>
      <c r="F182" s="426"/>
      <c r="G182" s="426"/>
      <c r="H182" s="334"/>
      <c r="I182" s="334"/>
    </row>
    <row r="183" customFormat="false" ht="11.25" hidden="false" customHeight="false" outlineLevel="0" collapsed="false">
      <c r="A183" s="296"/>
      <c r="B183" s="435"/>
      <c r="C183" s="435"/>
      <c r="D183" s="435"/>
      <c r="E183" s="429"/>
      <c r="F183" s="426"/>
      <c r="G183" s="426"/>
      <c r="H183" s="334"/>
      <c r="I183" s="334"/>
    </row>
    <row r="184" customFormat="false" ht="11.25" hidden="false" customHeight="false" outlineLevel="0" collapsed="false">
      <c r="A184" s="296"/>
      <c r="B184" s="435"/>
      <c r="C184" s="435"/>
      <c r="D184" s="435"/>
      <c r="E184" s="429"/>
      <c r="F184" s="426"/>
      <c r="G184" s="426"/>
      <c r="H184" s="334"/>
      <c r="I184" s="334"/>
    </row>
    <row r="185" customFormat="false" ht="11.25" hidden="false" customHeight="false" outlineLevel="0" collapsed="false">
      <c r="A185" s="296"/>
      <c r="B185" s="435"/>
      <c r="C185" s="435"/>
      <c r="D185" s="435"/>
      <c r="E185" s="429"/>
      <c r="F185" s="426"/>
      <c r="G185" s="426"/>
      <c r="H185" s="334"/>
      <c r="I185" s="334"/>
    </row>
    <row r="186" customFormat="false" ht="11.25" hidden="false" customHeight="false" outlineLevel="0" collapsed="false">
      <c r="A186" s="296"/>
      <c r="B186" s="435"/>
      <c r="C186" s="435"/>
      <c r="D186" s="435"/>
      <c r="E186" s="429"/>
      <c r="F186" s="426"/>
      <c r="G186" s="426"/>
      <c r="H186" s="334"/>
      <c r="I186" s="334"/>
    </row>
    <row r="187" customFormat="false" ht="12.75" hidden="false" customHeight="true" outlineLevel="0" collapsed="false">
      <c r="A187" s="296"/>
      <c r="B187" s="435"/>
      <c r="C187" s="435"/>
      <c r="D187" s="435"/>
      <c r="E187" s="429"/>
      <c r="F187" s="426"/>
      <c r="G187" s="426"/>
      <c r="H187" s="334"/>
      <c r="I187" s="334"/>
    </row>
    <row r="188" customFormat="false" ht="11.25" hidden="false" customHeight="false" outlineLevel="0" collapsed="false">
      <c r="A188" s="296"/>
      <c r="B188" s="435"/>
      <c r="C188" s="435"/>
      <c r="D188" s="435"/>
      <c r="E188" s="429"/>
      <c r="F188" s="426"/>
      <c r="G188" s="426"/>
      <c r="H188" s="334"/>
      <c r="I188" s="334"/>
    </row>
    <row r="189" customFormat="false" ht="11.25" hidden="false" customHeight="false" outlineLevel="0" collapsed="false">
      <c r="A189" s="296"/>
      <c r="B189" s="435"/>
      <c r="C189" s="435"/>
      <c r="D189" s="435"/>
      <c r="E189" s="429"/>
      <c r="F189" s="426"/>
      <c r="G189" s="426"/>
      <c r="H189" s="334"/>
      <c r="I189" s="334"/>
    </row>
    <row r="190" customFormat="false" ht="11.25" hidden="false" customHeight="false" outlineLevel="0" collapsed="false">
      <c r="A190" s="296"/>
      <c r="B190" s="435"/>
      <c r="C190" s="435"/>
      <c r="D190" s="435"/>
      <c r="E190" s="429"/>
      <c r="F190" s="426"/>
      <c r="G190" s="426"/>
      <c r="H190" s="334"/>
      <c r="I190" s="334"/>
    </row>
    <row r="191" customFormat="false" ht="11.25" hidden="false" customHeight="false" outlineLevel="0" collapsed="false">
      <c r="A191" s="296"/>
      <c r="B191" s="435"/>
      <c r="C191" s="435"/>
      <c r="D191" s="435"/>
      <c r="E191" s="429"/>
      <c r="F191" s="426"/>
      <c r="G191" s="426"/>
      <c r="H191" s="334"/>
      <c r="I191" s="334"/>
    </row>
    <row r="192" customFormat="false" ht="11.25" hidden="false" customHeight="false" outlineLevel="0" collapsed="false">
      <c r="A192" s="296"/>
      <c r="B192" s="435"/>
      <c r="C192" s="435"/>
      <c r="D192" s="435"/>
      <c r="E192" s="429"/>
      <c r="F192" s="426"/>
      <c r="G192" s="426"/>
      <c r="H192" s="334"/>
      <c r="I192" s="334"/>
    </row>
    <row r="193" customFormat="false" ht="10.5" hidden="false" customHeight="true" outlineLevel="0" collapsed="false">
      <c r="A193" s="296"/>
      <c r="B193" s="435"/>
      <c r="C193" s="435"/>
      <c r="D193" s="435"/>
      <c r="E193" s="429"/>
      <c r="F193" s="426"/>
      <c r="G193" s="426"/>
      <c r="H193" s="334"/>
      <c r="I193" s="334"/>
    </row>
    <row r="194" customFormat="false" ht="11.25" hidden="false" customHeight="false" outlineLevel="0" collapsed="false">
      <c r="A194" s="296"/>
      <c r="B194" s="435"/>
      <c r="C194" s="435"/>
      <c r="D194" s="435"/>
      <c r="E194" s="429"/>
      <c r="F194" s="426"/>
      <c r="G194" s="426"/>
      <c r="H194" s="334"/>
      <c r="I194" s="334"/>
    </row>
    <row r="195" customFormat="false" ht="11.25" hidden="false" customHeight="false" outlineLevel="0" collapsed="false">
      <c r="A195" s="296"/>
      <c r="B195" s="435"/>
      <c r="C195" s="435"/>
      <c r="D195" s="435"/>
      <c r="E195" s="429"/>
      <c r="F195" s="426"/>
      <c r="G195" s="426"/>
      <c r="H195" s="334"/>
      <c r="I195" s="334"/>
    </row>
    <row r="196" customFormat="false" ht="11.25" hidden="false" customHeight="false" outlineLevel="0" collapsed="false">
      <c r="A196" s="296"/>
      <c r="B196" s="435"/>
      <c r="C196" s="435"/>
      <c r="D196" s="435"/>
      <c r="E196" s="429"/>
      <c r="F196" s="426"/>
      <c r="G196" s="426"/>
      <c r="H196" s="334"/>
      <c r="I196" s="334"/>
    </row>
    <row r="197" customFormat="false" ht="11.25" hidden="false" customHeight="false" outlineLevel="0" collapsed="false">
      <c r="A197" s="296"/>
      <c r="B197" s="435"/>
      <c r="C197" s="435"/>
      <c r="D197" s="435"/>
      <c r="E197" s="429"/>
      <c r="F197" s="426"/>
      <c r="G197" s="426"/>
      <c r="H197" s="334"/>
      <c r="I197" s="334"/>
    </row>
    <row r="198" customFormat="false" ht="11.25" hidden="false" customHeight="false" outlineLevel="0" collapsed="false">
      <c r="A198" s="296"/>
      <c r="B198" s="435"/>
      <c r="C198" s="435"/>
      <c r="D198" s="435"/>
      <c r="E198" s="429"/>
      <c r="F198" s="426"/>
      <c r="G198" s="426"/>
      <c r="H198" s="334"/>
      <c r="I198" s="334"/>
    </row>
    <row r="199" customFormat="false" ht="12.75" hidden="false" customHeight="true" outlineLevel="0" collapsed="false">
      <c r="A199" s="296"/>
      <c r="B199" s="435"/>
      <c r="C199" s="435"/>
      <c r="D199" s="435"/>
      <c r="E199" s="429"/>
      <c r="F199" s="426"/>
      <c r="G199" s="426"/>
      <c r="H199" s="334"/>
      <c r="I199" s="334"/>
    </row>
    <row r="200" customFormat="false" ht="11.25" hidden="false" customHeight="false" outlineLevel="0" collapsed="false">
      <c r="A200" s="296"/>
      <c r="B200" s="435"/>
      <c r="C200" s="435"/>
      <c r="D200" s="435"/>
      <c r="E200" s="429"/>
      <c r="F200" s="426"/>
      <c r="G200" s="426"/>
      <c r="H200" s="334"/>
      <c r="I200" s="334"/>
    </row>
    <row r="201" customFormat="false" ht="11.25" hidden="false" customHeight="false" outlineLevel="0" collapsed="false">
      <c r="A201" s="296"/>
      <c r="B201" s="435"/>
      <c r="C201" s="435"/>
      <c r="D201" s="435"/>
      <c r="E201" s="429"/>
      <c r="F201" s="426"/>
      <c r="G201" s="426"/>
      <c r="H201" s="334"/>
      <c r="I201" s="334"/>
    </row>
    <row r="202" customFormat="false" ht="11.25" hidden="false" customHeight="false" outlineLevel="0" collapsed="false">
      <c r="A202" s="296"/>
      <c r="B202" s="435"/>
      <c r="C202" s="435"/>
      <c r="D202" s="435"/>
      <c r="E202" s="429"/>
      <c r="F202" s="426"/>
      <c r="G202" s="426"/>
      <c r="H202" s="334"/>
      <c r="I202" s="334"/>
    </row>
    <row r="203" customFormat="false" ht="11.25" hidden="false" customHeight="false" outlineLevel="0" collapsed="false">
      <c r="A203" s="296"/>
      <c r="B203" s="435"/>
      <c r="C203" s="435"/>
      <c r="D203" s="435"/>
      <c r="E203" s="429"/>
      <c r="F203" s="426"/>
      <c r="G203" s="426"/>
      <c r="H203" s="334"/>
      <c r="I203" s="334"/>
    </row>
    <row r="204" customFormat="false" ht="11.25" hidden="false" customHeight="false" outlineLevel="0" collapsed="false">
      <c r="A204" s="296"/>
      <c r="B204" s="435"/>
      <c r="C204" s="435"/>
      <c r="D204" s="435"/>
      <c r="E204" s="429"/>
      <c r="F204" s="426"/>
      <c r="G204" s="426"/>
      <c r="H204" s="334"/>
      <c r="I204" s="334"/>
    </row>
    <row r="205" customFormat="false" ht="11.25" hidden="false" customHeight="false" outlineLevel="0" collapsed="false">
      <c r="A205" s="296"/>
      <c r="B205" s="435"/>
      <c r="C205" s="435"/>
      <c r="D205" s="435"/>
      <c r="E205" s="429"/>
      <c r="F205" s="426"/>
      <c r="G205" s="426"/>
      <c r="H205" s="334"/>
      <c r="I205" s="334"/>
    </row>
    <row r="206" customFormat="false" ht="11.25" hidden="false" customHeight="false" outlineLevel="0" collapsed="false">
      <c r="A206" s="296"/>
      <c r="B206" s="435"/>
      <c r="C206" s="435"/>
      <c r="D206" s="435"/>
      <c r="E206" s="429"/>
      <c r="F206" s="426"/>
      <c r="G206" s="426"/>
      <c r="H206" s="334"/>
      <c r="I206" s="334"/>
    </row>
    <row r="207" customFormat="false" ht="11.25" hidden="false" customHeight="false" outlineLevel="0" collapsed="false">
      <c r="A207" s="296"/>
      <c r="B207" s="435"/>
      <c r="C207" s="435"/>
      <c r="D207" s="435"/>
      <c r="E207" s="429"/>
      <c r="F207" s="426"/>
      <c r="G207" s="426"/>
      <c r="H207" s="334"/>
      <c r="I207" s="334"/>
    </row>
    <row r="208" customFormat="false" ht="11.25" hidden="false" customHeight="false" outlineLevel="0" collapsed="false">
      <c r="A208" s="296"/>
      <c r="B208" s="435"/>
      <c r="C208" s="435"/>
      <c r="D208" s="435"/>
      <c r="E208" s="429"/>
      <c r="F208" s="426"/>
      <c r="G208" s="426"/>
      <c r="H208" s="334"/>
      <c r="I208" s="334"/>
    </row>
    <row r="209" customFormat="false" ht="11.25" hidden="false" customHeight="false" outlineLevel="0" collapsed="false">
      <c r="A209" s="296"/>
      <c r="B209" s="435"/>
      <c r="C209" s="435"/>
      <c r="D209" s="435"/>
      <c r="E209" s="429"/>
      <c r="F209" s="426"/>
      <c r="G209" s="426"/>
      <c r="H209" s="334"/>
      <c r="I209" s="334"/>
    </row>
    <row r="210" customFormat="false" ht="11.25" hidden="false" customHeight="false" outlineLevel="0" collapsed="false">
      <c r="A210" s="296"/>
      <c r="B210" s="435"/>
      <c r="C210" s="435"/>
      <c r="D210" s="435"/>
      <c r="E210" s="429"/>
      <c r="F210" s="426"/>
      <c r="G210" s="426"/>
      <c r="H210" s="334"/>
      <c r="I210" s="334"/>
    </row>
    <row r="211" customFormat="false" ht="12.75" hidden="false" customHeight="true" outlineLevel="0" collapsed="false">
      <c r="A211" s="296"/>
      <c r="B211" s="435"/>
      <c r="C211" s="435"/>
      <c r="D211" s="435"/>
      <c r="E211" s="429"/>
      <c r="F211" s="426"/>
      <c r="G211" s="426"/>
      <c r="H211" s="334"/>
      <c r="I211" s="334"/>
    </row>
    <row r="212" customFormat="false" ht="11.25" hidden="false" customHeight="false" outlineLevel="0" collapsed="false">
      <c r="A212" s="296"/>
      <c r="B212" s="435"/>
      <c r="C212" s="435"/>
      <c r="D212" s="435"/>
      <c r="E212" s="429"/>
      <c r="F212" s="426"/>
      <c r="G212" s="426"/>
      <c r="H212" s="334"/>
      <c r="I212" s="334"/>
    </row>
    <row r="213" customFormat="false" ht="11.25" hidden="false" customHeight="false" outlineLevel="0" collapsed="false">
      <c r="A213" s="296"/>
      <c r="B213" s="435"/>
      <c r="C213" s="435"/>
      <c r="D213" s="435"/>
      <c r="E213" s="429"/>
      <c r="F213" s="426"/>
      <c r="G213" s="426"/>
      <c r="H213" s="334"/>
      <c r="I213" s="334"/>
    </row>
    <row r="214" customFormat="false" ht="11.25" hidden="false" customHeight="false" outlineLevel="0" collapsed="false">
      <c r="A214" s="296"/>
      <c r="B214" s="435"/>
      <c r="C214" s="435"/>
      <c r="D214" s="435"/>
      <c r="E214" s="429"/>
      <c r="F214" s="426"/>
      <c r="G214" s="426"/>
      <c r="H214" s="334"/>
      <c r="I214" s="334"/>
    </row>
    <row r="215" customFormat="false" ht="11.25" hidden="false" customHeight="false" outlineLevel="0" collapsed="false">
      <c r="A215" s="296"/>
      <c r="B215" s="435"/>
      <c r="C215" s="435"/>
      <c r="D215" s="435"/>
      <c r="E215" s="429"/>
      <c r="F215" s="426"/>
      <c r="G215" s="426"/>
      <c r="H215" s="334"/>
      <c r="I215" s="334"/>
    </row>
    <row r="216" customFormat="false" ht="11.25" hidden="false" customHeight="false" outlineLevel="0" collapsed="false">
      <c r="A216" s="296"/>
      <c r="B216" s="435"/>
      <c r="C216" s="435"/>
      <c r="D216" s="435"/>
      <c r="E216" s="429"/>
      <c r="F216" s="426"/>
      <c r="G216" s="426"/>
      <c r="H216" s="334"/>
      <c r="I216" s="334"/>
    </row>
    <row r="217" customFormat="false" ht="11.25" hidden="false" customHeight="false" outlineLevel="0" collapsed="false">
      <c r="A217" s="296"/>
      <c r="B217" s="435"/>
      <c r="C217" s="435"/>
      <c r="D217" s="435"/>
      <c r="E217" s="429"/>
      <c r="F217" s="426"/>
      <c r="G217" s="426"/>
      <c r="H217" s="334"/>
      <c r="I217" s="334"/>
    </row>
    <row r="218" customFormat="false" ht="11.25" hidden="false" customHeight="false" outlineLevel="0" collapsed="false">
      <c r="A218" s="296"/>
      <c r="B218" s="435"/>
      <c r="C218" s="435"/>
      <c r="D218" s="435"/>
      <c r="E218" s="429"/>
      <c r="F218" s="426"/>
      <c r="G218" s="426"/>
      <c r="H218" s="334"/>
      <c r="I218" s="334"/>
    </row>
    <row r="219" customFormat="false" ht="11.25" hidden="false" customHeight="false" outlineLevel="0" collapsed="false">
      <c r="A219" s="296"/>
      <c r="B219" s="435"/>
      <c r="C219" s="435"/>
      <c r="D219" s="435"/>
      <c r="E219" s="429"/>
      <c r="F219" s="426"/>
      <c r="G219" s="426"/>
      <c r="H219" s="334"/>
      <c r="I219" s="334"/>
    </row>
    <row r="220" customFormat="false" ht="11.25" hidden="false" customHeight="false" outlineLevel="0" collapsed="false">
      <c r="A220" s="296"/>
      <c r="B220" s="435"/>
      <c r="C220" s="435"/>
      <c r="D220" s="435"/>
      <c r="E220" s="429"/>
      <c r="F220" s="426"/>
      <c r="G220" s="426"/>
      <c r="H220" s="334"/>
      <c r="I220" s="334"/>
    </row>
    <row r="221" customFormat="false" ht="11.25" hidden="false" customHeight="false" outlineLevel="0" collapsed="false">
      <c r="A221" s="296"/>
      <c r="B221" s="435"/>
      <c r="C221" s="435"/>
      <c r="D221" s="435"/>
      <c r="E221" s="429"/>
      <c r="F221" s="426"/>
      <c r="G221" s="426"/>
      <c r="H221" s="334"/>
      <c r="I221" s="334"/>
    </row>
    <row r="222" customFormat="false" ht="11.25" hidden="false" customHeight="false" outlineLevel="0" collapsed="false">
      <c r="A222" s="296"/>
      <c r="B222" s="435"/>
      <c r="C222" s="435"/>
      <c r="D222" s="435"/>
      <c r="E222" s="429"/>
      <c r="F222" s="426"/>
      <c r="G222" s="426"/>
      <c r="H222" s="334"/>
      <c r="I222" s="334"/>
    </row>
    <row r="223" customFormat="false" ht="12.75" hidden="false" customHeight="true" outlineLevel="0" collapsed="false">
      <c r="A223" s="296"/>
      <c r="B223" s="435"/>
      <c r="C223" s="435"/>
      <c r="D223" s="435"/>
      <c r="E223" s="429"/>
      <c r="F223" s="426"/>
      <c r="G223" s="426"/>
      <c r="H223" s="334"/>
      <c r="I223" s="334"/>
    </row>
    <row r="224" customFormat="false" ht="11.25" hidden="false" customHeight="false" outlineLevel="0" collapsed="false">
      <c r="A224" s="296"/>
      <c r="B224" s="435"/>
      <c r="C224" s="435"/>
      <c r="D224" s="435"/>
      <c r="E224" s="429"/>
      <c r="F224" s="426"/>
      <c r="G224" s="426"/>
      <c r="H224" s="334"/>
      <c r="I224" s="334"/>
    </row>
    <row r="225" customFormat="false" ht="11.25" hidden="false" customHeight="false" outlineLevel="0" collapsed="false">
      <c r="A225" s="296"/>
      <c r="B225" s="435"/>
      <c r="C225" s="435"/>
      <c r="D225" s="435"/>
      <c r="E225" s="429"/>
      <c r="F225" s="426"/>
      <c r="G225" s="426"/>
      <c r="H225" s="334"/>
      <c r="I225" s="334"/>
    </row>
    <row r="226" customFormat="false" ht="11.25" hidden="false" customHeight="false" outlineLevel="0" collapsed="false">
      <c r="A226" s="296"/>
      <c r="B226" s="435"/>
      <c r="C226" s="435"/>
      <c r="D226" s="435"/>
      <c r="E226" s="429"/>
      <c r="F226" s="426"/>
      <c r="G226" s="426"/>
      <c r="H226" s="334"/>
      <c r="I226" s="334"/>
    </row>
    <row r="227" customFormat="false" ht="11.25" hidden="false" customHeight="false" outlineLevel="0" collapsed="false">
      <c r="A227" s="296"/>
      <c r="B227" s="435"/>
      <c r="C227" s="435"/>
      <c r="D227" s="435"/>
      <c r="E227" s="429"/>
      <c r="F227" s="426"/>
      <c r="G227" s="426"/>
      <c r="H227" s="334"/>
      <c r="I227" s="334"/>
    </row>
    <row r="228" customFormat="false" ht="11.25" hidden="false" customHeight="false" outlineLevel="0" collapsed="false">
      <c r="A228" s="296"/>
      <c r="B228" s="435"/>
      <c r="C228" s="435"/>
      <c r="D228" s="435"/>
      <c r="E228" s="429"/>
      <c r="F228" s="426"/>
      <c r="G228" s="426"/>
      <c r="H228" s="334"/>
      <c r="I228" s="334"/>
    </row>
    <row r="229" customFormat="false" ht="11.25" hidden="false" customHeight="false" outlineLevel="0" collapsed="false">
      <c r="A229" s="296"/>
      <c r="B229" s="435"/>
      <c r="C229" s="435"/>
      <c r="D229" s="435"/>
      <c r="E229" s="429"/>
      <c r="F229" s="426"/>
      <c r="G229" s="426"/>
      <c r="H229" s="334"/>
      <c r="I229" s="334"/>
    </row>
    <row r="230" customFormat="false" ht="11.25" hidden="false" customHeight="false" outlineLevel="0" collapsed="false">
      <c r="A230" s="296"/>
      <c r="B230" s="435"/>
      <c r="C230" s="435"/>
      <c r="D230" s="435"/>
      <c r="E230" s="429"/>
      <c r="F230" s="426"/>
      <c r="G230" s="426"/>
      <c r="H230" s="334"/>
      <c r="I230" s="334"/>
    </row>
    <row r="231" customFormat="false" ht="11.25" hidden="false" customHeight="false" outlineLevel="0" collapsed="false">
      <c r="A231" s="296"/>
      <c r="B231" s="435"/>
      <c r="C231" s="435"/>
      <c r="D231" s="435"/>
      <c r="E231" s="429"/>
      <c r="F231" s="426"/>
      <c r="G231" s="426"/>
      <c r="H231" s="334"/>
      <c r="I231" s="334"/>
    </row>
    <row r="232" customFormat="false" ht="11.25" hidden="false" customHeight="false" outlineLevel="0" collapsed="false">
      <c r="A232" s="296"/>
      <c r="B232" s="435"/>
      <c r="C232" s="435"/>
      <c r="D232" s="435"/>
      <c r="E232" s="429"/>
      <c r="F232" s="426"/>
      <c r="G232" s="426"/>
      <c r="H232" s="334"/>
      <c r="I232" s="334"/>
    </row>
    <row r="233" customFormat="false" ht="11.25" hidden="false" customHeight="false" outlineLevel="0" collapsed="false">
      <c r="A233" s="296"/>
      <c r="B233" s="435"/>
      <c r="C233" s="435"/>
      <c r="D233" s="435"/>
      <c r="E233" s="429"/>
      <c r="F233" s="426"/>
      <c r="G233" s="426"/>
      <c r="H233" s="334"/>
      <c r="I233" s="334"/>
    </row>
    <row r="234" customFormat="false" ht="11.25" hidden="false" customHeight="false" outlineLevel="0" collapsed="false">
      <c r="A234" s="296"/>
      <c r="B234" s="435"/>
      <c r="C234" s="435"/>
      <c r="D234" s="435"/>
      <c r="E234" s="429"/>
      <c r="F234" s="426"/>
      <c r="G234" s="426"/>
      <c r="H234" s="334"/>
      <c r="I234" s="334"/>
    </row>
    <row r="235" customFormat="false" ht="12.75" hidden="false" customHeight="true" outlineLevel="0" collapsed="false">
      <c r="A235" s="296"/>
      <c r="B235" s="435"/>
      <c r="C235" s="435"/>
      <c r="D235" s="435"/>
      <c r="E235" s="429"/>
      <c r="F235" s="426"/>
      <c r="G235" s="426"/>
      <c r="H235" s="334"/>
      <c r="I235" s="334"/>
    </row>
    <row r="236" customFormat="false" ht="11.25" hidden="false" customHeight="false" outlineLevel="0" collapsed="false">
      <c r="A236" s="296"/>
      <c r="B236" s="435"/>
      <c r="C236" s="435"/>
      <c r="D236" s="435"/>
      <c r="E236" s="429"/>
      <c r="F236" s="426"/>
      <c r="G236" s="426"/>
      <c r="H236" s="334"/>
      <c r="I236" s="334"/>
    </row>
    <row r="237" customFormat="false" ht="11.25" hidden="false" customHeight="false" outlineLevel="0" collapsed="false">
      <c r="A237" s="296"/>
      <c r="B237" s="435"/>
      <c r="C237" s="435"/>
      <c r="D237" s="435"/>
      <c r="E237" s="429"/>
      <c r="F237" s="426"/>
      <c r="G237" s="426"/>
      <c r="H237" s="334"/>
      <c r="I237" s="334"/>
    </row>
    <row r="238" customFormat="false" ht="11.25" hidden="false" customHeight="false" outlineLevel="0" collapsed="false">
      <c r="A238" s="296"/>
      <c r="B238" s="435"/>
      <c r="C238" s="435"/>
      <c r="D238" s="435"/>
      <c r="E238" s="429"/>
      <c r="F238" s="426"/>
      <c r="G238" s="426"/>
      <c r="H238" s="334"/>
      <c r="I238" s="334"/>
    </row>
    <row r="239" customFormat="false" ht="11.25" hidden="false" customHeight="false" outlineLevel="0" collapsed="false">
      <c r="A239" s="296"/>
      <c r="B239" s="435"/>
      <c r="C239" s="435"/>
      <c r="D239" s="435"/>
      <c r="E239" s="429"/>
      <c r="F239" s="426"/>
      <c r="G239" s="426"/>
      <c r="H239" s="334"/>
      <c r="I239" s="334"/>
    </row>
    <row r="240" customFormat="false" ht="11.25" hidden="false" customHeight="false" outlineLevel="0" collapsed="false">
      <c r="A240" s="296"/>
      <c r="B240" s="435"/>
      <c r="C240" s="435"/>
      <c r="D240" s="435"/>
      <c r="E240" s="429"/>
      <c r="F240" s="426"/>
      <c r="G240" s="426"/>
      <c r="H240" s="334"/>
      <c r="I240" s="334"/>
    </row>
    <row r="241" customFormat="false" ht="11.25" hidden="false" customHeight="false" outlineLevel="0" collapsed="false">
      <c r="A241" s="296"/>
      <c r="B241" s="435"/>
      <c r="C241" s="435"/>
      <c r="D241" s="435"/>
      <c r="E241" s="429"/>
      <c r="F241" s="426"/>
      <c r="G241" s="426"/>
      <c r="H241" s="334"/>
      <c r="I241" s="334"/>
    </row>
    <row r="242" customFormat="false" ht="11.25" hidden="false" customHeight="false" outlineLevel="0" collapsed="false">
      <c r="A242" s="296"/>
      <c r="B242" s="435"/>
      <c r="C242" s="435"/>
      <c r="D242" s="435"/>
      <c r="E242" s="429"/>
      <c r="F242" s="426"/>
      <c r="G242" s="426"/>
      <c r="H242" s="334"/>
      <c r="I242" s="334"/>
    </row>
    <row r="243" customFormat="false" ht="11.25" hidden="false" customHeight="false" outlineLevel="0" collapsed="false">
      <c r="A243" s="296"/>
      <c r="B243" s="435"/>
      <c r="C243" s="435"/>
      <c r="D243" s="435"/>
      <c r="E243" s="429"/>
      <c r="F243" s="426"/>
      <c r="G243" s="426"/>
      <c r="H243" s="334"/>
      <c r="I243" s="334"/>
    </row>
    <row r="244" customFormat="false" ht="11.25" hidden="false" customHeight="false" outlineLevel="0" collapsed="false">
      <c r="A244" s="296"/>
      <c r="B244" s="435"/>
      <c r="C244" s="435"/>
      <c r="D244" s="435"/>
      <c r="E244" s="429"/>
      <c r="F244" s="426"/>
      <c r="G244" s="426"/>
      <c r="H244" s="334"/>
      <c r="I244" s="334"/>
    </row>
    <row r="245" customFormat="false" ht="11.25" hidden="false" customHeight="false" outlineLevel="0" collapsed="false">
      <c r="A245" s="296"/>
      <c r="B245" s="435"/>
      <c r="C245" s="435"/>
      <c r="D245" s="435"/>
      <c r="E245" s="429"/>
      <c r="F245" s="426"/>
      <c r="G245" s="426"/>
      <c r="H245" s="334"/>
      <c r="I245" s="334"/>
    </row>
    <row r="246" customFormat="false" ht="11.25" hidden="false" customHeight="false" outlineLevel="0" collapsed="false">
      <c r="A246" s="296"/>
      <c r="B246" s="435"/>
      <c r="C246" s="435"/>
      <c r="D246" s="435"/>
      <c r="E246" s="429"/>
      <c r="F246" s="426"/>
      <c r="G246" s="426"/>
      <c r="H246" s="334"/>
      <c r="I246" s="334"/>
    </row>
    <row r="247" customFormat="false" ht="12.75" hidden="false" customHeight="true" outlineLevel="0" collapsed="false">
      <c r="A247" s="296"/>
      <c r="B247" s="435"/>
      <c r="C247" s="435"/>
      <c r="D247" s="435"/>
      <c r="E247" s="429"/>
      <c r="F247" s="426"/>
      <c r="G247" s="426"/>
      <c r="H247" s="334"/>
      <c r="I247" s="334"/>
    </row>
    <row r="248" customFormat="false" ht="11.25" hidden="false" customHeight="false" outlineLevel="0" collapsed="false">
      <c r="A248" s="296"/>
      <c r="B248" s="435"/>
      <c r="C248" s="435"/>
      <c r="D248" s="435"/>
      <c r="E248" s="429"/>
      <c r="F248" s="426"/>
      <c r="G248" s="426"/>
      <c r="H248" s="334"/>
      <c r="I248" s="334"/>
    </row>
    <row r="249" customFormat="false" ht="11.25" hidden="false" customHeight="false" outlineLevel="0" collapsed="false">
      <c r="A249" s="296"/>
      <c r="B249" s="435"/>
      <c r="C249" s="435"/>
      <c r="D249" s="435"/>
      <c r="E249" s="429"/>
      <c r="F249" s="426"/>
      <c r="G249" s="426"/>
      <c r="H249" s="334"/>
      <c r="I249" s="334"/>
    </row>
    <row r="250" customFormat="false" ht="11.25" hidden="false" customHeight="false" outlineLevel="0" collapsed="false">
      <c r="A250" s="296"/>
      <c r="B250" s="435"/>
      <c r="C250" s="435"/>
      <c r="D250" s="435"/>
      <c r="E250" s="429"/>
      <c r="F250" s="426"/>
      <c r="G250" s="426"/>
      <c r="H250" s="334"/>
      <c r="I250" s="334"/>
    </row>
    <row r="251" customFormat="false" ht="11.25" hidden="false" customHeight="false" outlineLevel="0" collapsed="false">
      <c r="A251" s="296"/>
      <c r="B251" s="435"/>
      <c r="C251" s="435"/>
      <c r="D251" s="435"/>
      <c r="E251" s="429"/>
      <c r="F251" s="426"/>
      <c r="G251" s="426"/>
      <c r="H251" s="334"/>
      <c r="I251" s="334"/>
    </row>
    <row r="252" customFormat="false" ht="11.25" hidden="false" customHeight="false" outlineLevel="0" collapsed="false">
      <c r="A252" s="296"/>
      <c r="B252" s="435"/>
      <c r="C252" s="435"/>
      <c r="D252" s="435"/>
      <c r="E252" s="429"/>
      <c r="F252" s="426"/>
      <c r="G252" s="426"/>
      <c r="H252" s="334"/>
      <c r="I252" s="334"/>
    </row>
    <row r="253" customFormat="false" ht="11.25" hidden="false" customHeight="false" outlineLevel="0" collapsed="false">
      <c r="A253" s="296"/>
      <c r="B253" s="435"/>
      <c r="C253" s="435"/>
      <c r="D253" s="435"/>
      <c r="E253" s="429"/>
      <c r="F253" s="426"/>
      <c r="G253" s="426"/>
      <c r="H253" s="334"/>
      <c r="I253" s="334"/>
    </row>
    <row r="254" customFormat="false" ht="11.25" hidden="false" customHeight="false" outlineLevel="0" collapsed="false">
      <c r="A254" s="296"/>
      <c r="B254" s="435"/>
      <c r="C254" s="435"/>
      <c r="D254" s="435"/>
      <c r="E254" s="429"/>
      <c r="F254" s="426"/>
      <c r="G254" s="426"/>
      <c r="H254" s="334"/>
      <c r="I254" s="334"/>
    </row>
    <row r="255" customFormat="false" ht="11.25" hidden="false" customHeight="false" outlineLevel="0" collapsed="false">
      <c r="A255" s="296"/>
      <c r="B255" s="435"/>
      <c r="C255" s="435"/>
      <c r="D255" s="435"/>
      <c r="E255" s="429"/>
      <c r="F255" s="426"/>
      <c r="G255" s="426"/>
      <c r="H255" s="334"/>
      <c r="I255" s="334"/>
    </row>
    <row r="256" customFormat="false" ht="11.25" hidden="false" customHeight="false" outlineLevel="0" collapsed="false">
      <c r="A256" s="296"/>
      <c r="B256" s="435"/>
      <c r="C256" s="435"/>
      <c r="D256" s="435"/>
      <c r="E256" s="429"/>
      <c r="F256" s="426"/>
      <c r="G256" s="426"/>
      <c r="H256" s="334"/>
      <c r="I256" s="334"/>
    </row>
    <row r="257" customFormat="false" ht="11.25" hidden="false" customHeight="false" outlineLevel="0" collapsed="false">
      <c r="A257" s="296"/>
      <c r="B257" s="435"/>
      <c r="C257" s="435"/>
      <c r="D257" s="435"/>
      <c r="E257" s="429"/>
      <c r="F257" s="426"/>
      <c r="G257" s="426"/>
      <c r="H257" s="334"/>
      <c r="I257" s="334"/>
    </row>
    <row r="258" customFormat="false" ht="11.25" hidden="false" customHeight="false" outlineLevel="0" collapsed="false">
      <c r="A258" s="296"/>
      <c r="B258" s="435"/>
      <c r="C258" s="435"/>
      <c r="D258" s="435"/>
      <c r="E258" s="429"/>
      <c r="F258" s="426"/>
      <c r="G258" s="426"/>
      <c r="H258" s="334"/>
      <c r="I258" s="334"/>
    </row>
    <row r="259" customFormat="false" ht="12.75" hidden="false" customHeight="true" outlineLevel="0" collapsed="false">
      <c r="A259" s="296"/>
      <c r="B259" s="435"/>
      <c r="C259" s="435"/>
      <c r="D259" s="435"/>
      <c r="E259" s="429"/>
      <c r="F259" s="426"/>
      <c r="G259" s="426"/>
      <c r="H259" s="436"/>
      <c r="I259" s="334"/>
    </row>
    <row r="260" customFormat="false" ht="11.25" hidden="false" customHeight="false" outlineLevel="0" collapsed="false">
      <c r="A260" s="296"/>
      <c r="B260" s="435"/>
      <c r="C260" s="435"/>
      <c r="D260" s="435"/>
      <c r="E260" s="429"/>
      <c r="F260" s="426"/>
      <c r="G260" s="426"/>
      <c r="H260" s="334"/>
      <c r="I260" s="334"/>
    </row>
    <row r="261" customFormat="false" ht="11.25" hidden="false" customHeight="false" outlineLevel="0" collapsed="false">
      <c r="A261" s="296"/>
      <c r="B261" s="435"/>
      <c r="C261" s="435"/>
      <c r="D261" s="435"/>
      <c r="E261" s="429"/>
      <c r="F261" s="426"/>
      <c r="G261" s="426"/>
      <c r="H261" s="334"/>
      <c r="I261" s="334"/>
    </row>
    <row r="262" customFormat="false" ht="11.25" hidden="false" customHeight="false" outlineLevel="0" collapsed="false">
      <c r="A262" s="296"/>
      <c r="B262" s="435"/>
      <c r="C262" s="435"/>
      <c r="D262" s="435"/>
      <c r="E262" s="429"/>
      <c r="F262" s="426"/>
      <c r="G262" s="426"/>
      <c r="H262" s="334"/>
      <c r="I262" s="334"/>
    </row>
    <row r="263" customFormat="false" ht="11.25" hidden="false" customHeight="false" outlineLevel="0" collapsed="false">
      <c r="A263" s="296"/>
      <c r="B263" s="435"/>
      <c r="C263" s="435"/>
      <c r="D263" s="435"/>
      <c r="E263" s="429"/>
      <c r="F263" s="426"/>
      <c r="G263" s="426"/>
      <c r="H263" s="334"/>
      <c r="I263" s="334"/>
    </row>
    <row r="264" customFormat="false" ht="11.25" hidden="false" customHeight="false" outlineLevel="0" collapsed="false">
      <c r="A264" s="296"/>
      <c r="B264" s="435"/>
      <c r="C264" s="435"/>
      <c r="D264" s="435"/>
      <c r="E264" s="429"/>
      <c r="F264" s="426"/>
      <c r="G264" s="426"/>
      <c r="H264" s="334"/>
      <c r="I264" s="334"/>
    </row>
    <row r="265" customFormat="false" ht="11.25" hidden="false" customHeight="false" outlineLevel="0" collapsed="false">
      <c r="A265" s="296"/>
      <c r="B265" s="435"/>
      <c r="C265" s="435"/>
      <c r="D265" s="435"/>
      <c r="E265" s="429"/>
      <c r="F265" s="426"/>
      <c r="G265" s="426"/>
      <c r="H265" s="334"/>
      <c r="I265" s="334"/>
    </row>
    <row r="266" customFormat="false" ht="11.25" hidden="false" customHeight="false" outlineLevel="0" collapsed="false">
      <c r="A266" s="296"/>
      <c r="B266" s="435"/>
      <c r="C266" s="435"/>
      <c r="D266" s="435"/>
      <c r="E266" s="429"/>
      <c r="F266" s="426"/>
      <c r="G266" s="426"/>
      <c r="H266" s="334"/>
      <c r="I266" s="334"/>
    </row>
    <row r="267" customFormat="false" ht="11.25" hidden="false" customHeight="false" outlineLevel="0" collapsed="false">
      <c r="A267" s="296"/>
      <c r="B267" s="435"/>
      <c r="C267" s="435"/>
      <c r="D267" s="435"/>
      <c r="E267" s="429"/>
      <c r="F267" s="426"/>
      <c r="G267" s="426"/>
      <c r="H267" s="334"/>
      <c r="I267" s="334"/>
    </row>
    <row r="268" customFormat="false" ht="11.25" hidden="false" customHeight="false" outlineLevel="0" collapsed="false">
      <c r="A268" s="296"/>
      <c r="B268" s="435"/>
      <c r="C268" s="435"/>
      <c r="D268" s="435"/>
      <c r="E268" s="429"/>
      <c r="F268" s="426"/>
      <c r="G268" s="426"/>
      <c r="H268" s="334"/>
      <c r="I268" s="334"/>
    </row>
    <row r="269" customFormat="false" ht="11.25" hidden="false" customHeight="false" outlineLevel="0" collapsed="false">
      <c r="A269" s="296"/>
      <c r="B269" s="435"/>
      <c r="C269" s="435"/>
      <c r="D269" s="435"/>
      <c r="E269" s="429"/>
      <c r="F269" s="426"/>
      <c r="G269" s="426"/>
      <c r="H269" s="334"/>
      <c r="I269" s="334"/>
    </row>
    <row r="270" customFormat="false" ht="11.25" hidden="false" customHeight="false" outlineLevel="0" collapsed="false">
      <c r="A270" s="296"/>
      <c r="B270" s="435"/>
      <c r="C270" s="435"/>
      <c r="D270" s="435"/>
      <c r="E270" s="429"/>
      <c r="F270" s="426"/>
      <c r="G270" s="426"/>
      <c r="H270" s="334"/>
      <c r="I270" s="334"/>
    </row>
    <row r="271" customFormat="false" ht="12.75" hidden="false" customHeight="true" outlineLevel="0" collapsed="false">
      <c r="A271" s="296"/>
      <c r="B271" s="435"/>
      <c r="C271" s="435"/>
      <c r="D271" s="435"/>
      <c r="E271" s="429"/>
      <c r="F271" s="426"/>
      <c r="G271" s="426"/>
      <c r="H271" s="334"/>
      <c r="I271" s="334"/>
    </row>
    <row r="272" customFormat="false" ht="11.25" hidden="false" customHeight="false" outlineLevel="0" collapsed="false">
      <c r="A272" s="296"/>
      <c r="B272" s="435"/>
      <c r="C272" s="435"/>
      <c r="D272" s="435"/>
      <c r="E272" s="429"/>
      <c r="F272" s="426"/>
      <c r="G272" s="426"/>
      <c r="H272" s="334"/>
      <c r="I272" s="334"/>
    </row>
    <row r="273" customFormat="false" ht="11.25" hidden="false" customHeight="false" outlineLevel="0" collapsed="false">
      <c r="A273" s="296"/>
      <c r="B273" s="435"/>
      <c r="C273" s="435"/>
      <c r="D273" s="435"/>
      <c r="E273" s="429"/>
      <c r="F273" s="426"/>
      <c r="G273" s="426"/>
      <c r="H273" s="334"/>
      <c r="I273" s="334"/>
    </row>
    <row r="274" customFormat="false" ht="11.25" hidden="false" customHeight="false" outlineLevel="0" collapsed="false">
      <c r="A274" s="296"/>
      <c r="B274" s="435"/>
      <c r="C274" s="435"/>
      <c r="D274" s="435"/>
      <c r="E274" s="429"/>
      <c r="F274" s="426"/>
      <c r="G274" s="426"/>
      <c r="H274" s="334"/>
      <c r="I274" s="334"/>
    </row>
    <row r="275" customFormat="false" ht="11.25" hidden="false" customHeight="false" outlineLevel="0" collapsed="false">
      <c r="A275" s="296"/>
      <c r="B275" s="435"/>
      <c r="C275" s="435"/>
      <c r="D275" s="435"/>
      <c r="E275" s="429"/>
      <c r="F275" s="426"/>
      <c r="G275" s="426"/>
      <c r="H275" s="334"/>
      <c r="I275" s="334"/>
    </row>
    <row r="276" customFormat="false" ht="11.25" hidden="false" customHeight="false" outlineLevel="0" collapsed="false">
      <c r="A276" s="296"/>
      <c r="B276" s="435"/>
      <c r="C276" s="435"/>
      <c r="D276" s="435"/>
      <c r="E276" s="429"/>
      <c r="F276" s="426"/>
      <c r="G276" s="426"/>
      <c r="H276" s="334"/>
      <c r="I276" s="334"/>
    </row>
    <row r="277" customFormat="false" ht="11.25" hidden="false" customHeight="false" outlineLevel="0" collapsed="false">
      <c r="A277" s="296"/>
      <c r="B277" s="435"/>
      <c r="C277" s="435"/>
      <c r="D277" s="435"/>
      <c r="E277" s="429"/>
      <c r="F277" s="426"/>
      <c r="G277" s="426"/>
      <c r="H277" s="334"/>
      <c r="I277" s="334"/>
    </row>
    <row r="278" customFormat="false" ht="11.25" hidden="false" customHeight="false" outlineLevel="0" collapsed="false">
      <c r="A278" s="296"/>
      <c r="B278" s="435"/>
      <c r="C278" s="435"/>
      <c r="D278" s="435"/>
      <c r="E278" s="429"/>
      <c r="F278" s="426"/>
      <c r="G278" s="426"/>
      <c r="H278" s="334"/>
      <c r="I278" s="334"/>
    </row>
    <row r="279" customFormat="false" ht="11.25" hidden="false" customHeight="false" outlineLevel="0" collapsed="false">
      <c r="A279" s="296"/>
      <c r="B279" s="435"/>
      <c r="C279" s="435"/>
      <c r="D279" s="435"/>
      <c r="E279" s="429"/>
      <c r="F279" s="426"/>
      <c r="G279" s="426"/>
      <c r="H279" s="334"/>
      <c r="I279" s="334"/>
    </row>
    <row r="280" customFormat="false" ht="11.25" hidden="false" customHeight="false" outlineLevel="0" collapsed="false">
      <c r="A280" s="296"/>
      <c r="B280" s="435"/>
      <c r="C280" s="435"/>
      <c r="D280" s="435"/>
      <c r="E280" s="429"/>
      <c r="F280" s="426"/>
      <c r="G280" s="426"/>
      <c r="H280" s="334"/>
      <c r="I280" s="334"/>
    </row>
    <row r="281" customFormat="false" ht="11.25" hidden="false" customHeight="false" outlineLevel="0" collapsed="false">
      <c r="A281" s="296"/>
      <c r="B281" s="435"/>
      <c r="C281" s="435"/>
      <c r="D281" s="435"/>
      <c r="E281" s="429"/>
      <c r="F281" s="426"/>
      <c r="G281" s="426"/>
      <c r="H281" s="334"/>
      <c r="I281" s="334"/>
    </row>
    <row r="282" customFormat="false" ht="11.25" hidden="false" customHeight="false" outlineLevel="0" collapsed="false">
      <c r="A282" s="296"/>
      <c r="B282" s="435"/>
      <c r="C282" s="435"/>
      <c r="D282" s="435"/>
      <c r="E282" s="429"/>
      <c r="F282" s="426"/>
      <c r="G282" s="426"/>
      <c r="H282" s="334"/>
      <c r="I282" s="334"/>
    </row>
    <row r="283" customFormat="false" ht="12.75" hidden="false" customHeight="true" outlineLevel="0" collapsed="false">
      <c r="A283" s="296"/>
      <c r="B283" s="435"/>
      <c r="C283" s="435"/>
      <c r="D283" s="435"/>
      <c r="E283" s="429"/>
      <c r="F283" s="426"/>
      <c r="G283" s="426"/>
      <c r="H283" s="334"/>
      <c r="I283" s="334"/>
    </row>
    <row r="284" customFormat="false" ht="11.25" hidden="false" customHeight="false" outlineLevel="0" collapsed="false">
      <c r="A284" s="296"/>
      <c r="B284" s="435"/>
      <c r="C284" s="435"/>
      <c r="D284" s="435"/>
      <c r="E284" s="429"/>
      <c r="F284" s="426"/>
      <c r="G284" s="426"/>
      <c r="H284" s="334"/>
      <c r="I284" s="334"/>
    </row>
    <row r="285" customFormat="false" ht="11.25" hidden="false" customHeight="false" outlineLevel="0" collapsed="false">
      <c r="A285" s="296"/>
      <c r="B285" s="435"/>
      <c r="C285" s="435"/>
      <c r="D285" s="435"/>
      <c r="E285" s="429"/>
      <c r="F285" s="426"/>
      <c r="G285" s="426"/>
      <c r="H285" s="334"/>
      <c r="I285" s="334"/>
    </row>
    <row r="286" customFormat="false" ht="11.25" hidden="false" customHeight="false" outlineLevel="0" collapsed="false">
      <c r="A286" s="296"/>
      <c r="B286" s="435"/>
      <c r="C286" s="435"/>
      <c r="D286" s="435"/>
      <c r="E286" s="429"/>
      <c r="F286" s="426"/>
      <c r="G286" s="426"/>
      <c r="H286" s="334"/>
      <c r="I286" s="334"/>
    </row>
    <row r="287" customFormat="false" ht="11.25" hidden="false" customHeight="false" outlineLevel="0" collapsed="false">
      <c r="A287" s="296"/>
      <c r="B287" s="435"/>
      <c r="C287" s="435"/>
      <c r="D287" s="435"/>
      <c r="E287" s="429"/>
      <c r="F287" s="426"/>
      <c r="G287" s="426"/>
      <c r="H287" s="334"/>
      <c r="I287" s="334"/>
    </row>
    <row r="288" customFormat="false" ht="11.25" hidden="false" customHeight="false" outlineLevel="0" collapsed="false">
      <c r="A288" s="296"/>
      <c r="B288" s="435"/>
      <c r="C288" s="435"/>
      <c r="D288" s="435"/>
      <c r="E288" s="429"/>
      <c r="F288" s="426"/>
      <c r="G288" s="426"/>
      <c r="H288" s="334"/>
      <c r="I288" s="334"/>
    </row>
    <row r="289" customFormat="false" ht="11.25" hidden="false" customHeight="false" outlineLevel="0" collapsed="false">
      <c r="A289" s="296"/>
      <c r="B289" s="435"/>
      <c r="C289" s="435"/>
      <c r="D289" s="435"/>
      <c r="E289" s="429"/>
      <c r="F289" s="426"/>
      <c r="G289" s="426"/>
      <c r="H289" s="334"/>
      <c r="I289" s="334"/>
    </row>
    <row r="290" customFormat="false" ht="11.25" hidden="false" customHeight="false" outlineLevel="0" collapsed="false">
      <c r="A290" s="296"/>
      <c r="B290" s="435"/>
      <c r="C290" s="435"/>
      <c r="D290" s="435"/>
      <c r="E290" s="429"/>
      <c r="F290" s="426"/>
      <c r="G290" s="426"/>
      <c r="H290" s="334"/>
      <c r="I290" s="334"/>
    </row>
    <row r="291" customFormat="false" ht="11.25" hidden="false" customHeight="false" outlineLevel="0" collapsed="false">
      <c r="A291" s="296"/>
      <c r="B291" s="435"/>
      <c r="C291" s="435"/>
      <c r="D291" s="435"/>
      <c r="E291" s="429"/>
      <c r="F291" s="426"/>
      <c r="G291" s="426"/>
      <c r="H291" s="334"/>
      <c r="I291" s="334"/>
    </row>
    <row r="292" customFormat="false" ht="11.25" hidden="false" customHeight="false" outlineLevel="0" collapsed="false">
      <c r="A292" s="296"/>
      <c r="B292" s="435"/>
      <c r="C292" s="435"/>
      <c r="D292" s="435"/>
      <c r="E292" s="429"/>
      <c r="F292" s="426"/>
      <c r="G292" s="426"/>
      <c r="H292" s="334"/>
      <c r="I292" s="334"/>
    </row>
    <row r="293" customFormat="false" ht="11.25" hidden="false" customHeight="false" outlineLevel="0" collapsed="false">
      <c r="A293" s="296"/>
      <c r="B293" s="435"/>
      <c r="C293" s="435"/>
      <c r="D293" s="435"/>
      <c r="E293" s="429"/>
      <c r="F293" s="426"/>
      <c r="G293" s="426"/>
      <c r="H293" s="334"/>
      <c r="I293" s="334"/>
    </row>
    <row r="294" customFormat="false" ht="11.25" hidden="false" customHeight="false" outlineLevel="0" collapsed="false">
      <c r="A294" s="296"/>
      <c r="B294" s="435"/>
      <c r="C294" s="435"/>
      <c r="D294" s="435"/>
      <c r="E294" s="429"/>
      <c r="F294" s="426"/>
      <c r="G294" s="426"/>
      <c r="H294" s="334"/>
      <c r="I294" s="334"/>
    </row>
    <row r="295" customFormat="false" ht="12.75" hidden="false" customHeight="true" outlineLevel="0" collapsed="false">
      <c r="A295" s="296"/>
      <c r="B295" s="435"/>
      <c r="C295" s="435"/>
      <c r="D295" s="435"/>
      <c r="E295" s="429"/>
      <c r="F295" s="426"/>
      <c r="G295" s="426"/>
      <c r="H295" s="334"/>
      <c r="I295" s="334"/>
    </row>
    <row r="296" customFormat="false" ht="11.25" hidden="false" customHeight="false" outlineLevel="0" collapsed="false">
      <c r="A296" s="296"/>
      <c r="B296" s="435"/>
      <c r="C296" s="435"/>
      <c r="D296" s="435"/>
      <c r="E296" s="429"/>
      <c r="F296" s="426"/>
      <c r="G296" s="426"/>
      <c r="H296" s="334"/>
      <c r="I296" s="334"/>
    </row>
    <row r="297" customFormat="false" ht="11.25" hidden="false" customHeight="false" outlineLevel="0" collapsed="false">
      <c r="A297" s="296"/>
      <c r="B297" s="435"/>
      <c r="C297" s="435"/>
      <c r="D297" s="435"/>
      <c r="E297" s="429"/>
      <c r="F297" s="426"/>
      <c r="G297" s="426"/>
      <c r="H297" s="334"/>
      <c r="I297" s="334"/>
    </row>
    <row r="298" customFormat="false" ht="11.25" hidden="false" customHeight="false" outlineLevel="0" collapsed="false">
      <c r="A298" s="296"/>
      <c r="B298" s="435"/>
      <c r="C298" s="435"/>
      <c r="D298" s="435"/>
      <c r="E298" s="429"/>
      <c r="F298" s="426"/>
      <c r="G298" s="426"/>
      <c r="H298" s="334"/>
      <c r="I298" s="334"/>
    </row>
    <row r="299" customFormat="false" ht="11.25" hidden="false" customHeight="false" outlineLevel="0" collapsed="false">
      <c r="A299" s="296"/>
      <c r="B299" s="435"/>
      <c r="C299" s="435"/>
      <c r="D299" s="435"/>
      <c r="E299" s="429"/>
      <c r="F299" s="426"/>
      <c r="G299" s="426"/>
      <c r="H299" s="334"/>
      <c r="I299" s="334"/>
    </row>
    <row r="300" customFormat="false" ht="11.25" hidden="false" customHeight="false" outlineLevel="0" collapsed="false">
      <c r="A300" s="296"/>
      <c r="B300" s="435"/>
      <c r="C300" s="435"/>
      <c r="D300" s="435"/>
      <c r="E300" s="429"/>
      <c r="F300" s="426"/>
      <c r="G300" s="426"/>
      <c r="H300" s="334"/>
      <c r="I300" s="334"/>
    </row>
    <row r="301" customFormat="false" ht="11.25" hidden="false" customHeight="false" outlineLevel="0" collapsed="false">
      <c r="A301" s="296"/>
      <c r="B301" s="435"/>
      <c r="C301" s="435"/>
      <c r="D301" s="435"/>
      <c r="E301" s="429"/>
      <c r="F301" s="426"/>
      <c r="G301" s="426"/>
      <c r="H301" s="334"/>
      <c r="I301" s="334"/>
    </row>
    <row r="302" customFormat="false" ht="11.25" hidden="false" customHeight="false" outlineLevel="0" collapsed="false">
      <c r="A302" s="296"/>
      <c r="B302" s="435"/>
      <c r="C302" s="435"/>
      <c r="D302" s="435"/>
      <c r="E302" s="429"/>
      <c r="F302" s="426"/>
      <c r="G302" s="426"/>
      <c r="H302" s="334"/>
      <c r="I302" s="334"/>
    </row>
    <row r="303" customFormat="false" ht="11.25" hidden="false" customHeight="false" outlineLevel="0" collapsed="false">
      <c r="A303" s="296"/>
      <c r="B303" s="435"/>
      <c r="C303" s="435"/>
      <c r="D303" s="435"/>
      <c r="E303" s="429"/>
      <c r="F303" s="426"/>
      <c r="G303" s="426"/>
      <c r="H303" s="334"/>
      <c r="I303" s="334"/>
    </row>
    <row r="304" customFormat="false" ht="11.25" hidden="false" customHeight="false" outlineLevel="0" collapsed="false">
      <c r="A304" s="296"/>
      <c r="B304" s="435"/>
      <c r="C304" s="435"/>
      <c r="D304" s="435"/>
      <c r="E304" s="429"/>
      <c r="F304" s="426"/>
      <c r="G304" s="426"/>
      <c r="H304" s="334"/>
      <c r="I304" s="334"/>
    </row>
    <row r="305" customFormat="false" ht="11.25" hidden="false" customHeight="false" outlineLevel="0" collapsed="false">
      <c r="A305" s="296"/>
      <c r="B305" s="435"/>
      <c r="C305" s="435"/>
      <c r="D305" s="435"/>
      <c r="E305" s="429"/>
      <c r="F305" s="426"/>
      <c r="G305" s="426"/>
      <c r="H305" s="334"/>
      <c r="I305" s="334"/>
    </row>
    <row r="306" customFormat="false" ht="11.25" hidden="false" customHeight="false" outlineLevel="0" collapsed="false">
      <c r="A306" s="296"/>
      <c r="B306" s="435"/>
      <c r="C306" s="435"/>
      <c r="D306" s="435"/>
      <c r="E306" s="429"/>
      <c r="F306" s="426"/>
      <c r="G306" s="426"/>
      <c r="H306" s="334"/>
      <c r="I306" s="334"/>
    </row>
    <row r="307" customFormat="false" ht="12.75" hidden="false" customHeight="true" outlineLevel="0" collapsed="false">
      <c r="A307" s="296"/>
      <c r="B307" s="435"/>
      <c r="C307" s="435"/>
      <c r="D307" s="435"/>
      <c r="E307" s="429"/>
      <c r="F307" s="426"/>
      <c r="G307" s="426"/>
      <c r="H307" s="334"/>
      <c r="I307" s="334"/>
    </row>
    <row r="308" customFormat="false" ht="11.25" hidden="false" customHeight="false" outlineLevel="0" collapsed="false">
      <c r="A308" s="296"/>
      <c r="B308" s="435"/>
      <c r="C308" s="435"/>
      <c r="D308" s="435"/>
      <c r="E308" s="429"/>
      <c r="F308" s="426"/>
      <c r="G308" s="426"/>
      <c r="H308" s="334"/>
      <c r="I308" s="334"/>
    </row>
    <row r="309" customFormat="false" ht="11.25" hidden="false" customHeight="false" outlineLevel="0" collapsed="false">
      <c r="A309" s="296"/>
      <c r="B309" s="435"/>
      <c r="C309" s="435"/>
      <c r="D309" s="435"/>
      <c r="E309" s="429"/>
      <c r="F309" s="426"/>
      <c r="G309" s="426"/>
      <c r="H309" s="334"/>
      <c r="I309" s="334"/>
    </row>
    <row r="310" customFormat="false" ht="11.25" hidden="false" customHeight="false" outlineLevel="0" collapsed="false">
      <c r="A310" s="296"/>
      <c r="B310" s="435"/>
      <c r="C310" s="435"/>
      <c r="D310" s="435"/>
      <c r="E310" s="429"/>
      <c r="F310" s="426"/>
      <c r="G310" s="426"/>
      <c r="H310" s="334"/>
      <c r="I310" s="334"/>
    </row>
    <row r="311" customFormat="false" ht="11.25" hidden="false" customHeight="false" outlineLevel="0" collapsed="false">
      <c r="A311" s="296"/>
      <c r="B311" s="435"/>
      <c r="C311" s="435"/>
      <c r="D311" s="435"/>
      <c r="E311" s="429"/>
      <c r="F311" s="426"/>
      <c r="G311" s="426"/>
      <c r="H311" s="334"/>
      <c r="I311" s="334"/>
    </row>
    <row r="312" customFormat="false" ht="11.25" hidden="false" customHeight="false" outlineLevel="0" collapsed="false">
      <c r="A312" s="296"/>
      <c r="B312" s="435"/>
      <c r="C312" s="435"/>
      <c r="D312" s="435"/>
      <c r="E312" s="429"/>
      <c r="F312" s="426"/>
      <c r="G312" s="426"/>
      <c r="H312" s="334"/>
      <c r="I312" s="334"/>
    </row>
    <row r="313" customFormat="false" ht="11.25" hidden="false" customHeight="false" outlineLevel="0" collapsed="false">
      <c r="A313" s="296"/>
      <c r="B313" s="435"/>
      <c r="C313" s="435"/>
      <c r="D313" s="435"/>
      <c r="E313" s="429"/>
      <c r="F313" s="426"/>
      <c r="G313" s="426"/>
      <c r="H313" s="334"/>
      <c r="I313" s="334"/>
    </row>
    <row r="314" customFormat="false" ht="11.25" hidden="false" customHeight="false" outlineLevel="0" collapsed="false">
      <c r="A314" s="296"/>
      <c r="B314" s="435"/>
      <c r="C314" s="435"/>
      <c r="D314" s="435"/>
      <c r="E314" s="429"/>
      <c r="F314" s="426"/>
      <c r="G314" s="426"/>
      <c r="H314" s="334"/>
      <c r="I314" s="334"/>
    </row>
    <row r="315" customFormat="false" ht="11.25" hidden="false" customHeight="false" outlineLevel="0" collapsed="false">
      <c r="A315" s="435"/>
      <c r="B315" s="435"/>
      <c r="C315" s="435"/>
      <c r="D315" s="435"/>
      <c r="E315" s="429"/>
      <c r="F315" s="426"/>
      <c r="G315" s="426"/>
      <c r="H315" s="334"/>
      <c r="I315" s="334"/>
    </row>
    <row r="316" customFormat="false" ht="11.25" hidden="false" customHeight="false" outlineLevel="0" collapsed="false">
      <c r="A316" s="435"/>
      <c r="B316" s="435"/>
      <c r="C316" s="435"/>
      <c r="D316" s="435"/>
      <c r="E316" s="429"/>
      <c r="F316" s="426"/>
      <c r="G316" s="426"/>
      <c r="H316" s="334"/>
      <c r="I316" s="334"/>
    </row>
    <row r="317" customFormat="false" ht="11.25" hidden="false" customHeight="false" outlineLevel="0" collapsed="false">
      <c r="A317" s="435"/>
      <c r="B317" s="435"/>
      <c r="C317" s="435"/>
      <c r="D317" s="435"/>
      <c r="E317" s="429"/>
      <c r="F317" s="426"/>
      <c r="G317" s="426"/>
      <c r="H317" s="334"/>
      <c r="I317" s="334"/>
    </row>
    <row r="318" customFormat="false" ht="11.25" hidden="false" customHeight="false" outlineLevel="0" collapsed="false">
      <c r="A318" s="435"/>
      <c r="B318" s="435"/>
      <c r="C318" s="435"/>
      <c r="D318" s="435"/>
      <c r="E318" s="429"/>
      <c r="F318" s="426"/>
      <c r="G318" s="426"/>
      <c r="H318" s="334"/>
      <c r="I318" s="334"/>
    </row>
    <row r="319" customFormat="false" ht="12.75" hidden="false" customHeight="true" outlineLevel="0" collapsed="false">
      <c r="A319" s="435"/>
      <c r="B319" s="435"/>
      <c r="C319" s="435"/>
      <c r="D319" s="435"/>
      <c r="E319" s="429"/>
      <c r="F319" s="426"/>
      <c r="G319" s="426"/>
      <c r="H319" s="334"/>
      <c r="I319" s="334"/>
    </row>
    <row r="320" customFormat="false" ht="11.25" hidden="false" customHeight="false" outlineLevel="0" collapsed="false">
      <c r="A320" s="435"/>
      <c r="B320" s="435"/>
      <c r="C320" s="435"/>
      <c r="D320" s="435"/>
      <c r="E320" s="429"/>
      <c r="F320" s="426"/>
      <c r="G320" s="426"/>
      <c r="H320" s="334"/>
      <c r="I320" s="334"/>
    </row>
    <row r="321" customFormat="false" ht="11.25" hidden="false" customHeight="false" outlineLevel="0" collapsed="false">
      <c r="A321" s="435"/>
      <c r="B321" s="435"/>
    </row>
    <row r="322" customFormat="false" ht="11.25" hidden="false" customHeight="false" outlineLevel="0" collapsed="false">
      <c r="A322" s="435"/>
      <c r="B322" s="435"/>
    </row>
    <row r="323" customFormat="false" ht="11.25" hidden="false" customHeight="false" outlineLevel="0" collapsed="false">
      <c r="A323" s="435"/>
      <c r="B323" s="435"/>
    </row>
    <row r="324" customFormat="false" ht="11.25" hidden="false" customHeight="false" outlineLevel="0" collapsed="false">
      <c r="A324" s="435"/>
      <c r="B324" s="435"/>
    </row>
    <row r="325" customFormat="false" ht="11.25" hidden="false" customHeight="false" outlineLevel="0" collapsed="false">
      <c r="A325" s="435"/>
      <c r="B325" s="435"/>
    </row>
    <row r="326" customFormat="false" ht="11.25" hidden="false" customHeight="false" outlineLevel="0" collapsed="false">
      <c r="A326" s="435"/>
      <c r="B326" s="435"/>
    </row>
    <row r="327" customFormat="false" ht="11.25" hidden="false" customHeight="false" outlineLevel="0" collapsed="false">
      <c r="A327" s="435"/>
      <c r="B327" s="435"/>
    </row>
    <row r="328" customFormat="false" ht="11.25" hidden="false" customHeight="false" outlineLevel="0" collapsed="false">
      <c r="A328" s="435"/>
      <c r="B328" s="435"/>
    </row>
    <row r="329" customFormat="false" ht="11.25" hidden="false" customHeight="false" outlineLevel="0" collapsed="false">
      <c r="A329" s="435"/>
      <c r="B329" s="435"/>
    </row>
    <row r="330" customFormat="false" ht="11.25" hidden="false" customHeight="false" outlineLevel="0" collapsed="false">
      <c r="A330" s="435"/>
      <c r="B330" s="435"/>
    </row>
    <row r="331" customFormat="false" ht="12.75" hidden="false" customHeight="true" outlineLevel="0" collapsed="false">
      <c r="A331" s="435"/>
      <c r="B331" s="435"/>
    </row>
    <row r="332" customFormat="false" ht="11.25" hidden="false" customHeight="false" outlineLevel="0" collapsed="false">
      <c r="A332" s="435"/>
      <c r="B332" s="435"/>
    </row>
    <row r="333" customFormat="false" ht="11.25" hidden="false" customHeight="false" outlineLevel="0" collapsed="false">
      <c r="A333" s="435"/>
      <c r="B333" s="435"/>
    </row>
    <row r="334" customFormat="false" ht="11.25" hidden="false" customHeight="false" outlineLevel="0" collapsed="false">
      <c r="A334" s="435"/>
      <c r="B334" s="435"/>
    </row>
    <row r="335" customFormat="false" ht="11.25" hidden="false" customHeight="false" outlineLevel="0" collapsed="false">
      <c r="A335" s="435"/>
      <c r="B335" s="435"/>
    </row>
    <row r="336" customFormat="false" ht="11.25" hidden="false" customHeight="false" outlineLevel="0" collapsed="false">
      <c r="A336" s="435"/>
      <c r="B336" s="435"/>
    </row>
    <row r="337" customFormat="false" ht="11.25" hidden="false" customHeight="false" outlineLevel="0" collapsed="false">
      <c r="A337" s="435"/>
      <c r="B337" s="435"/>
    </row>
    <row r="338" customFormat="false" ht="11.25" hidden="false" customHeight="false" outlineLevel="0" collapsed="false">
      <c r="A338" s="435"/>
      <c r="B338" s="435"/>
    </row>
    <row r="339" customFormat="false" ht="11.25" hidden="false" customHeight="false" outlineLevel="0" collapsed="false">
      <c r="A339" s="435"/>
      <c r="B339" s="435"/>
    </row>
    <row r="340" customFormat="false" ht="11.25" hidden="false" customHeight="false" outlineLevel="0" collapsed="false">
      <c r="A340" s="435"/>
      <c r="B340" s="435"/>
    </row>
    <row r="341" customFormat="false" ht="11.25" hidden="false" customHeight="false" outlineLevel="0" collapsed="false">
      <c r="A341" s="435"/>
      <c r="B341" s="435"/>
    </row>
    <row r="342" customFormat="false" ht="11.25" hidden="false" customHeight="false" outlineLevel="0" collapsed="false">
      <c r="A342" s="435"/>
      <c r="B342" s="435"/>
    </row>
    <row r="343" customFormat="false" ht="12.75" hidden="false" customHeight="true" outlineLevel="0" collapsed="false">
      <c r="A343" s="435"/>
      <c r="B343" s="435"/>
    </row>
    <row r="344" customFormat="false" ht="11.25" hidden="false" customHeight="false" outlineLevel="0" collapsed="false">
      <c r="A344" s="435"/>
      <c r="B344" s="435"/>
    </row>
    <row r="345" customFormat="false" ht="11.25" hidden="false" customHeight="false" outlineLevel="0" collapsed="false">
      <c r="A345" s="435"/>
      <c r="B345" s="435"/>
    </row>
    <row r="346" customFormat="false" ht="11.25" hidden="false" customHeight="false" outlineLevel="0" collapsed="false">
      <c r="A346" s="435"/>
      <c r="B346" s="435"/>
    </row>
    <row r="347" customFormat="false" ht="11.25" hidden="false" customHeight="false" outlineLevel="0" collapsed="false">
      <c r="A347" s="435"/>
      <c r="B347" s="435"/>
    </row>
    <row r="348" customFormat="false" ht="11.25" hidden="false" customHeight="false" outlineLevel="0" collapsed="false">
      <c r="A348" s="435"/>
      <c r="B348" s="435"/>
    </row>
    <row r="349" customFormat="false" ht="11.25" hidden="false" customHeight="false" outlineLevel="0" collapsed="false">
      <c r="A349" s="435"/>
      <c r="B349" s="435"/>
    </row>
    <row r="350" customFormat="false" ht="11.25" hidden="false" customHeight="false" outlineLevel="0" collapsed="false">
      <c r="A350" s="435"/>
      <c r="B350" s="435"/>
    </row>
    <row r="351" customFormat="false" ht="11.25" hidden="false" customHeight="false" outlineLevel="0" collapsed="false">
      <c r="A351" s="435"/>
      <c r="B351" s="435"/>
    </row>
    <row r="352" customFormat="false" ht="11.25" hidden="false" customHeight="false" outlineLevel="0" collapsed="false">
      <c r="A352" s="435"/>
      <c r="B352" s="435"/>
    </row>
    <row r="353" customFormat="false" ht="11.25" hidden="false" customHeight="false" outlineLevel="0" collapsed="false">
      <c r="A353" s="435"/>
      <c r="B353" s="435"/>
    </row>
    <row r="354" customFormat="false" ht="11.25" hidden="false" customHeight="false" outlineLevel="0" collapsed="false">
      <c r="A354" s="435"/>
      <c r="B354" s="435"/>
    </row>
    <row r="355" customFormat="false" ht="12.75" hidden="false" customHeight="true" outlineLevel="0" collapsed="false">
      <c r="A355" s="435"/>
    </row>
    <row r="356" customFormat="false" ht="11.25" hidden="false" customHeight="false" outlineLevel="0" collapsed="false">
      <c r="A356" s="435"/>
    </row>
    <row r="357" customFormat="false" ht="11.25" hidden="false" customHeight="false" outlineLevel="0" collapsed="false">
      <c r="A357" s="435"/>
    </row>
    <row r="358" customFormat="false" ht="11.25" hidden="false" customHeight="false" outlineLevel="0" collapsed="false">
      <c r="A358" s="435"/>
    </row>
    <row r="359" customFormat="false" ht="11.25" hidden="false" customHeight="false" outlineLevel="0" collapsed="false">
      <c r="A359" s="435"/>
    </row>
    <row r="360" customFormat="false" ht="11.25" hidden="false" customHeight="false" outlineLevel="0" collapsed="false">
      <c r="A360" s="435"/>
    </row>
    <row r="361" customFormat="false" ht="11.25" hidden="false" customHeight="false" outlineLevel="0" collapsed="false">
      <c r="A361" s="435"/>
    </row>
    <row r="362" customFormat="false" ht="11.25" hidden="false" customHeight="false" outlineLevel="0" collapsed="false">
      <c r="A362" s="435"/>
    </row>
    <row r="363" customFormat="false" ht="11.25" hidden="false" customHeight="false" outlineLevel="0" collapsed="false">
      <c r="A363" s="435"/>
    </row>
  </sheetData>
  <printOptions headings="false" gridLines="false" gridLinesSet="true" horizontalCentered="false" verticalCentered="false"/>
  <pageMargins left="0.747916666666667" right="0.747916666666667" top="0.5" bottom="0.290277777777778" header="0.5" footer="0.290277777777778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D519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I37" activeCellId="0" sqref="I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41"/>
    <col collapsed="false" customWidth="true" hidden="false" outlineLevel="0" max="3" min="3" style="0" width="3.56"/>
    <col collapsed="false" customWidth="true" hidden="false" outlineLevel="0" max="4" min="4" style="0" width="10.99"/>
    <col collapsed="false" customWidth="true" hidden="false" outlineLevel="0" max="5" min="5" style="0" width="12.7"/>
    <col collapsed="false" customWidth="true" hidden="false" outlineLevel="0" max="7" min="6" style="0" width="9.28"/>
    <col collapsed="false" customWidth="true" hidden="false" outlineLevel="0" max="8" min="8" style="0" width="11.13"/>
    <col collapsed="false" customWidth="true" hidden="false" outlineLevel="0" max="9" min="9" style="0" width="9.28"/>
    <col collapsed="false" customWidth="true" hidden="false" outlineLevel="0" max="10" min="10" style="0" width="10.56"/>
    <col collapsed="false" customWidth="true" hidden="false" outlineLevel="0" max="29" min="11" style="0" width="9.28"/>
    <col collapsed="false" customWidth="true" hidden="false" outlineLevel="0" max="30" min="30" style="0" width="11.13"/>
    <col collapsed="false" customWidth="true" hidden="false" outlineLevel="0" max="35" min="31" style="0" width="10.99"/>
    <col collapsed="false" customWidth="true" hidden="false" outlineLevel="0" max="40" min="40" style="0" width="11.42"/>
  </cols>
  <sheetData>
    <row r="1" customFormat="false" ht="20.25" hidden="false" customHeight="false" outlineLevel="0" collapsed="false">
      <c r="A1" s="437" t="s">
        <v>403</v>
      </c>
    </row>
    <row r="2" customFormat="false" ht="20.25" hidden="false" customHeight="false" outlineLevel="0" collapsed="false">
      <c r="A2" s="437"/>
    </row>
    <row r="3" customFormat="false" ht="20.25" hidden="false" customHeight="false" outlineLevel="0" collapsed="false">
      <c r="A3" s="437"/>
    </row>
    <row r="4" customFormat="false" ht="12.75" hidden="false" customHeight="false" outlineLevel="0" collapsed="false">
      <c r="A4" s="113" t="s">
        <v>404</v>
      </c>
      <c r="B4" s="392"/>
      <c r="C4" s="438"/>
      <c r="D4" s="439" t="n">
        <f aca="false">Assumptions!E48</f>
        <v>10</v>
      </c>
      <c r="F4" s="0" t="s">
        <v>405</v>
      </c>
      <c r="K4" s="440" t="n">
        <v>0.1</v>
      </c>
    </row>
    <row r="5" customFormat="false" ht="12.75" hidden="false" customHeight="false" outlineLevel="0" collapsed="false">
      <c r="A5" s="113" t="s">
        <v>406</v>
      </c>
      <c r="B5" s="392"/>
      <c r="C5" s="438"/>
      <c r="D5" s="439" t="str">
        <f aca="false">Assumptions!E50</f>
        <v>NO</v>
      </c>
      <c r="F5" s="113" t="s">
        <v>407</v>
      </c>
      <c r="K5" s="0" t="n">
        <v>3</v>
      </c>
    </row>
    <row r="6" customFormat="false" ht="12.75" hidden="false" customHeight="false" outlineLevel="0" collapsed="false">
      <c r="A6" s="113"/>
      <c r="B6" s="392"/>
      <c r="C6" s="438"/>
      <c r="D6" s="405"/>
    </row>
    <row r="7" customFormat="false" ht="12.75" hidden="false" customHeight="false" outlineLevel="0" collapsed="false">
      <c r="A7" s="113"/>
      <c r="B7" s="392"/>
      <c r="C7" s="438"/>
      <c r="D7" s="441"/>
    </row>
    <row r="8" customFormat="false" ht="12.75" hidden="false" customHeight="false" outlineLevel="0" collapsed="false">
      <c r="B8" s="392"/>
      <c r="C8" s="438"/>
      <c r="D8" s="439"/>
    </row>
    <row r="9" customFormat="false" ht="12.75" hidden="false" customHeight="false" outlineLevel="0" collapsed="false">
      <c r="A9" s="350" t="s">
        <v>55</v>
      </c>
      <c r="B9" s="350"/>
      <c r="C9" s="350"/>
      <c r="D9" s="442" t="n">
        <f aca="false">Assumptions!E30</f>
        <v>0.0688221874283014</v>
      </c>
    </row>
    <row r="10" customFormat="false" ht="12.75" hidden="false" customHeight="false" outlineLevel="0" collapsed="false">
      <c r="A10" s="113" t="s">
        <v>408</v>
      </c>
      <c r="B10" s="392"/>
      <c r="C10" s="438"/>
      <c r="D10" s="441" t="n">
        <f aca="false">Assumptions!E34</f>
        <v>0.324778084972044</v>
      </c>
      <c r="H10" s="443"/>
      <c r="I10" s="443"/>
      <c r="J10" s="443"/>
      <c r="K10" s="443"/>
      <c r="L10" s="443"/>
      <c r="M10" s="443"/>
      <c r="N10" s="440"/>
    </row>
    <row r="11" customFormat="false" ht="12.75" hidden="false" customHeight="false" outlineLevel="0" collapsed="false">
      <c r="A11" s="142" t="s">
        <v>409</v>
      </c>
      <c r="B11" s="444"/>
      <c r="C11" s="438"/>
      <c r="D11" s="445" t="n">
        <f aca="false">Assumptions!E33</f>
        <v>0.675221915027956</v>
      </c>
      <c r="I11" s="49"/>
      <c r="J11" s="49"/>
      <c r="K11" s="49"/>
      <c r="L11" s="49"/>
      <c r="M11" s="49"/>
      <c r="N11" s="49"/>
    </row>
    <row r="12" customFormat="false" ht="12.75" hidden="false" customHeight="false" outlineLevel="0" collapsed="false">
      <c r="A12" s="49"/>
      <c r="B12" s="49"/>
      <c r="C12" s="49"/>
      <c r="D12" s="49"/>
      <c r="H12" s="318"/>
      <c r="I12" s="318"/>
      <c r="J12" s="318"/>
      <c r="K12" s="318"/>
      <c r="L12" s="318"/>
      <c r="M12" s="318"/>
      <c r="N12" s="318"/>
    </row>
    <row r="13" customFormat="false" ht="12.75" hidden="false" customHeight="false" outlineLevel="0" collapsed="false">
      <c r="A13" s="49"/>
      <c r="B13" s="444"/>
      <c r="C13" s="438"/>
      <c r="D13" s="49"/>
      <c r="E13" s="393"/>
      <c r="I13" s="49"/>
      <c r="J13" s="49"/>
      <c r="K13" s="49"/>
      <c r="L13" s="49"/>
      <c r="M13" s="49"/>
      <c r="N13" s="49"/>
      <c r="O13" s="393"/>
    </row>
    <row r="14" customFormat="false" ht="12.75" hidden="false" customHeight="false" outlineLevel="0" collapsed="false">
      <c r="A14" s="49"/>
      <c r="B14" s="444" t="s">
        <v>178</v>
      </c>
      <c r="C14" s="438"/>
      <c r="D14" s="438" t="n">
        <f aca="false">(Assumptions!E4+Assumptions!E5+Assumptions!E6+Assumptions!E7+Assumptions!E8)*Assumptions!E34</f>
        <v>58301.5635895016</v>
      </c>
      <c r="E14" s="295"/>
      <c r="F14" s="350"/>
      <c r="G14" s="350"/>
      <c r="H14" s="350"/>
      <c r="I14" s="350"/>
      <c r="J14" s="350"/>
      <c r="K14" s="350"/>
      <c r="L14" s="350"/>
      <c r="M14" s="350"/>
      <c r="N14" s="446"/>
      <c r="O14" s="295"/>
      <c r="AF14" s="447"/>
    </row>
    <row r="15" customFormat="false" ht="12.75" hidden="false" customHeight="false" outlineLevel="0" collapsed="false">
      <c r="A15" s="49"/>
      <c r="B15" s="114" t="s">
        <v>180</v>
      </c>
      <c r="C15" s="352"/>
      <c r="D15" s="438" t="n">
        <f aca="false">(Assumptions!E4+Assumptions!E5+Assumptions!E6+Assumptions!E7+Assumptions!E8)*Assumptions!E33</f>
        <v>121210.436410498</v>
      </c>
      <c r="E15" s="393"/>
      <c r="F15" s="295"/>
      <c r="G15" s="295"/>
      <c r="H15" s="295"/>
      <c r="I15" s="114"/>
      <c r="J15" s="114"/>
      <c r="K15" s="114"/>
      <c r="L15" s="114"/>
      <c r="M15" s="114"/>
      <c r="N15" s="114"/>
      <c r="O15" s="393"/>
    </row>
    <row r="16" customFormat="false" ht="12.75" hidden="false" customHeight="false" outlineLevel="0" collapsed="false">
      <c r="A16" s="49"/>
      <c r="B16" s="114" t="s">
        <v>410</v>
      </c>
      <c r="C16" s="352"/>
      <c r="D16" s="438" t="n">
        <f aca="false">SUM(D14:D15)</f>
        <v>179512</v>
      </c>
      <c r="E16" s="438"/>
      <c r="F16" s="295"/>
      <c r="G16" s="295"/>
      <c r="H16" s="295"/>
      <c r="I16" s="114"/>
      <c r="J16" s="114"/>
      <c r="K16" s="114"/>
      <c r="L16" s="114"/>
      <c r="M16" s="114"/>
      <c r="N16" s="114"/>
      <c r="O16" s="295"/>
    </row>
    <row r="17" customFormat="false" ht="12.75" hidden="false" customHeight="false" outlineLevel="0" collapsed="false">
      <c r="A17" s="49"/>
      <c r="B17" s="114"/>
      <c r="C17" s="352"/>
      <c r="D17" s="438"/>
      <c r="E17" s="438"/>
      <c r="F17" s="295"/>
      <c r="G17" s="295"/>
      <c r="H17" s="295"/>
      <c r="I17" s="114"/>
      <c r="J17" s="114"/>
      <c r="K17" s="114"/>
      <c r="L17" s="114"/>
      <c r="M17" s="114"/>
      <c r="N17" s="114"/>
      <c r="O17" s="295"/>
      <c r="P17" s="448"/>
      <c r="Q17" s="448"/>
      <c r="R17" s="448"/>
      <c r="S17" s="448"/>
      <c r="T17" s="448"/>
      <c r="U17" s="448"/>
    </row>
    <row r="18" customFormat="false" ht="12.75" hidden="false" customHeight="false" outlineLevel="0" collapsed="false">
      <c r="A18" s="49"/>
      <c r="B18" s="114"/>
      <c r="C18" s="352"/>
      <c r="D18" s="438"/>
      <c r="E18" s="438"/>
      <c r="F18" s="295"/>
      <c r="G18" s="295"/>
      <c r="H18" s="295"/>
      <c r="I18" s="114"/>
      <c r="J18" s="114"/>
      <c r="K18" s="114"/>
      <c r="L18" s="114"/>
      <c r="M18" s="114"/>
      <c r="N18" s="114"/>
      <c r="O18" s="295"/>
      <c r="P18" s="448"/>
      <c r="Q18" s="448"/>
      <c r="R18" s="448"/>
      <c r="S18" s="448"/>
      <c r="T18" s="448"/>
      <c r="U18" s="448"/>
    </row>
    <row r="19" customFormat="false" ht="16.5" hidden="false" customHeight="true" outlineLevel="0" collapsed="false">
      <c r="A19" s="49"/>
      <c r="B19" s="114"/>
      <c r="C19" s="352"/>
      <c r="D19" s="449" t="n">
        <f aca="false">YEAR(D23)</f>
        <v>2000</v>
      </c>
      <c r="E19" s="449" t="n">
        <f aca="false">YEAR(E23)</f>
        <v>2000</v>
      </c>
      <c r="F19" s="449" t="n">
        <f aca="false">YEAR(F23)</f>
        <v>2000</v>
      </c>
      <c r="G19" s="449" t="n">
        <f aca="false">YEAR(G23)</f>
        <v>2000</v>
      </c>
      <c r="H19" s="449" t="n">
        <f aca="false">YEAR(H23)</f>
        <v>2000</v>
      </c>
      <c r="I19" s="449" t="n">
        <f aca="false">YEAR(I23)</f>
        <v>2000</v>
      </c>
      <c r="J19" s="449" t="n">
        <f aca="false">YEAR(J23)</f>
        <v>2000</v>
      </c>
      <c r="K19" s="449" t="n">
        <f aca="false">YEAR(K23)</f>
        <v>2000</v>
      </c>
      <c r="L19" s="449" t="n">
        <f aca="false">YEAR(L23)</f>
        <v>2000</v>
      </c>
      <c r="M19" s="449" t="n">
        <f aca="false">YEAR(M23)</f>
        <v>2000</v>
      </c>
      <c r="N19" s="449" t="n">
        <f aca="false">YEAR(N23)</f>
        <v>2001</v>
      </c>
      <c r="O19" s="449" t="n">
        <f aca="false">YEAR(O23)</f>
        <v>2001</v>
      </c>
      <c r="P19" s="449" t="n">
        <f aca="false">YEAR(P23)</f>
        <v>2001</v>
      </c>
      <c r="Q19" s="449" t="n">
        <f aca="false">YEAR(Q23)</f>
        <v>2001</v>
      </c>
      <c r="R19" s="449" t="n">
        <f aca="false">YEAR(R23)</f>
        <v>2001</v>
      </c>
      <c r="S19" s="449" t="n">
        <f aca="false">YEAR(S23)</f>
        <v>2001</v>
      </c>
      <c r="T19" s="449" t="n">
        <f aca="false">YEAR(T23)</f>
        <v>2001</v>
      </c>
      <c r="U19" s="449" t="n">
        <f aca="false">YEAR(U23)</f>
        <v>2001</v>
      </c>
      <c r="V19" s="449" t="n">
        <f aca="false">YEAR(V23)</f>
        <v>2001</v>
      </c>
      <c r="W19" s="449" t="n">
        <f aca="false">YEAR(W23)</f>
        <v>2001</v>
      </c>
      <c r="X19" s="449" t="n">
        <f aca="false">YEAR(X23)</f>
        <v>2001</v>
      </c>
      <c r="Y19" s="449" t="n">
        <f aca="false">YEAR(Y23)</f>
        <v>2001</v>
      </c>
      <c r="Z19" s="449" t="n">
        <f aca="false">YEAR(Z23)</f>
        <v>2002</v>
      </c>
      <c r="AA19" s="449" t="n">
        <f aca="false">YEAR(AA23)</f>
        <v>2002</v>
      </c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</row>
    <row r="20" customFormat="false" ht="12.75" hidden="false" customHeight="false" outlineLevel="0" collapsed="false">
      <c r="A20" s="450" t="s">
        <v>25</v>
      </c>
      <c r="B20" s="114"/>
      <c r="C20" s="352"/>
      <c r="D20" s="352" t="n">
        <v>1</v>
      </c>
      <c r="E20" s="352" t="n">
        <f aca="false">IF(D20="EOC","EOC",IF(D20+1&lt;=$D$4,D20+1,"EOC"))</f>
        <v>2</v>
      </c>
      <c r="F20" s="352" t="n">
        <f aca="false">IF(E20="EOC","EOC",IF(E20+1&lt;=$D$4,E20+1,"EOC"))</f>
        <v>3</v>
      </c>
      <c r="G20" s="352" t="n">
        <f aca="false">IF(F20="EOC","EOC",IF(F20+1&lt;=$D$4,F20+1,"EOC"))</f>
        <v>4</v>
      </c>
      <c r="H20" s="352" t="n">
        <f aca="false">IF(G20="EOC","EOC",IF(G20+1&lt;=$D$4,G20+1,"EOC"))</f>
        <v>5</v>
      </c>
      <c r="I20" s="352" t="n">
        <f aca="false">IF(H20="EOC","EOC",IF(H20+1&lt;=$D$4,H20+1,"EOC"))</f>
        <v>6</v>
      </c>
      <c r="J20" s="352" t="n">
        <f aca="false">IF(I20="EOC","EOC",IF(I20+1&lt;=$D$4,I20+1,"EOC"))</f>
        <v>7</v>
      </c>
      <c r="K20" s="352" t="n">
        <f aca="false">IF(J20="EOC","EOC",IF(J20+1&lt;=$D$4,J20+1,"EOC"))</f>
        <v>8</v>
      </c>
      <c r="L20" s="352" t="n">
        <f aca="false">IF(K20="EOC","EOC",IF(K20+1&lt;=$D$4,K20+1,"EOC"))</f>
        <v>9</v>
      </c>
      <c r="M20" s="352" t="n">
        <f aca="false">IF(L20="EOC","EOC",IF(L20+1&lt;=$D$4,L20+1,"EOC"))</f>
        <v>10</v>
      </c>
      <c r="N20" s="352" t="str">
        <f aca="false">IF(M20="EOC","EOC",IF(M20+1&lt;=$D$4,M20+1,"EOC"))</f>
        <v>EOC</v>
      </c>
      <c r="O20" s="352" t="str">
        <f aca="false">IF(N20="EOC","EOC",IF(N20+1&lt;=$D$4,N20+1,"EOC"))</f>
        <v>EOC</v>
      </c>
      <c r="P20" s="352" t="str">
        <f aca="false">IF(O20="EOC","EOC",IF(O20+1&lt;=$D$4,O20+1,"EOC"))</f>
        <v>EOC</v>
      </c>
      <c r="Q20" s="352" t="str">
        <f aca="false">IF(P20="EOC","EOC",IF(P20+1&lt;=$D$4,P20+1,"EOC"))</f>
        <v>EOC</v>
      </c>
      <c r="R20" s="352" t="str">
        <f aca="false">IF(Q20="EOC","EOC",IF(Q20+1&lt;=$D$4,Q20+1,"EOC"))</f>
        <v>EOC</v>
      </c>
      <c r="S20" s="352" t="str">
        <f aca="false">IF(R20="EOC","EOC",IF(R20+1&lt;=$D$4,R20+1,"EOC"))</f>
        <v>EOC</v>
      </c>
      <c r="T20" s="352" t="str">
        <f aca="false">IF(S20="EOC","EOC",IF(S20+1&lt;=$D$4,S20+1,"EOC"))</f>
        <v>EOC</v>
      </c>
      <c r="U20" s="352" t="str">
        <f aca="false">IF(T20="EOC","EOC",IF(T20+1&lt;=$D$4,T20+1,"EOC"))</f>
        <v>EOC</v>
      </c>
      <c r="V20" s="352" t="str">
        <f aca="false">IF(U20="EOC","EOC",IF(U20+1&lt;=$D$4,U20+1,"EOC"))</f>
        <v>EOC</v>
      </c>
      <c r="W20" s="352" t="str">
        <f aca="false">IF(V20="EOC","EOC",IF(V20+1&lt;=$D$4,V20+1,"EOC"))</f>
        <v>EOC</v>
      </c>
      <c r="X20" s="352" t="str">
        <f aca="false">IF(W20="EOC","EOC",IF(W20+1&lt;=$D$4,W20+1,"EOC"))</f>
        <v>EOC</v>
      </c>
      <c r="Y20" s="352" t="str">
        <f aca="false">IF(X20="EOC","EOC",IF(X20+1&lt;=$D$4,X20+1,"EOC"))</f>
        <v>EOC</v>
      </c>
      <c r="Z20" s="352" t="str">
        <f aca="false">IF(Y20="EOC","EOC",IF(Y20+1&lt;=$D$4,Y20+1,"EOC"))</f>
        <v>EOC</v>
      </c>
      <c r="AA20" s="451" t="str">
        <f aca="false">IF(Z20="EOC","EOC",IF(Z20+1&lt;=$D$4,Z20+1,"EOC"))</f>
        <v>EOC</v>
      </c>
      <c r="AB20" s="352"/>
      <c r="AC20" s="352"/>
      <c r="AD20" s="352"/>
      <c r="AE20" s="352"/>
      <c r="AF20" s="352"/>
      <c r="AG20" s="352"/>
      <c r="AH20" s="352"/>
      <c r="AI20" s="352"/>
      <c r="AJ20" s="352"/>
      <c r="AK20" s="352"/>
      <c r="AL20" s="352"/>
      <c r="AM20" s="35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</row>
    <row r="21" customFormat="false" ht="16.5" hidden="false" customHeight="true" outlineLevel="0" collapsed="false">
      <c r="A21" s="49"/>
      <c r="B21" s="114"/>
      <c r="C21" s="352"/>
      <c r="D21" s="452"/>
      <c r="E21" s="452"/>
      <c r="F21" s="452"/>
      <c r="G21" s="452"/>
      <c r="H21" s="452"/>
      <c r="I21" s="452"/>
      <c r="J21" s="452"/>
      <c r="K21" s="452"/>
      <c r="L21" s="452"/>
      <c r="M21" s="452"/>
      <c r="N21" s="452"/>
      <c r="O21" s="452"/>
      <c r="P21" s="452"/>
      <c r="Q21" s="452"/>
      <c r="R21" s="452"/>
      <c r="S21" s="452"/>
      <c r="T21" s="452"/>
      <c r="U21" s="452"/>
      <c r="V21" s="452"/>
      <c r="W21" s="452"/>
      <c r="X21" s="452"/>
      <c r="Y21" s="452"/>
      <c r="Z21" s="452"/>
      <c r="AA21" s="45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</row>
    <row r="22" customFormat="false" ht="11.25" hidden="false" customHeight="false" outlineLevel="0" collapsed="false">
      <c r="A22" s="442" t="s">
        <v>403</v>
      </c>
      <c r="B22" s="442"/>
      <c r="C22" s="442"/>
      <c r="D22" s="453" t="n">
        <f aca="false">Assumptions!E47</f>
        <v>36586</v>
      </c>
      <c r="E22" s="453" t="n">
        <f aca="false">EDATE(D22,1)</f>
        <v>36617</v>
      </c>
      <c r="F22" s="453" t="n">
        <f aca="false">EDATE(E22,1)</f>
        <v>36647</v>
      </c>
      <c r="G22" s="453" t="n">
        <f aca="false">EDATE(F22,1)</f>
        <v>36678</v>
      </c>
      <c r="H22" s="453" t="n">
        <f aca="false">EDATE(G22,1)</f>
        <v>36708</v>
      </c>
      <c r="I22" s="453" t="n">
        <f aca="false">EDATE(H22,1)</f>
        <v>36739</v>
      </c>
      <c r="J22" s="453" t="n">
        <f aca="false">EDATE(I22,1)</f>
        <v>36770</v>
      </c>
      <c r="K22" s="453" t="n">
        <f aca="false">EDATE(J22,1)</f>
        <v>36800</v>
      </c>
      <c r="L22" s="453" t="n">
        <f aca="false">EDATE(K22,1)</f>
        <v>36831</v>
      </c>
      <c r="M22" s="453" t="n">
        <f aca="false">EDATE(L22,1)</f>
        <v>36861</v>
      </c>
      <c r="N22" s="453" t="n">
        <f aca="false">EDATE(M22,1)</f>
        <v>36892</v>
      </c>
      <c r="O22" s="453" t="n">
        <f aca="false">EDATE(N22,1)</f>
        <v>36923</v>
      </c>
      <c r="P22" s="453" t="n">
        <f aca="false">EDATE(O22,1)</f>
        <v>36951</v>
      </c>
      <c r="Q22" s="453" t="n">
        <f aca="false">EDATE(P22,1)</f>
        <v>36982</v>
      </c>
      <c r="R22" s="453" t="n">
        <f aca="false">EDATE(Q22,1)</f>
        <v>37012</v>
      </c>
      <c r="S22" s="453" t="n">
        <f aca="false">EDATE(R22,1)</f>
        <v>37043</v>
      </c>
      <c r="T22" s="453" t="n">
        <f aca="false">EDATE(S22,1)</f>
        <v>37073</v>
      </c>
      <c r="U22" s="453" t="n">
        <f aca="false">EDATE(T22,1)</f>
        <v>37104</v>
      </c>
      <c r="V22" s="453" t="n">
        <f aca="false">EDATE(U22,1)</f>
        <v>37135</v>
      </c>
      <c r="W22" s="453" t="n">
        <f aca="false">EDATE(V22,1)</f>
        <v>37165</v>
      </c>
      <c r="X22" s="453" t="n">
        <f aca="false">EDATE(W22,1)</f>
        <v>37196</v>
      </c>
      <c r="Y22" s="453" t="n">
        <f aca="false">EDATE(X22,1)</f>
        <v>37226</v>
      </c>
      <c r="Z22" s="453" t="n">
        <f aca="false">EDATE(Y22,1)</f>
        <v>37257</v>
      </c>
      <c r="AA22" s="453" t="n">
        <f aca="false">EDATE(Z22,1)</f>
        <v>37288</v>
      </c>
      <c r="AB22" s="453"/>
      <c r="AC22" s="453"/>
      <c r="AD22" s="453"/>
      <c r="AE22" s="453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</row>
    <row r="23" customFormat="false" ht="11.25" hidden="false" customHeight="false" outlineLevel="0" collapsed="false">
      <c r="A23" s="442" t="s">
        <v>411</v>
      </c>
      <c r="B23" s="442"/>
      <c r="C23" s="442"/>
      <c r="D23" s="453" t="n">
        <f aca="false">EOMONTH(D22,0)</f>
        <v>36616</v>
      </c>
      <c r="E23" s="453" t="n">
        <f aca="false">EOMONTH(E22,0)</f>
        <v>36646</v>
      </c>
      <c r="F23" s="453" t="n">
        <f aca="false">EOMONTH(F22,0)</f>
        <v>36677</v>
      </c>
      <c r="G23" s="453" t="n">
        <f aca="false">EOMONTH(G22,0)</f>
        <v>36707</v>
      </c>
      <c r="H23" s="453" t="n">
        <f aca="false">EOMONTH(H22,0)</f>
        <v>36738</v>
      </c>
      <c r="I23" s="453" t="n">
        <f aca="false">EOMONTH(I22,0)</f>
        <v>36769</v>
      </c>
      <c r="J23" s="453" t="n">
        <f aca="false">EOMONTH(J22,0)</f>
        <v>36799</v>
      </c>
      <c r="K23" s="453" t="n">
        <f aca="false">EOMONTH(K22,0)</f>
        <v>36830</v>
      </c>
      <c r="L23" s="453" t="n">
        <f aca="false">EOMONTH(L22,0)</f>
        <v>36860</v>
      </c>
      <c r="M23" s="453" t="n">
        <f aca="false">EOMONTH(M22,0)</f>
        <v>36891</v>
      </c>
      <c r="N23" s="453" t="n">
        <f aca="false">EOMONTH(N22,0)</f>
        <v>36922</v>
      </c>
      <c r="O23" s="453" t="n">
        <f aca="false">EOMONTH(O22,0)</f>
        <v>36950</v>
      </c>
      <c r="P23" s="453" t="n">
        <f aca="false">EOMONTH(P22,0)</f>
        <v>36981</v>
      </c>
      <c r="Q23" s="453" t="n">
        <f aca="false">EOMONTH(Q22,0)</f>
        <v>37011</v>
      </c>
      <c r="R23" s="453" t="n">
        <f aca="false">EOMONTH(R22,0)</f>
        <v>37042</v>
      </c>
      <c r="S23" s="453" t="n">
        <f aca="false">EOMONTH(S22,0)</f>
        <v>37072</v>
      </c>
      <c r="T23" s="453" t="n">
        <f aca="false">EOMONTH(T22,0)</f>
        <v>37103</v>
      </c>
      <c r="U23" s="453" t="n">
        <f aca="false">EOMONTH(U22,0)</f>
        <v>37134</v>
      </c>
      <c r="V23" s="453" t="n">
        <f aca="false">EOMONTH(V22,0)</f>
        <v>37164</v>
      </c>
      <c r="W23" s="453" t="n">
        <f aca="false">EOMONTH(W22,0)</f>
        <v>37195</v>
      </c>
      <c r="X23" s="453" t="n">
        <f aca="false">EOMONTH(X22,0)</f>
        <v>37225</v>
      </c>
      <c r="Y23" s="453" t="n">
        <f aca="false">EOMONTH(Y22,0)</f>
        <v>37256</v>
      </c>
      <c r="Z23" s="453" t="n">
        <f aca="false">EOMONTH(Z22,0)</f>
        <v>37287</v>
      </c>
      <c r="AA23" s="453" t="n">
        <f aca="false">EOMONTH(AA22,0)</f>
        <v>37315</v>
      </c>
      <c r="AB23" s="453"/>
      <c r="AC23" s="453"/>
      <c r="AD23" s="453"/>
      <c r="AE23" s="453"/>
      <c r="AF23" s="453"/>
      <c r="AG23" s="453"/>
      <c r="AH23" s="453"/>
      <c r="AI23" s="453"/>
      <c r="AJ23" s="453"/>
      <c r="AK23" s="453"/>
      <c r="AL23" s="453"/>
      <c r="AM23" s="453"/>
      <c r="AN23" s="453"/>
      <c r="AO23" s="453"/>
    </row>
    <row r="24" customFormat="false" ht="16.5" hidden="false" customHeight="true" outlineLevel="0" collapsed="false">
      <c r="A24" s="49"/>
      <c r="B24" s="114"/>
      <c r="C24" s="352"/>
      <c r="D24" s="452"/>
      <c r="E24" s="452"/>
      <c r="F24" s="452"/>
      <c r="G24" s="452"/>
      <c r="H24" s="452"/>
      <c r="I24" s="452"/>
      <c r="J24" s="452"/>
      <c r="K24" s="452"/>
      <c r="L24" s="452"/>
      <c r="M24" s="452"/>
      <c r="N24" s="452"/>
      <c r="O24" s="452"/>
      <c r="P24" s="452"/>
      <c r="Q24" s="452"/>
      <c r="R24" s="452"/>
      <c r="S24" s="452"/>
      <c r="T24" s="452"/>
      <c r="U24" s="452"/>
      <c r="V24" s="452"/>
      <c r="W24" s="452"/>
      <c r="X24" s="452"/>
      <c r="Y24" s="452"/>
      <c r="Z24" s="452"/>
      <c r="AA24" s="45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</row>
    <row r="25" customFormat="false" ht="12.75" hidden="false" customHeight="false" outlineLevel="0" collapsed="false">
      <c r="A25" s="454" t="s">
        <v>412</v>
      </c>
      <c r="B25" s="114"/>
      <c r="C25" s="352"/>
      <c r="D25" s="455" t="n">
        <v>0.1</v>
      </c>
      <c r="E25" s="456"/>
      <c r="F25" s="456"/>
      <c r="G25" s="456"/>
      <c r="H25" s="456"/>
      <c r="I25" s="456"/>
      <c r="J25" s="456"/>
      <c r="K25" s="456"/>
      <c r="L25" s="456"/>
      <c r="M25" s="456"/>
      <c r="N25" s="456"/>
      <c r="O25" s="456"/>
      <c r="P25" s="456"/>
      <c r="Q25" s="456"/>
      <c r="R25" s="456"/>
      <c r="S25" s="456"/>
      <c r="T25" s="456"/>
      <c r="U25" s="456"/>
      <c r="V25" s="456"/>
      <c r="W25" s="456"/>
      <c r="X25" s="456"/>
      <c r="Y25" s="456"/>
      <c r="Z25" s="456"/>
      <c r="AA25" s="457"/>
      <c r="AB25" s="352"/>
      <c r="AC25" s="352"/>
      <c r="AD25" s="352"/>
      <c r="AE25" s="352"/>
      <c r="AF25" s="352"/>
      <c r="AG25" s="352"/>
      <c r="AH25" s="352"/>
      <c r="AI25" s="352"/>
      <c r="AJ25" s="352"/>
      <c r="AK25" s="352"/>
      <c r="AL25" s="352"/>
      <c r="AM25" s="35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</row>
    <row r="26" customFormat="false" ht="12.75" hidden="false" customHeight="false" outlineLevel="0" collapsed="false">
      <c r="A26" s="454" t="s">
        <v>413</v>
      </c>
      <c r="B26" s="114"/>
      <c r="C26" s="352"/>
      <c r="D26" s="458" t="n">
        <f aca="false">IF(D20&lt;=$D$4,1/$D$4,0)</f>
        <v>0.1</v>
      </c>
      <c r="E26" s="458" t="n">
        <f aca="false">IF(E20&lt;=$D$4,1/$D$4,0)</f>
        <v>0.1</v>
      </c>
      <c r="F26" s="458" t="n">
        <f aca="false">IF(F20&lt;=$D$4,1/$D$4,0)</f>
        <v>0.1</v>
      </c>
      <c r="G26" s="458" t="n">
        <f aca="false">IF(G20&lt;=$D$4,1/$D$4,0)</f>
        <v>0.1</v>
      </c>
      <c r="H26" s="458" t="n">
        <f aca="false">IF(H20&lt;=$D$4,1/$D$4,0)</f>
        <v>0.1</v>
      </c>
      <c r="I26" s="458" t="n">
        <f aca="false">IF(I20&lt;=$D$4,1/$D$4,0)</f>
        <v>0.1</v>
      </c>
      <c r="J26" s="458" t="n">
        <f aca="false">IF(J20&lt;=$D$4,1/$D$4,0)</f>
        <v>0.1</v>
      </c>
      <c r="K26" s="458" t="n">
        <f aca="false">IF(K20&lt;=$D$4,1/$D$4,0)</f>
        <v>0.1</v>
      </c>
      <c r="L26" s="458" t="n">
        <f aca="false">IF(L20&lt;=$D$4,1/$D$4,0)</f>
        <v>0.1</v>
      </c>
      <c r="M26" s="458" t="n">
        <f aca="false">IF(M20&lt;=$D$4,1/$D$4,0)</f>
        <v>0.1</v>
      </c>
      <c r="N26" s="458" t="n">
        <f aca="false">IF(N20&lt;=$D$4,1/$D$4,0)</f>
        <v>0</v>
      </c>
      <c r="O26" s="458" t="n">
        <f aca="false">IF(O20&lt;=$D$4,1/$D$4,0)</f>
        <v>0</v>
      </c>
      <c r="P26" s="458" t="n">
        <f aca="false">IF(P20&lt;=$D$4,1/$D$4,0)</f>
        <v>0</v>
      </c>
      <c r="Q26" s="458" t="n">
        <f aca="false">IF(Q20&lt;=$D$4,1/$D$4,0)</f>
        <v>0</v>
      </c>
      <c r="R26" s="458" t="n">
        <f aca="false">IF(R20&lt;=$D$4,1/$D$4,0)</f>
        <v>0</v>
      </c>
      <c r="S26" s="458" t="n">
        <f aca="false">IF(S20&lt;=$D$4,1/$D$4,0)</f>
        <v>0</v>
      </c>
      <c r="T26" s="458" t="n">
        <f aca="false">IF(T20&lt;=$D$4,1/$D$4,0)</f>
        <v>0</v>
      </c>
      <c r="U26" s="458" t="n">
        <f aca="false">IF(U20&lt;=$D$4,1/$D$4,0)</f>
        <v>0</v>
      </c>
      <c r="V26" s="458" t="n">
        <f aca="false">IF(V20&lt;=$D$4,1/$D$4,0)</f>
        <v>0</v>
      </c>
      <c r="W26" s="458" t="n">
        <f aca="false">IF(W20&lt;=$D$4,1/$D$4,0)</f>
        <v>0</v>
      </c>
      <c r="X26" s="458" t="n">
        <f aca="false">IF(X20&lt;=$D$4,1/$D$4,0)</f>
        <v>0</v>
      </c>
      <c r="Y26" s="458" t="n">
        <f aca="false">IF(Y20&lt;=$D$4,1/$D$4,0)</f>
        <v>0</v>
      </c>
      <c r="Z26" s="458" t="n">
        <f aca="false">IF(Z20&lt;=$D$4,1/$D$4,0)</f>
        <v>0</v>
      </c>
      <c r="AA26" s="459" t="n">
        <f aca="false">IF(AA20&lt;=$D$4,1/$D$4,0)</f>
        <v>0</v>
      </c>
      <c r="AB26" s="352"/>
      <c r="AC26" s="352"/>
      <c r="AD26" s="352"/>
      <c r="AE26" s="352"/>
      <c r="AF26" s="352"/>
      <c r="AG26" s="352"/>
      <c r="AH26" s="352"/>
      <c r="AI26" s="352"/>
      <c r="AJ26" s="352"/>
      <c r="AK26" s="352"/>
      <c r="AL26" s="352"/>
      <c r="AM26" s="35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</row>
    <row r="27" customFormat="false" ht="12.75" hidden="false" customHeight="false" outlineLevel="0" collapsed="false">
      <c r="A27" s="49"/>
      <c r="B27" s="49"/>
      <c r="C27" s="49"/>
      <c r="D27" s="49"/>
      <c r="E27" s="9"/>
      <c r="I27" s="454"/>
      <c r="J27" s="454"/>
      <c r="K27" s="454"/>
      <c r="L27" s="454"/>
      <c r="M27" s="454"/>
      <c r="N27" s="454"/>
      <c r="P27" s="448"/>
      <c r="Q27" s="448"/>
      <c r="R27" s="448"/>
      <c r="S27" s="448"/>
      <c r="T27" s="448"/>
      <c r="U27" s="448"/>
      <c r="AM27" s="112"/>
      <c r="AN27" s="112"/>
      <c r="AO27" s="112"/>
      <c r="AP27" s="112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</row>
    <row r="28" customFormat="false" ht="13.5" hidden="false" customHeight="false" outlineLevel="0" collapsed="false">
      <c r="A28" s="460" t="s">
        <v>414</v>
      </c>
      <c r="B28" s="461"/>
      <c r="C28" s="461"/>
      <c r="D28" s="462" t="n">
        <f aca="false">IF(Assumptions!$E$50="YES",Construction!D25,Construction!D26)</f>
        <v>0.1</v>
      </c>
      <c r="E28" s="462" t="n">
        <f aca="false">IF(Assumptions!$E$50="YES",Construction!E25,Construction!E26)</f>
        <v>0.1</v>
      </c>
      <c r="F28" s="462" t="n">
        <f aca="false">IF(Assumptions!$E$50="YES",Construction!F25,Construction!F26)</f>
        <v>0.1</v>
      </c>
      <c r="G28" s="462" t="n">
        <f aca="false">IF(Assumptions!$E$50="YES",Construction!G25,Construction!G26)</f>
        <v>0.1</v>
      </c>
      <c r="H28" s="462" t="n">
        <f aca="false">IF(Assumptions!$E$50="YES",Construction!H25,Construction!H26)</f>
        <v>0.1</v>
      </c>
      <c r="I28" s="462" t="n">
        <f aca="false">IF(Assumptions!$E$50="YES",Construction!I25,Construction!I26)</f>
        <v>0.1</v>
      </c>
      <c r="J28" s="462" t="n">
        <f aca="false">IF(Assumptions!$E$50="YES",Construction!J25,Construction!J26)</f>
        <v>0.1</v>
      </c>
      <c r="K28" s="462" t="n">
        <f aca="false">IF(Assumptions!$E$50="YES",Construction!K25,Construction!K26)</f>
        <v>0.1</v>
      </c>
      <c r="L28" s="462" t="n">
        <f aca="false">IF(Assumptions!$E$50="YES",Construction!L25,Construction!L26)</f>
        <v>0.1</v>
      </c>
      <c r="M28" s="462" t="n">
        <f aca="false">IF(Assumptions!$E$50="YES",Construction!M25,Construction!M26)</f>
        <v>0.1</v>
      </c>
      <c r="N28" s="462" t="n">
        <f aca="false">IF(Assumptions!$E$50="YES",Construction!N25,Construction!N26)</f>
        <v>0</v>
      </c>
      <c r="O28" s="462" t="n">
        <f aca="false">IF(Assumptions!$E$50="YES",Construction!O25,Construction!O26)</f>
        <v>0</v>
      </c>
      <c r="P28" s="462" t="n">
        <f aca="false">IF(Assumptions!$E$50="YES",Construction!P25,Construction!P26)</f>
        <v>0</v>
      </c>
      <c r="Q28" s="462" t="n">
        <f aca="false">IF(Assumptions!$E$50="YES",Construction!Q25,Construction!Q26)</f>
        <v>0</v>
      </c>
      <c r="R28" s="462" t="n">
        <f aca="false">IF(Assumptions!$E$50="YES",Construction!R25,Construction!R26)</f>
        <v>0</v>
      </c>
      <c r="S28" s="462" t="n">
        <f aca="false">IF(Assumptions!$E$50="YES",Construction!S25,Construction!S26)</f>
        <v>0</v>
      </c>
      <c r="T28" s="462" t="n">
        <f aca="false">IF(Assumptions!$E$50="YES",Construction!T25,Construction!T26)</f>
        <v>0</v>
      </c>
      <c r="U28" s="462" t="n">
        <f aca="false">IF(Assumptions!$E$50="YES",Construction!U25,Construction!U26)</f>
        <v>0</v>
      </c>
      <c r="V28" s="462" t="n">
        <f aca="false">IF(Assumptions!$E$50="YES",Construction!V25,Construction!V26)</f>
        <v>0</v>
      </c>
      <c r="W28" s="462" t="n">
        <f aca="false">IF(Assumptions!$E$50="YES",Construction!W25,Construction!W26)</f>
        <v>0</v>
      </c>
      <c r="X28" s="462" t="n">
        <f aca="false">IF(Assumptions!$E$50="YES",Construction!X25,Construction!X26)</f>
        <v>0</v>
      </c>
      <c r="Y28" s="462" t="n">
        <f aca="false">IF(Assumptions!$E$50="YES",Construction!Y25,Construction!Y26)</f>
        <v>0</v>
      </c>
      <c r="Z28" s="462" t="n">
        <f aca="false">IF(Assumptions!$E$50="YES",Construction!Z25,Construction!Z26)</f>
        <v>0</v>
      </c>
      <c r="AA28" s="462" t="n">
        <f aca="false">IF(Assumptions!$E$50="YES",Construction!AA25,Construction!AA26)</f>
        <v>0</v>
      </c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112"/>
    </row>
    <row r="29" customFormat="false" ht="12.75" hidden="false" customHeight="false" outlineLevel="0" collapsed="false">
      <c r="A29" s="49" t="s">
        <v>415</v>
      </c>
      <c r="B29" s="49"/>
      <c r="C29" s="49"/>
      <c r="D29" s="463" t="n">
        <f aca="false">D28</f>
        <v>0.1</v>
      </c>
      <c r="E29" s="464" t="n">
        <f aca="false">D29+E28</f>
        <v>0.2</v>
      </c>
      <c r="F29" s="464" t="n">
        <f aca="false">E29+F28</f>
        <v>0.3</v>
      </c>
      <c r="G29" s="464" t="n">
        <f aca="false">F29+G28</f>
        <v>0.4</v>
      </c>
      <c r="H29" s="464" t="n">
        <f aca="false">G29+H28</f>
        <v>0.5</v>
      </c>
      <c r="I29" s="463" t="n">
        <f aca="false">H29+I28</f>
        <v>0.6</v>
      </c>
      <c r="J29" s="463" t="n">
        <f aca="false">I29+J28</f>
        <v>0.7</v>
      </c>
      <c r="K29" s="463" t="n">
        <f aca="false">J29+K28</f>
        <v>0.8</v>
      </c>
      <c r="L29" s="463" t="n">
        <f aca="false">K29+L28</f>
        <v>0.9</v>
      </c>
      <c r="M29" s="463" t="n">
        <f aca="false">L29+M28</f>
        <v>1</v>
      </c>
      <c r="N29" s="463" t="n">
        <f aca="false">M29+N28</f>
        <v>1</v>
      </c>
      <c r="O29" s="464" t="n">
        <f aca="false">N29+O28</f>
        <v>1</v>
      </c>
      <c r="P29" s="464" t="n">
        <f aca="false">O29+P28</f>
        <v>1</v>
      </c>
      <c r="Q29" s="464" t="n">
        <f aca="false">P29+Q28</f>
        <v>1</v>
      </c>
      <c r="R29" s="464" t="n">
        <f aca="false">Q29+R28</f>
        <v>1</v>
      </c>
      <c r="S29" s="464" t="n">
        <f aca="false">R29+S28</f>
        <v>1</v>
      </c>
      <c r="T29" s="464" t="n">
        <f aca="false">S29+T28</f>
        <v>1</v>
      </c>
      <c r="U29" s="464" t="n">
        <f aca="false">T29+U28</f>
        <v>1</v>
      </c>
      <c r="V29" s="464" t="n">
        <f aca="false">U29+V28</f>
        <v>1</v>
      </c>
      <c r="W29" s="464" t="n">
        <f aca="false">V29+W28</f>
        <v>1</v>
      </c>
      <c r="X29" s="464" t="n">
        <f aca="false">W29+X28</f>
        <v>1</v>
      </c>
      <c r="Y29" s="464" t="n">
        <f aca="false">X29+Y28</f>
        <v>1</v>
      </c>
      <c r="Z29" s="464" t="n">
        <f aca="false">Y29+Z28</f>
        <v>1</v>
      </c>
      <c r="AA29" s="464" t="n">
        <f aca="false">Z29+AA28</f>
        <v>1</v>
      </c>
      <c r="AM29" s="112"/>
      <c r="AN29" s="112"/>
      <c r="AO29" s="112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</row>
    <row r="30" customFormat="false" ht="12.75" hidden="false" customHeight="false" outlineLevel="0" collapsed="false">
      <c r="A30" s="49"/>
      <c r="B30" s="49"/>
      <c r="C30" s="49"/>
      <c r="D30" s="49"/>
      <c r="E30" s="9"/>
      <c r="I30" s="454"/>
      <c r="J30" s="454"/>
      <c r="K30" s="454"/>
      <c r="L30" s="454"/>
      <c r="M30" s="454"/>
      <c r="N30" s="454"/>
      <c r="P30" s="448"/>
      <c r="Q30" s="448"/>
      <c r="R30" s="448"/>
      <c r="S30" s="448"/>
      <c r="T30" s="448"/>
      <c r="U30" s="448"/>
      <c r="AM30" s="112"/>
      <c r="AN30" s="112"/>
      <c r="AO30" s="112"/>
      <c r="AP30" s="112"/>
      <c r="AQ30" s="112"/>
      <c r="AR30" s="112"/>
      <c r="AS30" s="112"/>
      <c r="AT30" s="112"/>
      <c r="AU30" s="112"/>
      <c r="AV30" s="112"/>
      <c r="AW30" s="112"/>
      <c r="AX30" s="112"/>
      <c r="AY30" s="112"/>
      <c r="AZ30" s="112"/>
      <c r="BA30" s="112"/>
      <c r="BB30" s="112"/>
      <c r="BC30" s="112"/>
      <c r="BD30" s="112"/>
    </row>
    <row r="31" customFormat="false" ht="12.75" hidden="false" customHeight="false" outlineLevel="0" collapsed="false">
      <c r="A31" s="49" t="s">
        <v>416</v>
      </c>
      <c r="B31" s="49"/>
      <c r="C31" s="49"/>
      <c r="D31" s="465" t="n">
        <f aca="false">$D$16*D28</f>
        <v>17951.2</v>
      </c>
      <c r="E31" s="447" t="n">
        <f aca="false">$D$16*E28</f>
        <v>17951.2</v>
      </c>
      <c r="F31" s="447" t="n">
        <f aca="false">$D$16*F28</f>
        <v>17951.2</v>
      </c>
      <c r="G31" s="447" t="n">
        <f aca="false">$D$16*G28</f>
        <v>17951.2</v>
      </c>
      <c r="H31" s="447" t="n">
        <f aca="false">$D$16*H28</f>
        <v>17951.2</v>
      </c>
      <c r="I31" s="466" t="n">
        <f aca="false">$D$16*I28</f>
        <v>17951.2</v>
      </c>
      <c r="J31" s="466" t="n">
        <f aca="false">$D$16*J28</f>
        <v>17951.2</v>
      </c>
      <c r="K31" s="466" t="n">
        <f aca="false">$D$16*K28</f>
        <v>17951.2</v>
      </c>
      <c r="L31" s="466" t="n">
        <f aca="false">$D$16*L28</f>
        <v>17951.2</v>
      </c>
      <c r="M31" s="466" t="n">
        <f aca="false">$D$16*M28</f>
        <v>17951.2</v>
      </c>
      <c r="N31" s="466" t="n">
        <f aca="false">$D$16*N28</f>
        <v>0</v>
      </c>
      <c r="O31" s="447" t="n">
        <f aca="false">$D$16*O28</f>
        <v>0</v>
      </c>
      <c r="P31" s="467" t="n">
        <f aca="false">$D$16*P28</f>
        <v>0</v>
      </c>
      <c r="Q31" s="467" t="n">
        <f aca="false">$D$16*Q28</f>
        <v>0</v>
      </c>
      <c r="R31" s="467" t="n">
        <f aca="false">$D$16*R28</f>
        <v>0</v>
      </c>
      <c r="S31" s="467" t="n">
        <f aca="false">$D$16*S28</f>
        <v>0</v>
      </c>
      <c r="T31" s="467" t="n">
        <f aca="false">$D$16*T28</f>
        <v>0</v>
      </c>
      <c r="U31" s="467" t="n">
        <f aca="false">$D$16*U28</f>
        <v>0</v>
      </c>
      <c r="V31" s="447" t="n">
        <f aca="false">$D$16*V28</f>
        <v>0</v>
      </c>
      <c r="W31" s="447" t="n">
        <f aca="false">$D$16*W28</f>
        <v>0</v>
      </c>
      <c r="X31" s="447" t="n">
        <f aca="false">$D$16*X28</f>
        <v>0</v>
      </c>
      <c r="Y31" s="447" t="n">
        <f aca="false">$D$16*Y28</f>
        <v>0</v>
      </c>
      <c r="Z31" s="447" t="n">
        <f aca="false">$D$16*Z28</f>
        <v>0</v>
      </c>
      <c r="AA31" s="447" t="n">
        <f aca="false">$D$16*AA28</f>
        <v>0</v>
      </c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</row>
    <row r="32" customFormat="false" ht="12.75" hidden="false" customHeight="false" outlineLevel="0" collapsed="false">
      <c r="A32" s="49" t="s">
        <v>417</v>
      </c>
      <c r="B32" s="49"/>
      <c r="C32" s="49"/>
      <c r="D32" s="465" t="n">
        <f aca="false">D31</f>
        <v>17951.2</v>
      </c>
      <c r="E32" s="467" t="n">
        <f aca="false">D32+E31</f>
        <v>35902.4</v>
      </c>
      <c r="F32" s="467" t="n">
        <f aca="false">E32+F31</f>
        <v>53853.6</v>
      </c>
      <c r="G32" s="467" t="n">
        <f aca="false">F32+G31</f>
        <v>71804.8</v>
      </c>
      <c r="H32" s="467" t="n">
        <f aca="false">G32+H31</f>
        <v>89756</v>
      </c>
      <c r="I32" s="466" t="n">
        <f aca="false">H32+I31</f>
        <v>107707.2</v>
      </c>
      <c r="J32" s="466" t="n">
        <f aca="false">I32+J31</f>
        <v>125658.4</v>
      </c>
      <c r="K32" s="466" t="n">
        <f aca="false">J32+K31</f>
        <v>143609.6</v>
      </c>
      <c r="L32" s="466" t="n">
        <f aca="false">K32+L31</f>
        <v>161560.8</v>
      </c>
      <c r="M32" s="466" t="n">
        <f aca="false">L32+M31</f>
        <v>179512</v>
      </c>
      <c r="N32" s="466" t="n">
        <f aca="false">M32+N31</f>
        <v>179512</v>
      </c>
      <c r="O32" s="467" t="n">
        <f aca="false">N32+O31</f>
        <v>179512</v>
      </c>
      <c r="P32" s="467" t="n">
        <f aca="false">O32+P31</f>
        <v>179512</v>
      </c>
      <c r="Q32" s="467" t="n">
        <f aca="false">P32+Q31</f>
        <v>179512</v>
      </c>
      <c r="R32" s="467" t="n">
        <f aca="false">Q32+R31</f>
        <v>179512</v>
      </c>
      <c r="S32" s="467" t="n">
        <f aca="false">R32+S31</f>
        <v>179512</v>
      </c>
      <c r="T32" s="467" t="n">
        <f aca="false">S32+T31</f>
        <v>179512</v>
      </c>
      <c r="U32" s="467" t="n">
        <f aca="false">T32+U31</f>
        <v>179512</v>
      </c>
      <c r="V32" s="467" t="n">
        <f aca="false">U32+V31</f>
        <v>179512</v>
      </c>
      <c r="W32" s="467" t="n">
        <f aca="false">V32+W31</f>
        <v>179512</v>
      </c>
      <c r="X32" s="467" t="n">
        <f aca="false">W32+X31</f>
        <v>179512</v>
      </c>
      <c r="Y32" s="467" t="n">
        <f aca="false">X32+Y31</f>
        <v>179512</v>
      </c>
      <c r="Z32" s="467" t="n">
        <f aca="false">Y32+Z31</f>
        <v>179512</v>
      </c>
      <c r="AA32" s="467" t="n">
        <f aca="false">Z32+AA31</f>
        <v>179512</v>
      </c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</row>
    <row r="33" customFormat="false" ht="12.75" hidden="false" customHeight="false" outlineLevel="0" collapsed="false">
      <c r="A33" s="49"/>
      <c r="B33" s="49"/>
      <c r="C33" s="49"/>
      <c r="D33" s="49"/>
      <c r="E33" s="9"/>
      <c r="I33" s="454"/>
      <c r="J33" s="454"/>
      <c r="K33" s="454"/>
      <c r="L33" s="454"/>
      <c r="M33" s="454"/>
      <c r="N33" s="454"/>
      <c r="P33" s="448"/>
      <c r="Q33" s="448"/>
      <c r="R33" s="448"/>
      <c r="S33" s="448"/>
      <c r="T33" s="448"/>
      <c r="U33" s="448"/>
      <c r="AM33" s="112"/>
      <c r="AN33" s="112"/>
      <c r="AO33" s="112"/>
      <c r="AP33" s="112"/>
      <c r="AQ33" s="112"/>
      <c r="AR33" s="112"/>
      <c r="AS33" s="112"/>
      <c r="AT33" s="112"/>
      <c r="AU33" s="112"/>
      <c r="AV33" s="112"/>
      <c r="AW33" s="112"/>
      <c r="AX33" s="112"/>
      <c r="AY33" s="112"/>
      <c r="AZ33" s="112"/>
      <c r="BA33" s="112"/>
      <c r="BB33" s="112"/>
      <c r="BC33" s="112"/>
      <c r="BD33" s="112"/>
    </row>
    <row r="34" customFormat="false" ht="12.75" hidden="false" customHeight="false" outlineLevel="0" collapsed="false">
      <c r="A34" s="49"/>
      <c r="B34" s="49"/>
      <c r="C34" s="49"/>
      <c r="D34" s="49"/>
      <c r="G34" s="49"/>
      <c r="I34" s="454"/>
      <c r="J34" s="454"/>
      <c r="K34" s="454"/>
      <c r="L34" s="454"/>
      <c r="M34" s="454"/>
      <c r="N34" s="454"/>
      <c r="P34" s="448"/>
      <c r="Q34" s="448"/>
      <c r="R34" s="448"/>
      <c r="S34" s="448"/>
      <c r="T34" s="448"/>
      <c r="U34" s="448"/>
    </row>
    <row r="35" customFormat="false" ht="11.25" hidden="false" customHeight="false" outlineLevel="0" collapsed="false">
      <c r="A35" s="442"/>
      <c r="B35" s="442"/>
      <c r="C35" s="442"/>
      <c r="D35" s="468"/>
      <c r="E35" s="468"/>
      <c r="F35" s="468"/>
      <c r="G35" s="468"/>
      <c r="H35" s="468"/>
      <c r="I35" s="468"/>
      <c r="J35" s="468"/>
      <c r="K35" s="468"/>
      <c r="L35" s="468"/>
      <c r="M35" s="468"/>
      <c r="N35" s="468"/>
      <c r="O35" s="468"/>
      <c r="P35" s="468"/>
      <c r="Q35" s="468"/>
      <c r="R35" s="468"/>
      <c r="S35" s="468"/>
      <c r="T35" s="468"/>
      <c r="U35" s="468"/>
      <c r="V35" s="468"/>
      <c r="W35" s="468"/>
      <c r="X35" s="468"/>
      <c r="Y35" s="468"/>
      <c r="Z35" s="468"/>
      <c r="AA35" s="468"/>
      <c r="AB35" s="442"/>
      <c r="AC35" s="442"/>
      <c r="AD35" s="442"/>
      <c r="AE35" s="442"/>
      <c r="AF35" s="442"/>
      <c r="AG35" s="442"/>
      <c r="AH35" s="442"/>
      <c r="AI35" s="442"/>
      <c r="AJ35" s="442"/>
      <c r="AK35" s="442"/>
      <c r="AL35" s="442"/>
      <c r="AM35" s="442"/>
      <c r="AN35" s="442"/>
    </row>
    <row r="36" customFormat="false" ht="12.75" hidden="false" customHeight="false" outlineLevel="0" collapsed="false">
      <c r="A36" s="149" t="s">
        <v>418</v>
      </c>
      <c r="B36" s="149"/>
      <c r="C36" s="149"/>
      <c r="D36" s="469" t="n">
        <f aca="false">D23</f>
        <v>36616</v>
      </c>
      <c r="E36" s="469" t="n">
        <f aca="false">E23</f>
        <v>36646</v>
      </c>
      <c r="F36" s="469" t="n">
        <f aca="false">F23</f>
        <v>36677</v>
      </c>
      <c r="G36" s="469" t="n">
        <f aca="false">G23</f>
        <v>36707</v>
      </c>
      <c r="H36" s="469" t="n">
        <f aca="false">H23</f>
        <v>36738</v>
      </c>
      <c r="I36" s="469" t="n">
        <f aca="false">I23</f>
        <v>36769</v>
      </c>
      <c r="J36" s="469" t="n">
        <f aca="false">J23</f>
        <v>36799</v>
      </c>
      <c r="K36" s="469" t="n">
        <f aca="false">K23</f>
        <v>36830</v>
      </c>
      <c r="L36" s="469" t="n">
        <f aca="false">L23</f>
        <v>36860</v>
      </c>
      <c r="M36" s="469" t="n">
        <f aca="false">M23</f>
        <v>36891</v>
      </c>
      <c r="N36" s="469" t="n">
        <f aca="false">N23</f>
        <v>36922</v>
      </c>
      <c r="O36" s="469" t="n">
        <f aca="false">O23</f>
        <v>36950</v>
      </c>
      <c r="P36" s="469" t="n">
        <f aca="false">P23</f>
        <v>36981</v>
      </c>
      <c r="Q36" s="469" t="n">
        <f aca="false">Q23</f>
        <v>37011</v>
      </c>
      <c r="R36" s="469" t="n">
        <f aca="false">R23</f>
        <v>37042</v>
      </c>
      <c r="S36" s="469" t="n">
        <f aca="false">S23</f>
        <v>37072</v>
      </c>
      <c r="T36" s="469" t="n">
        <f aca="false">T23</f>
        <v>37103</v>
      </c>
      <c r="U36" s="469" t="n">
        <f aca="false">U23</f>
        <v>37134</v>
      </c>
      <c r="V36" s="469" t="n">
        <f aca="false">V23</f>
        <v>37164</v>
      </c>
      <c r="W36" s="469" t="n">
        <f aca="false">W23</f>
        <v>37195</v>
      </c>
      <c r="X36" s="469" t="n">
        <f aca="false">X23</f>
        <v>37225</v>
      </c>
      <c r="Y36" s="469" t="n">
        <f aca="false">Y23</f>
        <v>37256</v>
      </c>
      <c r="Z36" s="469" t="n">
        <f aca="false">Z23</f>
        <v>37287</v>
      </c>
      <c r="AA36" s="470" t="n">
        <f aca="false">AA23</f>
        <v>37315</v>
      </c>
      <c r="AB36" s="469"/>
      <c r="AC36" s="469"/>
      <c r="AD36" s="149"/>
      <c r="AE36" s="471"/>
      <c r="AF36" s="471"/>
      <c r="AG36" s="471"/>
      <c r="AH36" s="471"/>
      <c r="AI36" s="471"/>
      <c r="AJ36" s="471"/>
      <c r="AK36" s="471"/>
      <c r="AL36" s="471"/>
      <c r="AM36" s="471"/>
      <c r="AN36" s="471"/>
    </row>
    <row r="37" customFormat="false" ht="11.25" hidden="false" customHeight="false" outlineLevel="0" collapsed="false">
      <c r="A37" s="442" t="s">
        <v>419</v>
      </c>
      <c r="B37" s="442"/>
      <c r="C37" s="442"/>
      <c r="D37" s="472" t="n">
        <f aca="false">K4</f>
        <v>0.1</v>
      </c>
      <c r="E37" s="472" t="n">
        <f aca="false">IF($D$4-$K$5=E20,1,0)</f>
        <v>0</v>
      </c>
      <c r="F37" s="472" t="n">
        <v>0</v>
      </c>
      <c r="G37" s="472" t="n">
        <v>0.3</v>
      </c>
      <c r="H37" s="472" t="n">
        <v>0.3</v>
      </c>
      <c r="I37" s="472" t="n">
        <v>0.3</v>
      </c>
      <c r="J37" s="472" t="n">
        <v>0</v>
      </c>
      <c r="K37" s="472"/>
      <c r="L37" s="472"/>
      <c r="M37" s="472"/>
      <c r="N37" s="472"/>
      <c r="O37" s="472"/>
      <c r="P37" s="472"/>
      <c r="Q37" s="472"/>
      <c r="R37" s="472"/>
      <c r="S37" s="472"/>
      <c r="T37" s="472"/>
      <c r="U37" s="472"/>
      <c r="V37" s="472"/>
      <c r="W37" s="472"/>
      <c r="X37" s="472"/>
      <c r="Y37" s="472"/>
      <c r="Z37" s="472"/>
      <c r="AA37" s="473"/>
      <c r="AB37" s="442"/>
      <c r="AC37" s="442"/>
      <c r="AD37" s="442"/>
      <c r="AE37" s="442"/>
      <c r="AF37" s="442"/>
      <c r="AG37" s="442"/>
      <c r="AH37" s="442"/>
      <c r="AI37" s="442"/>
      <c r="AJ37" s="442"/>
      <c r="AK37" s="442"/>
      <c r="AL37" s="442"/>
      <c r="AM37" s="442"/>
      <c r="AN37" s="442"/>
    </row>
    <row r="38" customFormat="false" ht="11.25" hidden="false" customHeight="false" outlineLevel="0" collapsed="false">
      <c r="A38" s="442" t="s">
        <v>420</v>
      </c>
      <c r="B38" s="442"/>
      <c r="C38" s="442"/>
      <c r="D38" s="468" t="n">
        <f aca="false">D37</f>
        <v>0.1</v>
      </c>
      <c r="E38" s="468" t="n">
        <f aca="false">D38+E37</f>
        <v>0.1</v>
      </c>
      <c r="F38" s="468" t="n">
        <f aca="false">E38+F37</f>
        <v>0.1</v>
      </c>
      <c r="G38" s="468" t="n">
        <f aca="false">F38+G37</f>
        <v>0.4</v>
      </c>
      <c r="H38" s="468" t="n">
        <f aca="false">G38+H37</f>
        <v>0.7</v>
      </c>
      <c r="I38" s="468" t="n">
        <f aca="false">H38+I37</f>
        <v>1</v>
      </c>
      <c r="J38" s="468" t="n">
        <f aca="false">I38+J37</f>
        <v>1</v>
      </c>
      <c r="K38" s="468" t="n">
        <f aca="false">J38+K37</f>
        <v>1</v>
      </c>
      <c r="L38" s="468" t="n">
        <f aca="false">K38+L37</f>
        <v>1</v>
      </c>
      <c r="M38" s="468" t="n">
        <f aca="false">L38+M37</f>
        <v>1</v>
      </c>
      <c r="N38" s="468" t="n">
        <f aca="false">M38+N37</f>
        <v>1</v>
      </c>
      <c r="O38" s="468" t="n">
        <f aca="false">N38+O37</f>
        <v>1</v>
      </c>
      <c r="P38" s="468" t="n">
        <f aca="false">O38+P37</f>
        <v>1</v>
      </c>
      <c r="Q38" s="468" t="n">
        <f aca="false">P38+Q37</f>
        <v>1</v>
      </c>
      <c r="R38" s="468" t="n">
        <f aca="false">Q38+R37</f>
        <v>1</v>
      </c>
      <c r="S38" s="468" t="n">
        <f aca="false">R38+S37</f>
        <v>1</v>
      </c>
      <c r="T38" s="468" t="n">
        <f aca="false">S38+T37</f>
        <v>1</v>
      </c>
      <c r="U38" s="468" t="n">
        <f aca="false">T38+U37</f>
        <v>1</v>
      </c>
      <c r="V38" s="468" t="n">
        <f aca="false">U38+V37</f>
        <v>1</v>
      </c>
      <c r="W38" s="468" t="n">
        <f aca="false">V38+W37</f>
        <v>1</v>
      </c>
      <c r="X38" s="468" t="n">
        <f aca="false">W38+X37</f>
        <v>1</v>
      </c>
      <c r="Y38" s="468" t="n">
        <f aca="false">X38+Y37</f>
        <v>1</v>
      </c>
      <c r="Z38" s="468" t="n">
        <f aca="false">Y38+Z37</f>
        <v>1</v>
      </c>
      <c r="AA38" s="474" t="n">
        <f aca="false">Z38+AA37</f>
        <v>1</v>
      </c>
      <c r="AB38" s="442"/>
      <c r="AC38" s="442"/>
      <c r="AD38" s="442"/>
      <c r="AE38" s="442"/>
      <c r="AF38" s="442"/>
      <c r="AG38" s="442"/>
      <c r="AH38" s="442"/>
      <c r="AI38" s="442"/>
      <c r="AJ38" s="442"/>
      <c r="AK38" s="442"/>
      <c r="AL38" s="442"/>
      <c r="AM38" s="442"/>
      <c r="AN38" s="442"/>
    </row>
    <row r="39" customFormat="false" ht="11.25" hidden="false" customHeight="false" outlineLevel="0" collapsed="false">
      <c r="A39" s="442"/>
      <c r="B39" s="442"/>
      <c r="C39" s="442"/>
      <c r="D39" s="442"/>
      <c r="E39" s="442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42"/>
      <c r="U39" s="442"/>
      <c r="V39" s="442"/>
      <c r="W39" s="442"/>
      <c r="X39" s="442"/>
      <c r="Y39" s="442"/>
      <c r="Z39" s="442"/>
      <c r="AA39" s="442"/>
      <c r="AB39" s="442"/>
      <c r="AC39" s="442"/>
      <c r="AD39" s="442"/>
      <c r="AE39" s="442"/>
      <c r="AF39" s="442"/>
      <c r="AG39" s="442"/>
      <c r="AH39" s="442"/>
      <c r="AI39" s="442"/>
      <c r="AJ39" s="442"/>
      <c r="AK39" s="442"/>
      <c r="AL39" s="442"/>
      <c r="AM39" s="442"/>
      <c r="AN39" s="442"/>
    </row>
    <row r="40" customFormat="false" ht="12" hidden="false" customHeight="false" outlineLevel="0" collapsed="false">
      <c r="A40" s="475" t="s">
        <v>180</v>
      </c>
      <c r="B40" s="476"/>
      <c r="C40" s="476"/>
      <c r="D40" s="476"/>
      <c r="E40" s="476"/>
      <c r="F40" s="476"/>
      <c r="G40" s="476"/>
      <c r="H40" s="476"/>
      <c r="I40" s="476"/>
      <c r="J40" s="476"/>
      <c r="K40" s="476"/>
      <c r="L40" s="476"/>
      <c r="M40" s="476"/>
      <c r="N40" s="476"/>
      <c r="O40" s="476"/>
      <c r="P40" s="476"/>
      <c r="Q40" s="476"/>
      <c r="R40" s="476"/>
      <c r="S40" s="476"/>
      <c r="T40" s="476"/>
      <c r="U40" s="476"/>
      <c r="V40" s="476"/>
      <c r="W40" s="476"/>
      <c r="X40" s="476"/>
      <c r="Y40" s="476"/>
      <c r="Z40" s="476"/>
      <c r="AA40" s="476"/>
      <c r="AB40" s="442"/>
      <c r="AC40" s="442"/>
      <c r="AD40" s="442"/>
      <c r="AE40" s="442"/>
      <c r="AF40" s="442"/>
      <c r="AG40" s="442"/>
      <c r="AH40" s="442"/>
      <c r="AI40" s="442"/>
      <c r="AJ40" s="442"/>
      <c r="AK40" s="442"/>
      <c r="AL40" s="442"/>
      <c r="AM40" s="442"/>
      <c r="AN40" s="442"/>
    </row>
    <row r="41" customFormat="false" ht="11.25" hidden="false" customHeight="false" outlineLevel="0" collapsed="false">
      <c r="A41" s="442" t="s">
        <v>421</v>
      </c>
      <c r="B41" s="442"/>
      <c r="C41" s="442"/>
      <c r="D41" s="202" t="n">
        <f aca="false">IF(D20="EOC",0,D15)</f>
        <v>121210.436410498</v>
      </c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42"/>
      <c r="W41" s="442"/>
      <c r="X41" s="442"/>
      <c r="Y41" s="442"/>
      <c r="Z41" s="442"/>
      <c r="AA41" s="442"/>
      <c r="AB41" s="442"/>
      <c r="AC41" s="442"/>
      <c r="AD41" s="442"/>
      <c r="AE41" s="442"/>
      <c r="AF41" s="442"/>
      <c r="AG41" s="442"/>
      <c r="AH41" s="442"/>
      <c r="AI41" s="442"/>
      <c r="AJ41" s="442"/>
      <c r="AK41" s="442"/>
      <c r="AL41" s="442"/>
      <c r="AM41" s="442"/>
      <c r="AN41" s="442"/>
    </row>
    <row r="42" customFormat="false" ht="11.25" hidden="false" customHeight="false" outlineLevel="0" collapsed="false">
      <c r="A42" s="442" t="s">
        <v>229</v>
      </c>
      <c r="B42" s="442"/>
      <c r="C42" s="442"/>
      <c r="D42" s="438" t="n">
        <f aca="false">IF(D20="EOC",0,C44)</f>
        <v>0</v>
      </c>
      <c r="E42" s="438" t="n">
        <f aca="false">IF(E20="EOC",0,D44)</f>
        <v>12121.0436410498</v>
      </c>
      <c r="F42" s="438" t="n">
        <f aca="false">IF(F20="EOC",0,E44)</f>
        <v>12121.0436410498</v>
      </c>
      <c r="G42" s="438" t="n">
        <f aca="false">IF(G20="EOC",0,F44)</f>
        <v>12121.0436410498</v>
      </c>
      <c r="H42" s="438" t="n">
        <f aca="false">IF(H20="EOC",0,G44)</f>
        <v>48484.1745641994</v>
      </c>
      <c r="I42" s="438" t="n">
        <f aca="false">IF(I20="EOC",0,H44)</f>
        <v>84847.3054873489</v>
      </c>
      <c r="J42" s="438" t="n">
        <f aca="false">IF(J20="EOC",0,I44)</f>
        <v>121210.436410498</v>
      </c>
      <c r="K42" s="438" t="n">
        <f aca="false">IF(K20="EOC",0,J44)</f>
        <v>121210.436410498</v>
      </c>
      <c r="L42" s="438" t="n">
        <f aca="false">IF(L20="EOC",0,K44)</f>
        <v>121210.436410498</v>
      </c>
      <c r="M42" s="438" t="n">
        <f aca="false">IF(M20="EOC",0,L44)</f>
        <v>121210.436410498</v>
      </c>
      <c r="N42" s="438" t="n">
        <f aca="false">IF(N20="EOC",0,M44)</f>
        <v>0</v>
      </c>
      <c r="O42" s="438" t="n">
        <f aca="false">IF(O20="EOC",0,N44)</f>
        <v>0</v>
      </c>
      <c r="P42" s="438" t="n">
        <f aca="false">IF(P20="EOC",0,O44)</f>
        <v>0</v>
      </c>
      <c r="Q42" s="438" t="n">
        <f aca="false">IF(Q20="EOC",0,P44)</f>
        <v>0</v>
      </c>
      <c r="R42" s="438" t="n">
        <f aca="false">IF(R20="EOC",0,Q44)</f>
        <v>0</v>
      </c>
      <c r="S42" s="438" t="n">
        <f aca="false">IF(S20="EOC",0,R44)</f>
        <v>0</v>
      </c>
      <c r="T42" s="438" t="n">
        <f aca="false">IF(T20="EOC",0,S44)</f>
        <v>0</v>
      </c>
      <c r="U42" s="438" t="n">
        <f aca="false">IF(U20="EOC",0,T44)</f>
        <v>0</v>
      </c>
      <c r="V42" s="438" t="n">
        <f aca="false">IF(V20="EOC",0,U44)</f>
        <v>0</v>
      </c>
      <c r="W42" s="438" t="n">
        <f aca="false">IF(W20="EOC",0,V44)</f>
        <v>0</v>
      </c>
      <c r="X42" s="438" t="n">
        <f aca="false">IF(X20="EOC",0,W44)</f>
        <v>0</v>
      </c>
      <c r="Y42" s="438" t="n">
        <f aca="false">IF(Y20="EOC",0,X44)</f>
        <v>0</v>
      </c>
      <c r="Z42" s="438" t="n">
        <f aca="false">IF(Z20="EOC",0,Y44)</f>
        <v>0</v>
      </c>
      <c r="AA42" s="438" t="n">
        <f aca="false">IF(AA20="EOC",0,Z44)</f>
        <v>0</v>
      </c>
      <c r="AB42" s="442"/>
      <c r="AC42" s="442"/>
      <c r="AD42" s="442"/>
      <c r="AE42" s="442"/>
      <c r="AF42" s="442"/>
      <c r="AG42" s="442"/>
      <c r="AH42" s="442"/>
      <c r="AI42" s="442"/>
      <c r="AJ42" s="442"/>
      <c r="AK42" s="442"/>
      <c r="AL42" s="442"/>
      <c r="AM42" s="442"/>
      <c r="AN42" s="442"/>
    </row>
    <row r="43" customFormat="false" ht="11.25" hidden="false" customHeight="false" outlineLevel="0" collapsed="false">
      <c r="A43" s="442" t="s">
        <v>418</v>
      </c>
      <c r="B43" s="442"/>
      <c r="C43" s="442"/>
      <c r="D43" s="438" t="n">
        <f aca="false">IF(D20="EOC",0,IF(E20="EOC",MIN(D41,$D$41*D37),$D$41*D37))</f>
        <v>12121.0436410498</v>
      </c>
      <c r="E43" s="438" t="n">
        <f aca="false">IF(E20="EOC",0,IF(F20="EOC",MIN(E41,$D$41*E37),$D$41*E37))</f>
        <v>0</v>
      </c>
      <c r="F43" s="438" t="n">
        <f aca="false">IF(F20="EOC",0,IF(G20="EOC",MIN(F41,$D$41*F37),$D$41*F37))</f>
        <v>0</v>
      </c>
      <c r="G43" s="438" t="n">
        <f aca="false">IF(G20="EOC",0,IF(H20="EOC",MIN(G41,$D$41*G37),$D$41*G37))</f>
        <v>36363.1309231495</v>
      </c>
      <c r="H43" s="438" t="n">
        <f aca="false">IF(H20="EOC",0,IF(I20="EOC",MIN(H41,$D$41*H37),$D$41*H37))</f>
        <v>36363.1309231495</v>
      </c>
      <c r="I43" s="438" t="n">
        <f aca="false">IF(I20="EOC",0,IF(J20="EOC",MIN(I41,$D$41*I37),$D$41*I37))</f>
        <v>36363.1309231495</v>
      </c>
      <c r="J43" s="438" t="n">
        <f aca="false">IF(J20="EOC",0,IF(K20="EOC",MIN(J41,$D$41*J37),$D$41*J37))</f>
        <v>0</v>
      </c>
      <c r="K43" s="438" t="n">
        <f aca="false">IF(K20="EOC",0,IF(L20="EOC",MIN(K41,$D$41*K37),$D$41*K37))</f>
        <v>0</v>
      </c>
      <c r="L43" s="438" t="n">
        <f aca="false">IF(L20="EOC",0,IF(M20="EOC",MIN(L41,$D$41*L37),$D$41*L37))</f>
        <v>0</v>
      </c>
      <c r="M43" s="438" t="n">
        <f aca="false">IF(M20="EOC",0,IF(N20="EOC",MIN(M41,$D$41*M37),$D$41*M37))</f>
        <v>0</v>
      </c>
      <c r="N43" s="438" t="n">
        <f aca="false">IF(N20="EOC",0,IF(O20="EOC",MIN(N41,$D$41*N37),$D$41*N37))</f>
        <v>0</v>
      </c>
      <c r="O43" s="438" t="n">
        <f aca="false">IF(O20="EOC",0,IF(P20="EOC",MIN(O41,$D$41*O37),$D$41*O37))</f>
        <v>0</v>
      </c>
      <c r="P43" s="438" t="n">
        <f aca="false">IF(P20="EOC",0,IF(Q20="EOC",MIN(P41,$D$41*P37),$D$41*P37))</f>
        <v>0</v>
      </c>
      <c r="Q43" s="438" t="n">
        <f aca="false">IF(Q20="EOC",0,IF(R20="EOC",MIN(Q41,$D$41*Q37),$D$41*Q37))</f>
        <v>0</v>
      </c>
      <c r="R43" s="438" t="n">
        <f aca="false">IF(R20="EOC",0,IF(S20="EOC",MIN(R41,$D$41*R37),$D$41*R37))</f>
        <v>0</v>
      </c>
      <c r="S43" s="438" t="n">
        <f aca="false">IF(S20="EOC",0,IF(T20="EOC",MIN(S41,$D$41*S37),$D$41*S37))</f>
        <v>0</v>
      </c>
      <c r="T43" s="438" t="n">
        <f aca="false">IF(T20="EOC",0,IF(U20="EOC",MIN(T41,$D$41*T37),$D$41*T37))</f>
        <v>0</v>
      </c>
      <c r="U43" s="438" t="n">
        <f aca="false">IF(U20="EOC",0,IF(V20="EOC",MIN(U41,$D$41*U37),$D$41*U37))</f>
        <v>0</v>
      </c>
      <c r="V43" s="438" t="n">
        <f aca="false">IF(V20="EOC",0,IF(W20="EOC",MIN(V41,$D$41*V37),$D$41*V37))</f>
        <v>0</v>
      </c>
      <c r="W43" s="438" t="n">
        <f aca="false">IF(W20="EOC",0,IF(X20="EOC",MIN(W41,$D$41*W37),$D$41*W37))</f>
        <v>0</v>
      </c>
      <c r="X43" s="438" t="n">
        <f aca="false">IF(X20="EOC",0,IF(Y20="EOC",MIN(X41,$D$41*X37),$D$41*X37))</f>
        <v>0</v>
      </c>
      <c r="Y43" s="438" t="n">
        <f aca="false">IF(Y20="EOC",0,IF(Z20="EOC",MIN(Y41,$D$41*Y37),$D$41*Y37))</f>
        <v>0</v>
      </c>
      <c r="Z43" s="438" t="n">
        <f aca="false">IF(Z20="EOC",0,IF(AA20="EOC",MIN(Z41,$D$41*Z37),$D$41*Z37))</f>
        <v>0</v>
      </c>
      <c r="AA43" s="438" t="n">
        <f aca="false">IF(AA20="EOC",0,IF(AB20="EOC",MIN(AA41,$D$41*AA37),$D$41*AA37))</f>
        <v>0</v>
      </c>
      <c r="AB43" s="442"/>
      <c r="AC43" s="442"/>
      <c r="AD43" s="442"/>
      <c r="AE43" s="442"/>
      <c r="AF43" s="442"/>
      <c r="AG43" s="442"/>
      <c r="AH43" s="442"/>
      <c r="AI43" s="442"/>
      <c r="AJ43" s="442"/>
      <c r="AK43" s="442"/>
      <c r="AL43" s="442"/>
      <c r="AM43" s="442"/>
      <c r="AN43" s="442"/>
    </row>
    <row r="44" customFormat="false" ht="11.25" hidden="false" customHeight="false" outlineLevel="0" collapsed="false">
      <c r="A44" s="442" t="s">
        <v>231</v>
      </c>
      <c r="B44" s="442"/>
      <c r="C44" s="442"/>
      <c r="D44" s="477" t="n">
        <f aca="false">D42+D43</f>
        <v>12121.0436410498</v>
      </c>
      <c r="E44" s="477" t="n">
        <f aca="false">E42+E43</f>
        <v>12121.0436410498</v>
      </c>
      <c r="F44" s="477" t="n">
        <f aca="false">F42+F43</f>
        <v>12121.0436410498</v>
      </c>
      <c r="G44" s="477" t="n">
        <f aca="false">G42+G43</f>
        <v>48484.1745641994</v>
      </c>
      <c r="H44" s="477" t="n">
        <f aca="false">H42+H43</f>
        <v>84847.3054873489</v>
      </c>
      <c r="I44" s="477" t="n">
        <f aca="false">I42+I43</f>
        <v>121210.436410498</v>
      </c>
      <c r="J44" s="477" t="n">
        <f aca="false">J42+J43</f>
        <v>121210.436410498</v>
      </c>
      <c r="K44" s="477" t="n">
        <f aca="false">K42+K43</f>
        <v>121210.436410498</v>
      </c>
      <c r="L44" s="477" t="n">
        <f aca="false">L42+L43</f>
        <v>121210.436410498</v>
      </c>
      <c r="M44" s="477" t="n">
        <f aca="false">M42+M43</f>
        <v>121210.436410498</v>
      </c>
      <c r="N44" s="477" t="n">
        <f aca="false">N42+N43</f>
        <v>0</v>
      </c>
      <c r="O44" s="477" t="n">
        <f aca="false">O42+O43</f>
        <v>0</v>
      </c>
      <c r="P44" s="477" t="n">
        <f aca="false">P42+P43</f>
        <v>0</v>
      </c>
      <c r="Q44" s="477" t="n">
        <f aca="false">Q42+Q43</f>
        <v>0</v>
      </c>
      <c r="R44" s="477" t="n">
        <f aca="false">R42+R43</f>
        <v>0</v>
      </c>
      <c r="S44" s="477" t="n">
        <f aca="false">S42+S43</f>
        <v>0</v>
      </c>
      <c r="T44" s="477" t="n">
        <f aca="false">T42+T43</f>
        <v>0</v>
      </c>
      <c r="U44" s="477" t="n">
        <f aca="false">U42+U43</f>
        <v>0</v>
      </c>
      <c r="V44" s="477" t="n">
        <f aca="false">V42+V43</f>
        <v>0</v>
      </c>
      <c r="W44" s="477" t="n">
        <f aca="false">W42+W43</f>
        <v>0</v>
      </c>
      <c r="X44" s="477" t="n">
        <f aca="false">X42+X43</f>
        <v>0</v>
      </c>
      <c r="Y44" s="477" t="n">
        <f aca="false">Y42+Y43</f>
        <v>0</v>
      </c>
      <c r="Z44" s="477" t="n">
        <f aca="false">Z42+Z43</f>
        <v>0</v>
      </c>
      <c r="AA44" s="477" t="n">
        <f aca="false">AA42+AA43</f>
        <v>0</v>
      </c>
      <c r="AB44" s="442"/>
      <c r="AC44" s="442"/>
      <c r="AD44" s="442"/>
      <c r="AE44" s="442"/>
      <c r="AF44" s="442"/>
      <c r="AG44" s="442"/>
      <c r="AH44" s="442"/>
      <c r="AI44" s="442"/>
      <c r="AJ44" s="442"/>
      <c r="AK44" s="442"/>
      <c r="AL44" s="442"/>
      <c r="AM44" s="442"/>
      <c r="AN44" s="442"/>
    </row>
    <row r="45" customFormat="false" ht="11.25" hidden="false" customHeight="false" outlineLevel="0" collapsed="false">
      <c r="A45" s="442"/>
      <c r="B45" s="442"/>
      <c r="C45" s="442"/>
      <c r="D45" s="442"/>
      <c r="E45" s="442"/>
      <c r="F45" s="442"/>
      <c r="G45" s="442"/>
      <c r="H45" s="442"/>
      <c r="I45" s="442"/>
      <c r="J45" s="442"/>
      <c r="K45" s="442"/>
      <c r="L45" s="442"/>
      <c r="M45" s="442"/>
      <c r="N45" s="442"/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  <c r="Z45" s="442"/>
      <c r="AA45" s="442"/>
      <c r="AB45" s="442"/>
      <c r="AC45" s="442"/>
      <c r="AD45" s="442"/>
      <c r="AE45" s="442"/>
      <c r="AF45" s="442"/>
      <c r="AG45" s="442"/>
      <c r="AH45" s="442"/>
      <c r="AI45" s="442"/>
      <c r="AJ45" s="442"/>
      <c r="AK45" s="442"/>
      <c r="AL45" s="442"/>
      <c r="AM45" s="442"/>
      <c r="AN45" s="442"/>
    </row>
    <row r="46" customFormat="false" ht="11.25" hidden="false" customHeight="false" outlineLevel="0" collapsed="false">
      <c r="A46" s="478" t="s">
        <v>178</v>
      </c>
      <c r="B46" s="442"/>
      <c r="C46" s="442"/>
      <c r="D46" s="442"/>
      <c r="E46" s="442"/>
      <c r="F46" s="442"/>
      <c r="G46" s="442"/>
      <c r="H46" s="442"/>
      <c r="I46" s="442"/>
      <c r="J46" s="442"/>
      <c r="K46" s="442"/>
      <c r="L46" s="442"/>
      <c r="M46" s="442"/>
      <c r="N46" s="442"/>
      <c r="O46" s="442"/>
      <c r="P46" s="442"/>
      <c r="Q46" s="442"/>
      <c r="R46" s="442"/>
      <c r="S46" s="442"/>
      <c r="T46" s="442"/>
      <c r="U46" s="442"/>
      <c r="V46" s="442"/>
      <c r="W46" s="442"/>
      <c r="X46" s="442"/>
      <c r="Y46" s="442"/>
      <c r="Z46" s="442"/>
      <c r="AA46" s="442"/>
      <c r="AB46" s="442"/>
      <c r="AC46" s="442"/>
      <c r="AD46" s="442"/>
      <c r="AE46" s="442"/>
      <c r="AF46" s="442"/>
      <c r="AG46" s="442"/>
      <c r="AH46" s="442"/>
      <c r="AI46" s="442"/>
      <c r="AJ46" s="442"/>
      <c r="AK46" s="442"/>
      <c r="AL46" s="442"/>
      <c r="AM46" s="442"/>
      <c r="AN46" s="442"/>
    </row>
    <row r="47" customFormat="false" ht="11.25" hidden="false" customHeight="false" outlineLevel="0" collapsed="false">
      <c r="A47" s="442" t="s">
        <v>422</v>
      </c>
      <c r="B47" s="442"/>
      <c r="C47" s="442"/>
      <c r="D47" s="477" t="n">
        <f aca="false">D14</f>
        <v>58301.5635895016</v>
      </c>
      <c r="E47" s="438" t="n">
        <f aca="false">IF(E20="EOC",0,D47-D49)</f>
        <v>52471.4072305514</v>
      </c>
      <c r="F47" s="438" t="n">
        <f aca="false">IF(F20="EOC",0,E47-E49)</f>
        <v>34520.2072305514</v>
      </c>
      <c r="G47" s="438" t="n">
        <f aca="false">IF(G20="EOC",0,F47-F49)</f>
        <v>16569.0072305514</v>
      </c>
      <c r="H47" s="438" t="n">
        <f aca="false">IF(H20="EOC",0,G47-G49)</f>
        <v>34980.938153701</v>
      </c>
      <c r="I47" s="438" t="n">
        <f aca="false">IF(I20="EOC",0,H47-H49)</f>
        <v>53392.8690768505</v>
      </c>
      <c r="J47" s="438" t="n">
        <f aca="false">IF(J20="EOC",0,I47-I49)</f>
        <v>71804.8</v>
      </c>
      <c r="K47" s="438" t="n">
        <f aca="false">IF(K20="EOC",0,J47-J49)</f>
        <v>53853.6</v>
      </c>
      <c r="L47" s="438" t="n">
        <f aca="false">IF(L20="EOC",0,K47-K49)</f>
        <v>35902.4</v>
      </c>
      <c r="M47" s="438" t="n">
        <f aca="false">IF(M20="EOC",0,L47-L49)</f>
        <v>17951.2</v>
      </c>
      <c r="N47" s="438" t="n">
        <f aca="false">IF(N20="EOC",0,M47-M49)</f>
        <v>0</v>
      </c>
      <c r="O47" s="438" t="n">
        <f aca="false">IF(O20="EOC",0,N47-N49)</f>
        <v>0</v>
      </c>
      <c r="P47" s="438" t="n">
        <f aca="false">IF(P20="EOC",0,O47-O49)</f>
        <v>0</v>
      </c>
      <c r="Q47" s="438" t="n">
        <f aca="false">IF(Q20="EOC",0,P47-P49)</f>
        <v>0</v>
      </c>
      <c r="R47" s="438" t="n">
        <f aca="false">IF(R20="EOC",0,Q47-Q49)</f>
        <v>0</v>
      </c>
      <c r="S47" s="438" t="n">
        <f aca="false">IF(S20="EOC",0,R47-R49)</f>
        <v>0</v>
      </c>
      <c r="T47" s="438" t="n">
        <f aca="false">IF(T20="EOC",0,S47-S49)</f>
        <v>0</v>
      </c>
      <c r="U47" s="438" t="n">
        <f aca="false">IF(U20="EOC",0,T47-T49)</f>
        <v>0</v>
      </c>
      <c r="V47" s="438" t="n">
        <f aca="false">IF(V20="EOC",0,U47-U49)</f>
        <v>0</v>
      </c>
      <c r="W47" s="438" t="n">
        <f aca="false">IF(W20="EOC",0,V47-V49)</f>
        <v>0</v>
      </c>
      <c r="X47" s="438" t="n">
        <f aca="false">IF(X20="EOC",0,W47-W49)</f>
        <v>0</v>
      </c>
      <c r="Y47" s="438" t="n">
        <f aca="false">IF(Y20="EOC",0,X47-X49)</f>
        <v>0</v>
      </c>
      <c r="Z47" s="438" t="n">
        <f aca="false">IF(Z20="EOC",0,Y47-Y49)</f>
        <v>0</v>
      </c>
      <c r="AA47" s="438" t="n">
        <f aca="false">IF(AA20="EOC",0,Z47-Z49)</f>
        <v>0</v>
      </c>
      <c r="AB47" s="442"/>
      <c r="AC47" s="442"/>
      <c r="AD47" s="442"/>
      <c r="AE47" s="442"/>
      <c r="AF47" s="442"/>
      <c r="AG47" s="442"/>
      <c r="AH47" s="442"/>
      <c r="AI47" s="442"/>
      <c r="AJ47" s="442"/>
      <c r="AK47" s="442"/>
      <c r="AL47" s="442"/>
      <c r="AM47" s="442"/>
      <c r="AN47" s="442"/>
    </row>
    <row r="48" customFormat="false" ht="11.25" hidden="false" customHeight="false" outlineLevel="0" collapsed="false">
      <c r="A48" s="442" t="s">
        <v>229</v>
      </c>
      <c r="B48" s="442"/>
      <c r="C48" s="442"/>
      <c r="D48" s="477" t="n">
        <v>0</v>
      </c>
      <c r="E48" s="477" t="n">
        <f aca="false">D50</f>
        <v>5830.15635895016</v>
      </c>
      <c r="F48" s="477" t="n">
        <f aca="false">E50</f>
        <v>23781.3563589502</v>
      </c>
      <c r="G48" s="477" t="n">
        <f aca="false">F50</f>
        <v>41732.5563589502</v>
      </c>
      <c r="H48" s="477" t="n">
        <f aca="false">G50</f>
        <v>23320.6254358006</v>
      </c>
      <c r="I48" s="477" t="n">
        <f aca="false">H50</f>
        <v>4908.69451265113</v>
      </c>
      <c r="J48" s="477" t="n">
        <f aca="false">IF(J20="EOC",0,I48)</f>
        <v>4908.69451265113</v>
      </c>
      <c r="K48" s="477" t="n">
        <f aca="false">IF(K20="EOC",0,J48)</f>
        <v>4908.69451265113</v>
      </c>
      <c r="L48" s="477" t="n">
        <f aca="false">IF(L20="EOC",0,K48)</f>
        <v>4908.69451265113</v>
      </c>
      <c r="M48" s="477" t="n">
        <f aca="false">IF(M20="EOC",0,L48)</f>
        <v>4908.69451265113</v>
      </c>
      <c r="N48" s="477" t="n">
        <f aca="false">IF(N20="EOC",0,M48)</f>
        <v>0</v>
      </c>
      <c r="O48" s="477" t="n">
        <f aca="false">IF(O20="EOC",0,N48)</f>
        <v>0</v>
      </c>
      <c r="P48" s="477" t="n">
        <f aca="false">IF(P20="EOC",0,O48)</f>
        <v>0</v>
      </c>
      <c r="Q48" s="477" t="n">
        <f aca="false">IF(Q20="EOC",0,P48)</f>
        <v>0</v>
      </c>
      <c r="R48" s="477" t="n">
        <f aca="false">IF(R20="EOC",0,Q48)</f>
        <v>0</v>
      </c>
      <c r="S48" s="477" t="n">
        <f aca="false">IF(S20="EOC",0,R48)</f>
        <v>0</v>
      </c>
      <c r="T48" s="477" t="n">
        <f aca="false">IF(T20="EOC",0,S48)</f>
        <v>0</v>
      </c>
      <c r="U48" s="477" t="n">
        <f aca="false">IF(U20="EOC",0,T48)</f>
        <v>0</v>
      </c>
      <c r="V48" s="477" t="n">
        <f aca="false">IF(V20="EOC",0,U48)</f>
        <v>0</v>
      </c>
      <c r="W48" s="477" t="n">
        <f aca="false">IF(W20="EOC",0,V48)</f>
        <v>0</v>
      </c>
      <c r="X48" s="477" t="n">
        <f aca="false">IF(X20="EOC",0,W48)</f>
        <v>0</v>
      </c>
      <c r="Y48" s="477" t="n">
        <f aca="false">IF(Y20="EOC",0,X48)</f>
        <v>0</v>
      </c>
      <c r="Z48" s="477" t="n">
        <f aca="false">IF(Z20="EOC",0,Y48)</f>
        <v>0</v>
      </c>
      <c r="AA48" s="477" t="n">
        <f aca="false">IF(AA20="EOC",0,Z48)</f>
        <v>0</v>
      </c>
      <c r="AB48" s="442"/>
      <c r="AC48" s="442"/>
      <c r="AD48" s="442"/>
      <c r="AE48" s="442"/>
      <c r="AF48" s="442"/>
      <c r="AG48" s="442"/>
      <c r="AH48" s="442"/>
      <c r="AI48" s="442"/>
      <c r="AJ48" s="442"/>
      <c r="AK48" s="442"/>
      <c r="AL48" s="442"/>
      <c r="AM48" s="442"/>
      <c r="AN48" s="442"/>
    </row>
    <row r="49" customFormat="false" ht="11.25" hidden="false" customHeight="false" outlineLevel="0" collapsed="false">
      <c r="A49" s="442" t="s">
        <v>423</v>
      </c>
      <c r="B49" s="442"/>
      <c r="C49" s="442"/>
      <c r="D49" s="477" t="n">
        <f aca="false">D31-D43</f>
        <v>5830.15635895016</v>
      </c>
      <c r="E49" s="477" t="n">
        <f aca="false">E31-E43</f>
        <v>17951.2</v>
      </c>
      <c r="F49" s="477" t="n">
        <f aca="false">F31-F43</f>
        <v>17951.2</v>
      </c>
      <c r="G49" s="477" t="n">
        <f aca="false">G31-G43</f>
        <v>-18411.9309231495</v>
      </c>
      <c r="H49" s="477" t="n">
        <f aca="false">H31-H43</f>
        <v>-18411.9309231495</v>
      </c>
      <c r="I49" s="477" t="n">
        <f aca="false">I31-I43</f>
        <v>-18411.9309231495</v>
      </c>
      <c r="J49" s="477" t="n">
        <f aca="false">J31-J43</f>
        <v>17951.2</v>
      </c>
      <c r="K49" s="477" t="n">
        <f aca="false">K31-K43</f>
        <v>17951.2</v>
      </c>
      <c r="L49" s="477" t="n">
        <f aca="false">L31-L43</f>
        <v>17951.2</v>
      </c>
      <c r="M49" s="477" t="n">
        <f aca="false">M31-M43</f>
        <v>17951.2</v>
      </c>
      <c r="N49" s="477" t="n">
        <f aca="false">N31-N43</f>
        <v>0</v>
      </c>
      <c r="O49" s="477" t="n">
        <f aca="false">O31-O43</f>
        <v>0</v>
      </c>
      <c r="P49" s="477" t="n">
        <f aca="false">P31-P43</f>
        <v>0</v>
      </c>
      <c r="Q49" s="477" t="n">
        <f aca="false">Q31-Q43</f>
        <v>0</v>
      </c>
      <c r="R49" s="477" t="n">
        <f aca="false">R31-R43</f>
        <v>0</v>
      </c>
      <c r="S49" s="477" t="n">
        <f aca="false">S31-S43</f>
        <v>0</v>
      </c>
      <c r="T49" s="477" t="n">
        <f aca="false">T31-T43</f>
        <v>0</v>
      </c>
      <c r="U49" s="477" t="n">
        <f aca="false">U31-U43</f>
        <v>0</v>
      </c>
      <c r="V49" s="477" t="n">
        <f aca="false">V31-V43</f>
        <v>0</v>
      </c>
      <c r="W49" s="477" t="n">
        <f aca="false">W31-W43</f>
        <v>0</v>
      </c>
      <c r="X49" s="477" t="n">
        <f aca="false">X31-X43</f>
        <v>0</v>
      </c>
      <c r="Y49" s="477" t="n">
        <f aca="false">Y31-Y43</f>
        <v>0</v>
      </c>
      <c r="Z49" s="477" t="n">
        <f aca="false">Z31-Z43</f>
        <v>0</v>
      </c>
      <c r="AA49" s="477" t="n">
        <f aca="false">AA31-AA43</f>
        <v>0</v>
      </c>
      <c r="AB49" s="442"/>
      <c r="AC49" s="442"/>
      <c r="AD49" s="442"/>
      <c r="AE49" s="442"/>
      <c r="AF49" s="442"/>
      <c r="AG49" s="442"/>
      <c r="AH49" s="442"/>
      <c r="AI49" s="442"/>
      <c r="AJ49" s="442"/>
      <c r="AK49" s="442"/>
      <c r="AL49" s="442"/>
      <c r="AM49" s="442"/>
      <c r="AN49" s="442"/>
    </row>
    <row r="50" customFormat="false" ht="11.25" hidden="false" customHeight="false" outlineLevel="0" collapsed="false">
      <c r="A50" s="442" t="s">
        <v>231</v>
      </c>
      <c r="B50" s="442"/>
      <c r="C50" s="442"/>
      <c r="D50" s="477" t="n">
        <f aca="false">D48+D49</f>
        <v>5830.15635895016</v>
      </c>
      <c r="E50" s="477" t="n">
        <f aca="false">E48+E49</f>
        <v>23781.3563589502</v>
      </c>
      <c r="F50" s="477" t="n">
        <f aca="false">F48+F49</f>
        <v>41732.5563589502</v>
      </c>
      <c r="G50" s="477" t="n">
        <f aca="false">G48+G49</f>
        <v>23320.6254358006</v>
      </c>
      <c r="H50" s="477" t="n">
        <f aca="false">H48+H49</f>
        <v>4908.69451265113</v>
      </c>
      <c r="I50" s="477" t="n">
        <f aca="false">I48+I49</f>
        <v>-13503.2364104984</v>
      </c>
      <c r="J50" s="477" t="n">
        <f aca="false">J48+J49</f>
        <v>22859.8945126511</v>
      </c>
      <c r="K50" s="477" t="n">
        <f aca="false">K48+K49</f>
        <v>22859.8945126511</v>
      </c>
      <c r="L50" s="477" t="n">
        <f aca="false">L48+L49</f>
        <v>22859.8945126511</v>
      </c>
      <c r="M50" s="477" t="n">
        <f aca="false">M48+M49</f>
        <v>22859.8945126511</v>
      </c>
      <c r="N50" s="477" t="n">
        <f aca="false">N48+N49</f>
        <v>0</v>
      </c>
      <c r="O50" s="477" t="n">
        <f aca="false">O48+O49</f>
        <v>0</v>
      </c>
      <c r="P50" s="477" t="n">
        <f aca="false">P48+P49</f>
        <v>0</v>
      </c>
      <c r="Q50" s="477" t="n">
        <f aca="false">Q48+Q49</f>
        <v>0</v>
      </c>
      <c r="R50" s="477" t="n">
        <f aca="false">R48+R49</f>
        <v>0</v>
      </c>
      <c r="S50" s="477" t="n">
        <f aca="false">S48+S49</f>
        <v>0</v>
      </c>
      <c r="T50" s="477" t="n">
        <f aca="false">T48+T49</f>
        <v>0</v>
      </c>
      <c r="U50" s="477" t="n">
        <f aca="false">U48+U49</f>
        <v>0</v>
      </c>
      <c r="V50" s="477" t="n">
        <f aca="false">V48+V49</f>
        <v>0</v>
      </c>
      <c r="W50" s="477" t="n">
        <f aca="false">W48+W49</f>
        <v>0</v>
      </c>
      <c r="X50" s="477" t="n">
        <f aca="false">X48+X49</f>
        <v>0</v>
      </c>
      <c r="Y50" s="477" t="n">
        <f aca="false">Y48+Y49</f>
        <v>0</v>
      </c>
      <c r="Z50" s="477" t="n">
        <f aca="false">Z48+Z49</f>
        <v>0</v>
      </c>
      <c r="AA50" s="477" t="n">
        <f aca="false">AA48+AA49</f>
        <v>0</v>
      </c>
      <c r="AB50" s="442"/>
      <c r="AC50" s="442"/>
      <c r="AD50" s="442"/>
      <c r="AE50" s="442"/>
      <c r="AF50" s="442"/>
      <c r="AG50" s="442"/>
      <c r="AH50" s="442"/>
      <c r="AI50" s="442"/>
      <c r="AJ50" s="442"/>
      <c r="AK50" s="442"/>
      <c r="AL50" s="442"/>
      <c r="AM50" s="442"/>
      <c r="AN50" s="442"/>
    </row>
    <row r="51" customFormat="false" ht="11.25" hidden="false" customHeight="false" outlineLevel="0" collapsed="false">
      <c r="A51" s="442"/>
      <c r="B51" s="442"/>
      <c r="C51" s="442"/>
      <c r="D51" s="442"/>
      <c r="E51" s="442"/>
      <c r="F51" s="442"/>
      <c r="G51" s="442"/>
      <c r="H51" s="442"/>
      <c r="I51" s="442"/>
      <c r="J51" s="442"/>
      <c r="K51" s="442"/>
      <c r="L51" s="442"/>
      <c r="M51" s="442"/>
      <c r="N51" s="442"/>
      <c r="O51" s="442"/>
      <c r="P51" s="442"/>
      <c r="Q51" s="442"/>
      <c r="R51" s="442"/>
      <c r="S51" s="442"/>
      <c r="T51" s="442"/>
      <c r="U51" s="442"/>
      <c r="V51" s="442"/>
      <c r="W51" s="442"/>
      <c r="X51" s="442"/>
      <c r="Y51" s="442"/>
      <c r="Z51" s="442"/>
      <c r="AA51" s="442"/>
      <c r="AB51" s="442"/>
      <c r="AC51" s="442"/>
      <c r="AD51" s="442"/>
      <c r="AE51" s="442"/>
      <c r="AF51" s="442"/>
      <c r="AG51" s="442"/>
      <c r="AH51" s="442"/>
      <c r="AI51" s="442"/>
      <c r="AJ51" s="442"/>
      <c r="AK51" s="442"/>
      <c r="AL51" s="442"/>
      <c r="AM51" s="442"/>
      <c r="AN51" s="442"/>
    </row>
    <row r="52" customFormat="false" ht="12" hidden="false" customHeight="false" outlineLevel="0" collapsed="false">
      <c r="A52" s="476" t="s">
        <v>55</v>
      </c>
      <c r="B52" s="476"/>
      <c r="C52" s="476"/>
      <c r="D52" s="479" t="n">
        <f aca="false">IF(D20="EOC",0,D50*($D$9/12))</f>
        <v>33.4370094726642</v>
      </c>
      <c r="E52" s="479" t="n">
        <f aca="false">IF(E20="EOC",0,E50*($D$9/12))</f>
        <v>136.390413719575</v>
      </c>
      <c r="F52" s="479" t="n">
        <f aca="false">IF(F20="EOC",0,F50*($D$9/12))</f>
        <v>239.343817966485</v>
      </c>
      <c r="G52" s="479" t="n">
        <f aca="false">IF(G20="EOC",0,G50*($D$9/12))</f>
        <v>133.748037890657</v>
      </c>
      <c r="H52" s="479" t="n">
        <f aca="false">IF(H20="EOC",0,H50*($D$9/12))</f>
        <v>28.1522578148292</v>
      </c>
      <c r="I52" s="479" t="n">
        <f aca="false">IF(I20="EOC",0,I50*($D$9/12))</f>
        <v>-77.4435222609986</v>
      </c>
      <c r="J52" s="479" t="n">
        <f aca="false">IF(J20="EOC",0,J50*($D$9/12))</f>
        <v>131.105662061739</v>
      </c>
      <c r="K52" s="479" t="n">
        <f aca="false">IF(K20="EOC",0,K50*($D$9/12))</f>
        <v>131.105662061739</v>
      </c>
      <c r="L52" s="479" t="n">
        <f aca="false">IF(L20="EOC",0,L50*($D$9/12))</f>
        <v>131.105662061739</v>
      </c>
      <c r="M52" s="479" t="n">
        <f aca="false">IF(M20="EOC",0,M50*($D$9/12))</f>
        <v>131.105662061739</v>
      </c>
      <c r="N52" s="479" t="n">
        <f aca="false">IF(N20="EOC",0,N50*($D$9/12))</f>
        <v>0</v>
      </c>
      <c r="O52" s="479" t="n">
        <f aca="false">IF(O20="EOC",0,O50*($D$9/12))</f>
        <v>0</v>
      </c>
      <c r="P52" s="479" t="n">
        <f aca="false">IF(P20="EOC",0,P50*($D$9/12))</f>
        <v>0</v>
      </c>
      <c r="Q52" s="479" t="n">
        <f aca="false">IF(Q20="EOC",0,Q50*($D$9/12))</f>
        <v>0</v>
      </c>
      <c r="R52" s="479" t="n">
        <f aca="false">IF(R20="EOC",0,R50*($D$9/12))</f>
        <v>0</v>
      </c>
      <c r="S52" s="479" t="n">
        <f aca="false">IF(S20="EOC",0,S50*($D$9/12))</f>
        <v>0</v>
      </c>
      <c r="T52" s="479" t="n">
        <f aca="false">IF(T20="EOC",0,T50*($D$9/12))</f>
        <v>0</v>
      </c>
      <c r="U52" s="479" t="n">
        <f aca="false">IF(U20="EOC",0,U50*($D$9/12))</f>
        <v>0</v>
      </c>
      <c r="V52" s="479" t="n">
        <f aca="false">IF(V20="EOC",0,V50*($D$9/12))</f>
        <v>0</v>
      </c>
      <c r="W52" s="479" t="n">
        <f aca="false">IF(W20="EOC",0,W50*($D$9/12))</f>
        <v>0</v>
      </c>
      <c r="X52" s="479" t="n">
        <f aca="false">IF(X20="EOC",0,X50*($D$9/12))</f>
        <v>0</v>
      </c>
      <c r="Y52" s="479" t="n">
        <f aca="false">IF(Y20="EOC",0,Y50*($D$9/12))</f>
        <v>0</v>
      </c>
      <c r="Z52" s="479" t="n">
        <f aca="false">IF(Z20="EOC",0,Z50*($D$9/12))</f>
        <v>0</v>
      </c>
      <c r="AA52" s="479" t="n">
        <f aca="false">IF(AA20="EOC",0,AA50*($D$9/12))</f>
        <v>0</v>
      </c>
      <c r="AB52" s="442"/>
      <c r="AC52" s="442"/>
      <c r="AD52" s="442"/>
      <c r="AE52" s="442"/>
      <c r="AF52" s="442"/>
      <c r="AG52" s="442"/>
      <c r="AH52" s="442"/>
      <c r="AI52" s="442"/>
      <c r="AJ52" s="442"/>
      <c r="AK52" s="442"/>
      <c r="AL52" s="442"/>
      <c r="AM52" s="442"/>
      <c r="AN52" s="442"/>
    </row>
    <row r="53" customFormat="false" ht="11.25" hidden="false" customHeight="false" outlineLevel="0" collapsed="false">
      <c r="A53" s="442" t="s">
        <v>424</v>
      </c>
      <c r="B53" s="442"/>
      <c r="C53" s="442"/>
      <c r="D53" s="438" t="n">
        <f aca="false">D52</f>
        <v>33.4370094726642</v>
      </c>
      <c r="E53" s="438" t="n">
        <f aca="false">IF(E20="EOC",0,D53+E52)</f>
        <v>169.827423192239</v>
      </c>
      <c r="F53" s="438" t="n">
        <f aca="false">IF(F20="EOC",0,E53+F52)</f>
        <v>409.171241158724</v>
      </c>
      <c r="G53" s="438" t="n">
        <f aca="false">IF(G20="EOC",0,F53+G52)</f>
        <v>542.919279049381</v>
      </c>
      <c r="H53" s="438" t="n">
        <f aca="false">IF(H20="EOC",0,G53+H52)</f>
        <v>571.07153686421</v>
      </c>
      <c r="I53" s="438" t="n">
        <f aca="false">IF(I20="EOC",0,H53+I52)</f>
        <v>493.628014603211</v>
      </c>
      <c r="J53" s="438" t="n">
        <f aca="false">IF(J20="EOC",0,I53+J52)</f>
        <v>624.733676664951</v>
      </c>
      <c r="K53" s="438" t="n">
        <f aca="false">IF(K20="EOC",0,J53+K52)</f>
        <v>755.83933872669</v>
      </c>
      <c r="L53" s="438" t="n">
        <f aca="false">IF(L20="EOC",0,K53+L52)</f>
        <v>886.945000788429</v>
      </c>
      <c r="M53" s="438" t="n">
        <f aca="false">IF(M20="EOC",0,L53+M52)</f>
        <v>1018.05066285017</v>
      </c>
      <c r="N53" s="438" t="n">
        <f aca="false">IF(N20="EOC",0,M53+N52)</f>
        <v>0</v>
      </c>
      <c r="O53" s="438" t="n">
        <f aca="false">IF(O20="EOC",0,N53+O52)</f>
        <v>0</v>
      </c>
      <c r="P53" s="438" t="n">
        <f aca="false">IF(P20="EOC",0,O53+P52)</f>
        <v>0</v>
      </c>
      <c r="Q53" s="438" t="n">
        <f aca="false">IF(Q20="EOC",0,P53+Q52)</f>
        <v>0</v>
      </c>
      <c r="R53" s="438" t="n">
        <f aca="false">IF(R20="EOC",0,Q53+R52)</f>
        <v>0</v>
      </c>
      <c r="S53" s="438" t="n">
        <f aca="false">IF(S20="EOC",0,R53+S52)</f>
        <v>0</v>
      </c>
      <c r="T53" s="438" t="n">
        <f aca="false">IF(T20="EOC",0,S53+T52)</f>
        <v>0</v>
      </c>
      <c r="U53" s="438" t="n">
        <f aca="false">IF(U20="EOC",0,T53+U52)</f>
        <v>0</v>
      </c>
      <c r="V53" s="438" t="n">
        <f aca="false">IF(V20="EOC",0,U53+V52)</f>
        <v>0</v>
      </c>
      <c r="W53" s="438" t="n">
        <f aca="false">IF(W20="EOC",0,V53+W52)</f>
        <v>0</v>
      </c>
      <c r="X53" s="438" t="n">
        <f aca="false">IF(X20="EOC",0,W53+X52)</f>
        <v>0</v>
      </c>
      <c r="Y53" s="438" t="n">
        <f aca="false">IF(Y20="EOC",0,X53+Y52)</f>
        <v>0</v>
      </c>
      <c r="Z53" s="438" t="n">
        <f aca="false">IF(Z20="EOC",0,Y53+Z52)</f>
        <v>0</v>
      </c>
      <c r="AA53" s="438" t="n">
        <f aca="false">IF(AA20="EOC",0,Z53+AA52)</f>
        <v>0</v>
      </c>
      <c r="AB53" s="442"/>
      <c r="AC53" s="442"/>
      <c r="AD53" s="442"/>
      <c r="AE53" s="442"/>
      <c r="AF53" s="442"/>
      <c r="AG53" s="442"/>
      <c r="AH53" s="442"/>
      <c r="AI53" s="442"/>
      <c r="AJ53" s="442"/>
      <c r="AK53" s="442"/>
      <c r="AL53" s="442"/>
      <c r="AM53" s="442"/>
      <c r="AN53" s="442"/>
    </row>
    <row r="54" customFormat="false" ht="11.25" hidden="false" customHeight="false" outlineLevel="0" collapsed="false">
      <c r="A54" s="442"/>
      <c r="B54" s="442"/>
      <c r="C54" s="442"/>
      <c r="D54" s="442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R54" s="442"/>
      <c r="S54" s="442"/>
      <c r="T54" s="442"/>
      <c r="U54" s="442"/>
      <c r="V54" s="442"/>
      <c r="W54" s="442"/>
      <c r="X54" s="442"/>
      <c r="Y54" s="442"/>
      <c r="Z54" s="442"/>
      <c r="AA54" s="442"/>
      <c r="AB54" s="442"/>
      <c r="AC54" s="442"/>
      <c r="AD54" s="442"/>
      <c r="AE54" s="442"/>
      <c r="AF54" s="442"/>
      <c r="AG54" s="442"/>
      <c r="AH54" s="442"/>
      <c r="AI54" s="442"/>
      <c r="AJ54" s="442"/>
      <c r="AK54" s="442"/>
      <c r="AL54" s="442"/>
      <c r="AM54" s="442"/>
      <c r="AN54" s="442"/>
    </row>
    <row r="55" customFormat="false" ht="11.25" hidden="false" customHeight="false" outlineLevel="0" collapsed="false">
      <c r="A55" s="478" t="s">
        <v>425</v>
      </c>
      <c r="B55" s="442"/>
      <c r="C55" s="442"/>
      <c r="D55" s="438" t="n">
        <f aca="false">IF(E20="EOC",D$53*$D$11,0)</f>
        <v>0</v>
      </c>
      <c r="E55" s="438" t="n">
        <f aca="false">IF(F20="EOC",E53*$D$11,0)</f>
        <v>0</v>
      </c>
      <c r="F55" s="438" t="n">
        <f aca="false">IF(G20="EOC",F53*$D$11,0)</f>
        <v>0</v>
      </c>
      <c r="G55" s="438" t="n">
        <f aca="false">IF(H20="EOC",G53*$D$11,0)</f>
        <v>0</v>
      </c>
      <c r="H55" s="438" t="n">
        <f aca="false">IF(I20="EOC",H53*$D$11,0)</f>
        <v>0</v>
      </c>
      <c r="I55" s="438" t="n">
        <f aca="false">IF(J20="EOC",I53*$D$11,0)</f>
        <v>0</v>
      </c>
      <c r="J55" s="438" t="n">
        <f aca="false">IF(K20="EOC",J53*$D$11,0)</f>
        <v>0</v>
      </c>
      <c r="K55" s="438" t="n">
        <f aca="false">IF(L20="EOC",K53*$D$11,0)</f>
        <v>0</v>
      </c>
      <c r="L55" s="438" t="n">
        <f aca="false">IF(M20="EOC",L53*$D$11,0)</f>
        <v>0</v>
      </c>
      <c r="M55" s="438" t="n">
        <f aca="false">IF(N20="EOC",M53*$D$11,0)</f>
        <v>687.410118165171</v>
      </c>
      <c r="N55" s="438" t="n">
        <f aca="false">IF(O20="EOC",N53*$D$11,0)</f>
        <v>0</v>
      </c>
      <c r="O55" s="438" t="n">
        <f aca="false">IF(P20="EOC",O53*$D$11,0)</f>
        <v>0</v>
      </c>
      <c r="P55" s="438" t="n">
        <f aca="false">IF(Q20="EOC",P53*$D$11,0)</f>
        <v>0</v>
      </c>
      <c r="Q55" s="438" t="n">
        <f aca="false">IF(R20="EOC",Q53*$D$11,0)</f>
        <v>0</v>
      </c>
      <c r="R55" s="438" t="n">
        <f aca="false">IF(S20="EOC",R53*$D$11,0)</f>
        <v>0</v>
      </c>
      <c r="S55" s="438" t="n">
        <f aca="false">IF(T20="EOC",S53*$D$11,0)</f>
        <v>0</v>
      </c>
      <c r="T55" s="438" t="n">
        <f aca="false">IF(U20="EOC",T53*$D$11,0)</f>
        <v>0</v>
      </c>
      <c r="U55" s="438" t="n">
        <f aca="false">IF(V20="EOC",U53*$D$11,0)</f>
        <v>0</v>
      </c>
      <c r="V55" s="438" t="n">
        <f aca="false">IF(W20="EOC",V53*$D$11,0)</f>
        <v>0</v>
      </c>
      <c r="W55" s="438" t="n">
        <f aca="false">IF(X20="EOC",W53*$D$11,0)</f>
        <v>0</v>
      </c>
      <c r="X55" s="438" t="n">
        <f aca="false">IF(Y20="EOC",X53*$D$11,0)</f>
        <v>0</v>
      </c>
      <c r="Y55" s="438" t="n">
        <f aca="false">IF(Z20="EOC",Y53*$D$11,0)</f>
        <v>0</v>
      </c>
      <c r="Z55" s="438" t="n">
        <f aca="false">IF(AA20="EOC",Z53*$D$11,0)</f>
        <v>0</v>
      </c>
      <c r="AA55" s="438" t="n">
        <f aca="false">IF(AB20="EOC",AA53*$D$11,0)</f>
        <v>0</v>
      </c>
      <c r="AB55" s="442"/>
      <c r="AC55" s="442"/>
      <c r="AD55" s="442"/>
      <c r="AE55" s="442"/>
      <c r="AF55" s="442"/>
      <c r="AG55" s="442"/>
      <c r="AH55" s="442"/>
      <c r="AI55" s="442"/>
      <c r="AJ55" s="442"/>
      <c r="AK55" s="442"/>
      <c r="AL55" s="442"/>
      <c r="AM55" s="442"/>
      <c r="AN55" s="442"/>
    </row>
    <row r="56" customFormat="false" ht="11.25" hidden="false" customHeight="false" outlineLevel="0" collapsed="false">
      <c r="A56" s="478" t="s">
        <v>426</v>
      </c>
      <c r="B56" s="442"/>
      <c r="C56" s="442"/>
      <c r="D56" s="438" t="n">
        <f aca="false">IF(E20="EOC",D$53*$D$10,0)</f>
        <v>0</v>
      </c>
      <c r="E56" s="438" t="n">
        <f aca="false">IF(F20="EOC",E$53*$D$10,0)</f>
        <v>0</v>
      </c>
      <c r="F56" s="438" t="n">
        <f aca="false">IF(G20="EOC",F$53*$D$10,0)</f>
        <v>0</v>
      </c>
      <c r="G56" s="438" t="n">
        <f aca="false">IF(H20="EOC",G$53*$D$10,0)</f>
        <v>0</v>
      </c>
      <c r="H56" s="438" t="n">
        <f aca="false">IF(I20="EOC",H$53*$D$10,0)</f>
        <v>0</v>
      </c>
      <c r="I56" s="438" t="n">
        <f aca="false">IF(J20="EOC",I$53*$D$10,0)</f>
        <v>0</v>
      </c>
      <c r="J56" s="438" t="n">
        <f aca="false">IF(K20="EOC",J$53*$D$10,0)</f>
        <v>0</v>
      </c>
      <c r="K56" s="438" t="n">
        <f aca="false">IF(L20="EOC",K$53*$D$10,0)</f>
        <v>0</v>
      </c>
      <c r="L56" s="438" t="n">
        <f aca="false">IF(M20="EOC",L$53*$D$10,0)</f>
        <v>0</v>
      </c>
      <c r="M56" s="438" t="n">
        <f aca="false">IF(N20="EOC",M$53*$D$10,0)</f>
        <v>330.640544684998</v>
      </c>
      <c r="N56" s="438" t="n">
        <f aca="false">IF(O20="EOC",N$53*$D$10,0)</f>
        <v>0</v>
      </c>
      <c r="O56" s="438" t="n">
        <f aca="false">IF(P20="EOC",O$53*$D$10,0)</f>
        <v>0</v>
      </c>
      <c r="P56" s="438" t="n">
        <f aca="false">IF(Q20="EOC",P$53*$D$10,0)</f>
        <v>0</v>
      </c>
      <c r="Q56" s="438" t="n">
        <f aca="false">IF(R20="EOC",Q$53*$D$10,0)</f>
        <v>0</v>
      </c>
      <c r="R56" s="438" t="n">
        <f aca="false">IF(S20="EOC",R$53*$D$10,0)</f>
        <v>0</v>
      </c>
      <c r="S56" s="438" t="n">
        <f aca="false">IF(T20="EOC",S$53*$D$10,0)</f>
        <v>0</v>
      </c>
      <c r="T56" s="438" t="n">
        <f aca="false">IF(U20="EOC",T$53*$D$10,0)</f>
        <v>0</v>
      </c>
      <c r="U56" s="438" t="n">
        <f aca="false">IF(V20="EOC",U$53*$D$10,0)</f>
        <v>0</v>
      </c>
      <c r="V56" s="438" t="n">
        <f aca="false">IF(W20="EOC",V$53*$D$10,0)</f>
        <v>0</v>
      </c>
      <c r="W56" s="438" t="n">
        <f aca="false">IF(X20="EOC",W$53*$D$10,0)</f>
        <v>0</v>
      </c>
      <c r="X56" s="438" t="n">
        <f aca="false">IF(Y20="EOC",X$53*$D$10,0)</f>
        <v>0</v>
      </c>
      <c r="Y56" s="438" t="n">
        <f aca="false">IF(Z20="EOC",Y$53*$D$10,0)</f>
        <v>0</v>
      </c>
      <c r="Z56" s="438" t="n">
        <f aca="false">IF(AA20="EOC",Z$53*$D$10,0)</f>
        <v>0</v>
      </c>
      <c r="AA56" s="438" t="n">
        <f aca="false">IF(AB20="EOC",AA$53*$D$10,0)</f>
        <v>0</v>
      </c>
      <c r="AB56" s="442"/>
      <c r="AC56" s="442"/>
      <c r="AD56" s="442"/>
      <c r="AE56" s="442"/>
      <c r="AF56" s="442"/>
      <c r="AG56" s="442"/>
      <c r="AH56" s="442"/>
      <c r="AI56" s="442"/>
      <c r="AJ56" s="442"/>
      <c r="AK56" s="442"/>
      <c r="AL56" s="442"/>
      <c r="AM56" s="442"/>
      <c r="AN56" s="442"/>
    </row>
    <row r="57" customFormat="false" ht="11.25" hidden="false" customHeight="false" outlineLevel="0" collapsed="false">
      <c r="A57" s="442"/>
      <c r="B57" s="442"/>
      <c r="C57" s="442"/>
      <c r="D57" s="442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R57" s="442"/>
      <c r="S57" s="442"/>
      <c r="T57" s="442"/>
      <c r="U57" s="442"/>
      <c r="V57" s="442"/>
      <c r="W57" s="442"/>
      <c r="X57" s="442"/>
      <c r="Y57" s="442"/>
      <c r="Z57" s="442"/>
      <c r="AA57" s="442"/>
      <c r="AB57" s="442"/>
      <c r="AC57" s="442"/>
      <c r="AD57" s="442"/>
      <c r="AE57" s="442"/>
      <c r="AF57" s="442"/>
      <c r="AG57" s="442"/>
      <c r="AH57" s="442"/>
      <c r="AI57" s="442"/>
      <c r="AJ57" s="442"/>
      <c r="AK57" s="442"/>
      <c r="AL57" s="442"/>
      <c r="AM57" s="442"/>
      <c r="AN57" s="442"/>
    </row>
    <row r="58" customFormat="false" ht="12.75" hidden="false" customHeight="false" outlineLevel="0" collapsed="false">
      <c r="A58" s="49"/>
      <c r="B58" s="49"/>
      <c r="C58" s="49"/>
      <c r="D58" s="49"/>
      <c r="G58" s="49"/>
      <c r="I58" s="150"/>
      <c r="J58" s="454"/>
      <c r="K58" s="454"/>
      <c r="L58" s="454"/>
      <c r="M58" s="454"/>
      <c r="N58" s="454"/>
      <c r="P58" s="448"/>
      <c r="Q58" s="448"/>
      <c r="R58" s="448"/>
      <c r="S58" s="448"/>
      <c r="T58" s="448"/>
      <c r="U58" s="448"/>
      <c r="AD58" s="112"/>
      <c r="AE58" s="112"/>
      <c r="AF58" s="112"/>
      <c r="AG58" s="112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</row>
    <row r="59" customFormat="false" ht="12.75" hidden="false" customHeight="false" outlineLevel="0" collapsed="false">
      <c r="A59" s="444"/>
      <c r="B59" s="288"/>
      <c r="C59" s="288"/>
      <c r="D59" s="438"/>
      <c r="E59" s="480"/>
      <c r="F59" s="288"/>
      <c r="G59" s="288"/>
      <c r="H59" s="288"/>
      <c r="I59" s="150"/>
      <c r="J59" s="150"/>
      <c r="K59" s="481"/>
      <c r="L59" s="150"/>
      <c r="M59" s="150"/>
      <c r="N59" s="150"/>
      <c r="O59" s="288"/>
      <c r="P59" s="150"/>
      <c r="Q59" s="150"/>
      <c r="R59" s="150"/>
      <c r="S59" s="150"/>
      <c r="T59" s="150"/>
      <c r="U59" s="150"/>
      <c r="V59" s="288"/>
      <c r="W59" s="288"/>
      <c r="X59" s="288"/>
      <c r="Y59" s="288"/>
      <c r="Z59" s="288"/>
      <c r="AA59" s="288"/>
      <c r="AB59" s="288"/>
      <c r="AC59" s="288"/>
      <c r="AD59" s="288"/>
      <c r="AE59" s="288"/>
      <c r="AF59" s="288"/>
      <c r="AG59" s="288"/>
      <c r="AH59" s="288"/>
      <c r="AI59" s="288"/>
      <c r="AJ59" s="288"/>
      <c r="AK59" s="288"/>
      <c r="AL59" s="288"/>
      <c r="AM59" s="288"/>
      <c r="AN59" s="288"/>
    </row>
    <row r="60" customFormat="false" ht="18" hidden="false" customHeight="false" outlineLevel="0" collapsed="false">
      <c r="A60" s="482" t="s">
        <v>427</v>
      </c>
      <c r="B60" s="288"/>
      <c r="C60" s="288"/>
      <c r="D60" s="438"/>
      <c r="E60" s="438"/>
      <c r="F60" s="438"/>
      <c r="G60" s="438"/>
      <c r="H60" s="438"/>
      <c r="I60" s="438"/>
      <c r="J60" s="438"/>
      <c r="K60" s="438"/>
      <c r="L60" s="438"/>
      <c r="M60" s="438"/>
      <c r="N60" s="438"/>
      <c r="O60" s="438"/>
      <c r="P60" s="438"/>
      <c r="Q60" s="438"/>
      <c r="R60" s="438"/>
      <c r="S60" s="438"/>
      <c r="T60" s="438"/>
      <c r="U60" s="438"/>
      <c r="V60" s="438"/>
      <c r="W60" s="438"/>
      <c r="X60" s="438"/>
      <c r="Y60" s="438"/>
      <c r="Z60" s="438"/>
      <c r="AA60" s="438"/>
      <c r="AB60" s="438"/>
      <c r="AC60" s="438"/>
      <c r="AD60" s="288"/>
      <c r="AE60" s="288"/>
      <c r="AF60" s="288"/>
      <c r="AG60" s="288"/>
      <c r="AH60" s="288"/>
      <c r="AI60" s="288"/>
      <c r="AJ60" s="288"/>
      <c r="AK60" s="288"/>
      <c r="AL60" s="288"/>
      <c r="AM60" s="288"/>
      <c r="AN60" s="288"/>
    </row>
    <row r="61" customFormat="false" ht="12.75" hidden="false" customHeight="false" outlineLevel="0" collapsed="false">
      <c r="A61" s="483" t="s">
        <v>428</v>
      </c>
      <c r="B61" s="288"/>
      <c r="C61" s="288"/>
      <c r="D61" s="352" t="n">
        <f aca="false">Assumptions!E55</f>
        <v>3</v>
      </c>
      <c r="E61" s="438"/>
      <c r="F61" s="438"/>
      <c r="G61" s="438"/>
      <c r="H61" s="438"/>
      <c r="I61" s="438"/>
      <c r="J61" s="438"/>
      <c r="K61" s="438"/>
      <c r="L61" s="438"/>
      <c r="M61" s="438"/>
      <c r="N61" s="438"/>
      <c r="O61" s="438"/>
      <c r="P61" s="438"/>
      <c r="Q61" s="438"/>
      <c r="R61" s="438"/>
      <c r="S61" s="438"/>
      <c r="T61" s="438"/>
      <c r="U61" s="438"/>
      <c r="V61" s="438"/>
      <c r="W61" s="438"/>
      <c r="X61" s="438"/>
      <c r="Y61" s="438"/>
      <c r="Z61" s="438"/>
      <c r="AA61" s="438"/>
      <c r="AB61" s="438"/>
      <c r="AC61" s="438"/>
      <c r="AD61" s="288"/>
      <c r="AE61" s="288"/>
      <c r="AF61" s="288"/>
      <c r="AG61" s="288"/>
      <c r="AH61" s="288"/>
      <c r="AI61" s="288"/>
      <c r="AJ61" s="288"/>
      <c r="AK61" s="288"/>
      <c r="AL61" s="288"/>
      <c r="AM61" s="288"/>
      <c r="AN61" s="288"/>
    </row>
    <row r="62" customFormat="false" ht="12.75" hidden="false" customHeight="false" outlineLevel="0" collapsed="false">
      <c r="A62" s="350" t="s">
        <v>55</v>
      </c>
      <c r="B62" s="350"/>
      <c r="C62" s="350"/>
      <c r="D62" s="442"/>
      <c r="F62" s="438"/>
      <c r="G62" s="438"/>
      <c r="H62" s="438"/>
      <c r="I62" s="438"/>
      <c r="J62" s="438"/>
      <c r="K62" s="438"/>
      <c r="L62" s="438"/>
      <c r="M62" s="438"/>
      <c r="N62" s="438"/>
      <c r="O62" s="438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288"/>
      <c r="AE62" s="288"/>
      <c r="AF62" s="288"/>
      <c r="AG62" s="288"/>
      <c r="AH62" s="288"/>
      <c r="AI62" s="288"/>
      <c r="AJ62" s="288"/>
      <c r="AK62" s="288"/>
      <c r="AL62" s="288"/>
      <c r="AM62" s="288"/>
      <c r="AN62" s="288"/>
    </row>
    <row r="63" customFormat="false" ht="12.75" hidden="false" customHeight="false" outlineLevel="0" collapsed="false">
      <c r="A63" s="113" t="s">
        <v>408</v>
      </c>
      <c r="B63" s="392"/>
      <c r="C63" s="438"/>
      <c r="D63" s="441" t="n">
        <f aca="false">Assumptions!E37</f>
        <v>0</v>
      </c>
      <c r="F63" s="438"/>
      <c r="G63" s="438"/>
      <c r="H63" s="438"/>
      <c r="I63" s="438"/>
      <c r="J63" s="438"/>
      <c r="K63" s="438"/>
      <c r="L63" s="438"/>
      <c r="M63" s="438"/>
      <c r="N63" s="438"/>
      <c r="O63" s="438"/>
      <c r="P63" s="438"/>
      <c r="Q63" s="438"/>
      <c r="R63" s="438"/>
      <c r="S63" s="438"/>
      <c r="T63" s="438"/>
      <c r="U63" s="438"/>
      <c r="V63" s="438"/>
      <c r="W63" s="438"/>
      <c r="X63" s="438"/>
      <c r="Y63" s="438"/>
      <c r="Z63" s="438"/>
      <c r="AA63" s="438"/>
      <c r="AB63" s="438"/>
      <c r="AC63" s="438"/>
      <c r="AD63" s="288"/>
      <c r="AE63" s="288"/>
      <c r="AF63" s="288"/>
      <c r="AG63" s="288"/>
      <c r="AH63" s="288"/>
      <c r="AI63" s="288"/>
      <c r="AJ63" s="288"/>
      <c r="AK63" s="288"/>
      <c r="AL63" s="288"/>
      <c r="AM63" s="288"/>
      <c r="AN63" s="288"/>
    </row>
    <row r="64" customFormat="false" ht="12.75" hidden="false" customHeight="false" outlineLevel="0" collapsed="false">
      <c r="A64" s="142" t="s">
        <v>409</v>
      </c>
      <c r="B64" s="444"/>
      <c r="C64" s="438"/>
      <c r="D64" s="445" t="n">
        <f aca="false">Assumptions!E36</f>
        <v>1</v>
      </c>
      <c r="F64" s="438"/>
      <c r="G64" s="438"/>
      <c r="H64" s="438"/>
      <c r="I64" s="438"/>
      <c r="J64" s="438"/>
      <c r="K64" s="438"/>
      <c r="L64" s="438"/>
      <c r="M64" s="438"/>
      <c r="N64" s="438"/>
      <c r="O64" s="438"/>
      <c r="P64" s="438"/>
      <c r="Q64" s="438"/>
      <c r="R64" s="438"/>
      <c r="S64" s="438"/>
      <c r="T64" s="438"/>
      <c r="U64" s="438"/>
      <c r="V64" s="438"/>
      <c r="W64" s="438"/>
      <c r="X64" s="438"/>
      <c r="Y64" s="438"/>
      <c r="Z64" s="438"/>
      <c r="AA64" s="438"/>
      <c r="AB64" s="438"/>
      <c r="AC64" s="438"/>
      <c r="AD64" s="288"/>
      <c r="AE64" s="288"/>
      <c r="AF64" s="288"/>
      <c r="AG64" s="288"/>
      <c r="AH64" s="288"/>
      <c r="AI64" s="288"/>
      <c r="AJ64" s="288"/>
      <c r="AK64" s="288"/>
      <c r="AL64" s="288"/>
      <c r="AM64" s="288"/>
      <c r="AN64" s="288"/>
    </row>
    <row r="65" customFormat="false" ht="12.75" hidden="false" customHeight="false" outlineLevel="0" collapsed="false">
      <c r="A65" s="49"/>
      <c r="B65" s="49"/>
      <c r="C65" s="49"/>
      <c r="D65" s="49"/>
      <c r="F65" s="438"/>
      <c r="G65" s="438"/>
      <c r="H65" s="438"/>
      <c r="I65" s="438"/>
      <c r="J65" s="438"/>
      <c r="K65" s="438"/>
      <c r="L65" s="438"/>
      <c r="M65" s="438"/>
      <c r="N65" s="438"/>
      <c r="O65" s="438"/>
      <c r="P65" s="438"/>
      <c r="Q65" s="438"/>
      <c r="R65" s="438"/>
      <c r="S65" s="438"/>
      <c r="T65" s="438"/>
      <c r="U65" s="438"/>
      <c r="V65" s="438"/>
      <c r="W65" s="438"/>
      <c r="X65" s="438"/>
      <c r="Y65" s="438"/>
      <c r="Z65" s="438"/>
      <c r="AA65" s="438"/>
      <c r="AB65" s="438"/>
      <c r="AC65" s="438"/>
      <c r="AD65" s="288"/>
      <c r="AE65" s="288"/>
      <c r="AF65" s="288"/>
      <c r="AG65" s="288"/>
      <c r="AH65" s="288"/>
      <c r="AI65" s="288"/>
      <c r="AJ65" s="288"/>
      <c r="AK65" s="288"/>
      <c r="AL65" s="288"/>
      <c r="AM65" s="288"/>
      <c r="AN65" s="288"/>
    </row>
    <row r="66" customFormat="false" ht="12.75" hidden="false" customHeight="false" outlineLevel="0" collapsed="false">
      <c r="A66" s="49"/>
      <c r="B66" s="444"/>
      <c r="C66" s="438"/>
      <c r="D66" s="49"/>
      <c r="E66" s="393"/>
      <c r="F66" s="438"/>
      <c r="G66" s="438"/>
      <c r="H66" s="438"/>
      <c r="I66" s="438"/>
      <c r="J66" s="438"/>
      <c r="K66" s="438"/>
      <c r="L66" s="438"/>
      <c r="M66" s="438"/>
      <c r="N66" s="438"/>
      <c r="O66" s="438"/>
      <c r="P66" s="438"/>
      <c r="Q66" s="438"/>
      <c r="R66" s="438"/>
      <c r="S66" s="438"/>
      <c r="T66" s="438"/>
      <c r="U66" s="438"/>
      <c r="V66" s="438"/>
      <c r="W66" s="438"/>
      <c r="X66" s="438"/>
      <c r="Y66" s="438"/>
      <c r="Z66" s="438"/>
      <c r="AA66" s="438"/>
      <c r="AB66" s="438"/>
      <c r="AC66" s="438"/>
      <c r="AD66" s="288"/>
      <c r="AE66" s="288"/>
      <c r="AF66" s="288"/>
      <c r="AG66" s="288"/>
      <c r="AH66" s="288"/>
      <c r="AI66" s="288"/>
      <c r="AJ66" s="288"/>
      <c r="AK66" s="288"/>
      <c r="AL66" s="288"/>
      <c r="AM66" s="288"/>
      <c r="AN66" s="288"/>
    </row>
    <row r="67" customFormat="false" ht="12.75" hidden="false" customHeight="false" outlineLevel="0" collapsed="false">
      <c r="A67" s="49"/>
      <c r="B67" s="444" t="s">
        <v>178</v>
      </c>
      <c r="C67" s="438"/>
      <c r="D67" s="438" t="n">
        <f aca="false">(Assumptions!$E$13+Assumptions!$E$14+Assumptions!$E$15)*D63</f>
        <v>0</v>
      </c>
      <c r="E67" s="295"/>
      <c r="F67" s="438"/>
      <c r="G67" s="438"/>
      <c r="H67" s="438"/>
      <c r="I67" s="438"/>
      <c r="J67" s="438"/>
      <c r="K67" s="438"/>
      <c r="L67" s="438"/>
      <c r="M67" s="438"/>
      <c r="N67" s="438"/>
      <c r="O67" s="438"/>
      <c r="P67" s="438"/>
      <c r="Q67" s="438"/>
      <c r="R67" s="438"/>
      <c r="S67" s="438"/>
      <c r="T67" s="438"/>
      <c r="U67" s="438"/>
      <c r="V67" s="438"/>
      <c r="W67" s="438"/>
      <c r="X67" s="438"/>
      <c r="Y67" s="438"/>
      <c r="Z67" s="438"/>
      <c r="AA67" s="438"/>
      <c r="AB67" s="438"/>
      <c r="AC67" s="438"/>
      <c r="AD67" s="288"/>
      <c r="AE67" s="288"/>
      <c r="AF67" s="288"/>
      <c r="AG67" s="288"/>
      <c r="AH67" s="288"/>
      <c r="AI67" s="288"/>
      <c r="AJ67" s="288"/>
      <c r="AK67" s="288"/>
      <c r="AL67" s="288"/>
      <c r="AM67" s="288"/>
      <c r="AN67" s="288"/>
    </row>
    <row r="68" customFormat="false" ht="12.75" hidden="false" customHeight="false" outlineLevel="0" collapsed="false">
      <c r="A68" s="49"/>
      <c r="B68" s="114" t="s">
        <v>180</v>
      </c>
      <c r="C68" s="352"/>
      <c r="D68" s="438" t="n">
        <f aca="false">(Assumptions!$E$13+Assumptions!$E$14+Assumptions!$E$15)*D64</f>
        <v>0</v>
      </c>
      <c r="E68" s="393"/>
      <c r="F68" s="438"/>
      <c r="G68" s="438"/>
      <c r="H68" s="438"/>
      <c r="I68" s="438"/>
      <c r="J68" s="438"/>
      <c r="K68" s="438"/>
      <c r="L68" s="438"/>
      <c r="M68" s="438"/>
      <c r="N68" s="438"/>
      <c r="O68" s="438"/>
      <c r="P68" s="438"/>
      <c r="Q68" s="438"/>
      <c r="R68" s="438"/>
      <c r="S68" s="438"/>
      <c r="T68" s="438"/>
      <c r="U68" s="438"/>
      <c r="V68" s="438"/>
      <c r="W68" s="438"/>
      <c r="X68" s="438"/>
      <c r="Y68" s="438"/>
      <c r="Z68" s="438"/>
      <c r="AA68" s="438"/>
      <c r="AB68" s="438"/>
      <c r="AC68" s="438"/>
      <c r="AD68" s="288"/>
      <c r="AE68" s="288"/>
      <c r="AF68" s="288"/>
      <c r="AG68" s="288"/>
      <c r="AH68" s="288"/>
      <c r="AI68" s="288"/>
      <c r="AJ68" s="288"/>
      <c r="AK68" s="288"/>
      <c r="AL68" s="288"/>
      <c r="AM68" s="288"/>
      <c r="AN68" s="288"/>
    </row>
    <row r="69" customFormat="false" ht="12.75" hidden="false" customHeight="false" outlineLevel="0" collapsed="false">
      <c r="A69" s="49"/>
      <c r="B69" s="114" t="s">
        <v>410</v>
      </c>
      <c r="C69" s="352"/>
      <c r="D69" s="438" t="n">
        <f aca="false">SUM(D67:D68)</f>
        <v>0</v>
      </c>
      <c r="E69" s="438"/>
      <c r="F69" s="438"/>
      <c r="G69" s="438"/>
      <c r="H69" s="438"/>
      <c r="I69" s="438"/>
      <c r="J69" s="438"/>
      <c r="K69" s="438"/>
      <c r="L69" s="438"/>
      <c r="M69" s="438"/>
      <c r="N69" s="438"/>
      <c r="O69" s="438"/>
      <c r="P69" s="438"/>
      <c r="Q69" s="438"/>
      <c r="R69" s="438"/>
      <c r="S69" s="438"/>
      <c r="T69" s="438"/>
      <c r="U69" s="438"/>
      <c r="V69" s="438"/>
      <c r="W69" s="438"/>
      <c r="X69" s="438"/>
      <c r="Y69" s="438"/>
      <c r="Z69" s="438"/>
      <c r="AA69" s="438"/>
      <c r="AB69" s="438"/>
      <c r="AC69" s="438"/>
      <c r="AD69" s="288"/>
      <c r="AE69" s="288"/>
      <c r="AF69" s="288"/>
      <c r="AG69" s="288"/>
      <c r="AH69" s="288"/>
      <c r="AI69" s="288"/>
      <c r="AJ69" s="288"/>
      <c r="AK69" s="288"/>
      <c r="AL69" s="288"/>
      <c r="AM69" s="288"/>
      <c r="AN69" s="288"/>
    </row>
    <row r="70" customFormat="false" ht="15.75" hidden="false" customHeight="false" outlineLevel="0" collapsed="false">
      <c r="A70" s="484"/>
      <c r="B70" s="288"/>
      <c r="C70" s="288"/>
      <c r="D70" s="438"/>
      <c r="E70" s="438"/>
      <c r="F70" s="438"/>
      <c r="G70" s="438"/>
      <c r="H70" s="438"/>
      <c r="I70" s="438"/>
      <c r="J70" s="438"/>
      <c r="K70" s="438"/>
      <c r="L70" s="438"/>
      <c r="M70" s="438"/>
      <c r="N70" s="438"/>
      <c r="O70" s="438"/>
      <c r="P70" s="438"/>
      <c r="Q70" s="438"/>
      <c r="R70" s="438"/>
      <c r="S70" s="438"/>
      <c r="T70" s="438"/>
      <c r="U70" s="438"/>
      <c r="V70" s="438"/>
      <c r="W70" s="438"/>
      <c r="X70" s="438"/>
      <c r="Y70" s="438"/>
      <c r="Z70" s="438"/>
      <c r="AA70" s="438"/>
      <c r="AB70" s="438"/>
      <c r="AC70" s="438"/>
      <c r="AD70" s="288"/>
      <c r="AE70" s="288"/>
      <c r="AF70" s="288"/>
      <c r="AG70" s="288"/>
      <c r="AH70" s="288"/>
      <c r="AI70" s="288"/>
      <c r="AJ70" s="288"/>
      <c r="AK70" s="288"/>
      <c r="AL70" s="288"/>
      <c r="AM70" s="288"/>
      <c r="AN70" s="288"/>
    </row>
    <row r="71" customFormat="false" ht="16.5" hidden="false" customHeight="true" outlineLevel="0" collapsed="false">
      <c r="A71" s="49"/>
      <c r="B71" s="114"/>
      <c r="C71" s="352"/>
      <c r="D71" s="449" t="n">
        <f aca="false">YEAR(D77)</f>
        <v>2003</v>
      </c>
      <c r="E71" s="449" t="n">
        <f aca="false">YEAR(E77)</f>
        <v>2003</v>
      </c>
      <c r="F71" s="449" t="n">
        <f aca="false">YEAR(F77)</f>
        <v>2003</v>
      </c>
      <c r="G71" s="449" t="n">
        <f aca="false">YEAR(G77)</f>
        <v>2004</v>
      </c>
      <c r="H71" s="449" t="n">
        <f aca="false">YEAR(H77)</f>
        <v>2004</v>
      </c>
      <c r="I71" s="449" t="n">
        <f aca="false">YEAR(I77)</f>
        <v>2004</v>
      </c>
      <c r="J71" s="449" t="n">
        <f aca="false">YEAR(J77)</f>
        <v>2004</v>
      </c>
      <c r="K71" s="449" t="n">
        <f aca="false">YEAR(K77)</f>
        <v>2004</v>
      </c>
      <c r="L71" s="449" t="n">
        <f aca="false">YEAR(L77)</f>
        <v>2004</v>
      </c>
      <c r="M71" s="449" t="n">
        <f aca="false">YEAR(M77)</f>
        <v>2004</v>
      </c>
      <c r="N71" s="449" t="n">
        <f aca="false">YEAR(N77)</f>
        <v>2004</v>
      </c>
      <c r="O71" s="449" t="n">
        <f aca="false">YEAR(O77)</f>
        <v>2004</v>
      </c>
      <c r="P71" s="449" t="n">
        <f aca="false">YEAR(P77)</f>
        <v>2004</v>
      </c>
      <c r="Q71" s="449" t="n">
        <f aca="false">YEAR(Q77)</f>
        <v>2004</v>
      </c>
      <c r="R71" s="449" t="n">
        <f aca="false">YEAR(R77)</f>
        <v>2004</v>
      </c>
      <c r="S71" s="449" t="n">
        <f aca="false">YEAR(S77)</f>
        <v>2005</v>
      </c>
      <c r="T71" s="449" t="n">
        <f aca="false">YEAR(T77)</f>
        <v>2005</v>
      </c>
      <c r="U71" s="449" t="n">
        <f aca="false">YEAR(U77)</f>
        <v>2005</v>
      </c>
      <c r="V71" s="449" t="n">
        <f aca="false">YEAR(V77)</f>
        <v>2005</v>
      </c>
      <c r="W71" s="449" t="n">
        <f aca="false">YEAR(W77)</f>
        <v>2005</v>
      </c>
      <c r="X71" s="449" t="n">
        <f aca="false">YEAR(X77)</f>
        <v>2005</v>
      </c>
      <c r="Y71" s="449" t="n">
        <f aca="false">YEAR(Y77)</f>
        <v>2005</v>
      </c>
      <c r="Z71" s="449" t="n">
        <f aca="false">YEAR(Z77)</f>
        <v>2005</v>
      </c>
      <c r="AA71" s="449" t="n">
        <f aca="false">YEAR(AA77)</f>
        <v>2005</v>
      </c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112"/>
      <c r="BC71" s="112"/>
      <c r="BD71" s="112"/>
    </row>
    <row r="72" customFormat="false" ht="12.75" hidden="false" customHeight="false" outlineLevel="0" collapsed="false">
      <c r="A72" s="450" t="s">
        <v>25</v>
      </c>
      <c r="B72" s="114"/>
      <c r="C72" s="352"/>
      <c r="D72" s="352" t="n">
        <v>1</v>
      </c>
      <c r="E72" s="352" t="n">
        <f aca="false">IF(D72="EOC","EOC",IF(D72+1&lt;=$D$61,D72+1,"EOC"))</f>
        <v>2</v>
      </c>
      <c r="F72" s="352" t="n">
        <f aca="false">IF(E72="EOC","EOC",IF(E72+1&lt;=$D$61,E72+1,"EOC"))</f>
        <v>3</v>
      </c>
      <c r="G72" s="352" t="str">
        <f aca="false">IF(F72="EOC","EOC",IF(F72+1&lt;=$D$61,F72+1,"EOC"))</f>
        <v>EOC</v>
      </c>
      <c r="H72" s="352" t="str">
        <f aca="false">IF(G72="EOC","EOC",IF(G72+1&lt;=$D$61,G72+1,"EOC"))</f>
        <v>EOC</v>
      </c>
      <c r="I72" s="352" t="str">
        <f aca="false">IF(H72="EOC","EOC",IF(H72+1&lt;=$D$61,H72+1,"EOC"))</f>
        <v>EOC</v>
      </c>
      <c r="J72" s="352" t="str">
        <f aca="false">IF(I72="EOC","EOC",IF(I72+1&lt;=$D$61,I72+1,"EOC"))</f>
        <v>EOC</v>
      </c>
      <c r="K72" s="352" t="str">
        <f aca="false">IF(J72="EOC","EOC",IF(J72+1&lt;=$D$61,J72+1,"EOC"))</f>
        <v>EOC</v>
      </c>
      <c r="L72" s="352" t="str">
        <f aca="false">IF(K72="EOC","EOC",IF(K72+1&lt;=$D$61,K72+1,"EOC"))</f>
        <v>EOC</v>
      </c>
      <c r="M72" s="352" t="str">
        <f aca="false">IF(L72="EOC","EOC",IF(L72+1&lt;=$D$61,L72+1,"EOC"))</f>
        <v>EOC</v>
      </c>
      <c r="N72" s="352" t="str">
        <f aca="false">IF(M72="EOC","EOC",IF(M72+1&lt;=$D$61,M72+1,"EOC"))</f>
        <v>EOC</v>
      </c>
      <c r="O72" s="352" t="str">
        <f aca="false">IF(N72="EOC","EOC",IF(N72+1&lt;=$D$61,N72+1,"EOC"))</f>
        <v>EOC</v>
      </c>
      <c r="P72" s="352" t="str">
        <f aca="false">IF(O72="EOC","EOC",IF(O72+1&lt;=$D$61,O72+1,"EOC"))</f>
        <v>EOC</v>
      </c>
      <c r="Q72" s="352" t="str">
        <f aca="false">IF(P72="EOC","EOC",IF(P72+1&lt;=$D$61,P72+1,"EOC"))</f>
        <v>EOC</v>
      </c>
      <c r="R72" s="352" t="str">
        <f aca="false">IF(Q72="EOC","EOC",IF(Q72+1&lt;=$D$61,Q72+1,"EOC"))</f>
        <v>EOC</v>
      </c>
      <c r="S72" s="352" t="str">
        <f aca="false">IF(R72="EOC","EOC",IF(R72+1&lt;=$D$61,R72+1,"EOC"))</f>
        <v>EOC</v>
      </c>
      <c r="T72" s="352" t="str">
        <f aca="false">IF(S72="EOC","EOC",IF(S72+1&lt;=$D$61,S72+1,"EOC"))</f>
        <v>EOC</v>
      </c>
      <c r="U72" s="352" t="str">
        <f aca="false">IF(T72="EOC","EOC",IF(T72+1&lt;=$D$61,T72+1,"EOC"))</f>
        <v>EOC</v>
      </c>
      <c r="V72" s="352" t="str">
        <f aca="false">IF(U72="EOC","EOC",IF(U72+1&lt;=$D$61,U72+1,"EOC"))</f>
        <v>EOC</v>
      </c>
      <c r="W72" s="352" t="str">
        <f aca="false">IF(V72="EOC","EOC",IF(V72+1&lt;=$D$61,V72+1,"EOC"))</f>
        <v>EOC</v>
      </c>
      <c r="X72" s="352" t="str">
        <f aca="false">IF(W72="EOC","EOC",IF(W72+1&lt;=$D$61,W72+1,"EOC"))</f>
        <v>EOC</v>
      </c>
      <c r="Y72" s="352" t="str">
        <f aca="false">IF(X72="EOC","EOC",IF(X72+1&lt;=$D$61,X72+1,"EOC"))</f>
        <v>EOC</v>
      </c>
      <c r="Z72" s="352" t="str">
        <f aca="false">IF(Y72="EOC","EOC",IF(Y72+1&lt;=$D$61,Y72+1,"EOC"))</f>
        <v>EOC</v>
      </c>
      <c r="AA72" s="352" t="str">
        <f aca="false">IF(Z72="EOC","EOC",IF(Z72+1&lt;=$D$61,Z72+1,"EOC"))</f>
        <v>EOC</v>
      </c>
      <c r="AB72" s="352"/>
      <c r="AC72" s="352"/>
      <c r="AD72" s="352"/>
      <c r="AE72" s="352"/>
      <c r="AF72" s="352"/>
      <c r="AG72" s="352"/>
      <c r="AH72" s="352"/>
      <c r="AI72" s="352"/>
      <c r="AJ72" s="352"/>
      <c r="AK72" s="352"/>
      <c r="AL72" s="352"/>
      <c r="AM72" s="35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</row>
    <row r="73" customFormat="false" ht="12.75" hidden="false" customHeight="false" outlineLevel="0" collapsed="false">
      <c r="A73" s="450" t="s">
        <v>55</v>
      </c>
      <c r="B73" s="114"/>
      <c r="C73" s="352"/>
      <c r="D73" s="442" t="n">
        <f aca="false">INDEX('Int Curves'!$A$3:$F$324,MATCH(Construction!D76,'Int Curves'!$A$3:$A$324,0),MATCH("Interest Rate Curve",'Int Curves'!$A$3:$F$3,0))+0.015</f>
        <v>0.078434197769737</v>
      </c>
      <c r="E73" s="442" t="n">
        <f aca="false">INDEX('Int Curves'!$A$3:$F$324,MATCH(Construction!E76,'Int Curves'!$A$3:$A$324,0),MATCH("Interest Rate Curve",'Int Curves'!$A$3:$F$3,0))+0.015</f>
        <v>0.0784538382212169</v>
      </c>
      <c r="F73" s="442" t="n">
        <f aca="false">INDEX('Int Curves'!$A$3:$F$324,MATCH(Construction!F76,'Int Curves'!$A$3:$A$324,0),MATCH("Interest Rate Curve",'Int Curves'!$A$3:$F$3,0))+0.015</f>
        <v>0.0784728451098678</v>
      </c>
      <c r="G73" s="442" t="n">
        <f aca="false">INDEX('Int Curves'!$A$3:$F$324,MATCH(Construction!G76,'Int Curves'!$A$3:$A$324,0),MATCH("Interest Rate Curve",'Int Curves'!$A$3:$F$3,0))+0.015</f>
        <v>0.0784924855615995</v>
      </c>
      <c r="H73" s="442" t="n">
        <f aca="false">INDEX('Int Curves'!$A$3:$F$324,MATCH(Construction!H76,'Int Curves'!$A$3:$A$324,0),MATCH("Interest Rate Curve",'Int Curves'!$A$3:$F$3,0))+0.015</f>
        <v>0.0785121260134595</v>
      </c>
      <c r="I73" s="442" t="n">
        <f aca="false">INDEX('Int Curves'!$A$3:$F$324,MATCH(Construction!I76,'Int Curves'!$A$3:$A$324,0),MATCH("Interest Rate Curve",'Int Curves'!$A$3:$F$3,0))+0.015</f>
        <v>0.0785304993395085</v>
      </c>
      <c r="J73" s="442" t="n">
        <f aca="false">INDEX('Int Curves'!$A$3:$F$324,MATCH(Construction!J76,'Int Curves'!$A$3:$A$324,0),MATCH("Interest Rate Curve",'Int Curves'!$A$3:$F$3,0))+0.015</f>
        <v>0.0785501397916154</v>
      </c>
      <c r="K73" s="442" t="n">
        <f aca="false">INDEX('Int Curves'!$A$3:$F$324,MATCH(Construction!K76,'Int Curves'!$A$3:$A$324,0),MATCH("Interest Rate Curve",'Int Curves'!$A$3:$F$3,0))+0.015</f>
        <v>0.0785691466808739</v>
      </c>
      <c r="L73" s="442" t="n">
        <f aca="false">INDEX('Int Curves'!$A$3:$F$324,MATCH(Construction!L76,'Int Curves'!$A$3:$A$324,0),MATCH("Interest Rate Curve",'Int Curves'!$A$3:$F$3,0))+0.015</f>
        <v>0.0785887871332326</v>
      </c>
      <c r="M73" s="442" t="n">
        <f aca="false">INDEX('Int Curves'!$A$3:$F$324,MATCH(Construction!M76,'Int Curves'!$A$3:$A$324,0),MATCH("Interest Rate Curve",'Int Curves'!$A$3:$F$3,0))+0.015</f>
        <v>0.0786077940227344</v>
      </c>
      <c r="N73" s="442" t="n">
        <f aca="false">INDEX('Int Curves'!$A$3:$F$324,MATCH(Construction!N76,'Int Curves'!$A$3:$A$324,0),MATCH("Interest Rate Curve",'Int Curves'!$A$3:$F$3,0))+0.015</f>
        <v>0.0786274344753454</v>
      </c>
      <c r="O73" s="442" t="n">
        <f aca="false">INDEX('Int Curves'!$A$3:$F$324,MATCH(Construction!O76,'Int Curves'!$A$3:$A$324,0),MATCH("Interest Rate Curve",'Int Curves'!$A$3:$F$3,0))+0.015</f>
        <v>0.0786470749280842</v>
      </c>
      <c r="P73" s="442" t="n">
        <f aca="false">INDEX('Int Curves'!$A$3:$F$324,MATCH(Construction!P76,'Int Curves'!$A$3:$A$324,0),MATCH("Interest Rate Curve",'Int Curves'!$A$3:$F$3,0))+0.015</f>
        <v>0.0786660818179533</v>
      </c>
      <c r="Q73" s="442" t="n">
        <f aca="false">INDEX('Int Curves'!$A$3:$F$324,MATCH(Construction!Q76,'Int Curves'!$A$3:$A$324,0),MATCH("Interest Rate Curve",'Int Curves'!$A$3:$F$3,0))+0.015</f>
        <v>0.0786857222709439</v>
      </c>
      <c r="R73" s="442" t="n">
        <f aca="false">INDEX('Int Curves'!$A$3:$F$324,MATCH(Construction!R76,'Int Curves'!$A$3:$A$324,0),MATCH("Interest Rate Curve",'Int Curves'!$A$3:$F$3,0))+0.015</f>
        <v>0.0787047291610564</v>
      </c>
      <c r="S73" s="442" t="n">
        <f aca="false">INDEX('Int Curves'!$A$3:$F$324,MATCH(Construction!S76,'Int Curves'!$A$3:$A$324,0),MATCH("Interest Rate Curve",'Int Curves'!$A$3:$F$3,0))+0.015</f>
        <v>0.0787243696142988</v>
      </c>
      <c r="T73" s="442" t="n">
        <f aca="false">INDEX('Int Curves'!$A$3:$F$324,MATCH(Construction!T76,'Int Curves'!$A$3:$A$324,0),MATCH("Interest Rate Curve",'Int Curves'!$A$3:$F$3,0))+0.015</f>
        <v>0.0787440100676692</v>
      </c>
      <c r="U73" s="442" t="n">
        <f aca="false">INDEX('Int Curves'!$A$3:$F$324,MATCH(Construction!U76,'Int Curves'!$A$3:$A$324,0),MATCH("Interest Rate Curve",'Int Curves'!$A$3:$F$3,0))+0.015</f>
        <v>0.0787617498321133</v>
      </c>
      <c r="V73" s="442" t="n">
        <f aca="false">INDEX('Int Curves'!$A$3:$F$324,MATCH(Construction!V76,'Int Curves'!$A$3:$A$324,0),MATCH("Interest Rate Curve",'Int Curves'!$A$3:$F$3,0))+0.015</f>
        <v>0.0787801766326809</v>
      </c>
      <c r="W73" s="442" t="n">
        <f aca="false">INDEX('Int Curves'!$A$3:$F$324,MATCH(Construction!W76,'Int Curves'!$A$3:$A$324,0),MATCH("Interest Rate Curve",'Int Curves'!$A$3:$F$3,0))+0.015</f>
        <v>0.0787870469928799</v>
      </c>
      <c r="X73" s="442" t="n">
        <f aca="false">INDEX('Int Curves'!$A$3:$F$324,MATCH(Construction!X76,'Int Curves'!$A$3:$A$324,0),MATCH("Interest Rate Curve",'Int Curves'!$A$3:$F$3,0))+0.015</f>
        <v>0.0787941463651015</v>
      </c>
      <c r="Y73" s="442" t="n">
        <f aca="false">INDEX('Int Curves'!$A$3:$F$324,MATCH(Construction!Y76,'Int Curves'!$A$3:$A$324,0),MATCH("Interest Rate Curve",'Int Curves'!$A$3:$F$3,0))+0.015</f>
        <v>0.0788010167253316</v>
      </c>
      <c r="Z73" s="442" t="n">
        <f aca="false">INDEX('Int Curves'!$A$3:$F$324,MATCH(Construction!Z76,'Int Curves'!$A$3:$A$324,0),MATCH("Interest Rate Curve",'Int Curves'!$A$3:$F$3,0))+0.015</f>
        <v>0.0788081160975865</v>
      </c>
      <c r="AA73" s="442" t="n">
        <f aca="false">INDEX('Int Curves'!$A$3:$F$324,MATCH(Construction!AA76,'Int Curves'!$A$3:$A$324,0),MATCH("Interest Rate Curve",'Int Curves'!$A$3:$F$3,0))+0.015</f>
        <v>0.0788152154698579</v>
      </c>
      <c r="AB73" s="352"/>
      <c r="AC73" s="352"/>
      <c r="AD73" s="352"/>
      <c r="AE73" s="352"/>
      <c r="AF73" s="352"/>
      <c r="AG73" s="352"/>
      <c r="AH73" s="352"/>
      <c r="AI73" s="352"/>
      <c r="AJ73" s="352"/>
      <c r="AK73" s="352"/>
      <c r="AL73" s="352"/>
      <c r="AM73" s="35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</row>
    <row r="74" customFormat="false" ht="12.75" hidden="false" customHeight="false" outlineLevel="0" collapsed="false">
      <c r="A74" s="450"/>
      <c r="B74" s="114"/>
      <c r="C74" s="352"/>
      <c r="D74" s="352"/>
      <c r="E74" s="352"/>
      <c r="F74" s="352"/>
      <c r="G74" s="352"/>
      <c r="H74" s="352"/>
      <c r="I74" s="352"/>
      <c r="J74" s="352"/>
      <c r="K74" s="352"/>
      <c r="L74" s="352"/>
      <c r="M74" s="352"/>
      <c r="N74" s="352"/>
      <c r="O74" s="352"/>
      <c r="P74" s="352"/>
      <c r="Q74" s="352"/>
      <c r="R74" s="352"/>
      <c r="S74" s="352"/>
      <c r="T74" s="352"/>
      <c r="U74" s="352"/>
      <c r="V74" s="352"/>
      <c r="W74" s="352"/>
      <c r="X74" s="352"/>
      <c r="Y74" s="352"/>
      <c r="Z74" s="352"/>
      <c r="AA74" s="352"/>
      <c r="AB74" s="352"/>
      <c r="AC74" s="352"/>
      <c r="AD74" s="352"/>
      <c r="AE74" s="352"/>
      <c r="AF74" s="352"/>
      <c r="AG74" s="352"/>
      <c r="AH74" s="352"/>
      <c r="AI74" s="352"/>
      <c r="AJ74" s="352"/>
      <c r="AK74" s="352"/>
      <c r="AL74" s="352"/>
      <c r="AM74" s="35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</row>
    <row r="75" customFormat="false" ht="16.5" hidden="false" customHeight="true" outlineLevel="0" collapsed="false">
      <c r="A75" s="49"/>
      <c r="B75" s="114"/>
      <c r="C75" s="352"/>
      <c r="D75" s="452"/>
      <c r="E75" s="452"/>
      <c r="F75" s="452"/>
      <c r="G75" s="452"/>
      <c r="H75" s="452"/>
      <c r="I75" s="452"/>
      <c r="J75" s="452"/>
      <c r="K75" s="452"/>
      <c r="L75" s="452"/>
      <c r="M75" s="452"/>
      <c r="N75" s="452"/>
      <c r="O75" s="452"/>
      <c r="P75" s="452"/>
      <c r="Q75" s="452"/>
      <c r="R75" s="452"/>
      <c r="S75" s="452"/>
      <c r="T75" s="452"/>
      <c r="U75" s="452"/>
      <c r="V75" s="452"/>
      <c r="W75" s="452"/>
      <c r="X75" s="452"/>
      <c r="Y75" s="452"/>
      <c r="Z75" s="452"/>
      <c r="AA75" s="45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</row>
    <row r="76" customFormat="false" ht="11.25" hidden="false" customHeight="false" outlineLevel="0" collapsed="false">
      <c r="A76" s="442" t="s">
        <v>403</v>
      </c>
      <c r="B76" s="442"/>
      <c r="C76" s="442"/>
      <c r="D76" s="453" t="n">
        <f aca="false">Assumptions!E54</f>
        <v>37895</v>
      </c>
      <c r="E76" s="453" t="n">
        <f aca="false">EDATE(D76,1)</f>
        <v>37926</v>
      </c>
      <c r="F76" s="453" t="n">
        <f aca="false">EDATE(E76,1)</f>
        <v>37956</v>
      </c>
      <c r="G76" s="453" t="n">
        <f aca="false">EDATE(F76,1)</f>
        <v>37987</v>
      </c>
      <c r="H76" s="453" t="n">
        <f aca="false">EDATE(G76,1)</f>
        <v>38018</v>
      </c>
      <c r="I76" s="453" t="n">
        <f aca="false">EDATE(H76,1)</f>
        <v>38047</v>
      </c>
      <c r="J76" s="453" t="n">
        <f aca="false">EDATE(I76,1)</f>
        <v>38078</v>
      </c>
      <c r="K76" s="453" t="n">
        <f aca="false">EDATE(J76,1)</f>
        <v>38108</v>
      </c>
      <c r="L76" s="453" t="n">
        <f aca="false">EDATE(K76,1)</f>
        <v>38139</v>
      </c>
      <c r="M76" s="453" t="n">
        <f aca="false">EDATE(L76,1)</f>
        <v>38169</v>
      </c>
      <c r="N76" s="453" t="n">
        <f aca="false">EDATE(M76,1)</f>
        <v>38200</v>
      </c>
      <c r="O76" s="453" t="n">
        <f aca="false">EDATE(N76,1)</f>
        <v>38231</v>
      </c>
      <c r="P76" s="453" t="n">
        <f aca="false">EDATE(O76,1)</f>
        <v>38261</v>
      </c>
      <c r="Q76" s="453" t="n">
        <f aca="false">EDATE(P76,1)</f>
        <v>38292</v>
      </c>
      <c r="R76" s="453" t="n">
        <f aca="false">EDATE(Q76,1)</f>
        <v>38322</v>
      </c>
      <c r="S76" s="453" t="n">
        <f aca="false">EDATE(R76,1)</f>
        <v>38353</v>
      </c>
      <c r="T76" s="453" t="n">
        <f aca="false">EDATE(S76,1)</f>
        <v>38384</v>
      </c>
      <c r="U76" s="453" t="n">
        <f aca="false">EDATE(T76,1)</f>
        <v>38412</v>
      </c>
      <c r="V76" s="453" t="n">
        <f aca="false">EDATE(U76,1)</f>
        <v>38443</v>
      </c>
      <c r="W76" s="453" t="n">
        <f aca="false">EDATE(V76,1)</f>
        <v>38473</v>
      </c>
      <c r="X76" s="453" t="n">
        <f aca="false">EDATE(W76,1)</f>
        <v>38504</v>
      </c>
      <c r="Y76" s="453" t="n">
        <f aca="false">EDATE(X76,1)</f>
        <v>38534</v>
      </c>
      <c r="Z76" s="453" t="n">
        <f aca="false">EDATE(Y76,1)</f>
        <v>38565</v>
      </c>
      <c r="AA76" s="453" t="n">
        <f aca="false">EDATE(Z76,1)</f>
        <v>38596</v>
      </c>
      <c r="AB76" s="453"/>
      <c r="AC76" s="453"/>
      <c r="AD76" s="453"/>
      <c r="AE76" s="453"/>
      <c r="AF76" s="453"/>
      <c r="AG76" s="453"/>
      <c r="AH76" s="453"/>
      <c r="AI76" s="453"/>
      <c r="AJ76" s="453"/>
      <c r="AK76" s="453"/>
      <c r="AL76" s="453"/>
      <c r="AM76" s="453"/>
      <c r="AN76" s="453"/>
      <c r="AO76" s="453"/>
    </row>
    <row r="77" customFormat="false" ht="11.25" hidden="false" customHeight="false" outlineLevel="0" collapsed="false">
      <c r="A77" s="442" t="s">
        <v>411</v>
      </c>
      <c r="B77" s="442"/>
      <c r="C77" s="442"/>
      <c r="D77" s="453" t="n">
        <f aca="false">EOMONTH(D76,0)</f>
        <v>37925</v>
      </c>
      <c r="E77" s="453" t="n">
        <f aca="false">EOMONTH(E76,0)</f>
        <v>37955</v>
      </c>
      <c r="F77" s="453" t="n">
        <f aca="false">EOMONTH(F76,0)</f>
        <v>37986</v>
      </c>
      <c r="G77" s="453" t="n">
        <f aca="false">EOMONTH(G76,0)</f>
        <v>38017</v>
      </c>
      <c r="H77" s="453" t="n">
        <f aca="false">EOMONTH(H76,0)</f>
        <v>38046</v>
      </c>
      <c r="I77" s="453" t="n">
        <f aca="false">EOMONTH(I76,0)</f>
        <v>38077</v>
      </c>
      <c r="J77" s="453" t="n">
        <f aca="false">EOMONTH(J76,0)</f>
        <v>38107</v>
      </c>
      <c r="K77" s="453" t="n">
        <f aca="false">EOMONTH(K76,0)</f>
        <v>38138</v>
      </c>
      <c r="L77" s="453" t="n">
        <f aca="false">EOMONTH(L76,0)</f>
        <v>38168</v>
      </c>
      <c r="M77" s="453" t="n">
        <f aca="false">EOMONTH(M76,0)</f>
        <v>38199</v>
      </c>
      <c r="N77" s="453" t="n">
        <f aca="false">EOMONTH(N76,0)</f>
        <v>38230</v>
      </c>
      <c r="O77" s="453" t="n">
        <f aca="false">EOMONTH(O76,0)</f>
        <v>38260</v>
      </c>
      <c r="P77" s="453" t="n">
        <f aca="false">EOMONTH(P76,0)</f>
        <v>38291</v>
      </c>
      <c r="Q77" s="453" t="n">
        <f aca="false">EOMONTH(Q76,0)</f>
        <v>38321</v>
      </c>
      <c r="R77" s="453" t="n">
        <f aca="false">EOMONTH(R76,0)</f>
        <v>38352</v>
      </c>
      <c r="S77" s="453" t="n">
        <f aca="false">EOMONTH(S76,0)</f>
        <v>38383</v>
      </c>
      <c r="T77" s="453" t="n">
        <f aca="false">EOMONTH(T76,0)</f>
        <v>38411</v>
      </c>
      <c r="U77" s="453" t="n">
        <f aca="false">EOMONTH(U76,0)</f>
        <v>38442</v>
      </c>
      <c r="V77" s="453" t="n">
        <f aca="false">EOMONTH(V76,0)</f>
        <v>38472</v>
      </c>
      <c r="W77" s="453" t="n">
        <f aca="false">EOMONTH(W76,0)</f>
        <v>38503</v>
      </c>
      <c r="X77" s="453" t="n">
        <f aca="false">EOMONTH(X76,0)</f>
        <v>38533</v>
      </c>
      <c r="Y77" s="453" t="n">
        <f aca="false">EOMONTH(Y76,0)</f>
        <v>38564</v>
      </c>
      <c r="Z77" s="453" t="n">
        <f aca="false">EOMONTH(Z76,0)</f>
        <v>38595</v>
      </c>
      <c r="AA77" s="453" t="n">
        <f aca="false">EOMONTH(AA76,0)</f>
        <v>38625</v>
      </c>
      <c r="AB77" s="453"/>
      <c r="AC77" s="453"/>
      <c r="AD77" s="453"/>
      <c r="AE77" s="453"/>
      <c r="AF77" s="453"/>
      <c r="AG77" s="453"/>
      <c r="AH77" s="453"/>
      <c r="AI77" s="453"/>
      <c r="AJ77" s="453"/>
      <c r="AK77" s="453"/>
      <c r="AL77" s="453"/>
      <c r="AM77" s="453"/>
      <c r="AN77" s="453"/>
      <c r="AO77" s="453"/>
    </row>
    <row r="78" customFormat="false" ht="16.5" hidden="false" customHeight="true" outlineLevel="0" collapsed="false">
      <c r="A78" s="49"/>
      <c r="B78" s="114"/>
      <c r="C78" s="352"/>
      <c r="D78" s="452"/>
      <c r="E78" s="452"/>
      <c r="F78" s="452"/>
      <c r="G78" s="452"/>
      <c r="H78" s="452"/>
      <c r="I78" s="452"/>
      <c r="J78" s="452"/>
      <c r="K78" s="452"/>
      <c r="L78" s="452"/>
      <c r="M78" s="452"/>
      <c r="N78" s="452"/>
      <c r="O78" s="452"/>
      <c r="P78" s="452"/>
      <c r="Q78" s="452"/>
      <c r="R78" s="452"/>
      <c r="S78" s="452"/>
      <c r="T78" s="452"/>
      <c r="U78" s="452"/>
      <c r="V78" s="452"/>
      <c r="W78" s="452"/>
      <c r="X78" s="452"/>
      <c r="Y78" s="452"/>
      <c r="Z78" s="452"/>
      <c r="AA78" s="45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</row>
    <row r="79" customFormat="false" ht="12.75" hidden="false" customHeight="false" outlineLevel="0" collapsed="false">
      <c r="A79" s="454" t="s">
        <v>412</v>
      </c>
      <c r="B79" s="114"/>
      <c r="C79" s="352"/>
      <c r="D79" s="455"/>
      <c r="E79" s="456"/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  <c r="Z79" s="456"/>
      <c r="AA79" s="457"/>
      <c r="AB79" s="352"/>
      <c r="AC79" s="352"/>
      <c r="AD79" s="352"/>
      <c r="AE79" s="352"/>
      <c r="AF79" s="352"/>
      <c r="AG79" s="352"/>
      <c r="AH79" s="352"/>
      <c r="AI79" s="352"/>
      <c r="AJ79" s="352"/>
      <c r="AK79" s="352"/>
      <c r="AL79" s="352"/>
      <c r="AM79" s="352"/>
      <c r="AN79" s="112"/>
      <c r="AO79" s="112"/>
      <c r="AP79" s="112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</row>
    <row r="80" customFormat="false" ht="12.75" hidden="false" customHeight="false" outlineLevel="0" collapsed="false">
      <c r="A80" s="454" t="s">
        <v>413</v>
      </c>
      <c r="B80" s="114"/>
      <c r="C80" s="352"/>
      <c r="D80" s="458" t="n">
        <f aca="false">IF(D72&lt;=$D$61,1/$D$61,0)</f>
        <v>0.333333333333333</v>
      </c>
      <c r="E80" s="458" t="n">
        <f aca="false">IF(E72&lt;=$D$61,1/$D$61,0)</f>
        <v>0.333333333333333</v>
      </c>
      <c r="F80" s="458" t="n">
        <f aca="false">IF(F72&lt;=$D$61,1/$D$61,0)</f>
        <v>0.333333333333333</v>
      </c>
      <c r="G80" s="458" t="n">
        <f aca="false">IF(G72&lt;=$D$61,1/$D$61,0)</f>
        <v>0</v>
      </c>
      <c r="H80" s="458" t="n">
        <f aca="false">IF(H72&lt;=$D$61,1/$D$61,0)</f>
        <v>0</v>
      </c>
      <c r="I80" s="458" t="n">
        <f aca="false">IF(I72&lt;=$D$61,1/$D$61,0)</f>
        <v>0</v>
      </c>
      <c r="J80" s="458" t="n">
        <f aca="false">IF(J72&lt;=$D$61,1/$D$61,0)</f>
        <v>0</v>
      </c>
      <c r="K80" s="458" t="n">
        <f aca="false">IF(K72&lt;=$D$61,1/$D$61,0)</f>
        <v>0</v>
      </c>
      <c r="L80" s="458" t="n">
        <f aca="false">IF(L72&lt;=$D$61,1/$D$61,0)</f>
        <v>0</v>
      </c>
      <c r="M80" s="458" t="n">
        <f aca="false">IF(M72&lt;=$D$61,1/$D$61,0)</f>
        <v>0</v>
      </c>
      <c r="N80" s="458" t="n">
        <f aca="false">IF(N72&lt;=$D$61,1/$D$61,0)</f>
        <v>0</v>
      </c>
      <c r="O80" s="458" t="n">
        <f aca="false">IF(O72&lt;=$D$61,1/$D$61,0)</f>
        <v>0</v>
      </c>
      <c r="P80" s="458" t="n">
        <f aca="false">IF(P72&lt;=$D$61,1/$D$61,0)</f>
        <v>0</v>
      </c>
      <c r="Q80" s="458" t="n">
        <f aca="false">IF(Q72&lt;=$D$61,1/$D$61,0)</f>
        <v>0</v>
      </c>
      <c r="R80" s="458" t="n">
        <f aca="false">IF(R72&lt;=$D$61,1/$D$61,0)</f>
        <v>0</v>
      </c>
      <c r="S80" s="458" t="n">
        <f aca="false">IF(S72&lt;=$D$61,1/$D$61,0)</f>
        <v>0</v>
      </c>
      <c r="T80" s="458" t="n">
        <f aca="false">IF(T72&lt;=$D$61,1/$D$61,0)</f>
        <v>0</v>
      </c>
      <c r="U80" s="458" t="n">
        <f aca="false">IF(U72&lt;=$D$61,1/$D$61,0)</f>
        <v>0</v>
      </c>
      <c r="V80" s="458" t="n">
        <f aca="false">IF(V72&lt;=$D$61,1/$D$61,0)</f>
        <v>0</v>
      </c>
      <c r="W80" s="458" t="n">
        <f aca="false">IF(W72&lt;=$D$61,1/$D$61,0)</f>
        <v>0</v>
      </c>
      <c r="X80" s="458" t="n">
        <f aca="false">IF(X72&lt;=$D$61,1/$D$61,0)</f>
        <v>0</v>
      </c>
      <c r="Y80" s="458" t="n">
        <f aca="false">IF(Y72&lt;=$D$61,1/$D$61,0)</f>
        <v>0</v>
      </c>
      <c r="Z80" s="458" t="n">
        <f aca="false">IF(Z72&lt;=$D$61,1/$D$61,0)</f>
        <v>0</v>
      </c>
      <c r="AA80" s="458" t="n">
        <f aca="false">IF(AA72&lt;=$D$61,1/$D$61,0)</f>
        <v>0</v>
      </c>
      <c r="AB80" s="352"/>
      <c r="AC80" s="352"/>
      <c r="AD80" s="352"/>
      <c r="AE80" s="352"/>
      <c r="AF80" s="352"/>
      <c r="AG80" s="352"/>
      <c r="AH80" s="352"/>
      <c r="AI80" s="352"/>
      <c r="AJ80" s="352"/>
      <c r="AK80" s="352"/>
      <c r="AL80" s="352"/>
      <c r="AM80" s="35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</row>
    <row r="81" customFormat="false" ht="12.75" hidden="false" customHeight="false" outlineLevel="0" collapsed="false">
      <c r="A81" s="49"/>
      <c r="B81" s="49"/>
      <c r="C81" s="49"/>
      <c r="D81" s="49"/>
      <c r="E81" s="9"/>
      <c r="I81" s="454"/>
      <c r="J81" s="454"/>
      <c r="K81" s="454"/>
      <c r="L81" s="454"/>
      <c r="M81" s="454"/>
      <c r="N81" s="454"/>
      <c r="P81" s="448"/>
      <c r="Q81" s="448"/>
      <c r="R81" s="448"/>
      <c r="S81" s="448"/>
      <c r="T81" s="448"/>
      <c r="U81" s="448"/>
      <c r="AM81" s="112"/>
      <c r="AN81" s="112"/>
      <c r="AO81" s="112"/>
      <c r="AP81" s="112"/>
      <c r="AQ81" s="112"/>
      <c r="AR81" s="112"/>
      <c r="AS81" s="112"/>
      <c r="AT81" s="112"/>
      <c r="AU81" s="112"/>
      <c r="AV81" s="112"/>
      <c r="AW81" s="112"/>
      <c r="AX81" s="112"/>
      <c r="AY81" s="112"/>
      <c r="AZ81" s="112"/>
      <c r="BA81" s="112"/>
      <c r="BB81" s="112"/>
      <c r="BC81" s="112"/>
      <c r="BD81" s="112"/>
    </row>
    <row r="82" customFormat="false" ht="13.5" hidden="false" customHeight="false" outlineLevel="0" collapsed="false">
      <c r="A82" s="460" t="s">
        <v>414</v>
      </c>
      <c r="B82" s="461"/>
      <c r="C82" s="461"/>
      <c r="D82" s="462" t="n">
        <f aca="false">IF(Assumptions!$E$50="YES",Construction!D79,Construction!D80)</f>
        <v>0.333333333333333</v>
      </c>
      <c r="E82" s="462" t="n">
        <f aca="false">IF(Assumptions!$E$50="YES",Construction!E79,Construction!E80)</f>
        <v>0.333333333333333</v>
      </c>
      <c r="F82" s="462" t="n">
        <f aca="false">IF(Assumptions!$E$50="YES",Construction!F79,Construction!F80)</f>
        <v>0.333333333333333</v>
      </c>
      <c r="G82" s="462" t="n">
        <f aca="false">IF(Assumptions!$E$50="YES",Construction!G79,Construction!G80)</f>
        <v>0</v>
      </c>
      <c r="H82" s="462" t="n">
        <f aca="false">IF(Assumptions!$E$50="YES",Construction!H79,Construction!H80)</f>
        <v>0</v>
      </c>
      <c r="I82" s="462" t="n">
        <f aca="false">IF(Assumptions!$E$50="YES",Construction!I79,Construction!I80)</f>
        <v>0</v>
      </c>
      <c r="J82" s="462" t="n">
        <f aca="false">IF(Assumptions!$E$50="YES",Construction!J79,Construction!J80)</f>
        <v>0</v>
      </c>
      <c r="K82" s="462" t="n">
        <f aca="false">IF(Assumptions!$E$50="YES",Construction!K79,Construction!K80)</f>
        <v>0</v>
      </c>
      <c r="L82" s="462" t="n">
        <f aca="false">IF(Assumptions!$E$50="YES",Construction!L79,Construction!L80)</f>
        <v>0</v>
      </c>
      <c r="M82" s="462" t="n">
        <f aca="false">IF(Assumptions!$E$50="YES",Construction!M79,Construction!M80)</f>
        <v>0</v>
      </c>
      <c r="N82" s="462" t="n">
        <f aca="false">IF(Assumptions!$E$50="YES",Construction!N79,Construction!N80)</f>
        <v>0</v>
      </c>
      <c r="O82" s="462" t="n">
        <f aca="false">IF(Assumptions!$E$50="YES",Construction!O79,Construction!O80)</f>
        <v>0</v>
      </c>
      <c r="P82" s="462" t="n">
        <f aca="false">IF(Assumptions!$E$50="YES",Construction!P79,Construction!P80)</f>
        <v>0</v>
      </c>
      <c r="Q82" s="462" t="n">
        <f aca="false">IF(Assumptions!$E$50="YES",Construction!Q79,Construction!Q80)</f>
        <v>0</v>
      </c>
      <c r="R82" s="462" t="n">
        <f aca="false">IF(Assumptions!$E$50="YES",Construction!R79,Construction!R80)</f>
        <v>0</v>
      </c>
      <c r="S82" s="462" t="n">
        <f aca="false">IF(Assumptions!$E$50="YES",Construction!S79,Construction!S80)</f>
        <v>0</v>
      </c>
      <c r="T82" s="462" t="n">
        <f aca="false">IF(Assumptions!$E$50="YES",Construction!T79,Construction!T80)</f>
        <v>0</v>
      </c>
      <c r="U82" s="462" t="n">
        <f aca="false">IF(Assumptions!$E$50="YES",Construction!U79,Construction!U80)</f>
        <v>0</v>
      </c>
      <c r="V82" s="462" t="n">
        <f aca="false">IF(Assumptions!$E$50="YES",Construction!V79,Construction!V80)</f>
        <v>0</v>
      </c>
      <c r="W82" s="462" t="n">
        <f aca="false">IF(Assumptions!$E$50="YES",Construction!W79,Construction!W80)</f>
        <v>0</v>
      </c>
      <c r="X82" s="462" t="n">
        <f aca="false">IF(Assumptions!$E$50="YES",Construction!X79,Construction!X80)</f>
        <v>0</v>
      </c>
      <c r="Y82" s="462" t="n">
        <f aca="false">IF(Assumptions!$E$50="YES",Construction!Y79,Construction!Y80)</f>
        <v>0</v>
      </c>
      <c r="Z82" s="462" t="n">
        <f aca="false">IF(Assumptions!$E$50="YES",Construction!Z79,Construction!Z80)</f>
        <v>0</v>
      </c>
      <c r="AA82" s="462" t="n">
        <f aca="false">IF(Assumptions!$E$50="YES",Construction!AA79,Construction!AA80)</f>
        <v>0</v>
      </c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112"/>
      <c r="BC82" s="112"/>
      <c r="BD82" s="112"/>
    </row>
    <row r="83" customFormat="false" ht="12.75" hidden="false" customHeight="false" outlineLevel="0" collapsed="false">
      <c r="A83" s="49" t="s">
        <v>415</v>
      </c>
      <c r="B83" s="49"/>
      <c r="C83" s="49"/>
      <c r="D83" s="463" t="n">
        <f aca="false">D82</f>
        <v>0.333333333333333</v>
      </c>
      <c r="E83" s="464" t="n">
        <f aca="false">D83+E82</f>
        <v>0.666666666666667</v>
      </c>
      <c r="F83" s="464" t="n">
        <f aca="false">E83+F82</f>
        <v>1</v>
      </c>
      <c r="G83" s="464" t="n">
        <f aca="false">F83+G82</f>
        <v>1</v>
      </c>
      <c r="H83" s="464" t="n">
        <f aca="false">G83+H82</f>
        <v>1</v>
      </c>
      <c r="I83" s="463" t="n">
        <f aca="false">H83+I82</f>
        <v>1</v>
      </c>
      <c r="J83" s="463" t="n">
        <f aca="false">I83+J82</f>
        <v>1</v>
      </c>
      <c r="K83" s="463" t="n">
        <f aca="false">J83+K82</f>
        <v>1</v>
      </c>
      <c r="L83" s="463" t="n">
        <f aca="false">K83+L82</f>
        <v>1</v>
      </c>
      <c r="M83" s="463" t="n">
        <f aca="false">L83+M82</f>
        <v>1</v>
      </c>
      <c r="N83" s="463" t="n">
        <f aca="false">M83+N82</f>
        <v>1</v>
      </c>
      <c r="O83" s="464" t="n">
        <f aca="false">N83+O82</f>
        <v>1</v>
      </c>
      <c r="P83" s="464" t="n">
        <f aca="false">O83+P82</f>
        <v>1</v>
      </c>
      <c r="Q83" s="464" t="n">
        <f aca="false">P83+Q82</f>
        <v>1</v>
      </c>
      <c r="R83" s="464" t="n">
        <f aca="false">Q83+R82</f>
        <v>1</v>
      </c>
      <c r="S83" s="464" t="n">
        <f aca="false">R83+S82</f>
        <v>1</v>
      </c>
      <c r="T83" s="464" t="n">
        <f aca="false">S83+T82</f>
        <v>1</v>
      </c>
      <c r="U83" s="464" t="n">
        <f aca="false">T83+U82</f>
        <v>1</v>
      </c>
      <c r="V83" s="464" t="n">
        <f aca="false">U83+V82</f>
        <v>1</v>
      </c>
      <c r="W83" s="464" t="n">
        <f aca="false">V83+W82</f>
        <v>1</v>
      </c>
      <c r="X83" s="464" t="n">
        <f aca="false">W83+X82</f>
        <v>1</v>
      </c>
      <c r="Y83" s="464" t="n">
        <f aca="false">X83+Y82</f>
        <v>1</v>
      </c>
      <c r="Z83" s="464" t="n">
        <f aca="false">Y83+Z82</f>
        <v>1</v>
      </c>
      <c r="AA83" s="464" t="n">
        <f aca="false">Z83+AA82</f>
        <v>1</v>
      </c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</row>
    <row r="84" customFormat="false" ht="12.75" hidden="false" customHeight="false" outlineLevel="0" collapsed="false">
      <c r="A84" s="49"/>
      <c r="B84" s="49"/>
      <c r="C84" s="49"/>
      <c r="D84" s="49"/>
      <c r="E84" s="9"/>
      <c r="I84" s="454"/>
      <c r="J84" s="454"/>
      <c r="K84" s="454"/>
      <c r="L84" s="454"/>
      <c r="M84" s="454"/>
      <c r="N84" s="454"/>
      <c r="P84" s="448"/>
      <c r="Q84" s="448"/>
      <c r="R84" s="448"/>
      <c r="S84" s="448"/>
      <c r="T84" s="448"/>
      <c r="U84" s="448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</row>
    <row r="85" customFormat="false" ht="12.75" hidden="false" customHeight="false" outlineLevel="0" collapsed="false">
      <c r="A85" s="49" t="s">
        <v>416</v>
      </c>
      <c r="B85" s="49"/>
      <c r="C85" s="49"/>
      <c r="D85" s="465" t="n">
        <f aca="false">$D$69*D82</f>
        <v>0</v>
      </c>
      <c r="E85" s="465" t="n">
        <f aca="false">$D$69*E82</f>
        <v>0</v>
      </c>
      <c r="F85" s="465" t="n">
        <f aca="false">$D$69*F82</f>
        <v>0</v>
      </c>
      <c r="G85" s="465" t="n">
        <f aca="false">$D$69*G82</f>
        <v>0</v>
      </c>
      <c r="H85" s="465" t="n">
        <f aca="false">$D$69*H82</f>
        <v>0</v>
      </c>
      <c r="I85" s="465" t="n">
        <f aca="false">$D$69*I82</f>
        <v>0</v>
      </c>
      <c r="J85" s="465" t="n">
        <f aca="false">$D$69*J82</f>
        <v>0</v>
      </c>
      <c r="K85" s="465" t="n">
        <f aca="false">$D$69*K82</f>
        <v>0</v>
      </c>
      <c r="L85" s="465" t="n">
        <f aca="false">$D$69*L82</f>
        <v>0</v>
      </c>
      <c r="M85" s="465" t="n">
        <f aca="false">$D$69*M82</f>
        <v>0</v>
      </c>
      <c r="N85" s="465" t="n">
        <f aca="false">$D$69*N82</f>
        <v>0</v>
      </c>
      <c r="O85" s="465" t="n">
        <f aca="false">$D$69*O82</f>
        <v>0</v>
      </c>
      <c r="P85" s="465" t="n">
        <f aca="false">$D$69*P82</f>
        <v>0</v>
      </c>
      <c r="Q85" s="465" t="n">
        <f aca="false">$D$69*Q82</f>
        <v>0</v>
      </c>
      <c r="R85" s="465" t="n">
        <f aca="false">$D$69*R82</f>
        <v>0</v>
      </c>
      <c r="S85" s="465" t="n">
        <f aca="false">$D$69*S82</f>
        <v>0</v>
      </c>
      <c r="T85" s="465" t="n">
        <f aca="false">$D$69*T82</f>
        <v>0</v>
      </c>
      <c r="U85" s="465" t="n">
        <f aca="false">$D$69*U82</f>
        <v>0</v>
      </c>
      <c r="V85" s="465" t="n">
        <f aca="false">$D$69*V82</f>
        <v>0</v>
      </c>
      <c r="W85" s="465" t="n">
        <f aca="false">$D$69*W82</f>
        <v>0</v>
      </c>
      <c r="X85" s="465" t="n">
        <f aca="false">$D$69*X82</f>
        <v>0</v>
      </c>
      <c r="Y85" s="465" t="n">
        <f aca="false">$D$69*Y82</f>
        <v>0</v>
      </c>
      <c r="Z85" s="465" t="n">
        <f aca="false">$D$69*Z82</f>
        <v>0</v>
      </c>
      <c r="AA85" s="465" t="n">
        <f aca="false">$D$69*AA82</f>
        <v>0</v>
      </c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</row>
    <row r="86" customFormat="false" ht="12.75" hidden="false" customHeight="false" outlineLevel="0" collapsed="false">
      <c r="A86" s="49" t="s">
        <v>417</v>
      </c>
      <c r="B86" s="49"/>
      <c r="C86" s="49"/>
      <c r="D86" s="465" t="n">
        <f aca="false">D85</f>
        <v>0</v>
      </c>
      <c r="E86" s="467" t="n">
        <f aca="false">D86+E85</f>
        <v>0</v>
      </c>
      <c r="F86" s="467" t="n">
        <f aca="false">E86+F85</f>
        <v>0</v>
      </c>
      <c r="G86" s="467" t="n">
        <f aca="false">F86+G85</f>
        <v>0</v>
      </c>
      <c r="H86" s="467" t="n">
        <f aca="false">G86+H85</f>
        <v>0</v>
      </c>
      <c r="I86" s="466" t="n">
        <f aca="false">H86+I85</f>
        <v>0</v>
      </c>
      <c r="J86" s="466" t="n">
        <f aca="false">I86+J85</f>
        <v>0</v>
      </c>
      <c r="K86" s="466" t="n">
        <f aca="false">J86+K85</f>
        <v>0</v>
      </c>
      <c r="L86" s="466" t="n">
        <f aca="false">K86+L85</f>
        <v>0</v>
      </c>
      <c r="M86" s="466" t="n">
        <f aca="false">L86+M85</f>
        <v>0</v>
      </c>
      <c r="N86" s="466" t="n">
        <f aca="false">M86+N85</f>
        <v>0</v>
      </c>
      <c r="O86" s="467" t="n">
        <f aca="false">N86+O85</f>
        <v>0</v>
      </c>
      <c r="P86" s="467" t="n">
        <f aca="false">O86+P85</f>
        <v>0</v>
      </c>
      <c r="Q86" s="467" t="n">
        <f aca="false">P86+Q85</f>
        <v>0</v>
      </c>
      <c r="R86" s="467" t="n">
        <f aca="false">Q86+R85</f>
        <v>0</v>
      </c>
      <c r="S86" s="467" t="n">
        <f aca="false">R86+S85</f>
        <v>0</v>
      </c>
      <c r="T86" s="467" t="n">
        <f aca="false">S86+T85</f>
        <v>0</v>
      </c>
      <c r="U86" s="467" t="n">
        <f aca="false">T86+U85</f>
        <v>0</v>
      </c>
      <c r="V86" s="467" t="n">
        <f aca="false">U86+V85</f>
        <v>0</v>
      </c>
      <c r="W86" s="467" t="n">
        <f aca="false">V86+W85</f>
        <v>0</v>
      </c>
      <c r="X86" s="467" t="n">
        <f aca="false">W86+X85</f>
        <v>0</v>
      </c>
      <c r="Y86" s="467" t="n">
        <f aca="false">X86+Y85</f>
        <v>0</v>
      </c>
      <c r="Z86" s="467" t="n">
        <f aca="false">Y86+Z85</f>
        <v>0</v>
      </c>
      <c r="AA86" s="467" t="n">
        <f aca="false">Z86+AA85</f>
        <v>0</v>
      </c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</row>
    <row r="87" customFormat="false" ht="12.75" hidden="false" customHeight="false" outlineLevel="0" collapsed="false">
      <c r="A87" s="49"/>
      <c r="B87" s="49"/>
      <c r="C87" s="49"/>
      <c r="D87" s="49"/>
      <c r="E87" s="9"/>
      <c r="I87" s="454"/>
      <c r="J87" s="454"/>
      <c r="K87" s="454"/>
      <c r="L87" s="454"/>
      <c r="M87" s="454"/>
      <c r="N87" s="454"/>
      <c r="P87" s="448"/>
      <c r="Q87" s="448"/>
      <c r="R87" s="448"/>
      <c r="S87" s="448"/>
      <c r="T87" s="448"/>
      <c r="U87" s="448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</row>
    <row r="88" customFormat="false" ht="12.75" hidden="false" customHeight="false" outlineLevel="0" collapsed="false">
      <c r="A88" s="49"/>
      <c r="B88" s="49"/>
      <c r="C88" s="49"/>
      <c r="D88" s="49"/>
      <c r="G88" s="49"/>
      <c r="I88" s="454"/>
      <c r="J88" s="454"/>
      <c r="K88" s="454"/>
      <c r="L88" s="454"/>
      <c r="M88" s="454"/>
      <c r="N88" s="454"/>
      <c r="P88" s="448"/>
      <c r="Q88" s="448"/>
      <c r="R88" s="448"/>
      <c r="S88" s="448"/>
      <c r="T88" s="448"/>
      <c r="U88" s="448"/>
    </row>
    <row r="89" customFormat="false" ht="11.25" hidden="false" customHeight="false" outlineLevel="0" collapsed="false">
      <c r="A89" s="442"/>
      <c r="B89" s="442"/>
      <c r="C89" s="442"/>
      <c r="D89" s="468"/>
      <c r="E89" s="468"/>
      <c r="F89" s="468"/>
      <c r="G89" s="468"/>
      <c r="H89" s="468"/>
      <c r="I89" s="468"/>
      <c r="J89" s="468"/>
      <c r="K89" s="468"/>
      <c r="L89" s="468"/>
      <c r="M89" s="468"/>
      <c r="N89" s="468"/>
      <c r="O89" s="468"/>
      <c r="P89" s="468"/>
      <c r="Q89" s="468"/>
      <c r="R89" s="468"/>
      <c r="S89" s="468"/>
      <c r="T89" s="468"/>
      <c r="U89" s="468"/>
      <c r="V89" s="468"/>
      <c r="W89" s="468"/>
      <c r="X89" s="468"/>
      <c r="Y89" s="468"/>
      <c r="Z89" s="468"/>
      <c r="AA89" s="468"/>
      <c r="AB89" s="442"/>
      <c r="AC89" s="442"/>
      <c r="AD89" s="442"/>
      <c r="AE89" s="442"/>
      <c r="AF89" s="442"/>
      <c r="AG89" s="442"/>
      <c r="AH89" s="442"/>
      <c r="AI89" s="442"/>
      <c r="AJ89" s="442"/>
      <c r="AK89" s="442"/>
      <c r="AL89" s="442"/>
      <c r="AM89" s="442"/>
      <c r="AN89" s="442"/>
    </row>
    <row r="90" customFormat="false" ht="12.75" hidden="false" customHeight="false" outlineLevel="0" collapsed="false">
      <c r="A90" s="149" t="s">
        <v>418</v>
      </c>
      <c r="B90" s="149"/>
      <c r="C90" s="149"/>
      <c r="D90" s="469" t="n">
        <f aca="false">D77</f>
        <v>37925</v>
      </c>
      <c r="E90" s="469" t="n">
        <f aca="false">E77</f>
        <v>37955</v>
      </c>
      <c r="F90" s="469" t="n">
        <f aca="false">F77</f>
        <v>37986</v>
      </c>
      <c r="G90" s="469" t="n">
        <f aca="false">G77</f>
        <v>38017</v>
      </c>
      <c r="H90" s="469" t="n">
        <f aca="false">H77</f>
        <v>38046</v>
      </c>
      <c r="I90" s="469" t="n">
        <f aca="false">I77</f>
        <v>38077</v>
      </c>
      <c r="J90" s="469" t="n">
        <f aca="false">J77</f>
        <v>38107</v>
      </c>
      <c r="K90" s="469" t="n">
        <f aca="false">K77</f>
        <v>38138</v>
      </c>
      <c r="L90" s="469" t="n">
        <f aca="false">L77</f>
        <v>38168</v>
      </c>
      <c r="M90" s="469" t="n">
        <f aca="false">M77</f>
        <v>38199</v>
      </c>
      <c r="N90" s="469" t="n">
        <f aca="false">N77</f>
        <v>38230</v>
      </c>
      <c r="O90" s="469" t="n">
        <f aca="false">O77</f>
        <v>38260</v>
      </c>
      <c r="P90" s="469" t="n">
        <f aca="false">P77</f>
        <v>38291</v>
      </c>
      <c r="Q90" s="469" t="n">
        <f aca="false">Q77</f>
        <v>38321</v>
      </c>
      <c r="R90" s="469" t="n">
        <f aca="false">R77</f>
        <v>38352</v>
      </c>
      <c r="S90" s="469" t="n">
        <f aca="false">S77</f>
        <v>38383</v>
      </c>
      <c r="T90" s="469" t="n">
        <f aca="false">T77</f>
        <v>38411</v>
      </c>
      <c r="U90" s="469" t="n">
        <f aca="false">U77</f>
        <v>38442</v>
      </c>
      <c r="V90" s="469" t="n">
        <f aca="false">V77</f>
        <v>38472</v>
      </c>
      <c r="W90" s="469" t="n">
        <f aca="false">W77</f>
        <v>38503</v>
      </c>
      <c r="X90" s="469" t="n">
        <f aca="false">X77</f>
        <v>38533</v>
      </c>
      <c r="Y90" s="469" t="n">
        <f aca="false">Y77</f>
        <v>38564</v>
      </c>
      <c r="Z90" s="469" t="n">
        <f aca="false">Z77</f>
        <v>38595</v>
      </c>
      <c r="AA90" s="470" t="n">
        <f aca="false">AA77</f>
        <v>38625</v>
      </c>
      <c r="AB90" s="469"/>
      <c r="AC90" s="469"/>
      <c r="AD90" s="149"/>
      <c r="AE90" s="471"/>
      <c r="AF90" s="471"/>
      <c r="AG90" s="471"/>
      <c r="AH90" s="471"/>
      <c r="AI90" s="471"/>
      <c r="AJ90" s="471"/>
      <c r="AK90" s="471"/>
      <c r="AL90" s="471"/>
      <c r="AM90" s="471"/>
      <c r="AN90" s="471"/>
    </row>
    <row r="91" customFormat="false" ht="11.25" hidden="false" customHeight="false" outlineLevel="0" collapsed="false">
      <c r="A91" s="442" t="s">
        <v>419</v>
      </c>
      <c r="B91" s="442"/>
      <c r="C91" s="442"/>
      <c r="D91" s="472" t="n">
        <f aca="false">D80</f>
        <v>0.333333333333333</v>
      </c>
      <c r="E91" s="472" t="n">
        <f aca="false">E80</f>
        <v>0.333333333333333</v>
      </c>
      <c r="F91" s="472" t="n">
        <f aca="false">F80</f>
        <v>0.333333333333333</v>
      </c>
      <c r="G91" s="472" t="n">
        <f aca="false">G80</f>
        <v>0</v>
      </c>
      <c r="H91" s="472" t="n">
        <f aca="false">H80</f>
        <v>0</v>
      </c>
      <c r="I91" s="472" t="n">
        <f aca="false">I80</f>
        <v>0</v>
      </c>
      <c r="J91" s="472" t="n">
        <f aca="false">J80</f>
        <v>0</v>
      </c>
      <c r="K91" s="472"/>
      <c r="L91" s="472"/>
      <c r="M91" s="472"/>
      <c r="N91" s="472"/>
      <c r="O91" s="472"/>
      <c r="P91" s="472"/>
      <c r="Q91" s="472"/>
      <c r="R91" s="472"/>
      <c r="S91" s="472"/>
      <c r="T91" s="472"/>
      <c r="U91" s="472"/>
      <c r="V91" s="472"/>
      <c r="W91" s="472"/>
      <c r="X91" s="472"/>
      <c r="Y91" s="472"/>
      <c r="Z91" s="472"/>
      <c r="AA91" s="473"/>
      <c r="AB91" s="442"/>
      <c r="AC91" s="442"/>
      <c r="AD91" s="442"/>
      <c r="AE91" s="442"/>
      <c r="AF91" s="442"/>
      <c r="AG91" s="442"/>
      <c r="AH91" s="442"/>
      <c r="AI91" s="442"/>
      <c r="AJ91" s="442"/>
      <c r="AK91" s="442"/>
      <c r="AL91" s="442"/>
      <c r="AM91" s="442"/>
      <c r="AN91" s="442"/>
    </row>
    <row r="92" customFormat="false" ht="11.25" hidden="false" customHeight="false" outlineLevel="0" collapsed="false">
      <c r="A92" s="442" t="s">
        <v>420</v>
      </c>
      <c r="B92" s="442"/>
      <c r="C92" s="442"/>
      <c r="D92" s="468" t="n">
        <f aca="false">D91</f>
        <v>0.333333333333333</v>
      </c>
      <c r="E92" s="468" t="n">
        <f aca="false">D92+E91</f>
        <v>0.666666666666667</v>
      </c>
      <c r="F92" s="468" t="n">
        <f aca="false">E92+F91</f>
        <v>1</v>
      </c>
      <c r="G92" s="468" t="n">
        <f aca="false">F92+G91</f>
        <v>1</v>
      </c>
      <c r="H92" s="468" t="n">
        <f aca="false">G92+H91</f>
        <v>1</v>
      </c>
      <c r="I92" s="468" t="n">
        <f aca="false">H92+I91</f>
        <v>1</v>
      </c>
      <c r="J92" s="468" t="n">
        <f aca="false">I92+J91</f>
        <v>1</v>
      </c>
      <c r="K92" s="468" t="n">
        <f aca="false">J92+K91</f>
        <v>1</v>
      </c>
      <c r="L92" s="468" t="n">
        <f aca="false">K92+L91</f>
        <v>1</v>
      </c>
      <c r="M92" s="468" t="n">
        <f aca="false">L92+M91</f>
        <v>1</v>
      </c>
      <c r="N92" s="468" t="n">
        <f aca="false">M92+N91</f>
        <v>1</v>
      </c>
      <c r="O92" s="468" t="n">
        <f aca="false">N92+O91</f>
        <v>1</v>
      </c>
      <c r="P92" s="468" t="n">
        <f aca="false">O92+P91</f>
        <v>1</v>
      </c>
      <c r="Q92" s="468" t="n">
        <f aca="false">P92+Q91</f>
        <v>1</v>
      </c>
      <c r="R92" s="468" t="n">
        <f aca="false">Q92+R91</f>
        <v>1</v>
      </c>
      <c r="S92" s="468" t="n">
        <f aca="false">R92+S91</f>
        <v>1</v>
      </c>
      <c r="T92" s="468" t="n">
        <f aca="false">S92+T91</f>
        <v>1</v>
      </c>
      <c r="U92" s="468" t="n">
        <f aca="false">T92+U91</f>
        <v>1</v>
      </c>
      <c r="V92" s="468" t="n">
        <f aca="false">U92+V91</f>
        <v>1</v>
      </c>
      <c r="W92" s="468" t="n">
        <f aca="false">V92+W91</f>
        <v>1</v>
      </c>
      <c r="X92" s="468" t="n">
        <f aca="false">W92+X91</f>
        <v>1</v>
      </c>
      <c r="Y92" s="468" t="n">
        <f aca="false">X92+Y91</f>
        <v>1</v>
      </c>
      <c r="Z92" s="468" t="n">
        <f aca="false">Y92+Z91</f>
        <v>1</v>
      </c>
      <c r="AA92" s="474" t="n">
        <f aca="false">Z92+AA91</f>
        <v>1</v>
      </c>
      <c r="AB92" s="442"/>
      <c r="AC92" s="442"/>
      <c r="AD92" s="442"/>
      <c r="AE92" s="442"/>
      <c r="AF92" s="442"/>
      <c r="AG92" s="442"/>
      <c r="AH92" s="442"/>
      <c r="AI92" s="442"/>
      <c r="AJ92" s="442"/>
      <c r="AK92" s="442"/>
      <c r="AL92" s="442"/>
      <c r="AM92" s="442"/>
      <c r="AN92" s="442"/>
    </row>
    <row r="93" customFormat="false" ht="11.25" hidden="false" customHeight="false" outlineLevel="0" collapsed="false">
      <c r="A93" s="442"/>
      <c r="B93" s="442"/>
      <c r="C93" s="442"/>
      <c r="D93" s="442"/>
      <c r="E93" s="442"/>
      <c r="F93" s="442"/>
      <c r="G93" s="442"/>
      <c r="H93" s="442"/>
      <c r="I93" s="442"/>
      <c r="J93" s="442"/>
      <c r="K93" s="442"/>
      <c r="L93" s="442"/>
      <c r="M93" s="442"/>
      <c r="N93" s="442"/>
      <c r="O93" s="442"/>
      <c r="P93" s="442"/>
      <c r="Q93" s="442"/>
      <c r="R93" s="442"/>
      <c r="S93" s="442"/>
      <c r="T93" s="442"/>
      <c r="U93" s="442"/>
      <c r="V93" s="442"/>
      <c r="W93" s="442"/>
      <c r="X93" s="442"/>
      <c r="Y93" s="442"/>
      <c r="Z93" s="442"/>
      <c r="AA93" s="442"/>
      <c r="AB93" s="442"/>
      <c r="AC93" s="442"/>
      <c r="AD93" s="442"/>
      <c r="AE93" s="442"/>
      <c r="AF93" s="442"/>
      <c r="AG93" s="442"/>
      <c r="AH93" s="442"/>
      <c r="AI93" s="442"/>
      <c r="AJ93" s="442"/>
      <c r="AK93" s="442"/>
      <c r="AL93" s="442"/>
      <c r="AM93" s="442"/>
      <c r="AN93" s="442"/>
    </row>
    <row r="94" customFormat="false" ht="12" hidden="false" customHeight="false" outlineLevel="0" collapsed="false">
      <c r="A94" s="475" t="s">
        <v>180</v>
      </c>
      <c r="B94" s="476"/>
      <c r="C94" s="476"/>
      <c r="D94" s="476"/>
      <c r="E94" s="476"/>
      <c r="F94" s="476"/>
      <c r="G94" s="476"/>
      <c r="H94" s="476"/>
      <c r="I94" s="476"/>
      <c r="J94" s="476"/>
      <c r="K94" s="476"/>
      <c r="L94" s="476"/>
      <c r="M94" s="476"/>
      <c r="N94" s="476"/>
      <c r="O94" s="476"/>
      <c r="P94" s="476"/>
      <c r="Q94" s="476"/>
      <c r="R94" s="476"/>
      <c r="S94" s="476"/>
      <c r="T94" s="476"/>
      <c r="U94" s="476"/>
      <c r="V94" s="476"/>
      <c r="W94" s="476"/>
      <c r="X94" s="476"/>
      <c r="Y94" s="476"/>
      <c r="Z94" s="476"/>
      <c r="AA94" s="476"/>
      <c r="AB94" s="442"/>
      <c r="AC94" s="442"/>
      <c r="AD94" s="442"/>
      <c r="AE94" s="442"/>
      <c r="AF94" s="442"/>
      <c r="AG94" s="442"/>
      <c r="AH94" s="442"/>
      <c r="AI94" s="442"/>
      <c r="AJ94" s="442"/>
      <c r="AK94" s="442"/>
      <c r="AL94" s="442"/>
      <c r="AM94" s="442"/>
      <c r="AN94" s="442"/>
    </row>
    <row r="95" customFormat="false" ht="11.25" hidden="false" customHeight="false" outlineLevel="0" collapsed="false">
      <c r="A95" s="442" t="s">
        <v>421</v>
      </c>
      <c r="B95" s="442"/>
      <c r="C95" s="442"/>
      <c r="D95" s="202" t="n">
        <f aca="false">IF(D72="EOC",0,D68)</f>
        <v>0</v>
      </c>
      <c r="E95" s="442"/>
      <c r="F95" s="442"/>
      <c r="G95" s="442"/>
      <c r="H95" s="442"/>
      <c r="I95" s="442"/>
      <c r="J95" s="442"/>
      <c r="K95" s="442"/>
      <c r="L95" s="442"/>
      <c r="M95" s="442"/>
      <c r="N95" s="442"/>
      <c r="O95" s="442"/>
      <c r="P95" s="442"/>
      <c r="Q95" s="442"/>
      <c r="R95" s="442"/>
      <c r="S95" s="442"/>
      <c r="T95" s="442"/>
      <c r="U95" s="442"/>
      <c r="V95" s="442"/>
      <c r="W95" s="442"/>
      <c r="X95" s="442"/>
      <c r="Y95" s="442"/>
      <c r="Z95" s="442"/>
      <c r="AA95" s="442"/>
      <c r="AB95" s="442"/>
      <c r="AC95" s="442"/>
      <c r="AD95" s="442"/>
      <c r="AE95" s="442"/>
      <c r="AF95" s="442"/>
      <c r="AG95" s="442"/>
      <c r="AH95" s="442"/>
      <c r="AI95" s="442"/>
      <c r="AJ95" s="442"/>
      <c r="AK95" s="442"/>
      <c r="AL95" s="442"/>
      <c r="AM95" s="442"/>
      <c r="AN95" s="442"/>
    </row>
    <row r="96" customFormat="false" ht="11.25" hidden="false" customHeight="false" outlineLevel="0" collapsed="false">
      <c r="A96" s="442" t="s">
        <v>229</v>
      </c>
      <c r="B96" s="442"/>
      <c r="C96" s="442"/>
      <c r="D96" s="438" t="n">
        <f aca="false">IF(D72="EOC",0,C98)</f>
        <v>0</v>
      </c>
      <c r="E96" s="438" t="n">
        <f aca="false">IF(E72="EOC",0,D98)</f>
        <v>0</v>
      </c>
      <c r="F96" s="438" t="n">
        <f aca="false">IF(F72="EOC",0,E98)</f>
        <v>0</v>
      </c>
      <c r="G96" s="438" t="n">
        <f aca="false">IF(G72="EOC",0,F98)</f>
        <v>0</v>
      </c>
      <c r="H96" s="438" t="n">
        <f aca="false">IF(H72="EOC",0,G98)</f>
        <v>0</v>
      </c>
      <c r="I96" s="438" t="n">
        <f aca="false">IF(I72="EOC",0,H98)</f>
        <v>0</v>
      </c>
      <c r="J96" s="438" t="n">
        <f aca="false">IF(J72="EOC",0,I98)</f>
        <v>0</v>
      </c>
      <c r="K96" s="438" t="n">
        <f aca="false">IF(K72="EOC",0,J98)</f>
        <v>0</v>
      </c>
      <c r="L96" s="438" t="n">
        <f aca="false">IF(L72="EOC",0,K98)</f>
        <v>0</v>
      </c>
      <c r="M96" s="438" t="n">
        <f aca="false">IF(M72="EOC",0,L98)</f>
        <v>0</v>
      </c>
      <c r="N96" s="438" t="n">
        <f aca="false">IF(N72="EOC",0,M98)</f>
        <v>0</v>
      </c>
      <c r="O96" s="438" t="n">
        <f aca="false">IF(O72="EOC",0,N98)</f>
        <v>0</v>
      </c>
      <c r="P96" s="438" t="n">
        <f aca="false">IF(P72="EOC",0,O98)</f>
        <v>0</v>
      </c>
      <c r="Q96" s="438" t="n">
        <f aca="false">IF(Q72="EOC",0,P98)</f>
        <v>0</v>
      </c>
      <c r="R96" s="438" t="n">
        <f aca="false">IF(R72="EOC",0,Q98)</f>
        <v>0</v>
      </c>
      <c r="S96" s="438" t="n">
        <f aca="false">IF(S72="EOC",0,R98)</f>
        <v>0</v>
      </c>
      <c r="T96" s="438" t="n">
        <f aca="false">IF(T72="EOC",0,S98)</f>
        <v>0</v>
      </c>
      <c r="U96" s="438" t="n">
        <f aca="false">IF(U72="EOC",0,T98)</f>
        <v>0</v>
      </c>
      <c r="V96" s="438" t="n">
        <f aca="false">IF(V72="EOC",0,U98)</f>
        <v>0</v>
      </c>
      <c r="W96" s="438" t="n">
        <f aca="false">IF(W72="EOC",0,V98)</f>
        <v>0</v>
      </c>
      <c r="X96" s="438" t="n">
        <f aca="false">IF(X72="EOC",0,W98)</f>
        <v>0</v>
      </c>
      <c r="Y96" s="438" t="n">
        <f aca="false">IF(Y72="EOC",0,X98)</f>
        <v>0</v>
      </c>
      <c r="Z96" s="438" t="n">
        <f aca="false">IF(Z72="EOC",0,Y98)</f>
        <v>0</v>
      </c>
      <c r="AA96" s="438" t="n">
        <f aca="false">IF(AA72="EOC",0,Z98)</f>
        <v>0</v>
      </c>
      <c r="AB96" s="442"/>
      <c r="AC96" s="442"/>
      <c r="AD96" s="442"/>
      <c r="AE96" s="442"/>
      <c r="AF96" s="442"/>
      <c r="AG96" s="442"/>
      <c r="AH96" s="442"/>
      <c r="AI96" s="442"/>
      <c r="AJ96" s="442"/>
      <c r="AK96" s="442"/>
      <c r="AL96" s="442"/>
      <c r="AM96" s="442"/>
      <c r="AN96" s="442"/>
    </row>
    <row r="97" customFormat="false" ht="11.25" hidden="false" customHeight="false" outlineLevel="0" collapsed="false">
      <c r="A97" s="442" t="s">
        <v>418</v>
      </c>
      <c r="B97" s="442"/>
      <c r="C97" s="442"/>
      <c r="D97" s="438" t="n">
        <f aca="false">IF(D72="EOC",0,IF(E72="EOC",MIN(D95,$D$95*D91),$D$95*D91))</f>
        <v>0</v>
      </c>
      <c r="E97" s="438" t="n">
        <f aca="false">IF(E72="EOC",0,IF(F72="EOC",MIN(E95,$D$95*E91),$D$95*E91))</f>
        <v>0</v>
      </c>
      <c r="F97" s="438" t="n">
        <f aca="false">IF(F72="EOC",0,IF(G72="EOC",MIN(F95,$D$95*F91),$D$95*F91))</f>
        <v>0</v>
      </c>
      <c r="G97" s="438" t="n">
        <f aca="false">IF(G72="EOC",0,IF(H72="EOC",MIN(G95,$D$95*G91),$D$95*G91))</f>
        <v>0</v>
      </c>
      <c r="H97" s="438" t="n">
        <f aca="false">IF(H72="EOC",0,IF(I72="EOC",MIN(H95,$D$95*H91),$D$95*H91))</f>
        <v>0</v>
      </c>
      <c r="I97" s="438" t="n">
        <f aca="false">IF(I72="EOC",0,IF(J72="EOC",MIN(I95,$D$95*I91),$D$95*I91))</f>
        <v>0</v>
      </c>
      <c r="J97" s="438" t="n">
        <f aca="false">IF(J72="EOC",0,IF(K72="EOC",MIN(J95,$D$95*J91),$D$95*J91))</f>
        <v>0</v>
      </c>
      <c r="K97" s="438" t="n">
        <f aca="false">IF(K72="EOC",0,IF(L72="EOC",MIN(K95,$D$95*K91),$D$95*K91))</f>
        <v>0</v>
      </c>
      <c r="L97" s="438" t="n">
        <f aca="false">IF(L72="EOC",0,IF(M72="EOC",MIN(L95,$D$95*L91),$D$95*L91))</f>
        <v>0</v>
      </c>
      <c r="M97" s="438" t="n">
        <f aca="false">IF(M72="EOC",0,IF(N72="EOC",MIN(M95,$D$95*M91),$D$95*M91))</f>
        <v>0</v>
      </c>
      <c r="N97" s="438" t="n">
        <f aca="false">IF(N72="EOC",0,IF(O72="EOC",MIN(N95,$D$95*N91),$D$95*N91))</f>
        <v>0</v>
      </c>
      <c r="O97" s="438" t="n">
        <f aca="false">IF(O72="EOC",0,IF(P72="EOC",MIN(O95,$D$95*O91),$D$95*O91))</f>
        <v>0</v>
      </c>
      <c r="P97" s="438" t="n">
        <f aca="false">IF(P72="EOC",0,IF(Q72="EOC",MIN(P95,$D$95*P91),$D$95*P91))</f>
        <v>0</v>
      </c>
      <c r="Q97" s="438" t="n">
        <f aca="false">IF(Q72="EOC",0,IF(R72="EOC",MIN(Q95,$D$95*Q91),$D$95*Q91))</f>
        <v>0</v>
      </c>
      <c r="R97" s="438" t="n">
        <f aca="false">IF(R72="EOC",0,IF(S72="EOC",MIN(R95,$D$95*R91),$D$95*R91))</f>
        <v>0</v>
      </c>
      <c r="S97" s="438" t="n">
        <f aca="false">IF(S72="EOC",0,IF(T72="EOC",MIN(S95,$D$95*S91),$D$95*S91))</f>
        <v>0</v>
      </c>
      <c r="T97" s="438" t="n">
        <f aca="false">IF(T72="EOC",0,IF(U72="EOC",MIN(T95,$D$95*T91),$D$95*T91))</f>
        <v>0</v>
      </c>
      <c r="U97" s="438" t="n">
        <f aca="false">IF(U72="EOC",0,IF(V72="EOC",MIN(U95,$D$95*U91),$D$95*U91))</f>
        <v>0</v>
      </c>
      <c r="V97" s="438" t="n">
        <f aca="false">IF(V72="EOC",0,IF(W72="EOC",MIN(V95,$D$95*V91),$D$95*V91))</f>
        <v>0</v>
      </c>
      <c r="W97" s="438" t="n">
        <f aca="false">IF(W72="EOC",0,IF(X72="EOC",MIN(W95,$D$95*W91),$D$95*W91))</f>
        <v>0</v>
      </c>
      <c r="X97" s="438" t="n">
        <f aca="false">IF(X72="EOC",0,IF(Y72="EOC",MIN(X95,$D$95*X91),$D$95*X91))</f>
        <v>0</v>
      </c>
      <c r="Y97" s="438" t="n">
        <f aca="false">IF(Y72="EOC",0,IF(Z72="EOC",MIN(Y95,$D$95*Y91),$D$95*Y91))</f>
        <v>0</v>
      </c>
      <c r="Z97" s="438" t="n">
        <f aca="false">IF(Z72="EOC",0,IF(AA72="EOC",MIN(Z95,$D$95*Z91),$D$95*Z91))</f>
        <v>0</v>
      </c>
      <c r="AA97" s="438" t="n">
        <f aca="false">IF(AA72="EOC",0,IF(AB72="EOC",MIN(AA95,$D$95*AA91),$D$95*AA91))</f>
        <v>0</v>
      </c>
      <c r="AB97" s="442"/>
      <c r="AC97" s="442"/>
      <c r="AD97" s="442"/>
      <c r="AE97" s="442"/>
      <c r="AF97" s="442"/>
      <c r="AG97" s="442"/>
      <c r="AH97" s="442"/>
      <c r="AI97" s="442"/>
      <c r="AJ97" s="442"/>
      <c r="AK97" s="442"/>
      <c r="AL97" s="442"/>
      <c r="AM97" s="442"/>
      <c r="AN97" s="442"/>
    </row>
    <row r="98" customFormat="false" ht="11.25" hidden="false" customHeight="false" outlineLevel="0" collapsed="false">
      <c r="A98" s="442" t="s">
        <v>231</v>
      </c>
      <c r="B98" s="442"/>
      <c r="C98" s="442"/>
      <c r="D98" s="477" t="n">
        <f aca="false">D96+D97</f>
        <v>0</v>
      </c>
      <c r="E98" s="477" t="n">
        <f aca="false">E96+E97</f>
        <v>0</v>
      </c>
      <c r="F98" s="477" t="n">
        <f aca="false">F96+F97</f>
        <v>0</v>
      </c>
      <c r="G98" s="477" t="n">
        <f aca="false">G96+G97</f>
        <v>0</v>
      </c>
      <c r="H98" s="477" t="n">
        <f aca="false">H96+H97</f>
        <v>0</v>
      </c>
      <c r="I98" s="477" t="n">
        <f aca="false">I96+I97</f>
        <v>0</v>
      </c>
      <c r="J98" s="477" t="n">
        <f aca="false">J96+J97</f>
        <v>0</v>
      </c>
      <c r="K98" s="477" t="n">
        <f aca="false">K96+K97</f>
        <v>0</v>
      </c>
      <c r="L98" s="477" t="n">
        <f aca="false">L96+L97</f>
        <v>0</v>
      </c>
      <c r="M98" s="477" t="n">
        <f aca="false">M96+M97</f>
        <v>0</v>
      </c>
      <c r="N98" s="477" t="n">
        <f aca="false">N96+N97</f>
        <v>0</v>
      </c>
      <c r="O98" s="477" t="n">
        <f aca="false">O96+O97</f>
        <v>0</v>
      </c>
      <c r="P98" s="477" t="n">
        <f aca="false">P96+P97</f>
        <v>0</v>
      </c>
      <c r="Q98" s="477" t="n">
        <f aca="false">Q96+Q97</f>
        <v>0</v>
      </c>
      <c r="R98" s="477" t="n">
        <f aca="false">R96+R97</f>
        <v>0</v>
      </c>
      <c r="S98" s="477" t="n">
        <f aca="false">S96+S97</f>
        <v>0</v>
      </c>
      <c r="T98" s="477" t="n">
        <f aca="false">T96+T97</f>
        <v>0</v>
      </c>
      <c r="U98" s="477" t="n">
        <f aca="false">U96+U97</f>
        <v>0</v>
      </c>
      <c r="V98" s="477" t="n">
        <f aca="false">V96+V97</f>
        <v>0</v>
      </c>
      <c r="W98" s="477" t="n">
        <f aca="false">W96+W97</f>
        <v>0</v>
      </c>
      <c r="X98" s="477" t="n">
        <f aca="false">X96+X97</f>
        <v>0</v>
      </c>
      <c r="Y98" s="477" t="n">
        <f aca="false">Y96+Y97</f>
        <v>0</v>
      </c>
      <c r="Z98" s="477" t="n">
        <f aca="false">Z96+Z97</f>
        <v>0</v>
      </c>
      <c r="AA98" s="477" t="n">
        <f aca="false">AA96+AA97</f>
        <v>0</v>
      </c>
      <c r="AB98" s="442"/>
      <c r="AC98" s="442"/>
      <c r="AD98" s="442"/>
      <c r="AE98" s="442"/>
      <c r="AF98" s="442"/>
      <c r="AG98" s="442"/>
      <c r="AH98" s="442"/>
      <c r="AI98" s="442"/>
      <c r="AJ98" s="442"/>
      <c r="AK98" s="442"/>
      <c r="AL98" s="442"/>
      <c r="AM98" s="442"/>
      <c r="AN98" s="442"/>
    </row>
    <row r="99" customFormat="false" ht="11.25" hidden="false" customHeight="false" outlineLevel="0" collapsed="false">
      <c r="A99" s="442"/>
      <c r="B99" s="442"/>
      <c r="C99" s="442"/>
      <c r="D99" s="442"/>
      <c r="E99" s="442"/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R99" s="442"/>
      <c r="S99" s="442"/>
      <c r="T99" s="442"/>
      <c r="U99" s="442"/>
      <c r="V99" s="442"/>
      <c r="W99" s="442"/>
      <c r="X99" s="442"/>
      <c r="Y99" s="442"/>
      <c r="Z99" s="442"/>
      <c r="AA99" s="442"/>
      <c r="AB99" s="442"/>
      <c r="AC99" s="442"/>
      <c r="AD99" s="442"/>
      <c r="AE99" s="442"/>
      <c r="AF99" s="442"/>
      <c r="AG99" s="442"/>
      <c r="AH99" s="442"/>
      <c r="AI99" s="442"/>
      <c r="AJ99" s="442"/>
      <c r="AK99" s="442"/>
      <c r="AL99" s="442"/>
      <c r="AM99" s="442"/>
      <c r="AN99" s="442"/>
    </row>
    <row r="100" customFormat="false" ht="11.25" hidden="false" customHeight="false" outlineLevel="0" collapsed="false">
      <c r="A100" s="478" t="s">
        <v>178</v>
      </c>
      <c r="B100" s="442"/>
      <c r="C100" s="442"/>
      <c r="D100" s="44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R100" s="442"/>
      <c r="S100" s="442"/>
      <c r="T100" s="442"/>
      <c r="U100" s="442"/>
      <c r="V100" s="442"/>
      <c r="W100" s="442"/>
      <c r="X100" s="442"/>
      <c r="Y100" s="442"/>
      <c r="Z100" s="442"/>
      <c r="AA100" s="442"/>
      <c r="AB100" s="442"/>
      <c r="AC100" s="442"/>
      <c r="AD100" s="442"/>
      <c r="AE100" s="442"/>
      <c r="AF100" s="442"/>
      <c r="AG100" s="442"/>
      <c r="AH100" s="442"/>
      <c r="AI100" s="442"/>
      <c r="AJ100" s="442"/>
      <c r="AK100" s="442"/>
      <c r="AL100" s="442"/>
      <c r="AM100" s="442"/>
      <c r="AN100" s="442"/>
    </row>
    <row r="101" customFormat="false" ht="11.25" hidden="false" customHeight="false" outlineLevel="0" collapsed="false">
      <c r="A101" s="442" t="s">
        <v>422</v>
      </c>
      <c r="B101" s="442"/>
      <c r="C101" s="442"/>
      <c r="D101" s="477" t="n">
        <f aca="false">D67</f>
        <v>0</v>
      </c>
      <c r="E101" s="438" t="n">
        <f aca="false">IF(E72="EOC",0,D101-D103)</f>
        <v>0</v>
      </c>
      <c r="F101" s="438" t="n">
        <f aca="false">IF(F72="EOC",0,E101-E103)</f>
        <v>0</v>
      </c>
      <c r="G101" s="438" t="n">
        <f aca="false">IF(G72="EOC",0,F101-F103)</f>
        <v>0</v>
      </c>
      <c r="H101" s="438" t="n">
        <f aca="false">IF(H72="EOC",0,G101-G103)</f>
        <v>0</v>
      </c>
      <c r="I101" s="438" t="n">
        <f aca="false">IF(I72="EOC",0,H101-H103)</f>
        <v>0</v>
      </c>
      <c r="J101" s="438" t="n">
        <f aca="false">IF(J72="EOC",0,I101-I103)</f>
        <v>0</v>
      </c>
      <c r="K101" s="438" t="n">
        <f aca="false">IF(K72="EOC",0,J101-J103)</f>
        <v>0</v>
      </c>
      <c r="L101" s="438" t="n">
        <f aca="false">IF(L72="EOC",0,K101-K103)</f>
        <v>0</v>
      </c>
      <c r="M101" s="438" t="n">
        <f aca="false">IF(M72="EOC",0,L101-L103)</f>
        <v>0</v>
      </c>
      <c r="N101" s="438" t="n">
        <f aca="false">IF(N72="EOC",0,M101-M103)</f>
        <v>0</v>
      </c>
      <c r="O101" s="438" t="n">
        <f aca="false">IF(O72="EOC",0,N101-N103)</f>
        <v>0</v>
      </c>
      <c r="P101" s="438" t="n">
        <f aca="false">IF(P72="EOC",0,O101-O103)</f>
        <v>0</v>
      </c>
      <c r="Q101" s="438" t="n">
        <f aca="false">IF(Q72="EOC",0,P101-P103)</f>
        <v>0</v>
      </c>
      <c r="R101" s="438" t="n">
        <f aca="false">IF(R72="EOC",0,Q101-Q103)</f>
        <v>0</v>
      </c>
      <c r="S101" s="438" t="n">
        <f aca="false">IF(S72="EOC",0,R101-R103)</f>
        <v>0</v>
      </c>
      <c r="T101" s="438" t="n">
        <f aca="false">IF(T72="EOC",0,S101-S103)</f>
        <v>0</v>
      </c>
      <c r="U101" s="438" t="n">
        <f aca="false">IF(U72="EOC",0,T101-T103)</f>
        <v>0</v>
      </c>
      <c r="V101" s="438" t="n">
        <f aca="false">IF(V72="EOC",0,U101-U103)</f>
        <v>0</v>
      </c>
      <c r="W101" s="438" t="n">
        <f aca="false">IF(W72="EOC",0,V101-V103)</f>
        <v>0</v>
      </c>
      <c r="X101" s="438" t="n">
        <f aca="false">IF(X72="EOC",0,W101-W103)</f>
        <v>0</v>
      </c>
      <c r="Y101" s="438" t="n">
        <f aca="false">IF(Y72="EOC",0,X101-X103)</f>
        <v>0</v>
      </c>
      <c r="Z101" s="438" t="n">
        <f aca="false">IF(Z72="EOC",0,Y101-Y103)</f>
        <v>0</v>
      </c>
      <c r="AA101" s="438" t="n">
        <f aca="false">IF(AA72="EOC",0,Z101-Z103)</f>
        <v>0</v>
      </c>
      <c r="AB101" s="442"/>
      <c r="AC101" s="442"/>
      <c r="AD101" s="442"/>
      <c r="AE101" s="442"/>
      <c r="AF101" s="442"/>
      <c r="AG101" s="442"/>
      <c r="AH101" s="442"/>
      <c r="AI101" s="442"/>
      <c r="AJ101" s="442"/>
      <c r="AK101" s="442"/>
      <c r="AL101" s="442"/>
      <c r="AM101" s="442"/>
      <c r="AN101" s="442"/>
    </row>
    <row r="102" customFormat="false" ht="11.25" hidden="false" customHeight="false" outlineLevel="0" collapsed="false">
      <c r="A102" s="442" t="s">
        <v>229</v>
      </c>
      <c r="B102" s="442"/>
      <c r="C102" s="442"/>
      <c r="D102" s="477" t="n">
        <v>0</v>
      </c>
      <c r="E102" s="477" t="n">
        <f aca="false">D104</f>
        <v>0</v>
      </c>
      <c r="F102" s="477" t="n">
        <f aca="false">E104</f>
        <v>0</v>
      </c>
      <c r="G102" s="477" t="n">
        <f aca="false">F104</f>
        <v>0</v>
      </c>
      <c r="H102" s="477" t="n">
        <f aca="false">G104</f>
        <v>0</v>
      </c>
      <c r="I102" s="477" t="n">
        <f aca="false">H104</f>
        <v>0</v>
      </c>
      <c r="J102" s="477" t="n">
        <f aca="false">IF(J72="EOC",0,I102)</f>
        <v>0</v>
      </c>
      <c r="K102" s="477" t="n">
        <f aca="false">IF(K72="EOC",0,J102)</f>
        <v>0</v>
      </c>
      <c r="L102" s="477" t="n">
        <f aca="false">IF(L72="EOC",0,K102)</f>
        <v>0</v>
      </c>
      <c r="M102" s="477" t="n">
        <f aca="false">IF(M72="EOC",0,L102)</f>
        <v>0</v>
      </c>
      <c r="N102" s="477" t="n">
        <f aca="false">IF(N72="EOC",0,M102)</f>
        <v>0</v>
      </c>
      <c r="O102" s="477" t="n">
        <f aca="false">IF(O72="EOC",0,N102)</f>
        <v>0</v>
      </c>
      <c r="P102" s="477" t="n">
        <f aca="false">IF(P72="EOC",0,O102)</f>
        <v>0</v>
      </c>
      <c r="Q102" s="477" t="n">
        <f aca="false">IF(Q72="EOC",0,P102)</f>
        <v>0</v>
      </c>
      <c r="R102" s="477" t="n">
        <f aca="false">IF(R72="EOC",0,Q102)</f>
        <v>0</v>
      </c>
      <c r="S102" s="477" t="n">
        <f aca="false">IF(S72="EOC",0,R102)</f>
        <v>0</v>
      </c>
      <c r="T102" s="477" t="n">
        <f aca="false">IF(T72="EOC",0,S102)</f>
        <v>0</v>
      </c>
      <c r="U102" s="477" t="n">
        <f aca="false">IF(U72="EOC",0,T102)</f>
        <v>0</v>
      </c>
      <c r="V102" s="477" t="n">
        <f aca="false">IF(V72="EOC",0,U102)</f>
        <v>0</v>
      </c>
      <c r="W102" s="477" t="n">
        <f aca="false">IF(W72="EOC",0,V102)</f>
        <v>0</v>
      </c>
      <c r="X102" s="477" t="n">
        <f aca="false">IF(X72="EOC",0,W102)</f>
        <v>0</v>
      </c>
      <c r="Y102" s="477" t="n">
        <f aca="false">IF(Y72="EOC",0,X102)</f>
        <v>0</v>
      </c>
      <c r="Z102" s="477" t="n">
        <f aca="false">IF(Z72="EOC",0,Y102)</f>
        <v>0</v>
      </c>
      <c r="AA102" s="477" t="n">
        <f aca="false">IF(AA72="EOC",0,Z102)</f>
        <v>0</v>
      </c>
      <c r="AB102" s="442"/>
      <c r="AC102" s="442"/>
      <c r="AD102" s="442"/>
      <c r="AE102" s="442"/>
      <c r="AF102" s="442"/>
      <c r="AG102" s="442"/>
      <c r="AH102" s="442"/>
      <c r="AI102" s="442"/>
      <c r="AJ102" s="442"/>
      <c r="AK102" s="442"/>
      <c r="AL102" s="442"/>
      <c r="AM102" s="442"/>
      <c r="AN102" s="442"/>
    </row>
    <row r="103" customFormat="false" ht="11.25" hidden="false" customHeight="false" outlineLevel="0" collapsed="false">
      <c r="A103" s="442" t="s">
        <v>423</v>
      </c>
      <c r="B103" s="442"/>
      <c r="C103" s="442"/>
      <c r="D103" s="477" t="n">
        <f aca="false">D85-D97</f>
        <v>0</v>
      </c>
      <c r="E103" s="477" t="n">
        <f aca="false">E85-E97</f>
        <v>0</v>
      </c>
      <c r="F103" s="477" t="n">
        <f aca="false">F85-F97</f>
        <v>0</v>
      </c>
      <c r="G103" s="477" t="n">
        <f aca="false">G85-G97</f>
        <v>0</v>
      </c>
      <c r="H103" s="477" t="n">
        <f aca="false">H85-H97</f>
        <v>0</v>
      </c>
      <c r="I103" s="477" t="n">
        <f aca="false">I85-I97</f>
        <v>0</v>
      </c>
      <c r="J103" s="477" t="n">
        <f aca="false">J85-J97</f>
        <v>0</v>
      </c>
      <c r="K103" s="477" t="n">
        <f aca="false">K85-K97</f>
        <v>0</v>
      </c>
      <c r="L103" s="477" t="n">
        <f aca="false">L85-L97</f>
        <v>0</v>
      </c>
      <c r="M103" s="477" t="n">
        <f aca="false">M85-M97</f>
        <v>0</v>
      </c>
      <c r="N103" s="477" t="n">
        <f aca="false">N85-N97</f>
        <v>0</v>
      </c>
      <c r="O103" s="477" t="n">
        <f aca="false">O85-O97</f>
        <v>0</v>
      </c>
      <c r="P103" s="477" t="n">
        <f aca="false">P85-P97</f>
        <v>0</v>
      </c>
      <c r="Q103" s="477" t="n">
        <f aca="false">Q85-Q97</f>
        <v>0</v>
      </c>
      <c r="R103" s="477" t="n">
        <f aca="false">R85-R97</f>
        <v>0</v>
      </c>
      <c r="S103" s="477" t="n">
        <f aca="false">S85-S97</f>
        <v>0</v>
      </c>
      <c r="T103" s="477" t="n">
        <f aca="false">T85-T97</f>
        <v>0</v>
      </c>
      <c r="U103" s="477" t="n">
        <f aca="false">U85-U97</f>
        <v>0</v>
      </c>
      <c r="V103" s="477" t="n">
        <f aca="false">V85-V97</f>
        <v>0</v>
      </c>
      <c r="W103" s="477" t="n">
        <f aca="false">W85-W97</f>
        <v>0</v>
      </c>
      <c r="X103" s="477" t="n">
        <f aca="false">X85-X97</f>
        <v>0</v>
      </c>
      <c r="Y103" s="477" t="n">
        <f aca="false">Y85-Y97</f>
        <v>0</v>
      </c>
      <c r="Z103" s="477" t="n">
        <f aca="false">Z85-Z97</f>
        <v>0</v>
      </c>
      <c r="AA103" s="477" t="n">
        <f aca="false">AA85-AA97</f>
        <v>0</v>
      </c>
      <c r="AB103" s="442"/>
      <c r="AC103" s="442"/>
      <c r="AD103" s="442"/>
      <c r="AE103" s="442"/>
      <c r="AF103" s="442"/>
      <c r="AG103" s="442"/>
      <c r="AH103" s="442"/>
      <c r="AI103" s="442"/>
      <c r="AJ103" s="442"/>
      <c r="AK103" s="442"/>
      <c r="AL103" s="442"/>
      <c r="AM103" s="442"/>
      <c r="AN103" s="442"/>
    </row>
    <row r="104" customFormat="false" ht="11.25" hidden="false" customHeight="false" outlineLevel="0" collapsed="false">
      <c r="A104" s="442" t="s">
        <v>231</v>
      </c>
      <c r="B104" s="442"/>
      <c r="C104" s="442"/>
      <c r="D104" s="477" t="n">
        <f aca="false">D102+D103</f>
        <v>0</v>
      </c>
      <c r="E104" s="477" t="n">
        <f aca="false">E102+E103</f>
        <v>0</v>
      </c>
      <c r="F104" s="477" t="n">
        <f aca="false">F102+F103</f>
        <v>0</v>
      </c>
      <c r="G104" s="477" t="n">
        <f aca="false">G102+G103</f>
        <v>0</v>
      </c>
      <c r="H104" s="477" t="n">
        <f aca="false">H102+H103</f>
        <v>0</v>
      </c>
      <c r="I104" s="477" t="n">
        <f aca="false">I102+I103</f>
        <v>0</v>
      </c>
      <c r="J104" s="477" t="n">
        <f aca="false">J102+J103</f>
        <v>0</v>
      </c>
      <c r="K104" s="477" t="n">
        <f aca="false">K102+K103</f>
        <v>0</v>
      </c>
      <c r="L104" s="477" t="n">
        <f aca="false">L102+L103</f>
        <v>0</v>
      </c>
      <c r="M104" s="477" t="n">
        <f aca="false">M102+M103</f>
        <v>0</v>
      </c>
      <c r="N104" s="477" t="n">
        <f aca="false">N102+N103</f>
        <v>0</v>
      </c>
      <c r="O104" s="477" t="n">
        <f aca="false">O102+O103</f>
        <v>0</v>
      </c>
      <c r="P104" s="477" t="n">
        <f aca="false">P102+P103</f>
        <v>0</v>
      </c>
      <c r="Q104" s="477" t="n">
        <f aca="false">Q102+Q103</f>
        <v>0</v>
      </c>
      <c r="R104" s="477" t="n">
        <f aca="false">R102+R103</f>
        <v>0</v>
      </c>
      <c r="S104" s="477" t="n">
        <f aca="false">S102+S103</f>
        <v>0</v>
      </c>
      <c r="T104" s="477" t="n">
        <f aca="false">T102+T103</f>
        <v>0</v>
      </c>
      <c r="U104" s="477" t="n">
        <f aca="false">U102+U103</f>
        <v>0</v>
      </c>
      <c r="V104" s="477" t="n">
        <f aca="false">V102+V103</f>
        <v>0</v>
      </c>
      <c r="W104" s="477" t="n">
        <f aca="false">W102+W103</f>
        <v>0</v>
      </c>
      <c r="X104" s="477" t="n">
        <f aca="false">X102+X103</f>
        <v>0</v>
      </c>
      <c r="Y104" s="477" t="n">
        <f aca="false">Y102+Y103</f>
        <v>0</v>
      </c>
      <c r="Z104" s="477" t="n">
        <f aca="false">Z102+Z103</f>
        <v>0</v>
      </c>
      <c r="AA104" s="477" t="n">
        <f aca="false">AA102+AA103</f>
        <v>0</v>
      </c>
      <c r="AB104" s="442"/>
      <c r="AC104" s="442"/>
      <c r="AD104" s="442"/>
      <c r="AE104" s="442"/>
      <c r="AF104" s="442"/>
      <c r="AG104" s="442"/>
      <c r="AH104" s="442"/>
      <c r="AI104" s="442"/>
      <c r="AJ104" s="442"/>
      <c r="AK104" s="442"/>
      <c r="AL104" s="442"/>
      <c r="AM104" s="442"/>
      <c r="AN104" s="442"/>
    </row>
    <row r="105" customFormat="false" ht="11.25" hidden="false" customHeight="false" outlineLevel="0" collapsed="false">
      <c r="A105" s="442"/>
      <c r="B105" s="442"/>
      <c r="C105" s="442"/>
      <c r="D105" s="442"/>
      <c r="E105" s="442"/>
      <c r="F105" s="442"/>
      <c r="G105" s="442"/>
      <c r="H105" s="442"/>
      <c r="I105" s="442"/>
      <c r="J105" s="442"/>
      <c r="K105" s="442"/>
      <c r="L105" s="442"/>
      <c r="M105" s="442"/>
      <c r="N105" s="442"/>
      <c r="O105" s="442"/>
      <c r="P105" s="442"/>
      <c r="Q105" s="442"/>
      <c r="R105" s="442"/>
      <c r="S105" s="442"/>
      <c r="T105" s="442"/>
      <c r="U105" s="442"/>
      <c r="V105" s="442"/>
      <c r="W105" s="442"/>
      <c r="X105" s="442"/>
      <c r="Y105" s="442"/>
      <c r="Z105" s="442"/>
      <c r="AA105" s="442"/>
      <c r="AB105" s="442"/>
      <c r="AC105" s="442"/>
      <c r="AD105" s="442"/>
      <c r="AE105" s="442"/>
      <c r="AF105" s="442"/>
      <c r="AG105" s="442"/>
      <c r="AH105" s="442"/>
      <c r="AI105" s="442"/>
      <c r="AJ105" s="442"/>
      <c r="AK105" s="442"/>
      <c r="AL105" s="442"/>
      <c r="AM105" s="442"/>
      <c r="AN105" s="442"/>
    </row>
    <row r="106" customFormat="false" ht="12" hidden="false" customHeight="false" outlineLevel="0" collapsed="false">
      <c r="A106" s="476" t="s">
        <v>55</v>
      </c>
      <c r="B106" s="476"/>
      <c r="C106" s="476"/>
      <c r="D106" s="479" t="n">
        <f aca="false">IF(D72="EOC",0,D104*(D73/12))</f>
        <v>0</v>
      </c>
      <c r="E106" s="479" t="n">
        <f aca="false">IF(E72="EOC",0,E104*(E73/12))</f>
        <v>0</v>
      </c>
      <c r="F106" s="479" t="n">
        <f aca="false">IF(F72="EOC",0,F104*(F73/12))</f>
        <v>0</v>
      </c>
      <c r="G106" s="479" t="n">
        <f aca="false">IF(G72="EOC",0,G104*(G73/12))</f>
        <v>0</v>
      </c>
      <c r="H106" s="479" t="n">
        <f aca="false">IF(H72="EOC",0,H104*(H73/12))</f>
        <v>0</v>
      </c>
      <c r="I106" s="479" t="n">
        <f aca="false">IF(I72="EOC",0,I104*(I73/12))</f>
        <v>0</v>
      </c>
      <c r="J106" s="479" t="n">
        <f aca="false">IF(J72="EOC",0,J104*(J73/12))</f>
        <v>0</v>
      </c>
      <c r="K106" s="479" t="n">
        <f aca="false">IF(K72="EOC",0,K104*(K73/12))</f>
        <v>0</v>
      </c>
      <c r="L106" s="479" t="n">
        <f aca="false">IF(L72="EOC",0,L104*(L73/12))</f>
        <v>0</v>
      </c>
      <c r="M106" s="479" t="n">
        <f aca="false">IF(M72="EOC",0,M104*(M73/12))</f>
        <v>0</v>
      </c>
      <c r="N106" s="479" t="n">
        <f aca="false">IF(N72="EOC",0,N104*(N73/12))</f>
        <v>0</v>
      </c>
      <c r="O106" s="479" t="n">
        <f aca="false">IF(O72="EOC",0,O104*(O73/12))</f>
        <v>0</v>
      </c>
      <c r="P106" s="479" t="n">
        <f aca="false">IF(P72="EOC",0,P104*(P73/12))</f>
        <v>0</v>
      </c>
      <c r="Q106" s="479" t="n">
        <f aca="false">IF(Q72="EOC",0,Q104*(Q73/12))</f>
        <v>0</v>
      </c>
      <c r="R106" s="479" t="n">
        <f aca="false">IF(R72="EOC",0,R104*(R73/12))</f>
        <v>0</v>
      </c>
      <c r="S106" s="479" t="n">
        <f aca="false">IF(S72="EOC",0,S104*(S73/12))</f>
        <v>0</v>
      </c>
      <c r="T106" s="479" t="n">
        <f aca="false">IF(T72="EOC",0,T104*(T73/12))</f>
        <v>0</v>
      </c>
      <c r="U106" s="479" t="n">
        <f aca="false">IF(U72="EOC",0,U104*(U73/12))</f>
        <v>0</v>
      </c>
      <c r="V106" s="479" t="n">
        <f aca="false">IF(V72="EOC",0,V104*(V73/12))</f>
        <v>0</v>
      </c>
      <c r="W106" s="479" t="n">
        <f aca="false">IF(W72="EOC",0,W104*(W73/12))</f>
        <v>0</v>
      </c>
      <c r="X106" s="479" t="n">
        <f aca="false">IF(X72="EOC",0,X104*(X73/12))</f>
        <v>0</v>
      </c>
      <c r="Y106" s="479" t="n">
        <f aca="false">IF(Y72="EOC",0,Y104*(Y73/12))</f>
        <v>0</v>
      </c>
      <c r="Z106" s="479" t="n">
        <f aca="false">IF(Z72="EOC",0,Z104*(Z73/12))</f>
        <v>0</v>
      </c>
      <c r="AA106" s="479" t="n">
        <f aca="false">IF(AA72="EOC",0,AA104*(AA73/12))</f>
        <v>0</v>
      </c>
      <c r="AB106" s="442"/>
      <c r="AC106" s="442"/>
      <c r="AD106" s="442"/>
      <c r="AE106" s="442"/>
      <c r="AF106" s="442"/>
      <c r="AG106" s="442"/>
      <c r="AH106" s="442"/>
      <c r="AI106" s="442"/>
      <c r="AJ106" s="442"/>
      <c r="AK106" s="442"/>
      <c r="AL106" s="442"/>
      <c r="AM106" s="442"/>
      <c r="AN106" s="442"/>
    </row>
    <row r="107" customFormat="false" ht="11.25" hidden="false" customHeight="false" outlineLevel="0" collapsed="false">
      <c r="A107" s="442" t="s">
        <v>424</v>
      </c>
      <c r="B107" s="442"/>
      <c r="C107" s="442"/>
      <c r="D107" s="438" t="n">
        <f aca="false">D106</f>
        <v>0</v>
      </c>
      <c r="E107" s="438" t="n">
        <f aca="false">IF(E72="EOC",0,D107+E106)</f>
        <v>0</v>
      </c>
      <c r="F107" s="438" t="n">
        <f aca="false">IF(F72="EOC",0,E107+F106)</f>
        <v>0</v>
      </c>
      <c r="G107" s="438" t="n">
        <f aca="false">IF(G72="EOC",0,F107+G106)</f>
        <v>0</v>
      </c>
      <c r="H107" s="438" t="n">
        <f aca="false">IF(H72="EOC",0,G107+H106)</f>
        <v>0</v>
      </c>
      <c r="I107" s="438" t="n">
        <f aca="false">IF(I72="EOC",0,H107+I106)</f>
        <v>0</v>
      </c>
      <c r="J107" s="438" t="n">
        <f aca="false">IF(J72="EOC",0,I107+J106)</f>
        <v>0</v>
      </c>
      <c r="K107" s="438" t="n">
        <f aca="false">IF(K72="EOC",0,J107+K106)</f>
        <v>0</v>
      </c>
      <c r="L107" s="438" t="n">
        <f aca="false">IF(L72="EOC",0,K107+L106)</f>
        <v>0</v>
      </c>
      <c r="M107" s="438" t="n">
        <f aca="false">IF(M72="EOC",0,L107+M106)</f>
        <v>0</v>
      </c>
      <c r="N107" s="438" t="n">
        <f aca="false">IF(N72="EOC",0,M107+N106)</f>
        <v>0</v>
      </c>
      <c r="O107" s="438" t="n">
        <f aca="false">IF(O72="EOC",0,N107+O106)</f>
        <v>0</v>
      </c>
      <c r="P107" s="438" t="n">
        <f aca="false">IF(P72="EOC",0,O107+P106)</f>
        <v>0</v>
      </c>
      <c r="Q107" s="438" t="n">
        <f aca="false">IF(Q72="EOC",0,P107+Q106)</f>
        <v>0</v>
      </c>
      <c r="R107" s="438" t="n">
        <f aca="false">IF(R72="EOC",0,Q107+R106)</f>
        <v>0</v>
      </c>
      <c r="S107" s="438" t="n">
        <f aca="false">IF(S72="EOC",0,R107+S106)</f>
        <v>0</v>
      </c>
      <c r="T107" s="438" t="n">
        <f aca="false">IF(T72="EOC",0,S107+T106)</f>
        <v>0</v>
      </c>
      <c r="U107" s="438" t="n">
        <f aca="false">IF(U72="EOC",0,T107+U106)</f>
        <v>0</v>
      </c>
      <c r="V107" s="438" t="n">
        <f aca="false">IF(V72="EOC",0,U107+V106)</f>
        <v>0</v>
      </c>
      <c r="W107" s="438" t="n">
        <f aca="false">IF(W72="EOC",0,V107+W106)</f>
        <v>0</v>
      </c>
      <c r="X107" s="438" t="n">
        <f aca="false">IF(X72="EOC",0,W107+X106)</f>
        <v>0</v>
      </c>
      <c r="Y107" s="438" t="n">
        <f aca="false">IF(Y72="EOC",0,X107+Y106)</f>
        <v>0</v>
      </c>
      <c r="Z107" s="438" t="n">
        <f aca="false">IF(Z72="EOC",0,Y107+Z106)</f>
        <v>0</v>
      </c>
      <c r="AA107" s="438" t="n">
        <f aca="false">IF(AA72="EOC",0,Z107+AA106)</f>
        <v>0</v>
      </c>
      <c r="AB107" s="442"/>
      <c r="AC107" s="442"/>
      <c r="AD107" s="442"/>
      <c r="AE107" s="442"/>
      <c r="AF107" s="442"/>
      <c r="AG107" s="442"/>
      <c r="AH107" s="442"/>
      <c r="AI107" s="442"/>
      <c r="AJ107" s="442"/>
      <c r="AK107" s="442"/>
      <c r="AL107" s="442"/>
      <c r="AM107" s="442"/>
      <c r="AN107" s="442"/>
    </row>
    <row r="108" customFormat="false" ht="11.25" hidden="false" customHeight="false" outlineLevel="0" collapsed="false">
      <c r="A108" s="442"/>
      <c r="B108" s="442"/>
      <c r="C108" s="442"/>
      <c r="D108" s="442"/>
      <c r="E108" s="442"/>
      <c r="F108" s="442"/>
      <c r="G108" s="442"/>
      <c r="H108" s="442"/>
      <c r="I108" s="442"/>
      <c r="J108" s="442"/>
      <c r="K108" s="442"/>
      <c r="L108" s="442"/>
      <c r="M108" s="442"/>
      <c r="N108" s="442"/>
      <c r="O108" s="442"/>
      <c r="P108" s="442"/>
      <c r="Q108" s="442"/>
      <c r="R108" s="442"/>
      <c r="S108" s="442"/>
      <c r="T108" s="442"/>
      <c r="U108" s="442"/>
      <c r="V108" s="442"/>
      <c r="W108" s="442"/>
      <c r="X108" s="442"/>
      <c r="Y108" s="442"/>
      <c r="Z108" s="442"/>
      <c r="AA108" s="442"/>
      <c r="AB108" s="442"/>
      <c r="AC108" s="442"/>
      <c r="AD108" s="442"/>
      <c r="AE108" s="442"/>
      <c r="AF108" s="442"/>
      <c r="AG108" s="442"/>
      <c r="AH108" s="442"/>
      <c r="AI108" s="442"/>
      <c r="AJ108" s="442"/>
      <c r="AK108" s="442"/>
      <c r="AL108" s="442"/>
      <c r="AM108" s="442"/>
      <c r="AN108" s="442"/>
    </row>
    <row r="109" customFormat="false" ht="11.25" hidden="false" customHeight="false" outlineLevel="0" collapsed="false">
      <c r="A109" s="478" t="s">
        <v>425</v>
      </c>
      <c r="B109" s="442"/>
      <c r="C109" s="442"/>
      <c r="D109" s="438" t="n">
        <f aca="false">IF(E72="EOC",D107*$D$64,0)</f>
        <v>0</v>
      </c>
      <c r="E109" s="438" t="n">
        <f aca="false">IF(F72="EOC",E107*$D$64,0)</f>
        <v>0</v>
      </c>
      <c r="F109" s="438" t="n">
        <f aca="false">IF(G72="EOC",F107*$D$64,0)</f>
        <v>0</v>
      </c>
      <c r="G109" s="438" t="n">
        <f aca="false">IF(H72="EOC",G107*$D$64,0)</f>
        <v>0</v>
      </c>
      <c r="H109" s="438" t="n">
        <f aca="false">IF(I72="EOC",H107*$D$64,0)</f>
        <v>0</v>
      </c>
      <c r="I109" s="438" t="n">
        <f aca="false">IF(J72="EOC",I107*$D$64,0)</f>
        <v>0</v>
      </c>
      <c r="J109" s="438" t="n">
        <f aca="false">IF(K72="EOC",J107*$D$64,0)</f>
        <v>0</v>
      </c>
      <c r="K109" s="438" t="n">
        <f aca="false">IF(L72="EOC",K107*$D$64,0)</f>
        <v>0</v>
      </c>
      <c r="L109" s="438" t="n">
        <f aca="false">IF(M72="EOC",L107*$D$64,0)</f>
        <v>0</v>
      </c>
      <c r="M109" s="438" t="n">
        <f aca="false">IF(N72="EOC",M107*$D$64,0)</f>
        <v>0</v>
      </c>
      <c r="N109" s="438" t="n">
        <f aca="false">IF(O72="EOC",N107*$D$64,0)</f>
        <v>0</v>
      </c>
      <c r="O109" s="438" t="n">
        <f aca="false">IF(P72="EOC",O107*$D$64,0)</f>
        <v>0</v>
      </c>
      <c r="P109" s="438" t="n">
        <f aca="false">IF(Q72="EOC",P107*$D$64,0)</f>
        <v>0</v>
      </c>
      <c r="Q109" s="438" t="n">
        <f aca="false">IF(R72="EOC",Q107*$D$64,0)</f>
        <v>0</v>
      </c>
      <c r="R109" s="438" t="n">
        <f aca="false">IF(S72="EOC",R107*$D$64,0)</f>
        <v>0</v>
      </c>
      <c r="S109" s="438" t="n">
        <f aca="false">IF(T72="EOC",S107*$D$64,0)</f>
        <v>0</v>
      </c>
      <c r="T109" s="438" t="n">
        <f aca="false">IF(U72="EOC",T107*$D$64,0)</f>
        <v>0</v>
      </c>
      <c r="U109" s="438" t="n">
        <f aca="false">IF(V72="EOC",U107*$D$64,0)</f>
        <v>0</v>
      </c>
      <c r="V109" s="438" t="n">
        <f aca="false">IF(W72="EOC",V107*$D$64,0)</f>
        <v>0</v>
      </c>
      <c r="W109" s="438" t="n">
        <f aca="false">IF(X72="EOC",W107*$D$64,0)</f>
        <v>0</v>
      </c>
      <c r="X109" s="438" t="n">
        <f aca="false">IF(Y72="EOC",X107*$D$64,0)</f>
        <v>0</v>
      </c>
      <c r="Y109" s="438" t="n">
        <f aca="false">IF(Z72="EOC",Y107*$D$64,0)</f>
        <v>0</v>
      </c>
      <c r="Z109" s="438" t="n">
        <f aca="false">IF(AA72="EOC",Z107*$D$64,0)</f>
        <v>0</v>
      </c>
      <c r="AA109" s="438" t="n">
        <f aca="false">IF(AB72="EOC",AA107*$D$64,0)</f>
        <v>0</v>
      </c>
      <c r="AB109" s="442"/>
      <c r="AC109" s="442"/>
      <c r="AD109" s="442"/>
      <c r="AE109" s="442"/>
      <c r="AF109" s="442"/>
      <c r="AG109" s="442"/>
      <c r="AH109" s="442"/>
      <c r="AI109" s="442"/>
      <c r="AJ109" s="442"/>
      <c r="AK109" s="442"/>
      <c r="AL109" s="442"/>
      <c r="AM109" s="442"/>
      <c r="AN109" s="442"/>
    </row>
    <row r="110" customFormat="false" ht="11.25" hidden="false" customHeight="false" outlineLevel="0" collapsed="false">
      <c r="A110" s="478" t="s">
        <v>426</v>
      </c>
      <c r="B110" s="442"/>
      <c r="C110" s="442"/>
      <c r="D110" s="438" t="n">
        <f aca="false">IF(E72="EOC",D107*$D$63,0)</f>
        <v>0</v>
      </c>
      <c r="E110" s="438" t="n">
        <f aca="false">IF(F72="EOC",E107*$D$63,0)</f>
        <v>0</v>
      </c>
      <c r="F110" s="438" t="n">
        <f aca="false">IF(G72="EOC",F107*$D$63,0)</f>
        <v>0</v>
      </c>
      <c r="G110" s="438" t="n">
        <f aca="false">IF(H72="EOC",G107*$D$63,0)</f>
        <v>0</v>
      </c>
      <c r="H110" s="438" t="n">
        <f aca="false">IF(I72="EOC",H107*$D$63,0)</f>
        <v>0</v>
      </c>
      <c r="I110" s="438" t="n">
        <f aca="false">IF(J72="EOC",I107*$D$63,0)</f>
        <v>0</v>
      </c>
      <c r="J110" s="438" t="n">
        <f aca="false">IF(K72="EOC",J107*$D$63,0)</f>
        <v>0</v>
      </c>
      <c r="K110" s="438" t="n">
        <f aca="false">IF(L72="EOC",K107*$D$63,0)</f>
        <v>0</v>
      </c>
      <c r="L110" s="438" t="n">
        <f aca="false">IF(M72="EOC",L107*$D$63,0)</f>
        <v>0</v>
      </c>
      <c r="M110" s="438" t="n">
        <f aca="false">IF(N72="EOC",M107*$D$63,0)</f>
        <v>0</v>
      </c>
      <c r="N110" s="438" t="n">
        <f aca="false">IF(O72="EOC",N107*$D$63,0)</f>
        <v>0</v>
      </c>
      <c r="O110" s="438" t="n">
        <f aca="false">IF(P72="EOC",O107*$D$63,0)</f>
        <v>0</v>
      </c>
      <c r="P110" s="438" t="n">
        <f aca="false">IF(Q72="EOC",P107*$D$63,0)</f>
        <v>0</v>
      </c>
      <c r="Q110" s="438" t="n">
        <f aca="false">IF(R72="EOC",Q107*$D$63,0)</f>
        <v>0</v>
      </c>
      <c r="R110" s="438" t="n">
        <f aca="false">IF(S72="EOC",R107*$D$63,0)</f>
        <v>0</v>
      </c>
      <c r="S110" s="438" t="n">
        <f aca="false">IF(T72="EOC",S107*$D$63,0)</f>
        <v>0</v>
      </c>
      <c r="T110" s="438" t="n">
        <f aca="false">IF(U72="EOC",T107*$D$63,0)</f>
        <v>0</v>
      </c>
      <c r="U110" s="438" t="n">
        <f aca="false">IF(V72="EOC",U107*$D$63,0)</f>
        <v>0</v>
      </c>
      <c r="V110" s="438" t="n">
        <f aca="false">IF(W72="EOC",V107*$D$63,0)</f>
        <v>0</v>
      </c>
      <c r="W110" s="438" t="n">
        <f aca="false">IF(X72="EOC",W107*$D$63,0)</f>
        <v>0</v>
      </c>
      <c r="X110" s="438" t="n">
        <f aca="false">IF(Y72="EOC",X107*$D$63,0)</f>
        <v>0</v>
      </c>
      <c r="Y110" s="438" t="n">
        <f aca="false">IF(Z72="EOC",Y107*$D$63,0)</f>
        <v>0</v>
      </c>
      <c r="Z110" s="438" t="n">
        <f aca="false">IF(AA72="EOC",Z107*$D$63,0)</f>
        <v>0</v>
      </c>
      <c r="AA110" s="438" t="n">
        <f aca="false">IF(AB72="EOC",AA107*$D$63,0)</f>
        <v>0</v>
      </c>
      <c r="AB110" s="442"/>
      <c r="AC110" s="442"/>
      <c r="AD110" s="442"/>
      <c r="AE110" s="442"/>
      <c r="AF110" s="442"/>
      <c r="AG110" s="442"/>
      <c r="AH110" s="442"/>
      <c r="AI110" s="442"/>
      <c r="AJ110" s="442"/>
      <c r="AK110" s="442"/>
      <c r="AL110" s="442"/>
      <c r="AM110" s="442"/>
      <c r="AN110" s="442"/>
    </row>
    <row r="111" customFormat="false" ht="12.75" hidden="false" customHeight="false" outlineLevel="0" collapsed="false">
      <c r="A111" s="49"/>
      <c r="B111" s="49"/>
      <c r="C111" s="49"/>
      <c r="D111" s="49"/>
      <c r="G111" s="49"/>
      <c r="I111" s="454"/>
      <c r="J111" s="454"/>
      <c r="K111" s="454"/>
      <c r="L111" s="454"/>
      <c r="M111" s="454"/>
      <c r="N111" s="454"/>
      <c r="P111" s="448"/>
      <c r="Q111" s="448"/>
      <c r="R111" s="448"/>
      <c r="S111" s="448"/>
      <c r="T111" s="448"/>
      <c r="U111" s="448"/>
    </row>
    <row r="112" customFormat="false" ht="12.75" hidden="false" customHeight="false" outlineLevel="0" collapsed="false">
      <c r="A112" s="49"/>
      <c r="B112" s="49"/>
      <c r="C112" s="49"/>
      <c r="D112" s="49"/>
      <c r="G112" s="49"/>
      <c r="I112" s="454"/>
      <c r="J112" s="454"/>
      <c r="K112" s="454"/>
      <c r="L112" s="454"/>
      <c r="M112" s="454"/>
      <c r="N112" s="454"/>
      <c r="P112" s="448"/>
      <c r="Q112" s="448"/>
      <c r="R112" s="448"/>
      <c r="S112" s="448"/>
      <c r="T112" s="448"/>
      <c r="U112" s="448"/>
    </row>
    <row r="113" customFormat="false" ht="12.75" hidden="false" customHeight="false" outlineLevel="0" collapsed="false">
      <c r="A113" s="49"/>
      <c r="B113" s="49"/>
      <c r="C113" s="49"/>
      <c r="D113" s="49"/>
      <c r="G113" s="49"/>
      <c r="I113" s="454"/>
      <c r="J113" s="454"/>
      <c r="K113" s="454"/>
      <c r="L113" s="454"/>
      <c r="M113" s="454"/>
      <c r="N113" s="454"/>
      <c r="P113" s="448"/>
      <c r="Q113" s="448"/>
      <c r="R113" s="448"/>
      <c r="S113" s="448"/>
      <c r="T113" s="448"/>
      <c r="U113" s="448"/>
    </row>
    <row r="114" customFormat="false" ht="12.75" hidden="false" customHeight="false" outlineLevel="0" collapsed="false">
      <c r="A114" s="49"/>
      <c r="B114" s="49"/>
      <c r="C114" s="49"/>
      <c r="D114" s="49"/>
      <c r="G114" s="49"/>
      <c r="I114" s="454"/>
      <c r="J114" s="454"/>
      <c r="K114" s="454"/>
      <c r="L114" s="454"/>
      <c r="M114" s="454"/>
      <c r="N114" s="454"/>
      <c r="P114" s="448"/>
      <c r="Q114" s="448"/>
      <c r="R114" s="448"/>
      <c r="S114" s="448"/>
      <c r="T114" s="448"/>
      <c r="U114" s="448"/>
    </row>
    <row r="115" customFormat="false" ht="12.75" hidden="false" customHeight="false" outlineLevel="0" collapsed="false">
      <c r="A115" s="49"/>
      <c r="B115" s="49"/>
      <c r="C115" s="49"/>
      <c r="D115" s="49"/>
      <c r="G115" s="49"/>
      <c r="I115" s="454"/>
      <c r="J115" s="454"/>
      <c r="K115" s="454"/>
      <c r="L115" s="454"/>
      <c r="M115" s="454"/>
      <c r="N115" s="454"/>
      <c r="P115" s="448"/>
      <c r="Q115" s="448"/>
      <c r="R115" s="448"/>
      <c r="S115" s="448"/>
      <c r="T115" s="448"/>
      <c r="U115" s="448"/>
    </row>
    <row r="116" customFormat="false" ht="12.75" hidden="false" customHeight="false" outlineLevel="0" collapsed="false">
      <c r="A116" s="49"/>
      <c r="B116" s="49"/>
      <c r="C116" s="49"/>
      <c r="D116" s="49"/>
      <c r="G116" s="49"/>
      <c r="I116" s="454"/>
      <c r="J116" s="454"/>
      <c r="K116" s="454"/>
      <c r="L116" s="454"/>
      <c r="M116" s="454"/>
      <c r="N116" s="454"/>
      <c r="P116" s="448"/>
      <c r="Q116" s="448"/>
      <c r="R116" s="448"/>
      <c r="S116" s="448"/>
      <c r="T116" s="448"/>
      <c r="U116" s="448"/>
    </row>
    <row r="117" customFormat="false" ht="12.75" hidden="false" customHeight="false" outlineLevel="0" collapsed="false">
      <c r="A117" s="49"/>
      <c r="B117" s="49"/>
      <c r="C117" s="49"/>
      <c r="D117" s="49"/>
      <c r="G117" s="49"/>
      <c r="I117" s="454"/>
      <c r="J117" s="454"/>
      <c r="K117" s="454"/>
      <c r="L117" s="454"/>
      <c r="M117" s="454"/>
      <c r="N117" s="454"/>
      <c r="P117" s="448"/>
      <c r="Q117" s="448"/>
      <c r="R117" s="448"/>
      <c r="S117" s="448"/>
      <c r="T117" s="448"/>
      <c r="U117" s="448"/>
    </row>
    <row r="118" customFormat="false" ht="12.75" hidden="false" customHeight="false" outlineLevel="0" collapsed="false">
      <c r="A118" s="49"/>
      <c r="B118" s="49"/>
      <c r="C118" s="49"/>
      <c r="D118" s="49"/>
      <c r="G118" s="49"/>
      <c r="I118" s="454"/>
      <c r="J118" s="454"/>
      <c r="K118" s="454"/>
      <c r="L118" s="454"/>
      <c r="M118" s="454"/>
      <c r="N118" s="454"/>
      <c r="P118" s="448"/>
      <c r="Q118" s="448"/>
      <c r="R118" s="448"/>
      <c r="S118" s="448"/>
      <c r="T118" s="448"/>
      <c r="U118" s="448"/>
    </row>
    <row r="119" customFormat="false" ht="12.75" hidden="false" customHeight="false" outlineLevel="0" collapsed="false">
      <c r="A119" s="49"/>
      <c r="B119" s="49"/>
      <c r="C119" s="49"/>
      <c r="D119" s="49"/>
      <c r="G119" s="49"/>
      <c r="I119" s="454"/>
      <c r="J119" s="454"/>
      <c r="K119" s="454"/>
      <c r="L119" s="454"/>
      <c r="M119" s="454"/>
      <c r="N119" s="454"/>
      <c r="P119" s="448"/>
      <c r="Q119" s="448"/>
      <c r="R119" s="448"/>
      <c r="S119" s="448"/>
      <c r="T119" s="448"/>
      <c r="U119" s="448"/>
    </row>
    <row r="120" customFormat="false" ht="12.75" hidden="false" customHeight="false" outlineLevel="0" collapsed="false">
      <c r="A120" s="49"/>
      <c r="B120" s="49"/>
      <c r="C120" s="49"/>
      <c r="D120" s="49"/>
      <c r="G120" s="49"/>
      <c r="I120" s="454"/>
      <c r="J120" s="454"/>
      <c r="K120" s="454"/>
      <c r="L120" s="454"/>
      <c r="M120" s="454"/>
      <c r="N120" s="454"/>
      <c r="P120" s="448"/>
      <c r="Q120" s="448"/>
      <c r="R120" s="448"/>
      <c r="S120" s="448"/>
      <c r="T120" s="448"/>
      <c r="U120" s="448"/>
    </row>
    <row r="121" customFormat="false" ht="12.75" hidden="false" customHeight="false" outlineLevel="0" collapsed="false">
      <c r="A121" s="49"/>
      <c r="B121" s="49"/>
      <c r="C121" s="49"/>
      <c r="D121" s="49"/>
      <c r="G121" s="49"/>
      <c r="I121" s="454"/>
      <c r="J121" s="454"/>
      <c r="K121" s="454"/>
      <c r="L121" s="454"/>
      <c r="M121" s="454"/>
      <c r="N121" s="454"/>
      <c r="P121" s="448"/>
      <c r="Q121" s="448"/>
      <c r="R121" s="448"/>
      <c r="S121" s="448"/>
      <c r="T121" s="448"/>
      <c r="U121" s="448"/>
    </row>
    <row r="122" customFormat="false" ht="12.75" hidden="false" customHeight="false" outlineLevel="0" collapsed="false">
      <c r="A122" s="49"/>
      <c r="B122" s="49"/>
      <c r="C122" s="49"/>
      <c r="D122" s="49"/>
      <c r="G122" s="49"/>
      <c r="I122" s="454"/>
      <c r="J122" s="454"/>
      <c r="K122" s="454"/>
      <c r="L122" s="454"/>
      <c r="M122" s="454"/>
      <c r="N122" s="454"/>
      <c r="P122" s="448"/>
      <c r="Q122" s="448"/>
      <c r="R122" s="448"/>
      <c r="S122" s="448"/>
      <c r="T122" s="448"/>
      <c r="U122" s="448"/>
    </row>
    <row r="123" customFormat="false" ht="12.75" hidden="false" customHeight="false" outlineLevel="0" collapsed="false">
      <c r="A123" s="49"/>
      <c r="B123" s="49"/>
      <c r="C123" s="49"/>
      <c r="D123" s="49"/>
      <c r="G123" s="49"/>
      <c r="I123" s="454"/>
      <c r="J123" s="454"/>
      <c r="K123" s="454"/>
      <c r="L123" s="454"/>
      <c r="M123" s="454"/>
      <c r="N123" s="454"/>
      <c r="P123" s="448"/>
      <c r="Q123" s="448"/>
      <c r="R123" s="448"/>
      <c r="S123" s="448"/>
      <c r="T123" s="448"/>
      <c r="U123" s="448"/>
    </row>
    <row r="124" customFormat="false" ht="12.75" hidden="false" customHeight="false" outlineLevel="0" collapsed="false">
      <c r="A124" s="49"/>
      <c r="B124" s="49"/>
      <c r="C124" s="49"/>
      <c r="D124" s="49"/>
      <c r="G124" s="49"/>
      <c r="I124" s="454"/>
      <c r="J124" s="454"/>
      <c r="K124" s="454"/>
      <c r="L124" s="454"/>
      <c r="M124" s="454"/>
      <c r="N124" s="454"/>
      <c r="P124" s="448"/>
      <c r="Q124" s="448"/>
      <c r="R124" s="448"/>
      <c r="S124" s="448"/>
      <c r="T124" s="448"/>
      <c r="U124" s="448"/>
    </row>
    <row r="125" customFormat="false" ht="12.75" hidden="false" customHeight="false" outlineLevel="0" collapsed="false">
      <c r="A125" s="49"/>
      <c r="B125" s="49"/>
      <c r="C125" s="49"/>
      <c r="D125" s="49"/>
      <c r="G125" s="49"/>
      <c r="I125" s="454"/>
      <c r="J125" s="454"/>
      <c r="K125" s="454"/>
      <c r="L125" s="454"/>
      <c r="M125" s="454"/>
      <c r="N125" s="454"/>
      <c r="P125" s="448"/>
      <c r="Q125" s="448"/>
      <c r="R125" s="448"/>
      <c r="S125" s="448"/>
      <c r="T125" s="448"/>
      <c r="U125" s="448"/>
    </row>
    <row r="126" customFormat="false" ht="12.75" hidden="false" customHeight="false" outlineLevel="0" collapsed="false">
      <c r="A126" s="49"/>
      <c r="B126" s="49"/>
      <c r="C126" s="49"/>
      <c r="D126" s="49"/>
      <c r="G126" s="49"/>
      <c r="I126" s="454"/>
      <c r="J126" s="454"/>
      <c r="K126" s="454"/>
      <c r="L126" s="454"/>
      <c r="M126" s="454"/>
      <c r="N126" s="454"/>
      <c r="P126" s="448"/>
      <c r="Q126" s="448"/>
      <c r="R126" s="448"/>
      <c r="S126" s="448"/>
      <c r="T126" s="448"/>
      <c r="U126" s="448"/>
    </row>
    <row r="127" customFormat="false" ht="12.75" hidden="false" customHeight="false" outlineLevel="0" collapsed="false">
      <c r="A127" s="49"/>
      <c r="B127" s="49"/>
      <c r="C127" s="49"/>
      <c r="D127" s="49"/>
      <c r="G127" s="49"/>
      <c r="I127" s="454"/>
      <c r="J127" s="454"/>
      <c r="K127" s="454"/>
      <c r="L127" s="454"/>
      <c r="M127" s="454"/>
      <c r="N127" s="454"/>
      <c r="P127" s="448"/>
      <c r="Q127" s="448"/>
      <c r="R127" s="448"/>
      <c r="S127" s="448"/>
      <c r="T127" s="448"/>
      <c r="U127" s="448"/>
    </row>
    <row r="128" customFormat="false" ht="12.75" hidden="false" customHeight="false" outlineLevel="0" collapsed="false">
      <c r="A128" s="49"/>
      <c r="B128" s="49"/>
      <c r="C128" s="49"/>
      <c r="D128" s="49"/>
      <c r="G128" s="49"/>
      <c r="I128" s="454"/>
      <c r="J128" s="454"/>
      <c r="K128" s="454"/>
      <c r="L128" s="454"/>
      <c r="M128" s="454"/>
      <c r="N128" s="454"/>
      <c r="P128" s="448"/>
      <c r="Q128" s="448"/>
      <c r="R128" s="448"/>
      <c r="S128" s="448"/>
      <c r="T128" s="448"/>
      <c r="U128" s="448"/>
    </row>
    <row r="129" customFormat="false" ht="12.75" hidden="false" customHeight="false" outlineLevel="0" collapsed="false">
      <c r="A129" s="49"/>
      <c r="B129" s="49"/>
      <c r="C129" s="49"/>
      <c r="D129" s="49"/>
      <c r="G129" s="49"/>
      <c r="I129" s="454"/>
      <c r="J129" s="454"/>
      <c r="K129" s="454"/>
      <c r="L129" s="454"/>
      <c r="M129" s="454"/>
      <c r="N129" s="454"/>
      <c r="P129" s="448"/>
      <c r="Q129" s="448"/>
      <c r="R129" s="448"/>
      <c r="S129" s="448"/>
      <c r="T129" s="448"/>
      <c r="U129" s="448"/>
    </row>
    <row r="130" customFormat="false" ht="12.75" hidden="false" customHeight="false" outlineLevel="0" collapsed="false">
      <c r="A130" s="49"/>
      <c r="B130" s="49"/>
      <c r="C130" s="49"/>
      <c r="D130" s="49"/>
      <c r="G130" s="49"/>
      <c r="I130" s="454"/>
      <c r="J130" s="454"/>
      <c r="K130" s="454"/>
      <c r="L130" s="454"/>
      <c r="M130" s="454"/>
      <c r="N130" s="454"/>
      <c r="P130" s="448"/>
      <c r="Q130" s="448"/>
      <c r="R130" s="448"/>
      <c r="S130" s="448"/>
      <c r="T130" s="448"/>
      <c r="U130" s="448"/>
    </row>
    <row r="131" customFormat="false" ht="12.75" hidden="false" customHeight="false" outlineLevel="0" collapsed="false">
      <c r="A131" s="49"/>
      <c r="B131" s="49"/>
      <c r="C131" s="49"/>
      <c r="D131" s="49"/>
      <c r="G131" s="49"/>
      <c r="I131" s="454"/>
      <c r="J131" s="454"/>
      <c r="K131" s="454"/>
      <c r="L131" s="454"/>
      <c r="M131" s="454"/>
      <c r="N131" s="454"/>
      <c r="P131" s="448"/>
      <c r="Q131" s="448"/>
      <c r="R131" s="448"/>
      <c r="S131" s="448"/>
      <c r="T131" s="448"/>
      <c r="U131" s="448"/>
    </row>
    <row r="132" customFormat="false" ht="12.75" hidden="false" customHeight="false" outlineLevel="0" collapsed="false">
      <c r="A132" s="49"/>
      <c r="B132" s="49"/>
      <c r="C132" s="49"/>
      <c r="D132" s="49"/>
      <c r="G132" s="49"/>
      <c r="I132" s="454"/>
      <c r="J132" s="454"/>
      <c r="K132" s="454"/>
      <c r="L132" s="454"/>
      <c r="M132" s="454"/>
      <c r="N132" s="454"/>
      <c r="P132" s="448"/>
      <c r="Q132" s="448"/>
      <c r="R132" s="448"/>
      <c r="S132" s="448"/>
      <c r="T132" s="448"/>
      <c r="U132" s="448"/>
    </row>
    <row r="133" customFormat="false" ht="12.75" hidden="false" customHeight="false" outlineLevel="0" collapsed="false">
      <c r="A133" s="49"/>
      <c r="B133" s="49"/>
      <c r="C133" s="49"/>
      <c r="D133" s="49"/>
      <c r="G133" s="49"/>
      <c r="I133" s="454"/>
      <c r="J133" s="454"/>
      <c r="K133" s="454"/>
      <c r="L133" s="454"/>
      <c r="M133" s="454"/>
      <c r="N133" s="454"/>
      <c r="P133" s="448"/>
      <c r="Q133" s="448"/>
      <c r="R133" s="448"/>
      <c r="S133" s="448"/>
      <c r="T133" s="448"/>
      <c r="U133" s="448"/>
    </row>
    <row r="134" customFormat="false" ht="12.75" hidden="false" customHeight="false" outlineLevel="0" collapsed="false">
      <c r="A134" s="49"/>
      <c r="B134" s="49"/>
      <c r="C134" s="49"/>
      <c r="D134" s="49"/>
      <c r="G134" s="49"/>
      <c r="I134" s="454"/>
      <c r="J134" s="454"/>
      <c r="K134" s="454"/>
      <c r="L134" s="454"/>
      <c r="M134" s="454"/>
      <c r="N134" s="454"/>
      <c r="P134" s="448"/>
      <c r="Q134" s="448"/>
      <c r="R134" s="448"/>
      <c r="S134" s="448"/>
      <c r="T134" s="448"/>
      <c r="U134" s="448"/>
    </row>
    <row r="135" customFormat="false" ht="12.75" hidden="false" customHeight="false" outlineLevel="0" collapsed="false">
      <c r="A135" s="49"/>
      <c r="B135" s="49"/>
      <c r="C135" s="49"/>
      <c r="D135" s="49"/>
      <c r="G135" s="49"/>
      <c r="I135" s="454"/>
      <c r="J135" s="454"/>
      <c r="K135" s="454"/>
      <c r="L135" s="454"/>
      <c r="M135" s="454"/>
      <c r="N135" s="454"/>
      <c r="P135" s="448"/>
      <c r="Q135" s="448"/>
      <c r="R135" s="448"/>
      <c r="S135" s="448"/>
      <c r="T135" s="448"/>
      <c r="U135" s="448"/>
    </row>
    <row r="136" customFormat="false" ht="12.75" hidden="false" customHeight="false" outlineLevel="0" collapsed="false">
      <c r="A136" s="49"/>
      <c r="B136" s="49"/>
      <c r="C136" s="49"/>
      <c r="D136" s="49"/>
      <c r="G136" s="49"/>
      <c r="I136" s="454"/>
      <c r="J136" s="454"/>
      <c r="K136" s="454"/>
      <c r="L136" s="454"/>
      <c r="M136" s="454"/>
      <c r="N136" s="454"/>
      <c r="P136" s="448"/>
      <c r="Q136" s="448"/>
      <c r="R136" s="448"/>
      <c r="S136" s="448"/>
      <c r="T136" s="448"/>
      <c r="U136" s="448"/>
    </row>
    <row r="137" customFormat="false" ht="12.75" hidden="false" customHeight="false" outlineLevel="0" collapsed="false">
      <c r="A137" s="49"/>
      <c r="B137" s="49"/>
      <c r="C137" s="49"/>
      <c r="D137" s="49"/>
      <c r="G137" s="49"/>
      <c r="I137" s="454"/>
      <c r="J137" s="454"/>
      <c r="K137" s="454"/>
      <c r="L137" s="454"/>
      <c r="M137" s="454"/>
      <c r="N137" s="454"/>
      <c r="P137" s="448"/>
      <c r="Q137" s="448"/>
      <c r="R137" s="448"/>
      <c r="S137" s="448"/>
      <c r="T137" s="448"/>
      <c r="U137" s="448"/>
    </row>
    <row r="138" customFormat="false" ht="12.75" hidden="false" customHeight="false" outlineLevel="0" collapsed="false">
      <c r="A138" s="49"/>
      <c r="B138" s="49"/>
      <c r="C138" s="49"/>
      <c r="D138" s="49"/>
      <c r="G138" s="49"/>
      <c r="I138" s="454"/>
      <c r="J138" s="454"/>
      <c r="K138" s="454"/>
      <c r="L138" s="454"/>
      <c r="M138" s="454"/>
      <c r="N138" s="454"/>
      <c r="P138" s="448"/>
      <c r="Q138" s="448"/>
      <c r="R138" s="448"/>
      <c r="S138" s="448"/>
      <c r="T138" s="448"/>
      <c r="U138" s="448"/>
    </row>
    <row r="139" customFormat="false" ht="12.75" hidden="false" customHeight="false" outlineLevel="0" collapsed="false">
      <c r="A139" s="49"/>
      <c r="B139" s="49"/>
      <c r="C139" s="49"/>
      <c r="D139" s="49"/>
      <c r="G139" s="49"/>
      <c r="I139" s="454"/>
      <c r="J139" s="454"/>
      <c r="K139" s="454"/>
      <c r="L139" s="454"/>
      <c r="M139" s="454"/>
      <c r="N139" s="454"/>
      <c r="P139" s="448"/>
      <c r="Q139" s="448"/>
      <c r="R139" s="448"/>
      <c r="S139" s="448"/>
      <c r="T139" s="448"/>
      <c r="U139" s="448"/>
    </row>
    <row r="140" customFormat="false" ht="12.75" hidden="false" customHeight="false" outlineLevel="0" collapsed="false">
      <c r="A140" s="49"/>
      <c r="B140" s="49"/>
      <c r="C140" s="49"/>
      <c r="D140" s="49"/>
      <c r="G140" s="49"/>
      <c r="I140" s="454"/>
      <c r="J140" s="454"/>
      <c r="K140" s="454"/>
      <c r="L140" s="454"/>
      <c r="M140" s="454"/>
      <c r="N140" s="454"/>
      <c r="P140" s="448"/>
      <c r="Q140" s="448"/>
      <c r="R140" s="448"/>
      <c r="S140" s="448"/>
      <c r="T140" s="448"/>
      <c r="U140" s="448"/>
    </row>
    <row r="141" customFormat="false" ht="12.75" hidden="false" customHeight="false" outlineLevel="0" collapsed="false">
      <c r="A141" s="49"/>
      <c r="B141" s="49"/>
      <c r="C141" s="49"/>
      <c r="D141" s="49"/>
      <c r="G141" s="49"/>
      <c r="I141" s="454"/>
      <c r="J141" s="454"/>
      <c r="K141" s="454"/>
      <c r="L141" s="454"/>
      <c r="M141" s="454"/>
      <c r="N141" s="454"/>
      <c r="P141" s="448"/>
      <c r="Q141" s="448"/>
      <c r="R141" s="448"/>
      <c r="S141" s="448"/>
      <c r="T141" s="448"/>
      <c r="U141" s="448"/>
    </row>
    <row r="142" customFormat="false" ht="12.75" hidden="false" customHeight="false" outlineLevel="0" collapsed="false">
      <c r="A142" s="49"/>
      <c r="B142" s="49"/>
      <c r="C142" s="49"/>
      <c r="D142" s="49"/>
      <c r="G142" s="49"/>
      <c r="I142" s="454"/>
      <c r="J142" s="454"/>
      <c r="K142" s="454"/>
      <c r="L142" s="454"/>
      <c r="M142" s="454"/>
      <c r="N142" s="454"/>
      <c r="P142" s="448"/>
      <c r="Q142" s="448"/>
      <c r="R142" s="448"/>
      <c r="S142" s="448"/>
      <c r="T142" s="448"/>
      <c r="U142" s="448"/>
    </row>
    <row r="143" customFormat="false" ht="12.75" hidden="false" customHeight="false" outlineLevel="0" collapsed="false">
      <c r="A143" s="49"/>
      <c r="B143" s="49"/>
      <c r="C143" s="49"/>
      <c r="D143" s="49"/>
      <c r="G143" s="49"/>
      <c r="I143" s="454"/>
      <c r="J143" s="454"/>
      <c r="K143" s="454"/>
      <c r="L143" s="454"/>
      <c r="M143" s="454"/>
      <c r="N143" s="454"/>
      <c r="P143" s="448"/>
      <c r="Q143" s="448"/>
      <c r="R143" s="448"/>
      <c r="S143" s="448"/>
      <c r="T143" s="448"/>
      <c r="U143" s="448"/>
    </row>
    <row r="144" customFormat="false" ht="12.75" hidden="false" customHeight="false" outlineLevel="0" collapsed="false">
      <c r="A144" s="49"/>
      <c r="B144" s="49"/>
      <c r="C144" s="49"/>
      <c r="D144" s="49"/>
      <c r="G144" s="49"/>
      <c r="I144" s="454"/>
      <c r="J144" s="454"/>
      <c r="K144" s="454"/>
      <c r="L144" s="454"/>
      <c r="M144" s="454"/>
      <c r="N144" s="454"/>
      <c r="P144" s="448"/>
      <c r="Q144" s="448"/>
      <c r="R144" s="448"/>
      <c r="S144" s="448"/>
      <c r="T144" s="448"/>
      <c r="U144" s="448"/>
    </row>
    <row r="145" customFormat="false" ht="12.75" hidden="false" customHeight="false" outlineLevel="0" collapsed="false">
      <c r="A145" s="49"/>
      <c r="B145" s="49"/>
      <c r="C145" s="49"/>
      <c r="D145" s="49"/>
      <c r="G145" s="49"/>
      <c r="I145" s="454"/>
      <c r="J145" s="454"/>
      <c r="K145" s="454"/>
      <c r="L145" s="454"/>
      <c r="M145" s="454"/>
      <c r="N145" s="454"/>
      <c r="P145" s="448"/>
      <c r="Q145" s="448"/>
      <c r="R145" s="448"/>
      <c r="S145" s="448"/>
      <c r="T145" s="448"/>
      <c r="U145" s="448"/>
    </row>
    <row r="146" customFormat="false" ht="12.75" hidden="false" customHeight="false" outlineLevel="0" collapsed="false">
      <c r="A146" s="49"/>
      <c r="B146" s="49"/>
      <c r="C146" s="49"/>
      <c r="D146" s="49"/>
      <c r="G146" s="49"/>
      <c r="I146" s="454"/>
      <c r="J146" s="454"/>
      <c r="K146" s="454"/>
      <c r="L146" s="454"/>
      <c r="M146" s="454"/>
      <c r="N146" s="454"/>
      <c r="P146" s="448"/>
      <c r="Q146" s="448"/>
      <c r="R146" s="448"/>
      <c r="S146" s="448"/>
      <c r="T146" s="448"/>
      <c r="U146" s="448"/>
    </row>
    <row r="147" customFormat="false" ht="12.75" hidden="false" customHeight="false" outlineLevel="0" collapsed="false">
      <c r="A147" s="49"/>
      <c r="B147" s="49"/>
      <c r="C147" s="49"/>
      <c r="D147" s="49"/>
      <c r="G147" s="49"/>
      <c r="I147" s="454"/>
      <c r="J147" s="454"/>
      <c r="K147" s="454"/>
      <c r="L147" s="454"/>
      <c r="M147" s="454"/>
      <c r="N147" s="454"/>
      <c r="P147" s="448"/>
      <c r="Q147" s="448"/>
      <c r="R147" s="448"/>
      <c r="S147" s="448"/>
      <c r="T147" s="448"/>
      <c r="U147" s="448"/>
    </row>
    <row r="148" customFormat="false" ht="12.75" hidden="false" customHeight="false" outlineLevel="0" collapsed="false">
      <c r="A148" s="49"/>
      <c r="B148" s="49"/>
      <c r="C148" s="49"/>
      <c r="D148" s="49"/>
      <c r="G148" s="49"/>
      <c r="I148" s="454"/>
      <c r="J148" s="454"/>
      <c r="K148" s="454"/>
      <c r="L148" s="454"/>
      <c r="M148" s="454"/>
      <c r="N148" s="454"/>
      <c r="P148" s="448"/>
      <c r="Q148" s="448"/>
      <c r="R148" s="448"/>
      <c r="S148" s="448"/>
      <c r="T148" s="448"/>
      <c r="U148" s="448"/>
    </row>
    <row r="149" customFormat="false" ht="12.75" hidden="false" customHeight="false" outlineLevel="0" collapsed="false">
      <c r="A149" s="49"/>
      <c r="B149" s="49"/>
      <c r="C149" s="49"/>
      <c r="D149" s="49"/>
      <c r="G149" s="49"/>
      <c r="I149" s="454"/>
      <c r="J149" s="454"/>
      <c r="K149" s="454"/>
      <c r="L149" s="454"/>
      <c r="M149" s="454"/>
      <c r="N149" s="454"/>
      <c r="P149" s="448"/>
      <c r="Q149" s="448"/>
      <c r="R149" s="448"/>
      <c r="S149" s="448"/>
      <c r="T149" s="448"/>
      <c r="U149" s="448"/>
    </row>
    <row r="150" customFormat="false" ht="12.75" hidden="false" customHeight="false" outlineLevel="0" collapsed="false">
      <c r="A150" s="49"/>
      <c r="B150" s="49"/>
      <c r="C150" s="49"/>
      <c r="D150" s="49"/>
      <c r="G150" s="49"/>
      <c r="I150" s="454"/>
      <c r="J150" s="454"/>
      <c r="K150" s="454"/>
      <c r="L150" s="454"/>
      <c r="M150" s="454"/>
      <c r="N150" s="454"/>
      <c r="P150" s="448"/>
      <c r="Q150" s="448"/>
      <c r="R150" s="448"/>
      <c r="S150" s="448"/>
      <c r="T150" s="448"/>
      <c r="U150" s="448"/>
    </row>
    <row r="151" customFormat="false" ht="12.75" hidden="false" customHeight="false" outlineLevel="0" collapsed="false">
      <c r="A151" s="49"/>
      <c r="B151" s="49"/>
      <c r="C151" s="49"/>
      <c r="D151" s="49"/>
      <c r="G151" s="49"/>
      <c r="I151" s="454"/>
      <c r="J151" s="454"/>
      <c r="K151" s="454"/>
      <c r="L151" s="454"/>
      <c r="M151" s="454"/>
      <c r="N151" s="454"/>
      <c r="P151" s="448"/>
      <c r="Q151" s="448"/>
      <c r="R151" s="448"/>
      <c r="S151" s="448"/>
      <c r="T151" s="448"/>
      <c r="U151" s="448"/>
    </row>
    <row r="152" customFormat="false" ht="12.75" hidden="false" customHeight="false" outlineLevel="0" collapsed="false">
      <c r="A152" s="49"/>
      <c r="B152" s="49"/>
      <c r="C152" s="49"/>
      <c r="D152" s="49"/>
      <c r="G152" s="49"/>
      <c r="I152" s="454"/>
      <c r="J152" s="454"/>
      <c r="K152" s="454"/>
      <c r="L152" s="454"/>
      <c r="M152" s="454"/>
      <c r="N152" s="454"/>
      <c r="P152" s="448"/>
      <c r="Q152" s="448"/>
      <c r="R152" s="448"/>
      <c r="S152" s="448"/>
      <c r="T152" s="448"/>
      <c r="U152" s="448"/>
    </row>
    <row r="153" customFormat="false" ht="12.75" hidden="false" customHeight="false" outlineLevel="0" collapsed="false">
      <c r="A153" s="49"/>
      <c r="B153" s="49"/>
      <c r="C153" s="49"/>
      <c r="D153" s="49"/>
      <c r="G153" s="49"/>
      <c r="I153" s="454"/>
      <c r="J153" s="454"/>
      <c r="K153" s="454"/>
      <c r="L153" s="454"/>
      <c r="M153" s="454"/>
      <c r="N153" s="454"/>
      <c r="P153" s="448"/>
      <c r="Q153" s="448"/>
      <c r="R153" s="448"/>
      <c r="S153" s="448"/>
      <c r="T153" s="448"/>
      <c r="U153" s="448"/>
    </row>
    <row r="154" customFormat="false" ht="12.75" hidden="false" customHeight="false" outlineLevel="0" collapsed="false">
      <c r="A154" s="49"/>
      <c r="B154" s="49"/>
      <c r="C154" s="49"/>
      <c r="D154" s="49"/>
      <c r="G154" s="49"/>
      <c r="I154" s="454"/>
      <c r="J154" s="454"/>
      <c r="K154" s="454"/>
      <c r="L154" s="454"/>
      <c r="M154" s="454"/>
      <c r="N154" s="454"/>
      <c r="P154" s="448"/>
      <c r="Q154" s="448"/>
      <c r="R154" s="448"/>
      <c r="S154" s="448"/>
      <c r="T154" s="448"/>
      <c r="U154" s="448"/>
    </row>
    <row r="155" customFormat="false" ht="12.75" hidden="false" customHeight="false" outlineLevel="0" collapsed="false">
      <c r="A155" s="49"/>
      <c r="B155" s="49"/>
      <c r="C155" s="49"/>
      <c r="D155" s="49"/>
      <c r="G155" s="49"/>
      <c r="I155" s="454"/>
      <c r="J155" s="454"/>
      <c r="K155" s="454"/>
      <c r="L155" s="454"/>
      <c r="M155" s="454"/>
      <c r="N155" s="454"/>
      <c r="P155" s="448"/>
      <c r="Q155" s="448"/>
      <c r="R155" s="448"/>
      <c r="S155" s="448"/>
      <c r="T155" s="448"/>
      <c r="U155" s="448"/>
    </row>
    <row r="156" customFormat="false" ht="12.75" hidden="false" customHeight="false" outlineLevel="0" collapsed="false">
      <c r="A156" s="49"/>
      <c r="B156" s="49"/>
      <c r="C156" s="49"/>
      <c r="D156" s="49"/>
      <c r="G156" s="49"/>
      <c r="I156" s="454"/>
      <c r="J156" s="454"/>
      <c r="K156" s="454"/>
      <c r="L156" s="454"/>
      <c r="M156" s="454"/>
      <c r="N156" s="454"/>
      <c r="P156" s="448"/>
      <c r="Q156" s="448"/>
      <c r="R156" s="448"/>
      <c r="S156" s="448"/>
      <c r="T156" s="448"/>
      <c r="U156" s="448"/>
    </row>
    <row r="157" customFormat="false" ht="12.75" hidden="false" customHeight="false" outlineLevel="0" collapsed="false">
      <c r="A157" s="49"/>
      <c r="B157" s="49"/>
      <c r="C157" s="49"/>
      <c r="D157" s="49"/>
      <c r="G157" s="49"/>
      <c r="I157" s="454"/>
      <c r="J157" s="454"/>
      <c r="K157" s="454"/>
      <c r="L157" s="454"/>
      <c r="M157" s="454"/>
      <c r="N157" s="454"/>
      <c r="P157" s="448"/>
      <c r="Q157" s="448"/>
      <c r="R157" s="448"/>
      <c r="S157" s="448"/>
      <c r="T157" s="448"/>
      <c r="U157" s="448"/>
    </row>
    <row r="158" customFormat="false" ht="12.75" hidden="false" customHeight="false" outlineLevel="0" collapsed="false">
      <c r="A158" s="49"/>
      <c r="B158" s="49"/>
      <c r="C158" s="49"/>
      <c r="D158" s="49"/>
      <c r="G158" s="49"/>
      <c r="I158" s="454"/>
      <c r="J158" s="454"/>
      <c r="K158" s="454"/>
      <c r="L158" s="454"/>
      <c r="M158" s="454"/>
      <c r="N158" s="454"/>
      <c r="P158" s="448"/>
      <c r="Q158" s="448"/>
      <c r="R158" s="448"/>
      <c r="S158" s="448"/>
      <c r="T158" s="448"/>
      <c r="U158" s="448"/>
    </row>
    <row r="159" customFormat="false" ht="12.75" hidden="false" customHeight="false" outlineLevel="0" collapsed="false">
      <c r="A159" s="49"/>
      <c r="B159" s="49"/>
      <c r="C159" s="49"/>
      <c r="D159" s="49"/>
      <c r="G159" s="49"/>
      <c r="I159" s="454"/>
      <c r="J159" s="454"/>
      <c r="K159" s="454"/>
      <c r="L159" s="454"/>
      <c r="M159" s="454"/>
      <c r="N159" s="454"/>
      <c r="P159" s="448"/>
      <c r="Q159" s="448"/>
      <c r="R159" s="448"/>
      <c r="S159" s="448"/>
      <c r="T159" s="448"/>
      <c r="U159" s="448"/>
    </row>
    <row r="160" customFormat="false" ht="12.75" hidden="false" customHeight="false" outlineLevel="0" collapsed="false">
      <c r="A160" s="49"/>
      <c r="B160" s="49"/>
      <c r="C160" s="49"/>
      <c r="D160" s="49"/>
      <c r="G160" s="49"/>
      <c r="I160" s="454"/>
      <c r="J160" s="454"/>
      <c r="K160" s="454"/>
      <c r="L160" s="454"/>
      <c r="M160" s="454"/>
      <c r="N160" s="454"/>
      <c r="P160" s="448"/>
      <c r="Q160" s="448"/>
      <c r="R160" s="448"/>
      <c r="S160" s="448"/>
      <c r="T160" s="448"/>
      <c r="U160" s="448"/>
    </row>
    <row r="161" customFormat="false" ht="12.75" hidden="false" customHeight="false" outlineLevel="0" collapsed="false">
      <c r="A161" s="49"/>
      <c r="B161" s="49"/>
      <c r="C161" s="49"/>
      <c r="D161" s="49"/>
      <c r="G161" s="49"/>
      <c r="I161" s="454"/>
      <c r="J161" s="454"/>
      <c r="K161" s="454"/>
      <c r="L161" s="454"/>
      <c r="M161" s="454"/>
      <c r="N161" s="454"/>
      <c r="P161" s="448"/>
      <c r="Q161" s="448"/>
      <c r="R161" s="448"/>
      <c r="S161" s="448"/>
      <c r="T161" s="448"/>
      <c r="U161" s="448"/>
    </row>
    <row r="162" customFormat="false" ht="12.75" hidden="false" customHeight="false" outlineLevel="0" collapsed="false">
      <c r="A162" s="49"/>
      <c r="B162" s="49"/>
      <c r="C162" s="49"/>
      <c r="D162" s="49"/>
      <c r="G162" s="49"/>
      <c r="I162" s="454"/>
      <c r="J162" s="454"/>
      <c r="K162" s="454"/>
      <c r="L162" s="454"/>
      <c r="M162" s="454"/>
      <c r="N162" s="454"/>
      <c r="P162" s="448"/>
      <c r="Q162" s="448"/>
      <c r="R162" s="448"/>
      <c r="S162" s="448"/>
      <c r="T162" s="448"/>
      <c r="U162" s="448"/>
    </row>
    <row r="163" customFormat="false" ht="12.75" hidden="false" customHeight="false" outlineLevel="0" collapsed="false">
      <c r="A163" s="49"/>
      <c r="B163" s="49"/>
      <c r="C163" s="49"/>
      <c r="D163" s="49"/>
      <c r="G163" s="49"/>
      <c r="I163" s="454"/>
      <c r="J163" s="454"/>
      <c r="K163" s="454"/>
      <c r="L163" s="454"/>
      <c r="M163" s="454"/>
      <c r="N163" s="454"/>
      <c r="P163" s="448"/>
      <c r="Q163" s="448"/>
      <c r="R163" s="448"/>
      <c r="S163" s="448"/>
      <c r="T163" s="448"/>
      <c r="U163" s="448"/>
    </row>
    <row r="164" customFormat="false" ht="12.75" hidden="false" customHeight="false" outlineLevel="0" collapsed="false">
      <c r="A164" s="49"/>
      <c r="B164" s="49"/>
      <c r="C164" s="49"/>
      <c r="D164" s="49"/>
      <c r="G164" s="49"/>
      <c r="I164" s="454"/>
      <c r="J164" s="454"/>
      <c r="K164" s="454"/>
      <c r="L164" s="454"/>
      <c r="M164" s="454"/>
      <c r="N164" s="454"/>
      <c r="P164" s="448"/>
      <c r="Q164" s="448"/>
      <c r="R164" s="448"/>
      <c r="S164" s="448"/>
      <c r="T164" s="448"/>
      <c r="U164" s="448"/>
    </row>
    <row r="165" customFormat="false" ht="12.75" hidden="false" customHeight="false" outlineLevel="0" collapsed="false">
      <c r="A165" s="49"/>
      <c r="B165" s="49"/>
      <c r="C165" s="49"/>
      <c r="D165" s="49"/>
      <c r="G165" s="49"/>
      <c r="I165" s="454"/>
      <c r="J165" s="454"/>
      <c r="K165" s="454"/>
      <c r="L165" s="454"/>
      <c r="M165" s="454"/>
      <c r="N165" s="454"/>
      <c r="P165" s="448"/>
      <c r="Q165" s="448"/>
      <c r="R165" s="448"/>
      <c r="S165" s="448"/>
      <c r="T165" s="448"/>
      <c r="U165" s="448"/>
    </row>
    <row r="166" customFormat="false" ht="12.75" hidden="false" customHeight="false" outlineLevel="0" collapsed="false">
      <c r="A166" s="49"/>
      <c r="B166" s="49"/>
      <c r="C166" s="49"/>
      <c r="D166" s="49"/>
      <c r="G166" s="49"/>
      <c r="I166" s="454"/>
      <c r="J166" s="454"/>
      <c r="K166" s="454"/>
      <c r="L166" s="454"/>
      <c r="M166" s="454"/>
      <c r="N166" s="454"/>
      <c r="P166" s="448"/>
      <c r="Q166" s="448"/>
      <c r="R166" s="448"/>
      <c r="S166" s="448"/>
      <c r="T166" s="448"/>
      <c r="U166" s="448"/>
    </row>
    <row r="167" customFormat="false" ht="12.75" hidden="false" customHeight="false" outlineLevel="0" collapsed="false">
      <c r="A167" s="49"/>
      <c r="B167" s="49"/>
      <c r="C167" s="49"/>
      <c r="D167" s="49"/>
      <c r="G167" s="49"/>
      <c r="I167" s="454"/>
      <c r="J167" s="454"/>
      <c r="K167" s="454"/>
      <c r="L167" s="454"/>
      <c r="M167" s="454"/>
      <c r="N167" s="454"/>
      <c r="P167" s="448"/>
      <c r="Q167" s="448"/>
      <c r="R167" s="448"/>
      <c r="S167" s="448"/>
      <c r="T167" s="448"/>
      <c r="U167" s="448"/>
    </row>
    <row r="168" customFormat="false" ht="12.75" hidden="false" customHeight="false" outlineLevel="0" collapsed="false">
      <c r="A168" s="49"/>
      <c r="B168" s="49"/>
      <c r="C168" s="49"/>
      <c r="D168" s="49"/>
      <c r="G168" s="49"/>
      <c r="I168" s="454"/>
      <c r="J168" s="454"/>
      <c r="K168" s="454"/>
      <c r="L168" s="454"/>
      <c r="M168" s="454"/>
      <c r="N168" s="454"/>
      <c r="P168" s="448"/>
      <c r="Q168" s="448"/>
      <c r="R168" s="448"/>
      <c r="S168" s="448"/>
      <c r="T168" s="448"/>
      <c r="U168" s="448"/>
    </row>
    <row r="169" customFormat="false" ht="12.75" hidden="false" customHeight="false" outlineLevel="0" collapsed="false">
      <c r="A169" s="49"/>
      <c r="B169" s="49"/>
      <c r="C169" s="49"/>
      <c r="D169" s="49"/>
      <c r="G169" s="49"/>
      <c r="I169" s="454"/>
      <c r="J169" s="454"/>
      <c r="K169" s="454"/>
      <c r="L169" s="454"/>
      <c r="M169" s="454"/>
      <c r="N169" s="454"/>
      <c r="P169" s="448"/>
      <c r="Q169" s="448"/>
      <c r="R169" s="448"/>
      <c r="S169" s="448"/>
      <c r="T169" s="448"/>
      <c r="U169" s="448"/>
    </row>
    <row r="170" customFormat="false" ht="12.75" hidden="false" customHeight="false" outlineLevel="0" collapsed="false">
      <c r="A170" s="49"/>
      <c r="B170" s="49"/>
      <c r="C170" s="49"/>
      <c r="D170" s="49"/>
      <c r="G170" s="49"/>
      <c r="I170" s="454"/>
      <c r="J170" s="454"/>
      <c r="K170" s="454"/>
      <c r="L170" s="454"/>
      <c r="M170" s="454"/>
      <c r="N170" s="454"/>
      <c r="P170" s="448"/>
      <c r="Q170" s="448"/>
      <c r="R170" s="448"/>
      <c r="S170" s="448"/>
      <c r="T170" s="448"/>
      <c r="U170" s="448"/>
    </row>
    <row r="171" customFormat="false" ht="12.75" hidden="false" customHeight="false" outlineLevel="0" collapsed="false">
      <c r="A171" s="49"/>
      <c r="B171" s="49"/>
      <c r="C171" s="49"/>
      <c r="D171" s="49"/>
      <c r="G171" s="49"/>
      <c r="I171" s="454"/>
      <c r="J171" s="454"/>
      <c r="K171" s="454"/>
      <c r="L171" s="454"/>
      <c r="M171" s="454"/>
      <c r="N171" s="454"/>
      <c r="P171" s="448"/>
      <c r="Q171" s="448"/>
      <c r="R171" s="448"/>
      <c r="S171" s="448"/>
      <c r="T171" s="448"/>
      <c r="U171" s="448"/>
    </row>
    <row r="172" customFormat="false" ht="12.75" hidden="false" customHeight="false" outlineLevel="0" collapsed="false">
      <c r="A172" s="49"/>
      <c r="B172" s="49"/>
      <c r="C172" s="49"/>
      <c r="D172" s="49"/>
      <c r="G172" s="49"/>
      <c r="I172" s="454"/>
      <c r="J172" s="454"/>
      <c r="K172" s="454"/>
      <c r="L172" s="454"/>
      <c r="M172" s="454"/>
      <c r="N172" s="454"/>
      <c r="P172" s="448"/>
      <c r="Q172" s="448"/>
      <c r="R172" s="448"/>
      <c r="S172" s="448"/>
      <c r="T172" s="448"/>
      <c r="U172" s="448"/>
    </row>
    <row r="173" customFormat="false" ht="12.75" hidden="false" customHeight="false" outlineLevel="0" collapsed="false">
      <c r="A173" s="49"/>
      <c r="B173" s="49"/>
      <c r="C173" s="49"/>
      <c r="D173" s="49"/>
      <c r="G173" s="49"/>
      <c r="I173" s="454"/>
      <c r="J173" s="454"/>
      <c r="K173" s="454"/>
      <c r="L173" s="454"/>
      <c r="M173" s="454"/>
      <c r="N173" s="454"/>
      <c r="P173" s="448"/>
      <c r="Q173" s="448"/>
      <c r="R173" s="448"/>
      <c r="S173" s="448"/>
      <c r="T173" s="448"/>
      <c r="U173" s="448"/>
    </row>
    <row r="174" customFormat="false" ht="12.75" hidden="false" customHeight="false" outlineLevel="0" collapsed="false">
      <c r="A174" s="49"/>
      <c r="B174" s="49"/>
      <c r="C174" s="49"/>
      <c r="D174" s="49"/>
      <c r="G174" s="49"/>
      <c r="I174" s="454"/>
      <c r="J174" s="454"/>
      <c r="K174" s="454"/>
      <c r="L174" s="454"/>
      <c r="M174" s="454"/>
      <c r="N174" s="454"/>
      <c r="P174" s="448"/>
      <c r="Q174" s="448"/>
      <c r="R174" s="448"/>
      <c r="S174" s="448"/>
      <c r="T174" s="448"/>
      <c r="U174" s="448"/>
    </row>
    <row r="175" customFormat="false" ht="12.75" hidden="false" customHeight="false" outlineLevel="0" collapsed="false">
      <c r="A175" s="49"/>
      <c r="B175" s="49"/>
      <c r="C175" s="49"/>
      <c r="D175" s="49"/>
      <c r="G175" s="49"/>
      <c r="I175" s="454"/>
      <c r="J175" s="454"/>
      <c r="K175" s="454"/>
      <c r="L175" s="454"/>
      <c r="M175" s="454"/>
      <c r="N175" s="454"/>
      <c r="P175" s="448"/>
      <c r="Q175" s="448"/>
      <c r="R175" s="448"/>
      <c r="S175" s="448"/>
      <c r="T175" s="448"/>
      <c r="U175" s="448"/>
    </row>
    <row r="176" customFormat="false" ht="12.75" hidden="false" customHeight="false" outlineLevel="0" collapsed="false">
      <c r="A176" s="49"/>
      <c r="B176" s="49"/>
      <c r="C176" s="49"/>
      <c r="D176" s="49"/>
      <c r="G176" s="49"/>
      <c r="I176" s="454"/>
      <c r="J176" s="454"/>
      <c r="K176" s="454"/>
      <c r="L176" s="454"/>
      <c r="M176" s="454"/>
      <c r="N176" s="454"/>
      <c r="P176" s="448"/>
      <c r="Q176" s="448"/>
      <c r="R176" s="448"/>
      <c r="S176" s="448"/>
      <c r="T176" s="448"/>
      <c r="U176" s="448"/>
    </row>
    <row r="177" customFormat="false" ht="12.75" hidden="false" customHeight="false" outlineLevel="0" collapsed="false">
      <c r="A177" s="49"/>
      <c r="B177" s="49"/>
      <c r="C177" s="49"/>
      <c r="D177" s="49"/>
      <c r="G177" s="49"/>
      <c r="I177" s="454"/>
      <c r="J177" s="454"/>
      <c r="K177" s="454"/>
      <c r="L177" s="454"/>
      <c r="M177" s="454"/>
      <c r="N177" s="454"/>
      <c r="P177" s="448"/>
      <c r="Q177" s="448"/>
      <c r="R177" s="448"/>
      <c r="S177" s="448"/>
      <c r="T177" s="448"/>
      <c r="U177" s="448"/>
    </row>
    <row r="178" customFormat="false" ht="12.75" hidden="false" customHeight="false" outlineLevel="0" collapsed="false">
      <c r="A178" s="49"/>
      <c r="B178" s="49"/>
      <c r="C178" s="49"/>
      <c r="D178" s="49"/>
      <c r="G178" s="49"/>
      <c r="I178" s="454"/>
      <c r="J178" s="454"/>
      <c r="K178" s="454"/>
      <c r="L178" s="454"/>
      <c r="M178" s="454"/>
      <c r="N178" s="454"/>
      <c r="P178" s="448"/>
      <c r="Q178" s="448"/>
      <c r="R178" s="448"/>
      <c r="S178" s="448"/>
      <c r="T178" s="448"/>
      <c r="U178" s="448"/>
    </row>
    <row r="179" customFormat="false" ht="12.75" hidden="false" customHeight="false" outlineLevel="0" collapsed="false">
      <c r="A179" s="49"/>
      <c r="B179" s="49"/>
      <c r="C179" s="49"/>
      <c r="D179" s="49"/>
      <c r="G179" s="49"/>
      <c r="I179" s="454"/>
      <c r="J179" s="454"/>
      <c r="K179" s="454"/>
      <c r="L179" s="454"/>
      <c r="M179" s="454"/>
      <c r="N179" s="454"/>
      <c r="P179" s="448"/>
      <c r="Q179" s="448"/>
      <c r="R179" s="448"/>
      <c r="S179" s="448"/>
      <c r="T179" s="448"/>
      <c r="U179" s="448"/>
    </row>
    <row r="180" customFormat="false" ht="12.75" hidden="false" customHeight="false" outlineLevel="0" collapsed="false">
      <c r="A180" s="49"/>
      <c r="B180" s="49"/>
      <c r="C180" s="49"/>
      <c r="D180" s="49"/>
      <c r="G180" s="49"/>
      <c r="I180" s="454"/>
      <c r="J180" s="454"/>
      <c r="K180" s="454"/>
      <c r="L180" s="454"/>
      <c r="M180" s="454"/>
      <c r="N180" s="454"/>
      <c r="P180" s="448"/>
      <c r="Q180" s="448"/>
      <c r="R180" s="448"/>
      <c r="S180" s="448"/>
      <c r="T180" s="448"/>
      <c r="U180" s="448"/>
    </row>
    <row r="181" customFormat="false" ht="12.75" hidden="false" customHeight="false" outlineLevel="0" collapsed="false">
      <c r="A181" s="49"/>
      <c r="B181" s="49"/>
      <c r="C181" s="49"/>
      <c r="D181" s="49"/>
      <c r="G181" s="49"/>
      <c r="I181" s="454"/>
      <c r="J181" s="454"/>
      <c r="K181" s="454"/>
      <c r="L181" s="454"/>
      <c r="M181" s="454"/>
      <c r="N181" s="454"/>
      <c r="P181" s="448"/>
      <c r="Q181" s="448"/>
      <c r="R181" s="448"/>
      <c r="S181" s="448"/>
      <c r="T181" s="448"/>
      <c r="U181" s="448"/>
    </row>
    <row r="182" customFormat="false" ht="12.75" hidden="false" customHeight="false" outlineLevel="0" collapsed="false">
      <c r="A182" s="49"/>
      <c r="B182" s="49"/>
      <c r="C182" s="49"/>
      <c r="D182" s="49"/>
      <c r="G182" s="49"/>
      <c r="I182" s="454"/>
      <c r="J182" s="454"/>
      <c r="K182" s="454"/>
      <c r="L182" s="454"/>
      <c r="M182" s="454"/>
      <c r="N182" s="454"/>
      <c r="P182" s="448"/>
      <c r="Q182" s="448"/>
      <c r="R182" s="448"/>
      <c r="S182" s="448"/>
      <c r="T182" s="448"/>
      <c r="U182" s="448"/>
    </row>
    <row r="183" customFormat="false" ht="12.75" hidden="false" customHeight="false" outlineLevel="0" collapsed="false">
      <c r="A183" s="49"/>
      <c r="B183" s="49"/>
      <c r="C183" s="49"/>
      <c r="D183" s="49"/>
      <c r="G183" s="49"/>
      <c r="I183" s="454"/>
      <c r="J183" s="454"/>
      <c r="K183" s="454"/>
      <c r="L183" s="454"/>
      <c r="M183" s="454"/>
      <c r="N183" s="454"/>
      <c r="P183" s="448"/>
      <c r="Q183" s="448"/>
      <c r="R183" s="448"/>
      <c r="S183" s="448"/>
      <c r="T183" s="448"/>
      <c r="U183" s="448"/>
    </row>
    <row r="184" customFormat="false" ht="12.75" hidden="false" customHeight="false" outlineLevel="0" collapsed="false">
      <c r="A184" s="49"/>
      <c r="B184" s="49"/>
      <c r="C184" s="49"/>
      <c r="D184" s="49"/>
      <c r="G184" s="49"/>
      <c r="I184" s="454"/>
      <c r="J184" s="454"/>
      <c r="K184" s="454"/>
      <c r="L184" s="454"/>
      <c r="M184" s="454"/>
      <c r="N184" s="454"/>
      <c r="P184" s="448"/>
      <c r="Q184" s="448"/>
      <c r="R184" s="448"/>
      <c r="S184" s="448"/>
      <c r="T184" s="448"/>
      <c r="U184" s="448"/>
    </row>
    <row r="185" customFormat="false" ht="12.75" hidden="false" customHeight="false" outlineLevel="0" collapsed="false">
      <c r="A185" s="49"/>
      <c r="B185" s="49"/>
      <c r="C185" s="49"/>
      <c r="D185" s="49"/>
      <c r="G185" s="49"/>
      <c r="I185" s="454"/>
      <c r="J185" s="454"/>
      <c r="K185" s="454"/>
      <c r="L185" s="454"/>
      <c r="M185" s="454"/>
      <c r="N185" s="454"/>
      <c r="P185" s="448"/>
      <c r="Q185" s="448"/>
      <c r="R185" s="448"/>
      <c r="S185" s="448"/>
      <c r="T185" s="448"/>
      <c r="U185" s="448"/>
    </row>
    <row r="186" customFormat="false" ht="12.75" hidden="false" customHeight="false" outlineLevel="0" collapsed="false">
      <c r="A186" s="49"/>
      <c r="B186" s="49"/>
      <c r="C186" s="49"/>
      <c r="D186" s="49"/>
      <c r="G186" s="49"/>
      <c r="I186" s="454"/>
      <c r="J186" s="454"/>
      <c r="K186" s="454"/>
      <c r="L186" s="454"/>
      <c r="M186" s="454"/>
      <c r="N186" s="454"/>
      <c r="P186" s="448"/>
      <c r="Q186" s="448"/>
      <c r="R186" s="448"/>
      <c r="S186" s="448"/>
      <c r="T186" s="448"/>
      <c r="U186" s="448"/>
    </row>
    <row r="187" customFormat="false" ht="12.75" hidden="false" customHeight="false" outlineLevel="0" collapsed="false">
      <c r="A187" s="49"/>
      <c r="B187" s="49"/>
      <c r="C187" s="49"/>
      <c r="D187" s="49"/>
      <c r="G187" s="49"/>
      <c r="I187" s="454"/>
      <c r="J187" s="454"/>
      <c r="K187" s="454"/>
      <c r="L187" s="454"/>
      <c r="M187" s="454"/>
      <c r="N187" s="454"/>
      <c r="P187" s="448"/>
      <c r="Q187" s="448"/>
      <c r="R187" s="448"/>
      <c r="S187" s="448"/>
      <c r="T187" s="448"/>
      <c r="U187" s="448"/>
    </row>
    <row r="188" customFormat="false" ht="12.75" hidden="false" customHeight="false" outlineLevel="0" collapsed="false">
      <c r="A188" s="49"/>
      <c r="B188" s="49"/>
      <c r="C188" s="49"/>
      <c r="D188" s="49"/>
      <c r="G188" s="49"/>
      <c r="I188" s="454"/>
      <c r="J188" s="454"/>
      <c r="K188" s="454"/>
      <c r="L188" s="454"/>
      <c r="M188" s="454"/>
      <c r="N188" s="454"/>
      <c r="P188" s="448"/>
      <c r="Q188" s="448"/>
      <c r="R188" s="448"/>
      <c r="S188" s="448"/>
      <c r="T188" s="448"/>
      <c r="U188" s="448"/>
    </row>
    <row r="189" customFormat="false" ht="12.75" hidden="false" customHeight="false" outlineLevel="0" collapsed="false">
      <c r="A189" s="49"/>
      <c r="B189" s="49"/>
      <c r="C189" s="49"/>
      <c r="D189" s="49"/>
      <c r="G189" s="49"/>
      <c r="I189" s="454"/>
      <c r="J189" s="454"/>
      <c r="K189" s="454"/>
      <c r="L189" s="454"/>
      <c r="M189" s="454"/>
      <c r="N189" s="454"/>
      <c r="P189" s="448"/>
      <c r="Q189" s="448"/>
      <c r="R189" s="448"/>
      <c r="S189" s="448"/>
      <c r="T189" s="448"/>
      <c r="U189" s="448"/>
    </row>
    <row r="190" customFormat="false" ht="12.75" hidden="false" customHeight="false" outlineLevel="0" collapsed="false">
      <c r="A190" s="49"/>
      <c r="B190" s="49"/>
      <c r="C190" s="49"/>
      <c r="D190" s="49"/>
      <c r="G190" s="49"/>
      <c r="I190" s="454"/>
      <c r="J190" s="454"/>
      <c r="K190" s="454"/>
      <c r="L190" s="454"/>
      <c r="M190" s="454"/>
      <c r="N190" s="454"/>
      <c r="P190" s="448"/>
      <c r="Q190" s="448"/>
      <c r="R190" s="448"/>
      <c r="S190" s="448"/>
      <c r="T190" s="448"/>
      <c r="U190" s="448"/>
    </row>
    <row r="191" customFormat="false" ht="12.75" hidden="false" customHeight="false" outlineLevel="0" collapsed="false">
      <c r="A191" s="49"/>
      <c r="B191" s="49"/>
      <c r="C191" s="49"/>
      <c r="D191" s="49"/>
      <c r="G191" s="49"/>
      <c r="I191" s="454"/>
      <c r="J191" s="454"/>
      <c r="K191" s="454"/>
      <c r="L191" s="454"/>
      <c r="M191" s="454"/>
      <c r="N191" s="454"/>
      <c r="P191" s="448"/>
      <c r="Q191" s="448"/>
      <c r="R191" s="448"/>
      <c r="S191" s="448"/>
      <c r="T191" s="448"/>
      <c r="U191" s="448"/>
    </row>
    <row r="192" customFormat="false" ht="12.75" hidden="false" customHeight="false" outlineLevel="0" collapsed="false">
      <c r="A192" s="49"/>
      <c r="B192" s="49"/>
      <c r="C192" s="49"/>
      <c r="D192" s="49"/>
      <c r="G192" s="49"/>
      <c r="I192" s="454"/>
      <c r="J192" s="454"/>
      <c r="K192" s="454"/>
      <c r="L192" s="454"/>
      <c r="M192" s="454"/>
      <c r="N192" s="454"/>
      <c r="P192" s="448"/>
      <c r="Q192" s="448"/>
      <c r="R192" s="448"/>
      <c r="S192" s="448"/>
      <c r="T192" s="448"/>
      <c r="U192" s="448"/>
    </row>
    <row r="193" customFormat="false" ht="12.75" hidden="false" customHeight="false" outlineLevel="0" collapsed="false">
      <c r="A193" s="49"/>
      <c r="B193" s="49"/>
      <c r="C193" s="49"/>
      <c r="D193" s="49"/>
      <c r="G193" s="49"/>
      <c r="I193" s="454"/>
      <c r="J193" s="454"/>
      <c r="K193" s="454"/>
      <c r="L193" s="454"/>
      <c r="M193" s="454"/>
      <c r="N193" s="454"/>
      <c r="P193" s="448"/>
      <c r="Q193" s="448"/>
      <c r="R193" s="448"/>
      <c r="S193" s="448"/>
      <c r="T193" s="448"/>
      <c r="U193" s="448"/>
    </row>
    <row r="194" customFormat="false" ht="12.75" hidden="false" customHeight="false" outlineLevel="0" collapsed="false">
      <c r="A194" s="49"/>
      <c r="B194" s="49"/>
      <c r="C194" s="49"/>
      <c r="D194" s="49"/>
      <c r="G194" s="49"/>
      <c r="I194" s="454"/>
      <c r="J194" s="454"/>
      <c r="K194" s="454"/>
      <c r="L194" s="454"/>
      <c r="M194" s="454"/>
      <c r="N194" s="454"/>
      <c r="P194" s="448"/>
      <c r="Q194" s="448"/>
      <c r="R194" s="448"/>
      <c r="S194" s="448"/>
      <c r="T194" s="448"/>
      <c r="U194" s="448"/>
    </row>
    <row r="195" customFormat="false" ht="12.75" hidden="false" customHeight="false" outlineLevel="0" collapsed="false">
      <c r="A195" s="49"/>
      <c r="B195" s="49"/>
      <c r="C195" s="49"/>
      <c r="D195" s="49"/>
      <c r="G195" s="49"/>
      <c r="I195" s="454"/>
      <c r="J195" s="454"/>
      <c r="K195" s="454"/>
      <c r="L195" s="454"/>
      <c r="M195" s="454"/>
      <c r="N195" s="454"/>
      <c r="P195" s="448"/>
      <c r="Q195" s="448"/>
      <c r="R195" s="448"/>
      <c r="S195" s="448"/>
      <c r="T195" s="448"/>
      <c r="U195" s="448"/>
    </row>
    <row r="196" customFormat="false" ht="12.75" hidden="false" customHeight="false" outlineLevel="0" collapsed="false">
      <c r="A196" s="49"/>
      <c r="B196" s="49"/>
      <c r="C196" s="49"/>
      <c r="D196" s="49"/>
      <c r="G196" s="49"/>
      <c r="I196" s="454"/>
      <c r="J196" s="454"/>
      <c r="K196" s="454"/>
      <c r="L196" s="454"/>
      <c r="M196" s="454"/>
      <c r="N196" s="454"/>
      <c r="P196" s="448"/>
      <c r="Q196" s="448"/>
      <c r="R196" s="448"/>
      <c r="S196" s="448"/>
      <c r="T196" s="448"/>
      <c r="U196" s="448"/>
    </row>
    <row r="197" customFormat="false" ht="12.75" hidden="false" customHeight="false" outlineLevel="0" collapsed="false">
      <c r="A197" s="49"/>
      <c r="B197" s="49"/>
      <c r="C197" s="49"/>
      <c r="D197" s="49"/>
      <c r="G197" s="49"/>
      <c r="I197" s="454"/>
      <c r="J197" s="454"/>
      <c r="K197" s="454"/>
      <c r="L197" s="454"/>
      <c r="M197" s="454"/>
      <c r="N197" s="454"/>
      <c r="P197" s="448"/>
      <c r="Q197" s="448"/>
      <c r="R197" s="448"/>
      <c r="S197" s="448"/>
      <c r="T197" s="448"/>
      <c r="U197" s="448"/>
    </row>
    <row r="198" customFormat="false" ht="12.75" hidden="false" customHeight="false" outlineLevel="0" collapsed="false">
      <c r="A198" s="49"/>
      <c r="B198" s="49"/>
      <c r="C198" s="49"/>
      <c r="D198" s="49"/>
      <c r="G198" s="49"/>
      <c r="I198" s="454"/>
      <c r="J198" s="454"/>
      <c r="K198" s="454"/>
      <c r="L198" s="454"/>
      <c r="M198" s="454"/>
      <c r="N198" s="454"/>
      <c r="P198" s="448"/>
      <c r="Q198" s="448"/>
      <c r="R198" s="448"/>
      <c r="S198" s="448"/>
      <c r="T198" s="448"/>
      <c r="U198" s="448"/>
    </row>
    <row r="199" customFormat="false" ht="12.75" hidden="false" customHeight="false" outlineLevel="0" collapsed="false">
      <c r="A199" s="49"/>
      <c r="B199" s="49"/>
      <c r="C199" s="49"/>
      <c r="D199" s="49"/>
      <c r="G199" s="49"/>
      <c r="I199" s="454"/>
      <c r="J199" s="454"/>
      <c r="K199" s="454"/>
      <c r="L199" s="454"/>
      <c r="M199" s="454"/>
      <c r="N199" s="454"/>
      <c r="P199" s="448"/>
      <c r="Q199" s="448"/>
      <c r="R199" s="448"/>
      <c r="S199" s="448"/>
      <c r="T199" s="448"/>
      <c r="U199" s="448"/>
    </row>
    <row r="200" customFormat="false" ht="12.75" hidden="false" customHeight="false" outlineLevel="0" collapsed="false">
      <c r="A200" s="49"/>
      <c r="B200" s="49"/>
      <c r="C200" s="49"/>
      <c r="D200" s="49"/>
      <c r="G200" s="49"/>
      <c r="I200" s="454"/>
      <c r="J200" s="454"/>
      <c r="K200" s="454"/>
      <c r="L200" s="454"/>
      <c r="M200" s="454"/>
      <c r="N200" s="454"/>
      <c r="P200" s="448"/>
      <c r="Q200" s="448"/>
      <c r="R200" s="448"/>
      <c r="S200" s="448"/>
      <c r="T200" s="448"/>
      <c r="U200" s="448"/>
    </row>
    <row r="201" customFormat="false" ht="12.75" hidden="false" customHeight="false" outlineLevel="0" collapsed="false">
      <c r="A201" s="49"/>
      <c r="B201" s="49"/>
      <c r="C201" s="49"/>
      <c r="D201" s="49"/>
      <c r="G201" s="49"/>
      <c r="I201" s="454"/>
      <c r="J201" s="454"/>
      <c r="K201" s="454"/>
      <c r="L201" s="454"/>
      <c r="M201" s="454"/>
      <c r="N201" s="454"/>
      <c r="P201" s="448"/>
      <c r="Q201" s="448"/>
      <c r="R201" s="448"/>
      <c r="S201" s="448"/>
      <c r="T201" s="448"/>
      <c r="U201" s="448"/>
    </row>
    <row r="202" customFormat="false" ht="12.75" hidden="false" customHeight="false" outlineLevel="0" collapsed="false">
      <c r="A202" s="49"/>
      <c r="B202" s="49"/>
      <c r="C202" s="49"/>
      <c r="D202" s="49"/>
      <c r="G202" s="49"/>
      <c r="I202" s="454"/>
      <c r="J202" s="454"/>
      <c r="K202" s="454"/>
      <c r="L202" s="454"/>
      <c r="M202" s="454"/>
      <c r="N202" s="454"/>
      <c r="P202" s="448"/>
      <c r="Q202" s="448"/>
      <c r="R202" s="448"/>
      <c r="S202" s="448"/>
      <c r="T202" s="448"/>
      <c r="U202" s="448"/>
    </row>
    <row r="203" customFormat="false" ht="12.75" hidden="false" customHeight="false" outlineLevel="0" collapsed="false">
      <c r="A203" s="49"/>
      <c r="B203" s="49"/>
      <c r="C203" s="49"/>
      <c r="D203" s="49"/>
      <c r="G203" s="49"/>
      <c r="I203" s="454"/>
      <c r="J203" s="454"/>
      <c r="K203" s="454"/>
      <c r="L203" s="454"/>
      <c r="M203" s="454"/>
      <c r="N203" s="454"/>
      <c r="P203" s="448"/>
      <c r="Q203" s="448"/>
      <c r="R203" s="448"/>
      <c r="S203" s="448"/>
      <c r="T203" s="448"/>
      <c r="U203" s="448"/>
    </row>
    <row r="204" customFormat="false" ht="12.75" hidden="false" customHeight="false" outlineLevel="0" collapsed="false">
      <c r="A204" s="49"/>
      <c r="B204" s="49"/>
      <c r="C204" s="49"/>
      <c r="D204" s="49"/>
      <c r="G204" s="49"/>
      <c r="I204" s="454"/>
      <c r="J204" s="454"/>
      <c r="K204" s="454"/>
      <c r="L204" s="454"/>
      <c r="M204" s="454"/>
      <c r="N204" s="454"/>
      <c r="P204" s="448"/>
      <c r="Q204" s="448"/>
      <c r="R204" s="448"/>
      <c r="S204" s="448"/>
      <c r="T204" s="448"/>
      <c r="U204" s="448"/>
    </row>
    <row r="205" customFormat="false" ht="12.75" hidden="false" customHeight="false" outlineLevel="0" collapsed="false">
      <c r="A205" s="49"/>
      <c r="B205" s="49"/>
      <c r="C205" s="49"/>
      <c r="D205" s="49"/>
      <c r="G205" s="49"/>
      <c r="I205" s="454"/>
      <c r="J205" s="454"/>
      <c r="K205" s="454"/>
      <c r="L205" s="454"/>
      <c r="M205" s="454"/>
      <c r="N205" s="454"/>
      <c r="P205" s="448"/>
      <c r="Q205" s="448"/>
      <c r="R205" s="448"/>
      <c r="S205" s="448"/>
      <c r="T205" s="448"/>
      <c r="U205" s="448"/>
    </row>
    <row r="206" customFormat="false" ht="12.75" hidden="false" customHeight="false" outlineLevel="0" collapsed="false">
      <c r="A206" s="49"/>
      <c r="B206" s="49"/>
      <c r="C206" s="49"/>
      <c r="D206" s="49"/>
      <c r="G206" s="49"/>
      <c r="I206" s="454"/>
      <c r="J206" s="454"/>
      <c r="K206" s="454"/>
      <c r="L206" s="454"/>
      <c r="M206" s="454"/>
      <c r="N206" s="454"/>
      <c r="P206" s="448"/>
      <c r="Q206" s="448"/>
      <c r="R206" s="448"/>
      <c r="S206" s="448"/>
      <c r="T206" s="448"/>
      <c r="U206" s="448"/>
    </row>
    <row r="207" customFormat="false" ht="12.75" hidden="false" customHeight="false" outlineLevel="0" collapsed="false">
      <c r="A207" s="49"/>
      <c r="B207" s="49"/>
      <c r="C207" s="49"/>
      <c r="D207" s="49"/>
      <c r="G207" s="49"/>
      <c r="I207" s="454"/>
      <c r="J207" s="454"/>
      <c r="K207" s="454"/>
      <c r="L207" s="454"/>
      <c r="M207" s="454"/>
      <c r="N207" s="454"/>
      <c r="P207" s="448"/>
      <c r="Q207" s="448"/>
      <c r="R207" s="448"/>
      <c r="S207" s="448"/>
      <c r="T207" s="448"/>
      <c r="U207" s="448"/>
    </row>
    <row r="208" customFormat="false" ht="12.75" hidden="false" customHeight="false" outlineLevel="0" collapsed="false">
      <c r="A208" s="49"/>
      <c r="B208" s="49"/>
      <c r="C208" s="49"/>
      <c r="D208" s="49"/>
      <c r="G208" s="49"/>
      <c r="I208" s="454"/>
      <c r="J208" s="454"/>
      <c r="K208" s="454"/>
      <c r="L208" s="454"/>
      <c r="M208" s="454"/>
      <c r="N208" s="454"/>
      <c r="P208" s="448"/>
      <c r="Q208" s="448"/>
      <c r="R208" s="448"/>
      <c r="S208" s="448"/>
      <c r="T208" s="448"/>
      <c r="U208" s="448"/>
    </row>
    <row r="209" customFormat="false" ht="12.75" hidden="false" customHeight="false" outlineLevel="0" collapsed="false">
      <c r="A209" s="49"/>
      <c r="B209" s="49"/>
      <c r="C209" s="49"/>
      <c r="D209" s="49"/>
      <c r="G209" s="49"/>
      <c r="I209" s="454"/>
      <c r="J209" s="454"/>
      <c r="K209" s="454"/>
      <c r="L209" s="454"/>
      <c r="M209" s="454"/>
      <c r="N209" s="454"/>
      <c r="P209" s="448"/>
      <c r="Q209" s="448"/>
      <c r="R209" s="448"/>
      <c r="S209" s="448"/>
      <c r="T209" s="448"/>
      <c r="U209" s="448"/>
    </row>
    <row r="210" customFormat="false" ht="12.75" hidden="false" customHeight="false" outlineLevel="0" collapsed="false">
      <c r="A210" s="49"/>
      <c r="B210" s="49"/>
      <c r="C210" s="49"/>
      <c r="D210" s="49"/>
      <c r="G210" s="49"/>
      <c r="I210" s="454"/>
      <c r="J210" s="454"/>
      <c r="K210" s="454"/>
      <c r="L210" s="454"/>
      <c r="M210" s="454"/>
      <c r="N210" s="454"/>
      <c r="P210" s="448"/>
      <c r="Q210" s="448"/>
      <c r="R210" s="448"/>
      <c r="S210" s="448"/>
      <c r="T210" s="448"/>
      <c r="U210" s="448"/>
    </row>
    <row r="211" customFormat="false" ht="12.75" hidden="false" customHeight="false" outlineLevel="0" collapsed="false">
      <c r="A211" s="49"/>
      <c r="B211" s="49"/>
      <c r="C211" s="49"/>
      <c r="D211" s="49"/>
      <c r="G211" s="49"/>
      <c r="I211" s="454"/>
      <c r="J211" s="454"/>
      <c r="K211" s="454"/>
      <c r="L211" s="454"/>
      <c r="M211" s="454"/>
      <c r="N211" s="454"/>
      <c r="P211" s="448"/>
      <c r="Q211" s="448"/>
      <c r="R211" s="448"/>
      <c r="S211" s="448"/>
      <c r="T211" s="448"/>
      <c r="U211" s="448"/>
    </row>
    <row r="212" customFormat="false" ht="12.75" hidden="false" customHeight="false" outlineLevel="0" collapsed="false">
      <c r="A212" s="49"/>
      <c r="B212" s="49"/>
      <c r="C212" s="49"/>
      <c r="D212" s="49"/>
      <c r="G212" s="49"/>
      <c r="I212" s="454"/>
      <c r="J212" s="454"/>
      <c r="K212" s="454"/>
      <c r="L212" s="454"/>
      <c r="M212" s="454"/>
      <c r="N212" s="454"/>
      <c r="P212" s="448"/>
      <c r="Q212" s="448"/>
      <c r="R212" s="448"/>
      <c r="S212" s="448"/>
      <c r="T212" s="448"/>
      <c r="U212" s="448"/>
    </row>
    <row r="213" customFormat="false" ht="12.75" hidden="false" customHeight="false" outlineLevel="0" collapsed="false">
      <c r="A213" s="49"/>
      <c r="B213" s="49"/>
      <c r="C213" s="49"/>
      <c r="D213" s="49"/>
      <c r="G213" s="49"/>
      <c r="I213" s="454"/>
      <c r="J213" s="454"/>
      <c r="K213" s="454"/>
      <c r="L213" s="454"/>
      <c r="M213" s="454"/>
      <c r="N213" s="454"/>
      <c r="P213" s="448"/>
      <c r="Q213" s="448"/>
      <c r="R213" s="448"/>
      <c r="S213" s="448"/>
      <c r="T213" s="448"/>
      <c r="U213" s="448"/>
    </row>
    <row r="214" customFormat="false" ht="12.75" hidden="false" customHeight="false" outlineLevel="0" collapsed="false">
      <c r="A214" s="49"/>
      <c r="B214" s="49"/>
      <c r="C214" s="49"/>
      <c r="D214" s="49"/>
      <c r="G214" s="49"/>
      <c r="I214" s="454"/>
      <c r="J214" s="454"/>
      <c r="K214" s="454"/>
      <c r="L214" s="454"/>
      <c r="M214" s="454"/>
      <c r="N214" s="454"/>
      <c r="P214" s="448"/>
      <c r="Q214" s="448"/>
      <c r="R214" s="448"/>
      <c r="S214" s="448"/>
      <c r="T214" s="448"/>
      <c r="U214" s="448"/>
    </row>
    <row r="215" customFormat="false" ht="12.75" hidden="false" customHeight="false" outlineLevel="0" collapsed="false">
      <c r="A215" s="49"/>
      <c r="B215" s="49"/>
      <c r="C215" s="49"/>
      <c r="D215" s="49"/>
      <c r="G215" s="49"/>
      <c r="I215" s="454"/>
      <c r="J215" s="454"/>
      <c r="K215" s="454"/>
      <c r="L215" s="454"/>
      <c r="M215" s="454"/>
      <c r="N215" s="454"/>
      <c r="P215" s="448"/>
      <c r="Q215" s="448"/>
      <c r="R215" s="448"/>
      <c r="S215" s="448"/>
      <c r="T215" s="448"/>
      <c r="U215" s="448"/>
    </row>
    <row r="216" customFormat="false" ht="12.75" hidden="false" customHeight="false" outlineLevel="0" collapsed="false">
      <c r="A216" s="49"/>
      <c r="B216" s="49"/>
      <c r="C216" s="49"/>
      <c r="D216" s="49"/>
      <c r="G216" s="49"/>
      <c r="I216" s="454"/>
      <c r="J216" s="454"/>
      <c r="K216" s="454"/>
      <c r="L216" s="454"/>
      <c r="M216" s="454"/>
      <c r="N216" s="454"/>
      <c r="P216" s="448"/>
      <c r="Q216" s="448"/>
      <c r="R216" s="448"/>
      <c r="S216" s="448"/>
      <c r="T216" s="448"/>
      <c r="U216" s="448"/>
    </row>
    <row r="217" customFormat="false" ht="12.75" hidden="false" customHeight="false" outlineLevel="0" collapsed="false">
      <c r="A217" s="49"/>
      <c r="B217" s="49"/>
      <c r="C217" s="49"/>
      <c r="D217" s="49"/>
      <c r="G217" s="49"/>
      <c r="I217" s="454"/>
      <c r="J217" s="454"/>
      <c r="K217" s="454"/>
      <c r="L217" s="454"/>
      <c r="M217" s="454"/>
      <c r="N217" s="454"/>
      <c r="P217" s="448"/>
      <c r="Q217" s="448"/>
      <c r="R217" s="448"/>
      <c r="S217" s="448"/>
      <c r="T217" s="448"/>
      <c r="U217" s="448"/>
    </row>
    <row r="218" customFormat="false" ht="12.75" hidden="false" customHeight="false" outlineLevel="0" collapsed="false">
      <c r="A218" s="49"/>
      <c r="B218" s="49"/>
      <c r="C218" s="49"/>
      <c r="D218" s="49"/>
      <c r="G218" s="49"/>
      <c r="I218" s="454"/>
      <c r="J218" s="454"/>
      <c r="K218" s="454"/>
      <c r="L218" s="454"/>
      <c r="M218" s="454"/>
      <c r="N218" s="454"/>
      <c r="P218" s="448"/>
      <c r="Q218" s="448"/>
      <c r="R218" s="448"/>
      <c r="S218" s="448"/>
      <c r="T218" s="448"/>
      <c r="U218" s="448"/>
    </row>
    <row r="219" customFormat="false" ht="12.75" hidden="false" customHeight="false" outlineLevel="0" collapsed="false">
      <c r="A219" s="49"/>
      <c r="B219" s="49"/>
      <c r="C219" s="49"/>
      <c r="D219" s="49"/>
      <c r="G219" s="49"/>
      <c r="I219" s="454"/>
      <c r="J219" s="454"/>
      <c r="K219" s="454"/>
      <c r="L219" s="454"/>
      <c r="M219" s="454"/>
      <c r="N219" s="454"/>
      <c r="P219" s="448"/>
      <c r="Q219" s="448"/>
      <c r="R219" s="448"/>
      <c r="S219" s="448"/>
      <c r="T219" s="448"/>
      <c r="U219" s="448"/>
    </row>
    <row r="220" customFormat="false" ht="12.75" hidden="false" customHeight="false" outlineLevel="0" collapsed="false">
      <c r="A220" s="49"/>
      <c r="B220" s="49"/>
      <c r="C220" s="49"/>
      <c r="D220" s="49"/>
      <c r="G220" s="49"/>
      <c r="I220" s="454"/>
      <c r="J220" s="454"/>
      <c r="K220" s="454"/>
      <c r="L220" s="454"/>
      <c r="M220" s="454"/>
      <c r="N220" s="454"/>
      <c r="P220" s="448"/>
      <c r="Q220" s="448"/>
      <c r="R220" s="448"/>
      <c r="S220" s="448"/>
      <c r="T220" s="448"/>
      <c r="U220" s="448"/>
    </row>
    <row r="221" customFormat="false" ht="12.75" hidden="false" customHeight="false" outlineLevel="0" collapsed="false">
      <c r="A221" s="49"/>
      <c r="B221" s="49"/>
      <c r="C221" s="49"/>
      <c r="D221" s="49"/>
      <c r="G221" s="49"/>
      <c r="I221" s="454"/>
      <c r="J221" s="454"/>
      <c r="K221" s="454"/>
      <c r="L221" s="454"/>
      <c r="M221" s="454"/>
      <c r="N221" s="454"/>
      <c r="P221" s="448"/>
      <c r="Q221" s="448"/>
      <c r="R221" s="448"/>
      <c r="S221" s="448"/>
      <c r="T221" s="448"/>
      <c r="U221" s="448"/>
    </row>
    <row r="222" customFormat="false" ht="12.75" hidden="false" customHeight="false" outlineLevel="0" collapsed="false">
      <c r="A222" s="49"/>
      <c r="B222" s="49"/>
      <c r="C222" s="49"/>
      <c r="D222" s="49"/>
      <c r="G222" s="49"/>
      <c r="I222" s="454"/>
      <c r="J222" s="454"/>
      <c r="K222" s="454"/>
      <c r="L222" s="454"/>
      <c r="M222" s="454"/>
      <c r="N222" s="454"/>
      <c r="P222" s="448"/>
      <c r="Q222" s="448"/>
      <c r="R222" s="448"/>
      <c r="S222" s="448"/>
      <c r="T222" s="448"/>
      <c r="U222" s="448"/>
    </row>
    <row r="223" customFormat="false" ht="12.75" hidden="false" customHeight="false" outlineLevel="0" collapsed="false">
      <c r="A223" s="49"/>
      <c r="B223" s="49"/>
      <c r="C223" s="49"/>
      <c r="D223" s="49"/>
      <c r="G223" s="49"/>
      <c r="I223" s="454"/>
      <c r="J223" s="454"/>
      <c r="K223" s="454"/>
      <c r="L223" s="454"/>
      <c r="M223" s="454"/>
      <c r="N223" s="454"/>
      <c r="P223" s="448"/>
      <c r="Q223" s="448"/>
      <c r="R223" s="448"/>
      <c r="S223" s="448"/>
      <c r="T223" s="448"/>
      <c r="U223" s="448"/>
    </row>
    <row r="224" customFormat="false" ht="12.75" hidden="false" customHeight="false" outlineLevel="0" collapsed="false">
      <c r="A224" s="49"/>
      <c r="B224" s="49"/>
      <c r="C224" s="49"/>
      <c r="D224" s="49"/>
      <c r="G224" s="49"/>
      <c r="I224" s="454"/>
      <c r="J224" s="454"/>
      <c r="K224" s="454"/>
      <c r="L224" s="454"/>
      <c r="M224" s="454"/>
      <c r="N224" s="454"/>
      <c r="P224" s="448"/>
      <c r="Q224" s="448"/>
      <c r="R224" s="448"/>
      <c r="S224" s="448"/>
      <c r="T224" s="448"/>
      <c r="U224" s="448"/>
    </row>
    <row r="225" customFormat="false" ht="12.75" hidden="false" customHeight="false" outlineLevel="0" collapsed="false">
      <c r="A225" s="49"/>
      <c r="B225" s="49"/>
      <c r="C225" s="49"/>
      <c r="D225" s="49"/>
      <c r="G225" s="49"/>
      <c r="I225" s="454"/>
      <c r="J225" s="454"/>
      <c r="K225" s="454"/>
      <c r="L225" s="454"/>
      <c r="M225" s="454"/>
      <c r="N225" s="454"/>
      <c r="P225" s="448"/>
      <c r="Q225" s="448"/>
      <c r="R225" s="448"/>
      <c r="S225" s="448"/>
      <c r="T225" s="448"/>
      <c r="U225" s="448"/>
    </row>
    <row r="226" customFormat="false" ht="12.75" hidden="false" customHeight="false" outlineLevel="0" collapsed="false">
      <c r="A226" s="49"/>
      <c r="B226" s="49"/>
      <c r="C226" s="49"/>
      <c r="D226" s="49"/>
      <c r="G226" s="49"/>
      <c r="I226" s="454"/>
      <c r="J226" s="454"/>
      <c r="K226" s="454"/>
      <c r="L226" s="454"/>
      <c r="M226" s="454"/>
      <c r="N226" s="454"/>
      <c r="P226" s="448"/>
      <c r="Q226" s="448"/>
      <c r="R226" s="448"/>
      <c r="S226" s="448"/>
      <c r="T226" s="448"/>
      <c r="U226" s="448"/>
    </row>
    <row r="227" customFormat="false" ht="12.75" hidden="false" customHeight="false" outlineLevel="0" collapsed="false">
      <c r="A227" s="49"/>
      <c r="B227" s="49"/>
      <c r="C227" s="49"/>
      <c r="D227" s="49"/>
      <c r="G227" s="49"/>
      <c r="I227" s="454"/>
      <c r="J227" s="454"/>
      <c r="K227" s="454"/>
      <c r="L227" s="454"/>
      <c r="M227" s="454"/>
      <c r="N227" s="454"/>
      <c r="P227" s="448"/>
      <c r="Q227" s="448"/>
      <c r="R227" s="448"/>
      <c r="S227" s="448"/>
      <c r="T227" s="448"/>
      <c r="U227" s="448"/>
    </row>
    <row r="228" customFormat="false" ht="12.75" hidden="false" customHeight="false" outlineLevel="0" collapsed="false">
      <c r="A228" s="49"/>
      <c r="B228" s="49"/>
      <c r="C228" s="49"/>
      <c r="D228" s="49"/>
      <c r="G228" s="49"/>
      <c r="I228" s="454"/>
      <c r="J228" s="454"/>
      <c r="K228" s="454"/>
      <c r="L228" s="454"/>
      <c r="M228" s="454"/>
      <c r="N228" s="454"/>
      <c r="P228" s="448"/>
      <c r="Q228" s="448"/>
      <c r="R228" s="448"/>
      <c r="S228" s="448"/>
      <c r="T228" s="448"/>
      <c r="U228" s="448"/>
    </row>
    <row r="229" customFormat="false" ht="12.75" hidden="false" customHeight="false" outlineLevel="0" collapsed="false">
      <c r="A229" s="49"/>
      <c r="B229" s="49"/>
      <c r="C229" s="49"/>
      <c r="D229" s="49"/>
      <c r="G229" s="49"/>
      <c r="I229" s="454"/>
      <c r="J229" s="454"/>
      <c r="K229" s="454"/>
      <c r="L229" s="454"/>
      <c r="M229" s="454"/>
      <c r="N229" s="454"/>
      <c r="P229" s="448"/>
      <c r="Q229" s="448"/>
      <c r="R229" s="448"/>
      <c r="S229" s="448"/>
      <c r="T229" s="448"/>
      <c r="U229" s="448"/>
    </row>
    <row r="230" customFormat="false" ht="12.75" hidden="false" customHeight="false" outlineLevel="0" collapsed="false">
      <c r="A230" s="49"/>
      <c r="B230" s="49"/>
      <c r="C230" s="49"/>
      <c r="D230" s="49"/>
      <c r="G230" s="49"/>
      <c r="I230" s="454"/>
      <c r="J230" s="454"/>
      <c r="K230" s="454"/>
      <c r="L230" s="454"/>
      <c r="M230" s="454"/>
      <c r="N230" s="454"/>
      <c r="P230" s="448"/>
      <c r="Q230" s="448"/>
      <c r="R230" s="448"/>
      <c r="S230" s="448"/>
      <c r="T230" s="448"/>
      <c r="U230" s="448"/>
    </row>
    <row r="231" customFormat="false" ht="12.75" hidden="false" customHeight="false" outlineLevel="0" collapsed="false">
      <c r="A231" s="49"/>
      <c r="B231" s="49"/>
      <c r="C231" s="49"/>
      <c r="D231" s="49"/>
      <c r="G231" s="49"/>
      <c r="I231" s="454"/>
      <c r="J231" s="454"/>
      <c r="K231" s="454"/>
      <c r="L231" s="454"/>
      <c r="M231" s="454"/>
      <c r="N231" s="454"/>
      <c r="P231" s="448"/>
      <c r="Q231" s="448"/>
      <c r="R231" s="448"/>
      <c r="S231" s="448"/>
      <c r="T231" s="448"/>
      <c r="U231" s="448"/>
    </row>
    <row r="232" customFormat="false" ht="12.75" hidden="false" customHeight="false" outlineLevel="0" collapsed="false">
      <c r="A232" s="49"/>
      <c r="B232" s="49"/>
      <c r="C232" s="49"/>
      <c r="D232" s="49"/>
      <c r="G232" s="49"/>
      <c r="I232" s="454"/>
      <c r="J232" s="454"/>
      <c r="K232" s="454"/>
      <c r="L232" s="454"/>
      <c r="M232" s="454"/>
      <c r="N232" s="454"/>
      <c r="P232" s="448"/>
      <c r="Q232" s="448"/>
      <c r="R232" s="448"/>
      <c r="S232" s="448"/>
      <c r="T232" s="448"/>
      <c r="U232" s="448"/>
    </row>
    <row r="233" customFormat="false" ht="12.75" hidden="false" customHeight="false" outlineLevel="0" collapsed="false">
      <c r="A233" s="49"/>
      <c r="B233" s="49"/>
      <c r="C233" s="49"/>
      <c r="D233" s="49"/>
      <c r="G233" s="49"/>
      <c r="I233" s="454"/>
      <c r="J233" s="454"/>
      <c r="K233" s="454"/>
      <c r="L233" s="454"/>
      <c r="M233" s="454"/>
      <c r="N233" s="454"/>
      <c r="P233" s="448"/>
      <c r="Q233" s="448"/>
      <c r="R233" s="448"/>
      <c r="S233" s="448"/>
      <c r="T233" s="448"/>
      <c r="U233" s="448"/>
    </row>
    <row r="234" customFormat="false" ht="12.75" hidden="false" customHeight="false" outlineLevel="0" collapsed="false">
      <c r="A234" s="49"/>
      <c r="B234" s="49"/>
      <c r="C234" s="49"/>
      <c r="D234" s="49"/>
      <c r="G234" s="49"/>
      <c r="I234" s="454"/>
      <c r="J234" s="454"/>
      <c r="K234" s="454"/>
      <c r="L234" s="454"/>
      <c r="M234" s="454"/>
      <c r="N234" s="454"/>
      <c r="P234" s="448"/>
      <c r="Q234" s="448"/>
      <c r="R234" s="448"/>
      <c r="S234" s="448"/>
      <c r="T234" s="448"/>
      <c r="U234" s="448"/>
    </row>
    <row r="235" customFormat="false" ht="12.75" hidden="false" customHeight="false" outlineLevel="0" collapsed="false">
      <c r="A235" s="49"/>
      <c r="B235" s="49"/>
      <c r="C235" s="49"/>
      <c r="D235" s="49"/>
      <c r="G235" s="49"/>
      <c r="I235" s="454"/>
      <c r="J235" s="454"/>
      <c r="K235" s="454"/>
      <c r="L235" s="454"/>
      <c r="M235" s="454"/>
      <c r="N235" s="454"/>
      <c r="P235" s="448"/>
      <c r="Q235" s="448"/>
      <c r="R235" s="448"/>
      <c r="S235" s="448"/>
      <c r="T235" s="448"/>
      <c r="U235" s="448"/>
    </row>
    <row r="236" customFormat="false" ht="12.75" hidden="false" customHeight="false" outlineLevel="0" collapsed="false">
      <c r="A236" s="49"/>
      <c r="B236" s="49"/>
      <c r="C236" s="49"/>
      <c r="D236" s="49"/>
      <c r="G236" s="49"/>
      <c r="I236" s="454"/>
      <c r="J236" s="454"/>
      <c r="K236" s="454"/>
      <c r="L236" s="454"/>
      <c r="M236" s="454"/>
      <c r="N236" s="454"/>
      <c r="P236" s="448"/>
      <c r="Q236" s="448"/>
      <c r="R236" s="448"/>
      <c r="S236" s="448"/>
      <c r="T236" s="448"/>
      <c r="U236" s="448"/>
    </row>
    <row r="237" customFormat="false" ht="12.75" hidden="false" customHeight="false" outlineLevel="0" collapsed="false">
      <c r="A237" s="49"/>
      <c r="B237" s="49"/>
      <c r="C237" s="49"/>
      <c r="D237" s="49"/>
      <c r="G237" s="49"/>
      <c r="I237" s="454"/>
      <c r="J237" s="454"/>
      <c r="K237" s="454"/>
      <c r="L237" s="454"/>
      <c r="M237" s="454"/>
      <c r="N237" s="454"/>
      <c r="P237" s="448"/>
      <c r="Q237" s="448"/>
      <c r="R237" s="448"/>
      <c r="S237" s="448"/>
      <c r="T237" s="448"/>
      <c r="U237" s="448"/>
    </row>
    <row r="238" customFormat="false" ht="12.75" hidden="false" customHeight="false" outlineLevel="0" collapsed="false">
      <c r="A238" s="49"/>
      <c r="B238" s="49"/>
      <c r="C238" s="49"/>
      <c r="D238" s="49"/>
      <c r="G238" s="49"/>
      <c r="I238" s="454"/>
      <c r="J238" s="454"/>
      <c r="K238" s="454"/>
      <c r="L238" s="454"/>
      <c r="M238" s="454"/>
      <c r="N238" s="454"/>
      <c r="P238" s="448"/>
      <c r="Q238" s="448"/>
      <c r="R238" s="448"/>
      <c r="S238" s="448"/>
      <c r="T238" s="448"/>
      <c r="U238" s="448"/>
    </row>
    <row r="239" customFormat="false" ht="12.75" hidden="false" customHeight="false" outlineLevel="0" collapsed="false">
      <c r="A239" s="49"/>
      <c r="B239" s="49"/>
      <c r="C239" s="49"/>
      <c r="D239" s="49"/>
      <c r="G239" s="49"/>
      <c r="I239" s="454"/>
      <c r="J239" s="454"/>
      <c r="K239" s="454"/>
      <c r="L239" s="454"/>
      <c r="M239" s="454"/>
      <c r="N239" s="454"/>
      <c r="P239" s="448"/>
      <c r="Q239" s="448"/>
      <c r="R239" s="448"/>
      <c r="S239" s="448"/>
      <c r="T239" s="448"/>
      <c r="U239" s="448"/>
    </row>
    <row r="240" customFormat="false" ht="12.75" hidden="false" customHeight="false" outlineLevel="0" collapsed="false">
      <c r="A240" s="49"/>
      <c r="B240" s="49"/>
      <c r="C240" s="49"/>
      <c r="D240" s="49"/>
      <c r="G240" s="49"/>
      <c r="I240" s="454"/>
      <c r="J240" s="454"/>
      <c r="K240" s="454"/>
      <c r="L240" s="454"/>
      <c r="M240" s="454"/>
      <c r="N240" s="454"/>
      <c r="P240" s="448"/>
      <c r="Q240" s="448"/>
      <c r="R240" s="448"/>
      <c r="S240" s="448"/>
      <c r="T240" s="448"/>
      <c r="U240" s="448"/>
    </row>
    <row r="241" customFormat="false" ht="12.75" hidden="false" customHeight="false" outlineLevel="0" collapsed="false">
      <c r="A241" s="49"/>
      <c r="B241" s="49"/>
      <c r="C241" s="49"/>
      <c r="D241" s="49"/>
      <c r="G241" s="49"/>
      <c r="I241" s="454"/>
      <c r="J241" s="454"/>
      <c r="K241" s="454"/>
      <c r="L241" s="454"/>
      <c r="M241" s="454"/>
      <c r="N241" s="454"/>
      <c r="P241" s="448"/>
      <c r="Q241" s="448"/>
      <c r="R241" s="448"/>
      <c r="S241" s="448"/>
      <c r="T241" s="448"/>
      <c r="U241" s="448"/>
    </row>
    <row r="242" customFormat="false" ht="12.75" hidden="false" customHeight="false" outlineLevel="0" collapsed="false">
      <c r="A242" s="49"/>
      <c r="B242" s="49"/>
      <c r="C242" s="49"/>
      <c r="D242" s="49"/>
      <c r="G242" s="49"/>
      <c r="I242" s="454"/>
      <c r="J242" s="454"/>
      <c r="K242" s="454"/>
      <c r="L242" s="454"/>
      <c r="M242" s="454"/>
      <c r="N242" s="454"/>
      <c r="P242" s="448"/>
      <c r="Q242" s="448"/>
      <c r="R242" s="448"/>
      <c r="S242" s="448"/>
      <c r="T242" s="448"/>
      <c r="U242" s="448"/>
    </row>
    <row r="243" customFormat="false" ht="12.75" hidden="false" customHeight="false" outlineLevel="0" collapsed="false">
      <c r="A243" s="49"/>
      <c r="B243" s="49"/>
      <c r="C243" s="49"/>
      <c r="D243" s="49"/>
      <c r="G243" s="49"/>
      <c r="I243" s="454"/>
      <c r="J243" s="454"/>
      <c r="K243" s="454"/>
      <c r="L243" s="454"/>
      <c r="M243" s="454"/>
      <c r="N243" s="454"/>
      <c r="P243" s="448"/>
      <c r="Q243" s="448"/>
      <c r="R243" s="448"/>
      <c r="S243" s="448"/>
      <c r="T243" s="448"/>
      <c r="U243" s="448"/>
    </row>
    <row r="244" customFormat="false" ht="12.75" hidden="false" customHeight="false" outlineLevel="0" collapsed="false">
      <c r="A244" s="49"/>
      <c r="B244" s="49"/>
      <c r="C244" s="49"/>
      <c r="D244" s="49"/>
      <c r="G244" s="49"/>
      <c r="I244" s="454"/>
      <c r="J244" s="454"/>
      <c r="K244" s="454"/>
      <c r="L244" s="454"/>
      <c r="M244" s="454"/>
      <c r="N244" s="454"/>
      <c r="P244" s="448"/>
      <c r="Q244" s="448"/>
      <c r="R244" s="448"/>
      <c r="S244" s="448"/>
      <c r="T244" s="448"/>
      <c r="U244" s="448"/>
    </row>
    <row r="245" customFormat="false" ht="12.75" hidden="false" customHeight="false" outlineLevel="0" collapsed="false">
      <c r="A245" s="49"/>
      <c r="B245" s="49"/>
      <c r="C245" s="49"/>
      <c r="D245" s="49"/>
      <c r="G245" s="49"/>
      <c r="I245" s="454"/>
      <c r="J245" s="454"/>
      <c r="K245" s="454"/>
      <c r="L245" s="454"/>
      <c r="M245" s="454"/>
      <c r="N245" s="454"/>
      <c r="P245" s="448"/>
      <c r="Q245" s="448"/>
      <c r="R245" s="448"/>
      <c r="S245" s="448"/>
      <c r="T245" s="448"/>
      <c r="U245" s="448"/>
    </row>
    <row r="246" customFormat="false" ht="12.75" hidden="false" customHeight="false" outlineLevel="0" collapsed="false">
      <c r="A246" s="49"/>
      <c r="B246" s="49"/>
      <c r="C246" s="49"/>
      <c r="D246" s="49"/>
      <c r="G246" s="49"/>
      <c r="I246" s="454"/>
      <c r="J246" s="454"/>
      <c r="K246" s="454"/>
      <c r="L246" s="454"/>
      <c r="M246" s="454"/>
      <c r="N246" s="454"/>
      <c r="P246" s="448"/>
      <c r="Q246" s="448"/>
      <c r="R246" s="448"/>
      <c r="S246" s="448"/>
      <c r="T246" s="448"/>
      <c r="U246" s="448"/>
    </row>
    <row r="247" customFormat="false" ht="12.75" hidden="false" customHeight="false" outlineLevel="0" collapsed="false">
      <c r="A247" s="49"/>
      <c r="B247" s="49"/>
      <c r="C247" s="49"/>
      <c r="D247" s="49"/>
      <c r="G247" s="49"/>
      <c r="I247" s="454"/>
      <c r="J247" s="454"/>
      <c r="K247" s="454"/>
      <c r="L247" s="454"/>
      <c r="M247" s="454"/>
      <c r="N247" s="454"/>
      <c r="P247" s="448"/>
      <c r="Q247" s="448"/>
      <c r="R247" s="448"/>
      <c r="S247" s="448"/>
      <c r="T247" s="448"/>
      <c r="U247" s="448"/>
    </row>
    <row r="248" customFormat="false" ht="12.75" hidden="false" customHeight="false" outlineLevel="0" collapsed="false">
      <c r="A248" s="49"/>
      <c r="B248" s="49"/>
      <c r="C248" s="49"/>
      <c r="D248" s="49"/>
      <c r="G248" s="49"/>
      <c r="I248" s="454"/>
      <c r="J248" s="454"/>
      <c r="K248" s="454"/>
      <c r="L248" s="454"/>
      <c r="M248" s="454"/>
      <c r="N248" s="454"/>
      <c r="P248" s="448"/>
      <c r="Q248" s="448"/>
      <c r="R248" s="448"/>
      <c r="S248" s="448"/>
      <c r="T248" s="448"/>
      <c r="U248" s="448"/>
    </row>
    <row r="249" customFormat="false" ht="12.75" hidden="false" customHeight="false" outlineLevel="0" collapsed="false">
      <c r="A249" s="49"/>
      <c r="B249" s="49"/>
      <c r="C249" s="49"/>
      <c r="D249" s="49"/>
      <c r="G249" s="49"/>
      <c r="I249" s="454"/>
      <c r="J249" s="454"/>
      <c r="K249" s="454"/>
      <c r="L249" s="454"/>
      <c r="M249" s="454"/>
      <c r="N249" s="454"/>
      <c r="P249" s="448"/>
      <c r="Q249" s="448"/>
      <c r="R249" s="448"/>
      <c r="S249" s="448"/>
      <c r="T249" s="448"/>
      <c r="U249" s="448"/>
    </row>
    <row r="250" customFormat="false" ht="12.75" hidden="false" customHeight="false" outlineLevel="0" collapsed="false">
      <c r="A250" s="49"/>
      <c r="B250" s="49"/>
      <c r="C250" s="49"/>
      <c r="D250" s="49"/>
      <c r="G250" s="49"/>
      <c r="I250" s="454"/>
      <c r="J250" s="454"/>
      <c r="K250" s="454"/>
      <c r="L250" s="454"/>
      <c r="M250" s="454"/>
      <c r="N250" s="454"/>
      <c r="P250" s="448"/>
      <c r="Q250" s="448"/>
      <c r="R250" s="448"/>
      <c r="S250" s="448"/>
      <c r="T250" s="448"/>
      <c r="U250" s="448"/>
    </row>
    <row r="251" customFormat="false" ht="12.75" hidden="false" customHeight="false" outlineLevel="0" collapsed="false">
      <c r="A251" s="49"/>
      <c r="B251" s="49"/>
      <c r="C251" s="49"/>
      <c r="D251" s="49"/>
      <c r="G251" s="49"/>
      <c r="I251" s="454"/>
      <c r="J251" s="454"/>
      <c r="K251" s="454"/>
      <c r="L251" s="454"/>
      <c r="M251" s="454"/>
      <c r="N251" s="454"/>
      <c r="P251" s="448"/>
      <c r="Q251" s="448"/>
      <c r="R251" s="448"/>
      <c r="S251" s="448"/>
      <c r="T251" s="448"/>
      <c r="U251" s="448"/>
    </row>
    <row r="252" customFormat="false" ht="12.75" hidden="false" customHeight="false" outlineLevel="0" collapsed="false">
      <c r="A252" s="49"/>
      <c r="B252" s="49"/>
      <c r="C252" s="49"/>
      <c r="D252" s="49"/>
      <c r="G252" s="49"/>
      <c r="I252" s="454"/>
      <c r="J252" s="454"/>
      <c r="K252" s="454"/>
      <c r="L252" s="454"/>
      <c r="M252" s="454"/>
      <c r="N252" s="454"/>
      <c r="P252" s="448"/>
      <c r="Q252" s="448"/>
      <c r="R252" s="448"/>
      <c r="S252" s="448"/>
      <c r="T252" s="448"/>
      <c r="U252" s="448"/>
    </row>
    <row r="253" customFormat="false" ht="12.75" hidden="false" customHeight="false" outlineLevel="0" collapsed="false">
      <c r="A253" s="49"/>
      <c r="B253" s="49"/>
      <c r="C253" s="49"/>
      <c r="D253" s="49"/>
      <c r="G253" s="49"/>
      <c r="I253" s="454"/>
      <c r="J253" s="454"/>
      <c r="K253" s="454"/>
      <c r="L253" s="454"/>
      <c r="M253" s="454"/>
      <c r="N253" s="454"/>
      <c r="P253" s="448"/>
      <c r="Q253" s="448"/>
      <c r="R253" s="448"/>
      <c r="S253" s="448"/>
      <c r="T253" s="448"/>
      <c r="U253" s="448"/>
    </row>
    <row r="254" customFormat="false" ht="12.75" hidden="false" customHeight="false" outlineLevel="0" collapsed="false">
      <c r="A254" s="49"/>
      <c r="B254" s="49"/>
      <c r="C254" s="49"/>
      <c r="D254" s="49"/>
      <c r="G254" s="49"/>
      <c r="I254" s="454"/>
      <c r="J254" s="454"/>
      <c r="K254" s="454"/>
      <c r="L254" s="454"/>
      <c r="M254" s="454"/>
      <c r="N254" s="454"/>
      <c r="P254" s="448"/>
      <c r="Q254" s="448"/>
      <c r="R254" s="448"/>
      <c r="S254" s="448"/>
      <c r="T254" s="448"/>
      <c r="U254" s="448"/>
    </row>
    <row r="255" customFormat="false" ht="12.75" hidden="false" customHeight="false" outlineLevel="0" collapsed="false">
      <c r="A255" s="49"/>
      <c r="B255" s="49"/>
      <c r="C255" s="49"/>
      <c r="D255" s="49"/>
      <c r="G255" s="49"/>
      <c r="I255" s="454"/>
      <c r="J255" s="454"/>
      <c r="K255" s="454"/>
      <c r="L255" s="454"/>
      <c r="M255" s="454"/>
      <c r="N255" s="454"/>
      <c r="P255" s="448"/>
      <c r="Q255" s="448"/>
      <c r="R255" s="448"/>
      <c r="S255" s="448"/>
      <c r="T255" s="448"/>
      <c r="U255" s="448"/>
    </row>
    <row r="256" customFormat="false" ht="12.75" hidden="false" customHeight="false" outlineLevel="0" collapsed="false">
      <c r="A256" s="49"/>
      <c r="B256" s="49"/>
      <c r="C256" s="49"/>
      <c r="D256" s="49"/>
      <c r="G256" s="49"/>
      <c r="I256" s="454"/>
      <c r="J256" s="454"/>
      <c r="K256" s="454"/>
      <c r="L256" s="454"/>
      <c r="M256" s="454"/>
      <c r="N256" s="454"/>
      <c r="P256" s="448"/>
      <c r="Q256" s="448"/>
      <c r="R256" s="448"/>
      <c r="S256" s="448"/>
      <c r="T256" s="448"/>
      <c r="U256" s="448"/>
    </row>
    <row r="257" customFormat="false" ht="12.75" hidden="false" customHeight="false" outlineLevel="0" collapsed="false">
      <c r="A257" s="49"/>
      <c r="B257" s="49"/>
      <c r="C257" s="49"/>
      <c r="D257" s="49"/>
      <c r="G257" s="49"/>
      <c r="I257" s="454"/>
      <c r="J257" s="454"/>
      <c r="K257" s="454"/>
      <c r="L257" s="454"/>
      <c r="M257" s="454"/>
      <c r="N257" s="454"/>
      <c r="P257" s="448"/>
      <c r="Q257" s="448"/>
      <c r="R257" s="448"/>
      <c r="S257" s="448"/>
      <c r="T257" s="448"/>
      <c r="U257" s="448"/>
    </row>
    <row r="258" customFormat="false" ht="12.75" hidden="false" customHeight="false" outlineLevel="0" collapsed="false">
      <c r="A258" s="49"/>
      <c r="B258" s="49"/>
      <c r="C258" s="49"/>
      <c r="D258" s="49"/>
      <c r="G258" s="49"/>
      <c r="I258" s="454"/>
      <c r="J258" s="454"/>
      <c r="K258" s="454"/>
      <c r="L258" s="454"/>
      <c r="M258" s="454"/>
      <c r="N258" s="454"/>
      <c r="P258" s="448"/>
      <c r="Q258" s="448"/>
      <c r="R258" s="448"/>
      <c r="S258" s="448"/>
      <c r="T258" s="448"/>
      <c r="U258" s="448"/>
    </row>
    <row r="259" customFormat="false" ht="12.75" hidden="false" customHeight="false" outlineLevel="0" collapsed="false">
      <c r="A259" s="49"/>
      <c r="B259" s="49"/>
      <c r="C259" s="49"/>
      <c r="D259" s="49"/>
      <c r="G259" s="49"/>
      <c r="I259" s="454"/>
      <c r="J259" s="454"/>
      <c r="K259" s="454"/>
      <c r="L259" s="454"/>
      <c r="M259" s="454"/>
      <c r="N259" s="454"/>
      <c r="P259" s="448"/>
      <c r="Q259" s="448"/>
      <c r="R259" s="448"/>
      <c r="S259" s="448"/>
      <c r="T259" s="448"/>
      <c r="U259" s="448"/>
    </row>
    <row r="260" customFormat="false" ht="12.75" hidden="false" customHeight="false" outlineLevel="0" collapsed="false">
      <c r="A260" s="49"/>
      <c r="B260" s="49"/>
      <c r="C260" s="49"/>
      <c r="D260" s="49"/>
      <c r="G260" s="49"/>
      <c r="I260" s="454"/>
      <c r="J260" s="454"/>
      <c r="K260" s="454"/>
      <c r="L260" s="454"/>
      <c r="M260" s="454"/>
      <c r="N260" s="454"/>
      <c r="P260" s="448"/>
      <c r="Q260" s="448"/>
      <c r="R260" s="448"/>
      <c r="S260" s="448"/>
      <c r="T260" s="448"/>
      <c r="U260" s="448"/>
    </row>
    <row r="261" customFormat="false" ht="12.75" hidden="false" customHeight="false" outlineLevel="0" collapsed="false">
      <c r="A261" s="49"/>
      <c r="B261" s="49"/>
      <c r="C261" s="49"/>
      <c r="D261" s="49"/>
      <c r="G261" s="49"/>
      <c r="I261" s="454"/>
      <c r="J261" s="454"/>
      <c r="K261" s="454"/>
      <c r="L261" s="454"/>
      <c r="M261" s="454"/>
      <c r="N261" s="454"/>
      <c r="P261" s="448"/>
      <c r="Q261" s="448"/>
      <c r="R261" s="448"/>
      <c r="S261" s="448"/>
      <c r="T261" s="448"/>
      <c r="U261" s="448"/>
    </row>
    <row r="262" customFormat="false" ht="12.75" hidden="false" customHeight="false" outlineLevel="0" collapsed="false">
      <c r="A262" s="49"/>
      <c r="B262" s="49"/>
      <c r="C262" s="49"/>
      <c r="D262" s="49"/>
      <c r="I262" s="454"/>
      <c r="J262" s="454"/>
      <c r="K262" s="454"/>
      <c r="L262" s="454"/>
      <c r="M262" s="454"/>
      <c r="N262" s="454"/>
      <c r="P262" s="448"/>
      <c r="Q262" s="448"/>
      <c r="R262" s="448"/>
      <c r="S262" s="448"/>
      <c r="T262" s="448"/>
      <c r="U262" s="448"/>
    </row>
    <row r="263" customFormat="false" ht="12.75" hidden="false" customHeight="false" outlineLevel="0" collapsed="false">
      <c r="A263" s="49"/>
      <c r="B263" s="49"/>
      <c r="C263" s="49"/>
      <c r="D263" s="49"/>
      <c r="I263" s="454"/>
      <c r="J263" s="454"/>
      <c r="K263" s="454"/>
      <c r="L263" s="454"/>
      <c r="M263" s="454"/>
      <c r="N263" s="454"/>
      <c r="P263" s="448"/>
      <c r="Q263" s="448"/>
      <c r="R263" s="448"/>
      <c r="S263" s="448"/>
      <c r="T263" s="448"/>
      <c r="U263" s="448"/>
    </row>
    <row r="264" customFormat="false" ht="12.75" hidden="false" customHeight="false" outlineLevel="0" collapsed="false">
      <c r="A264" s="49"/>
      <c r="B264" s="49"/>
      <c r="C264" s="49"/>
      <c r="D264" s="49"/>
      <c r="I264" s="454"/>
      <c r="J264" s="454"/>
      <c r="K264" s="454"/>
      <c r="L264" s="454"/>
      <c r="M264" s="454"/>
      <c r="N264" s="454"/>
      <c r="P264" s="448"/>
      <c r="Q264" s="448"/>
      <c r="R264" s="448"/>
      <c r="S264" s="448"/>
      <c r="T264" s="448"/>
      <c r="U264" s="448"/>
    </row>
    <row r="265" customFormat="false" ht="12.75" hidden="false" customHeight="false" outlineLevel="0" collapsed="false">
      <c r="A265" s="49"/>
      <c r="B265" s="49"/>
      <c r="C265" s="49"/>
      <c r="D265" s="49"/>
      <c r="I265" s="454"/>
      <c r="J265" s="454"/>
      <c r="K265" s="454"/>
      <c r="L265" s="454"/>
      <c r="M265" s="454"/>
      <c r="N265" s="454"/>
      <c r="P265" s="448"/>
      <c r="Q265" s="448"/>
      <c r="R265" s="448"/>
      <c r="S265" s="448"/>
      <c r="T265" s="448"/>
      <c r="U265" s="448"/>
    </row>
    <row r="266" customFormat="false" ht="12.75" hidden="false" customHeight="false" outlineLevel="0" collapsed="false">
      <c r="A266" s="49"/>
      <c r="B266" s="49"/>
      <c r="C266" s="49"/>
      <c r="D266" s="49"/>
      <c r="I266" s="454"/>
      <c r="J266" s="454"/>
      <c r="K266" s="454"/>
      <c r="L266" s="454"/>
      <c r="M266" s="454"/>
      <c r="N266" s="454"/>
      <c r="P266" s="448"/>
      <c r="Q266" s="448"/>
      <c r="R266" s="448"/>
      <c r="S266" s="448"/>
      <c r="T266" s="448"/>
      <c r="U266" s="448"/>
    </row>
    <row r="267" customFormat="false" ht="12.75" hidden="false" customHeight="false" outlineLevel="0" collapsed="false">
      <c r="A267" s="49"/>
      <c r="B267" s="49"/>
      <c r="C267" s="49"/>
      <c r="D267" s="49"/>
      <c r="I267" s="454"/>
      <c r="J267" s="454"/>
      <c r="K267" s="454"/>
      <c r="L267" s="454"/>
      <c r="M267" s="454"/>
      <c r="N267" s="454"/>
      <c r="P267" s="448"/>
      <c r="Q267" s="448"/>
      <c r="R267" s="448"/>
      <c r="S267" s="448"/>
      <c r="T267" s="448"/>
      <c r="U267" s="448"/>
    </row>
    <row r="268" customFormat="false" ht="12.75" hidden="false" customHeight="false" outlineLevel="0" collapsed="false">
      <c r="A268" s="49"/>
      <c r="B268" s="49"/>
      <c r="C268" s="49"/>
      <c r="D268" s="49"/>
      <c r="I268" s="454"/>
      <c r="J268" s="454"/>
      <c r="K268" s="454"/>
      <c r="L268" s="454"/>
      <c r="M268" s="454"/>
      <c r="N268" s="454"/>
      <c r="P268" s="448"/>
      <c r="Q268" s="448"/>
      <c r="R268" s="448"/>
      <c r="S268" s="448"/>
      <c r="T268" s="448"/>
      <c r="U268" s="448"/>
    </row>
    <row r="269" customFormat="false" ht="12.75" hidden="false" customHeight="false" outlineLevel="0" collapsed="false">
      <c r="A269" s="49"/>
      <c r="B269" s="49"/>
      <c r="C269" s="49"/>
      <c r="D269" s="49"/>
      <c r="I269" s="454"/>
      <c r="J269" s="454"/>
      <c r="K269" s="454"/>
      <c r="L269" s="454"/>
      <c r="M269" s="454"/>
      <c r="N269" s="454"/>
      <c r="P269" s="448"/>
      <c r="Q269" s="448"/>
      <c r="R269" s="448"/>
      <c r="S269" s="448"/>
      <c r="T269" s="448"/>
      <c r="U269" s="448"/>
    </row>
    <row r="270" customFormat="false" ht="12.75" hidden="false" customHeight="false" outlineLevel="0" collapsed="false">
      <c r="A270" s="49"/>
      <c r="B270" s="49"/>
      <c r="C270" s="49"/>
      <c r="D270" s="49"/>
      <c r="I270" s="454"/>
      <c r="J270" s="454"/>
      <c r="K270" s="454"/>
      <c r="L270" s="454"/>
      <c r="M270" s="454"/>
      <c r="N270" s="454"/>
      <c r="P270" s="448"/>
      <c r="Q270" s="448"/>
      <c r="R270" s="448"/>
      <c r="S270" s="448"/>
      <c r="T270" s="448"/>
      <c r="U270" s="448"/>
    </row>
    <row r="271" customFormat="false" ht="12.75" hidden="false" customHeight="false" outlineLevel="0" collapsed="false">
      <c r="A271" s="49"/>
      <c r="B271" s="49"/>
      <c r="C271" s="49"/>
      <c r="D271" s="49"/>
      <c r="I271" s="454"/>
      <c r="J271" s="454"/>
      <c r="K271" s="454"/>
      <c r="L271" s="454"/>
      <c r="M271" s="454"/>
      <c r="N271" s="454"/>
      <c r="P271" s="448"/>
      <c r="Q271" s="448"/>
      <c r="R271" s="448"/>
      <c r="S271" s="448"/>
      <c r="T271" s="448"/>
      <c r="U271" s="448"/>
    </row>
    <row r="272" customFormat="false" ht="12.75" hidden="false" customHeight="false" outlineLevel="0" collapsed="false">
      <c r="A272" s="49"/>
      <c r="B272" s="49"/>
      <c r="C272" s="49"/>
      <c r="D272" s="49"/>
      <c r="I272" s="454"/>
      <c r="J272" s="454"/>
      <c r="K272" s="454"/>
      <c r="L272" s="454"/>
      <c r="M272" s="454"/>
      <c r="N272" s="454"/>
      <c r="P272" s="448"/>
      <c r="Q272" s="448"/>
      <c r="R272" s="448"/>
      <c r="S272" s="448"/>
      <c r="T272" s="448"/>
      <c r="U272" s="448"/>
    </row>
    <row r="273" customFormat="false" ht="12.75" hidden="false" customHeight="false" outlineLevel="0" collapsed="false">
      <c r="A273" s="49"/>
      <c r="B273" s="49"/>
      <c r="C273" s="49"/>
      <c r="D273" s="49"/>
      <c r="I273" s="454"/>
      <c r="J273" s="454"/>
      <c r="K273" s="454"/>
      <c r="L273" s="454"/>
      <c r="M273" s="454"/>
      <c r="N273" s="454"/>
      <c r="P273" s="448"/>
      <c r="Q273" s="448"/>
      <c r="R273" s="448"/>
      <c r="S273" s="448"/>
      <c r="T273" s="448"/>
      <c r="U273" s="448"/>
    </row>
    <row r="274" customFormat="false" ht="12.75" hidden="false" customHeight="false" outlineLevel="0" collapsed="false">
      <c r="A274" s="49"/>
      <c r="B274" s="49"/>
      <c r="C274" s="49"/>
      <c r="D274" s="49"/>
      <c r="I274" s="454"/>
      <c r="J274" s="454"/>
      <c r="K274" s="454"/>
      <c r="L274" s="454"/>
      <c r="M274" s="454"/>
      <c r="N274" s="454"/>
      <c r="P274" s="448"/>
      <c r="Q274" s="448"/>
      <c r="R274" s="448"/>
      <c r="S274" s="448"/>
      <c r="T274" s="448"/>
      <c r="U274" s="448"/>
    </row>
    <row r="275" customFormat="false" ht="12.75" hidden="false" customHeight="false" outlineLevel="0" collapsed="false">
      <c r="A275" s="49"/>
      <c r="B275" s="49"/>
      <c r="C275" s="49"/>
      <c r="D275" s="49"/>
      <c r="I275" s="454"/>
      <c r="J275" s="454"/>
      <c r="K275" s="454"/>
      <c r="L275" s="454"/>
      <c r="M275" s="454"/>
      <c r="N275" s="454"/>
      <c r="P275" s="448"/>
      <c r="Q275" s="448"/>
      <c r="R275" s="448"/>
      <c r="S275" s="448"/>
      <c r="T275" s="448"/>
      <c r="U275" s="448"/>
    </row>
    <row r="276" customFormat="false" ht="12.75" hidden="false" customHeight="false" outlineLevel="0" collapsed="false">
      <c r="A276" s="49"/>
      <c r="B276" s="49"/>
      <c r="C276" s="49"/>
      <c r="D276" s="49"/>
      <c r="I276" s="454"/>
      <c r="J276" s="454"/>
      <c r="K276" s="454"/>
      <c r="L276" s="454"/>
      <c r="M276" s="454"/>
      <c r="N276" s="454"/>
      <c r="P276" s="448"/>
      <c r="Q276" s="448"/>
      <c r="R276" s="448"/>
      <c r="S276" s="448"/>
      <c r="T276" s="448"/>
      <c r="U276" s="448"/>
    </row>
    <row r="277" customFormat="false" ht="12.75" hidden="false" customHeight="false" outlineLevel="0" collapsed="false">
      <c r="A277" s="49"/>
      <c r="B277" s="49"/>
      <c r="C277" s="49"/>
      <c r="D277" s="49"/>
      <c r="I277" s="454"/>
      <c r="J277" s="454"/>
      <c r="K277" s="454"/>
      <c r="L277" s="454"/>
      <c r="M277" s="454"/>
      <c r="N277" s="454"/>
      <c r="P277" s="448"/>
      <c r="Q277" s="448"/>
      <c r="R277" s="448"/>
      <c r="S277" s="448"/>
      <c r="T277" s="448"/>
      <c r="U277" s="448"/>
    </row>
    <row r="278" customFormat="false" ht="12.75" hidden="false" customHeight="false" outlineLevel="0" collapsed="false">
      <c r="A278" s="49"/>
      <c r="B278" s="49"/>
      <c r="C278" s="49"/>
      <c r="D278" s="49"/>
      <c r="I278" s="454"/>
      <c r="J278" s="454"/>
      <c r="K278" s="454"/>
      <c r="L278" s="454"/>
      <c r="M278" s="454"/>
      <c r="N278" s="454"/>
      <c r="P278" s="448"/>
      <c r="Q278" s="448"/>
      <c r="R278" s="448"/>
      <c r="S278" s="448"/>
      <c r="T278" s="448"/>
      <c r="U278" s="448"/>
    </row>
    <row r="279" customFormat="false" ht="12.75" hidden="false" customHeight="false" outlineLevel="0" collapsed="false">
      <c r="A279" s="49"/>
      <c r="B279" s="49"/>
      <c r="C279" s="49"/>
      <c r="D279" s="49"/>
      <c r="I279" s="454"/>
      <c r="J279" s="454"/>
      <c r="K279" s="454"/>
      <c r="L279" s="454"/>
      <c r="M279" s="454"/>
      <c r="N279" s="454"/>
      <c r="P279" s="448"/>
      <c r="Q279" s="448"/>
      <c r="R279" s="448"/>
      <c r="S279" s="448"/>
      <c r="T279" s="448"/>
      <c r="U279" s="448"/>
    </row>
    <row r="280" customFormat="false" ht="12.75" hidden="false" customHeight="false" outlineLevel="0" collapsed="false">
      <c r="A280" s="49"/>
      <c r="B280" s="49"/>
      <c r="C280" s="49"/>
      <c r="D280" s="49"/>
      <c r="I280" s="454"/>
      <c r="J280" s="454"/>
      <c r="K280" s="454"/>
      <c r="L280" s="454"/>
      <c r="M280" s="454"/>
      <c r="N280" s="454"/>
      <c r="P280" s="448"/>
      <c r="Q280" s="448"/>
      <c r="R280" s="448"/>
      <c r="S280" s="448"/>
      <c r="T280" s="448"/>
      <c r="U280" s="448"/>
    </row>
    <row r="281" customFormat="false" ht="12.75" hidden="false" customHeight="false" outlineLevel="0" collapsed="false">
      <c r="A281" s="49"/>
      <c r="B281" s="49"/>
      <c r="C281" s="49"/>
      <c r="D281" s="49"/>
      <c r="I281" s="454"/>
      <c r="J281" s="454"/>
      <c r="K281" s="454"/>
      <c r="L281" s="454"/>
      <c r="M281" s="454"/>
      <c r="N281" s="454"/>
      <c r="P281" s="448"/>
      <c r="Q281" s="448"/>
      <c r="R281" s="448"/>
      <c r="S281" s="448"/>
      <c r="T281" s="448"/>
      <c r="U281" s="448"/>
    </row>
    <row r="282" customFormat="false" ht="12.75" hidden="false" customHeight="false" outlineLevel="0" collapsed="false">
      <c r="A282" s="49"/>
      <c r="B282" s="49"/>
      <c r="C282" s="49"/>
      <c r="D282" s="49"/>
      <c r="I282" s="454"/>
      <c r="J282" s="454"/>
      <c r="K282" s="454"/>
      <c r="L282" s="454"/>
      <c r="M282" s="454"/>
      <c r="N282" s="454"/>
      <c r="P282" s="448"/>
      <c r="Q282" s="448"/>
      <c r="R282" s="448"/>
      <c r="S282" s="448"/>
      <c r="T282" s="448"/>
      <c r="U282" s="448"/>
    </row>
    <row r="283" customFormat="false" ht="12.75" hidden="false" customHeight="false" outlineLevel="0" collapsed="false">
      <c r="A283" s="49"/>
      <c r="B283" s="49"/>
      <c r="C283" s="49"/>
      <c r="D283" s="49"/>
      <c r="I283" s="454"/>
      <c r="J283" s="454"/>
      <c r="K283" s="454"/>
      <c r="L283" s="454"/>
      <c r="M283" s="454"/>
      <c r="N283" s="454"/>
      <c r="P283" s="448"/>
      <c r="Q283" s="448"/>
      <c r="R283" s="448"/>
      <c r="S283" s="448"/>
      <c r="T283" s="448"/>
      <c r="U283" s="448"/>
    </row>
    <row r="284" customFormat="false" ht="12.75" hidden="false" customHeight="false" outlineLevel="0" collapsed="false">
      <c r="A284" s="49"/>
      <c r="B284" s="49"/>
      <c r="C284" s="49"/>
      <c r="D284" s="49"/>
      <c r="I284" s="454"/>
      <c r="J284" s="454"/>
      <c r="K284" s="454"/>
      <c r="L284" s="454"/>
      <c r="M284" s="454"/>
      <c r="N284" s="454"/>
      <c r="P284" s="448"/>
      <c r="Q284" s="448"/>
      <c r="R284" s="448"/>
      <c r="S284" s="448"/>
      <c r="T284" s="448"/>
      <c r="U284" s="448"/>
    </row>
    <row r="285" customFormat="false" ht="12.75" hidden="false" customHeight="false" outlineLevel="0" collapsed="false">
      <c r="A285" s="49"/>
      <c r="B285" s="49"/>
      <c r="C285" s="49"/>
      <c r="D285" s="49"/>
      <c r="I285" s="454"/>
      <c r="J285" s="454"/>
      <c r="K285" s="454"/>
      <c r="L285" s="454"/>
      <c r="M285" s="454"/>
      <c r="N285" s="454"/>
      <c r="P285" s="448"/>
      <c r="Q285" s="448"/>
      <c r="R285" s="448"/>
      <c r="S285" s="448"/>
      <c r="T285" s="448"/>
      <c r="U285" s="448"/>
    </row>
    <row r="286" customFormat="false" ht="12.75" hidden="false" customHeight="false" outlineLevel="0" collapsed="false">
      <c r="A286" s="49"/>
      <c r="B286" s="49"/>
      <c r="C286" s="49"/>
      <c r="D286" s="49"/>
      <c r="I286" s="454"/>
      <c r="J286" s="454"/>
      <c r="K286" s="454"/>
      <c r="L286" s="454"/>
      <c r="M286" s="454"/>
      <c r="N286" s="454"/>
      <c r="P286" s="448"/>
      <c r="Q286" s="448"/>
      <c r="R286" s="448"/>
      <c r="S286" s="448"/>
      <c r="T286" s="448"/>
      <c r="U286" s="448"/>
    </row>
    <row r="287" customFormat="false" ht="12.75" hidden="false" customHeight="false" outlineLevel="0" collapsed="false">
      <c r="A287" s="49"/>
      <c r="B287" s="49"/>
      <c r="C287" s="49"/>
      <c r="D287" s="49"/>
      <c r="I287" s="454"/>
      <c r="J287" s="454"/>
      <c r="K287" s="454"/>
      <c r="L287" s="454"/>
      <c r="M287" s="454"/>
      <c r="N287" s="454"/>
      <c r="P287" s="448"/>
      <c r="Q287" s="448"/>
      <c r="R287" s="448"/>
      <c r="S287" s="448"/>
      <c r="T287" s="448"/>
      <c r="U287" s="448"/>
    </row>
    <row r="288" customFormat="false" ht="12.75" hidden="false" customHeight="false" outlineLevel="0" collapsed="false">
      <c r="A288" s="49"/>
      <c r="B288" s="49"/>
      <c r="C288" s="49"/>
      <c r="D288" s="49"/>
      <c r="I288" s="454"/>
      <c r="J288" s="454"/>
      <c r="K288" s="454"/>
      <c r="L288" s="454"/>
      <c r="M288" s="454"/>
      <c r="N288" s="454"/>
      <c r="P288" s="448"/>
      <c r="Q288" s="448"/>
      <c r="R288" s="448"/>
      <c r="S288" s="448"/>
      <c r="T288" s="448"/>
      <c r="U288" s="448"/>
    </row>
    <row r="289" customFormat="false" ht="12.75" hidden="false" customHeight="false" outlineLevel="0" collapsed="false">
      <c r="A289" s="49"/>
      <c r="B289" s="49"/>
      <c r="C289" s="49"/>
      <c r="D289" s="49"/>
      <c r="I289" s="454"/>
      <c r="J289" s="454"/>
      <c r="K289" s="454"/>
      <c r="L289" s="454"/>
      <c r="M289" s="454"/>
      <c r="N289" s="454"/>
      <c r="P289" s="448"/>
      <c r="Q289" s="448"/>
      <c r="R289" s="448"/>
      <c r="S289" s="448"/>
      <c r="T289" s="448"/>
      <c r="U289" s="448"/>
    </row>
    <row r="290" customFormat="false" ht="12.75" hidden="false" customHeight="false" outlineLevel="0" collapsed="false">
      <c r="A290" s="49"/>
      <c r="B290" s="49"/>
      <c r="C290" s="49"/>
      <c r="D290" s="49"/>
      <c r="I290" s="454"/>
      <c r="J290" s="454"/>
      <c r="K290" s="454"/>
      <c r="L290" s="454"/>
      <c r="M290" s="454"/>
      <c r="N290" s="454"/>
      <c r="P290" s="448"/>
      <c r="Q290" s="448"/>
      <c r="R290" s="448"/>
      <c r="S290" s="448"/>
      <c r="T290" s="448"/>
      <c r="U290" s="448"/>
    </row>
    <row r="291" customFormat="false" ht="12.75" hidden="false" customHeight="false" outlineLevel="0" collapsed="false">
      <c r="A291" s="49"/>
      <c r="B291" s="49"/>
      <c r="C291" s="49"/>
      <c r="D291" s="49"/>
      <c r="I291" s="454"/>
      <c r="J291" s="454"/>
      <c r="K291" s="454"/>
      <c r="L291" s="454"/>
      <c r="M291" s="454"/>
      <c r="N291" s="454"/>
      <c r="P291" s="448"/>
      <c r="Q291" s="448"/>
      <c r="R291" s="448"/>
      <c r="S291" s="448"/>
      <c r="T291" s="448"/>
      <c r="U291" s="448"/>
    </row>
    <row r="292" customFormat="false" ht="12.75" hidden="false" customHeight="false" outlineLevel="0" collapsed="false">
      <c r="A292" s="49"/>
      <c r="B292" s="49"/>
      <c r="C292" s="49"/>
      <c r="D292" s="49"/>
      <c r="I292" s="454"/>
      <c r="J292" s="454"/>
      <c r="K292" s="454"/>
      <c r="L292" s="454"/>
      <c r="M292" s="454"/>
      <c r="N292" s="454"/>
      <c r="P292" s="448"/>
      <c r="Q292" s="448"/>
      <c r="R292" s="448"/>
      <c r="S292" s="448"/>
      <c r="T292" s="448"/>
      <c r="U292" s="448"/>
    </row>
    <row r="293" customFormat="false" ht="12.75" hidden="false" customHeight="false" outlineLevel="0" collapsed="false">
      <c r="A293" s="49"/>
      <c r="B293" s="49"/>
      <c r="C293" s="49"/>
      <c r="D293" s="49"/>
      <c r="I293" s="454"/>
      <c r="J293" s="454"/>
      <c r="K293" s="454"/>
      <c r="L293" s="454"/>
      <c r="M293" s="454"/>
      <c r="N293" s="454"/>
      <c r="P293" s="448"/>
      <c r="Q293" s="448"/>
      <c r="R293" s="448"/>
      <c r="S293" s="448"/>
      <c r="T293" s="448"/>
      <c r="U293" s="448"/>
    </row>
    <row r="294" customFormat="false" ht="12.75" hidden="false" customHeight="false" outlineLevel="0" collapsed="false">
      <c r="A294" s="49"/>
      <c r="B294" s="49"/>
      <c r="C294" s="49"/>
      <c r="D294" s="49"/>
      <c r="I294" s="454"/>
      <c r="J294" s="454"/>
      <c r="K294" s="454"/>
      <c r="L294" s="454"/>
      <c r="M294" s="454"/>
      <c r="N294" s="454"/>
      <c r="P294" s="448"/>
      <c r="Q294" s="448"/>
      <c r="R294" s="448"/>
      <c r="S294" s="448"/>
      <c r="T294" s="448"/>
      <c r="U294" s="448"/>
    </row>
    <row r="295" customFormat="false" ht="12.75" hidden="false" customHeight="false" outlineLevel="0" collapsed="false">
      <c r="A295" s="49"/>
      <c r="B295" s="49"/>
      <c r="C295" s="49"/>
      <c r="D295" s="49"/>
      <c r="I295" s="454"/>
      <c r="J295" s="454"/>
      <c r="K295" s="454"/>
      <c r="L295" s="454"/>
      <c r="M295" s="454"/>
      <c r="N295" s="454"/>
      <c r="P295" s="448"/>
      <c r="Q295" s="448"/>
      <c r="R295" s="448"/>
      <c r="S295" s="448"/>
      <c r="T295" s="448"/>
      <c r="U295" s="448"/>
    </row>
    <row r="296" customFormat="false" ht="12.75" hidden="false" customHeight="false" outlineLevel="0" collapsed="false">
      <c r="A296" s="49"/>
      <c r="B296" s="49"/>
      <c r="C296" s="49"/>
      <c r="D296" s="49"/>
      <c r="I296" s="454"/>
      <c r="J296" s="454"/>
      <c r="K296" s="454"/>
      <c r="L296" s="454"/>
      <c r="M296" s="454"/>
      <c r="N296" s="454"/>
      <c r="P296" s="448"/>
      <c r="Q296" s="448"/>
      <c r="R296" s="448"/>
      <c r="S296" s="448"/>
      <c r="T296" s="448"/>
      <c r="U296" s="448"/>
    </row>
    <row r="297" customFormat="false" ht="12.75" hidden="false" customHeight="false" outlineLevel="0" collapsed="false">
      <c r="A297" s="49"/>
      <c r="B297" s="49"/>
      <c r="C297" s="49"/>
      <c r="D297" s="49"/>
      <c r="I297" s="454"/>
      <c r="J297" s="454"/>
      <c r="K297" s="454"/>
      <c r="L297" s="454"/>
      <c r="M297" s="454"/>
      <c r="N297" s="454"/>
      <c r="P297" s="448"/>
      <c r="Q297" s="448"/>
      <c r="R297" s="448"/>
      <c r="S297" s="448"/>
      <c r="T297" s="448"/>
      <c r="U297" s="448"/>
    </row>
    <row r="298" customFormat="false" ht="12.75" hidden="false" customHeight="false" outlineLevel="0" collapsed="false">
      <c r="A298" s="49"/>
      <c r="B298" s="49"/>
      <c r="C298" s="49"/>
      <c r="D298" s="49"/>
      <c r="I298" s="454"/>
      <c r="J298" s="454"/>
      <c r="K298" s="454"/>
      <c r="L298" s="454"/>
      <c r="M298" s="454"/>
      <c r="N298" s="454"/>
      <c r="P298" s="448"/>
      <c r="Q298" s="448"/>
      <c r="R298" s="448"/>
      <c r="S298" s="448"/>
      <c r="T298" s="448"/>
      <c r="U298" s="448"/>
    </row>
    <row r="299" customFormat="false" ht="12.75" hidden="false" customHeight="false" outlineLevel="0" collapsed="false">
      <c r="A299" s="49"/>
      <c r="B299" s="49"/>
      <c r="C299" s="49"/>
      <c r="D299" s="49"/>
      <c r="I299" s="454"/>
      <c r="J299" s="454"/>
      <c r="K299" s="454"/>
      <c r="L299" s="454"/>
      <c r="M299" s="454"/>
      <c r="N299" s="454"/>
      <c r="P299" s="448"/>
      <c r="Q299" s="448"/>
      <c r="R299" s="448"/>
      <c r="S299" s="448"/>
      <c r="T299" s="448"/>
      <c r="U299" s="448"/>
    </row>
    <row r="300" customFormat="false" ht="12.75" hidden="false" customHeight="false" outlineLevel="0" collapsed="false">
      <c r="A300" s="49"/>
      <c r="B300" s="49"/>
      <c r="C300" s="49"/>
      <c r="D300" s="49"/>
      <c r="I300" s="454"/>
      <c r="J300" s="454"/>
      <c r="K300" s="454"/>
      <c r="L300" s="454"/>
      <c r="M300" s="454"/>
      <c r="N300" s="454"/>
      <c r="P300" s="448"/>
      <c r="Q300" s="448"/>
      <c r="R300" s="448"/>
      <c r="S300" s="448"/>
      <c r="T300" s="448"/>
      <c r="U300" s="448"/>
    </row>
    <row r="301" customFormat="false" ht="12.75" hidden="false" customHeight="false" outlineLevel="0" collapsed="false">
      <c r="A301" s="49"/>
      <c r="B301" s="49"/>
      <c r="C301" s="49"/>
      <c r="D301" s="49"/>
      <c r="I301" s="454"/>
      <c r="J301" s="454"/>
      <c r="K301" s="454"/>
      <c r="L301" s="454"/>
      <c r="M301" s="454"/>
      <c r="N301" s="454"/>
      <c r="P301" s="448"/>
      <c r="Q301" s="448"/>
      <c r="R301" s="448"/>
      <c r="S301" s="448"/>
      <c r="T301" s="448"/>
      <c r="U301" s="448"/>
    </row>
    <row r="302" customFormat="false" ht="12.75" hidden="false" customHeight="false" outlineLevel="0" collapsed="false">
      <c r="A302" s="49"/>
      <c r="B302" s="49"/>
      <c r="C302" s="49"/>
      <c r="D302" s="49"/>
      <c r="I302" s="454"/>
      <c r="J302" s="454"/>
      <c r="K302" s="454"/>
      <c r="L302" s="454"/>
      <c r="M302" s="454"/>
      <c r="N302" s="454"/>
      <c r="P302" s="448"/>
      <c r="Q302" s="448"/>
      <c r="R302" s="448"/>
      <c r="S302" s="448"/>
      <c r="T302" s="448"/>
      <c r="U302" s="448"/>
    </row>
    <row r="303" customFormat="false" ht="12.75" hidden="false" customHeight="false" outlineLevel="0" collapsed="false">
      <c r="A303" s="49"/>
      <c r="B303" s="49"/>
      <c r="C303" s="49"/>
      <c r="D303" s="49"/>
      <c r="I303" s="454"/>
      <c r="J303" s="454"/>
      <c r="K303" s="454"/>
      <c r="L303" s="454"/>
      <c r="M303" s="454"/>
      <c r="N303" s="454"/>
      <c r="P303" s="448"/>
      <c r="Q303" s="448"/>
      <c r="R303" s="448"/>
      <c r="S303" s="448"/>
      <c r="T303" s="448"/>
      <c r="U303" s="448"/>
    </row>
    <row r="304" customFormat="false" ht="12.75" hidden="false" customHeight="false" outlineLevel="0" collapsed="false">
      <c r="A304" s="49"/>
      <c r="B304" s="49"/>
      <c r="C304" s="49"/>
      <c r="D304" s="49"/>
      <c r="I304" s="454"/>
      <c r="J304" s="454"/>
      <c r="K304" s="454"/>
      <c r="L304" s="454"/>
      <c r="M304" s="454"/>
      <c r="N304" s="454"/>
      <c r="P304" s="448"/>
      <c r="Q304" s="448"/>
      <c r="R304" s="448"/>
      <c r="S304" s="448"/>
      <c r="T304" s="448"/>
      <c r="U304" s="448"/>
    </row>
    <row r="305" customFormat="false" ht="12.75" hidden="false" customHeight="false" outlineLevel="0" collapsed="false">
      <c r="A305" s="49"/>
      <c r="B305" s="49"/>
      <c r="C305" s="49"/>
      <c r="D305" s="49"/>
      <c r="I305" s="454"/>
      <c r="J305" s="454"/>
      <c r="K305" s="454"/>
      <c r="L305" s="454"/>
      <c r="M305" s="454"/>
      <c r="N305" s="454"/>
      <c r="P305" s="448"/>
      <c r="Q305" s="448"/>
      <c r="R305" s="448"/>
      <c r="S305" s="448"/>
      <c r="T305" s="448"/>
      <c r="U305" s="448"/>
    </row>
    <row r="306" customFormat="false" ht="12.75" hidden="false" customHeight="false" outlineLevel="0" collapsed="false">
      <c r="A306" s="49"/>
      <c r="B306" s="49"/>
      <c r="C306" s="49"/>
      <c r="D306" s="49"/>
      <c r="I306" s="454"/>
      <c r="J306" s="454"/>
      <c r="K306" s="454"/>
      <c r="L306" s="454"/>
      <c r="M306" s="454"/>
      <c r="N306" s="454"/>
      <c r="P306" s="448"/>
      <c r="Q306" s="448"/>
      <c r="R306" s="448"/>
      <c r="S306" s="448"/>
      <c r="T306" s="448"/>
      <c r="U306" s="448"/>
    </row>
    <row r="307" customFormat="false" ht="12.75" hidden="false" customHeight="false" outlineLevel="0" collapsed="false">
      <c r="A307" s="49"/>
      <c r="B307" s="49"/>
      <c r="C307" s="49"/>
      <c r="D307" s="49"/>
      <c r="I307" s="454"/>
      <c r="J307" s="454"/>
      <c r="K307" s="454"/>
      <c r="L307" s="454"/>
      <c r="M307" s="454"/>
      <c r="N307" s="454"/>
      <c r="P307" s="448"/>
      <c r="Q307" s="448"/>
      <c r="R307" s="448"/>
      <c r="S307" s="448"/>
      <c r="T307" s="448"/>
      <c r="U307" s="448"/>
    </row>
    <row r="308" customFormat="false" ht="12.75" hidden="false" customHeight="false" outlineLevel="0" collapsed="false">
      <c r="A308" s="49"/>
      <c r="B308" s="49"/>
      <c r="C308" s="49"/>
      <c r="D308" s="49"/>
      <c r="I308" s="454"/>
      <c r="J308" s="454"/>
      <c r="K308" s="454"/>
      <c r="L308" s="454"/>
      <c r="M308" s="454"/>
      <c r="N308" s="454"/>
      <c r="P308" s="448"/>
      <c r="Q308" s="448"/>
      <c r="R308" s="448"/>
      <c r="S308" s="448"/>
      <c r="T308" s="448"/>
      <c r="U308" s="448"/>
    </row>
    <row r="309" customFormat="false" ht="12.75" hidden="false" customHeight="false" outlineLevel="0" collapsed="false">
      <c r="A309" s="49"/>
      <c r="B309" s="49"/>
      <c r="C309" s="49"/>
      <c r="D309" s="49"/>
      <c r="I309" s="454"/>
      <c r="J309" s="454"/>
      <c r="K309" s="454"/>
      <c r="L309" s="454"/>
      <c r="M309" s="454"/>
      <c r="N309" s="454"/>
      <c r="P309" s="448"/>
      <c r="Q309" s="448"/>
      <c r="R309" s="448"/>
      <c r="S309" s="448"/>
      <c r="T309" s="448"/>
      <c r="U309" s="448"/>
    </row>
    <row r="310" customFormat="false" ht="12.75" hidden="false" customHeight="false" outlineLevel="0" collapsed="false">
      <c r="A310" s="49"/>
      <c r="B310" s="49"/>
      <c r="C310" s="49"/>
      <c r="D310" s="49"/>
      <c r="I310" s="454"/>
      <c r="J310" s="454"/>
      <c r="K310" s="454"/>
      <c r="L310" s="454"/>
      <c r="M310" s="454"/>
      <c r="N310" s="454"/>
      <c r="P310" s="448"/>
      <c r="Q310" s="448"/>
      <c r="R310" s="448"/>
      <c r="S310" s="448"/>
      <c r="T310" s="448"/>
      <c r="U310" s="448"/>
    </row>
    <row r="311" customFormat="false" ht="12.75" hidden="false" customHeight="false" outlineLevel="0" collapsed="false">
      <c r="A311" s="49"/>
      <c r="B311" s="49"/>
      <c r="C311" s="49"/>
      <c r="D311" s="49"/>
      <c r="I311" s="454"/>
      <c r="J311" s="454"/>
      <c r="K311" s="454"/>
      <c r="L311" s="454"/>
      <c r="M311" s="454"/>
      <c r="N311" s="454"/>
      <c r="P311" s="448"/>
      <c r="Q311" s="448"/>
      <c r="R311" s="448"/>
      <c r="S311" s="448"/>
      <c r="T311" s="448"/>
      <c r="U311" s="448"/>
    </row>
    <row r="312" customFormat="false" ht="12.75" hidden="false" customHeight="false" outlineLevel="0" collapsed="false">
      <c r="A312" s="49"/>
      <c r="B312" s="49"/>
      <c r="C312" s="49"/>
      <c r="D312" s="49"/>
      <c r="I312" s="454"/>
      <c r="J312" s="454"/>
      <c r="K312" s="454"/>
      <c r="L312" s="454"/>
      <c r="M312" s="454"/>
      <c r="N312" s="454"/>
      <c r="P312" s="448"/>
      <c r="Q312" s="448"/>
      <c r="R312" s="448"/>
      <c r="S312" s="448"/>
      <c r="T312" s="448"/>
      <c r="U312" s="448"/>
    </row>
    <row r="313" customFormat="false" ht="12.75" hidden="false" customHeight="false" outlineLevel="0" collapsed="false">
      <c r="A313" s="49"/>
      <c r="B313" s="49"/>
      <c r="C313" s="49"/>
      <c r="D313" s="49"/>
      <c r="I313" s="454"/>
      <c r="J313" s="454"/>
      <c r="K313" s="454"/>
      <c r="L313" s="454"/>
      <c r="M313" s="454"/>
      <c r="N313" s="454"/>
      <c r="P313" s="448"/>
      <c r="Q313" s="448"/>
      <c r="R313" s="448"/>
      <c r="S313" s="448"/>
      <c r="T313" s="448"/>
      <c r="U313" s="448"/>
    </row>
    <row r="314" customFormat="false" ht="12.75" hidden="false" customHeight="false" outlineLevel="0" collapsed="false">
      <c r="A314" s="49"/>
      <c r="B314" s="49"/>
      <c r="C314" s="49"/>
      <c r="D314" s="49"/>
      <c r="I314" s="49"/>
      <c r="J314" s="49"/>
      <c r="K314" s="49"/>
      <c r="L314" s="49"/>
      <c r="M314" s="49"/>
      <c r="N314" s="49"/>
      <c r="P314" s="448"/>
      <c r="Q314" s="448"/>
      <c r="R314" s="448"/>
      <c r="S314" s="448"/>
      <c r="T314" s="448"/>
      <c r="U314" s="448"/>
    </row>
    <row r="315" customFormat="false" ht="12.75" hidden="false" customHeight="false" outlineLevel="0" collapsed="false">
      <c r="A315" s="49"/>
      <c r="B315" s="49"/>
      <c r="C315" s="49"/>
      <c r="D315" s="49"/>
      <c r="I315" s="49"/>
      <c r="J315" s="49"/>
      <c r="K315" s="49"/>
      <c r="L315" s="49"/>
      <c r="M315" s="49"/>
      <c r="N315" s="49"/>
      <c r="P315" s="448"/>
      <c r="Q315" s="448"/>
      <c r="R315" s="448"/>
      <c r="S315" s="448"/>
      <c r="T315" s="448"/>
      <c r="U315" s="448"/>
    </row>
    <row r="316" customFormat="false" ht="12.75" hidden="false" customHeight="false" outlineLevel="0" collapsed="false">
      <c r="A316" s="49"/>
      <c r="B316" s="49"/>
      <c r="C316" s="49"/>
      <c r="D316" s="49"/>
      <c r="I316" s="49"/>
      <c r="J316" s="49"/>
      <c r="K316" s="49"/>
      <c r="L316" s="49"/>
      <c r="M316" s="49"/>
      <c r="N316" s="49"/>
      <c r="P316" s="448"/>
      <c r="Q316" s="448"/>
      <c r="R316" s="448"/>
      <c r="S316" s="448"/>
      <c r="T316" s="448"/>
      <c r="U316" s="448"/>
    </row>
    <row r="317" customFormat="false" ht="12.75" hidden="false" customHeight="false" outlineLevel="0" collapsed="false">
      <c r="A317" s="49"/>
      <c r="B317" s="49"/>
      <c r="C317" s="49"/>
      <c r="D317" s="49"/>
      <c r="I317" s="49"/>
      <c r="J317" s="49"/>
      <c r="K317" s="49"/>
      <c r="L317" s="49"/>
      <c r="M317" s="49"/>
      <c r="N317" s="49"/>
      <c r="P317" s="448"/>
      <c r="Q317" s="448"/>
      <c r="R317" s="448"/>
      <c r="S317" s="448"/>
      <c r="T317" s="448"/>
      <c r="U317" s="448"/>
    </row>
    <row r="318" customFormat="false" ht="12.75" hidden="false" customHeight="false" outlineLevel="0" collapsed="false">
      <c r="A318" s="49"/>
      <c r="B318" s="49"/>
      <c r="C318" s="49"/>
      <c r="D318" s="49"/>
      <c r="I318" s="49"/>
      <c r="J318" s="49"/>
      <c r="K318" s="49"/>
      <c r="L318" s="49"/>
      <c r="M318" s="49"/>
      <c r="N318" s="49"/>
      <c r="P318" s="448"/>
      <c r="Q318" s="448"/>
      <c r="R318" s="448"/>
      <c r="S318" s="448"/>
      <c r="T318" s="448"/>
      <c r="U318" s="448"/>
    </row>
    <row r="319" customFormat="false" ht="12.75" hidden="false" customHeight="false" outlineLevel="0" collapsed="false">
      <c r="A319" s="49"/>
      <c r="B319" s="49"/>
      <c r="C319" s="49"/>
      <c r="D319" s="49"/>
      <c r="I319" s="49"/>
      <c r="J319" s="49"/>
      <c r="K319" s="49"/>
      <c r="L319" s="49"/>
      <c r="M319" s="49"/>
      <c r="N319" s="49"/>
      <c r="P319" s="448"/>
      <c r="Q319" s="448"/>
      <c r="R319" s="448"/>
      <c r="S319" s="448"/>
      <c r="T319" s="448"/>
      <c r="U319" s="448"/>
    </row>
    <row r="320" customFormat="false" ht="12.75" hidden="false" customHeight="false" outlineLevel="0" collapsed="false">
      <c r="A320" s="49"/>
      <c r="B320" s="49"/>
      <c r="C320" s="49"/>
      <c r="D320" s="49"/>
      <c r="I320" s="49"/>
      <c r="J320" s="49"/>
      <c r="K320" s="49"/>
      <c r="L320" s="49"/>
      <c r="M320" s="49"/>
      <c r="N320" s="49"/>
      <c r="P320" s="448"/>
      <c r="Q320" s="448"/>
      <c r="R320" s="448"/>
      <c r="S320" s="448"/>
      <c r="T320" s="448"/>
      <c r="U320" s="448"/>
    </row>
    <row r="321" customFormat="false" ht="12.75" hidden="false" customHeight="false" outlineLevel="0" collapsed="false">
      <c r="A321" s="49"/>
      <c r="B321" s="49"/>
      <c r="C321" s="49"/>
      <c r="D321" s="49"/>
      <c r="I321" s="49"/>
      <c r="J321" s="49"/>
      <c r="K321" s="49"/>
      <c r="L321" s="49"/>
      <c r="M321" s="49"/>
      <c r="N321" s="49"/>
      <c r="P321" s="448"/>
      <c r="Q321" s="448"/>
      <c r="R321" s="448"/>
      <c r="S321" s="448"/>
      <c r="T321" s="448"/>
      <c r="U321" s="448"/>
    </row>
    <row r="322" customFormat="false" ht="12.75" hidden="false" customHeight="false" outlineLevel="0" collapsed="false">
      <c r="A322" s="49"/>
      <c r="B322" s="49"/>
      <c r="C322" s="49"/>
      <c r="D322" s="49"/>
      <c r="I322" s="49"/>
      <c r="J322" s="49"/>
      <c r="K322" s="49"/>
      <c r="L322" s="49"/>
      <c r="M322" s="49"/>
      <c r="N322" s="49"/>
      <c r="P322" s="448"/>
      <c r="Q322" s="448"/>
      <c r="R322" s="448"/>
      <c r="S322" s="448"/>
      <c r="T322" s="448"/>
      <c r="U322" s="448"/>
    </row>
    <row r="323" customFormat="false" ht="12.75" hidden="false" customHeight="false" outlineLevel="0" collapsed="false">
      <c r="A323" s="49"/>
      <c r="B323" s="49"/>
      <c r="C323" s="49"/>
      <c r="D323" s="49"/>
      <c r="I323" s="49"/>
      <c r="J323" s="49"/>
      <c r="K323" s="49"/>
      <c r="L323" s="49"/>
      <c r="M323" s="49"/>
      <c r="N323" s="49"/>
      <c r="P323" s="448"/>
      <c r="Q323" s="448"/>
      <c r="R323" s="448"/>
      <c r="S323" s="448"/>
      <c r="T323" s="448"/>
      <c r="U323" s="448"/>
    </row>
    <row r="324" customFormat="false" ht="12.75" hidden="false" customHeight="false" outlineLevel="0" collapsed="false">
      <c r="A324" s="49"/>
      <c r="B324" s="49"/>
      <c r="C324" s="49"/>
      <c r="I324" s="49"/>
      <c r="J324" s="49"/>
      <c r="K324" s="49"/>
      <c r="L324" s="49"/>
      <c r="M324" s="49"/>
      <c r="N324" s="49"/>
      <c r="P324" s="448"/>
      <c r="Q324" s="448"/>
      <c r="R324" s="448"/>
      <c r="S324" s="448"/>
      <c r="T324" s="448"/>
      <c r="U324" s="448"/>
    </row>
    <row r="325" customFormat="false" ht="12.75" hidden="false" customHeight="false" outlineLevel="0" collapsed="false">
      <c r="A325" s="49"/>
      <c r="B325" s="49"/>
      <c r="C325" s="49"/>
      <c r="I325" s="49"/>
      <c r="J325" s="49"/>
      <c r="K325" s="49"/>
      <c r="L325" s="49"/>
      <c r="M325" s="49"/>
      <c r="N325" s="49"/>
      <c r="P325" s="448"/>
      <c r="Q325" s="448"/>
      <c r="R325" s="448"/>
      <c r="S325" s="448"/>
      <c r="T325" s="448"/>
      <c r="U325" s="448"/>
    </row>
    <row r="326" customFormat="false" ht="12.75" hidden="false" customHeight="false" outlineLevel="0" collapsed="false">
      <c r="A326" s="49"/>
      <c r="B326" s="49"/>
      <c r="C326" s="49"/>
      <c r="I326" s="49"/>
      <c r="J326" s="49"/>
      <c r="K326" s="49"/>
      <c r="L326" s="49"/>
      <c r="M326" s="49"/>
      <c r="N326" s="49"/>
      <c r="P326" s="448"/>
      <c r="Q326" s="448"/>
      <c r="R326" s="448"/>
      <c r="S326" s="448"/>
      <c r="T326" s="448"/>
      <c r="U326" s="448"/>
    </row>
    <row r="327" customFormat="false" ht="12.75" hidden="false" customHeight="false" outlineLevel="0" collapsed="false">
      <c r="A327" s="49"/>
      <c r="B327" s="49"/>
      <c r="C327" s="49"/>
      <c r="I327" s="49"/>
      <c r="J327" s="49"/>
      <c r="K327" s="49"/>
      <c r="L327" s="49"/>
      <c r="M327" s="49"/>
      <c r="N327" s="49"/>
      <c r="P327" s="448"/>
      <c r="Q327" s="448"/>
      <c r="R327" s="448"/>
      <c r="S327" s="448"/>
      <c r="T327" s="448"/>
      <c r="U327" s="448"/>
    </row>
    <row r="328" customFormat="false" ht="12.75" hidden="false" customHeight="false" outlineLevel="0" collapsed="false">
      <c r="A328" s="49"/>
      <c r="B328" s="49"/>
      <c r="C328" s="49"/>
      <c r="I328" s="49"/>
      <c r="J328" s="49"/>
      <c r="K328" s="49"/>
      <c r="L328" s="49"/>
      <c r="M328" s="49"/>
      <c r="N328" s="49"/>
      <c r="P328" s="448"/>
      <c r="Q328" s="448"/>
      <c r="R328" s="448"/>
      <c r="S328" s="448"/>
      <c r="T328" s="448"/>
      <c r="U328" s="448"/>
    </row>
    <row r="329" customFormat="false" ht="12.75" hidden="false" customHeight="false" outlineLevel="0" collapsed="false">
      <c r="A329" s="49"/>
      <c r="B329" s="49"/>
      <c r="C329" s="49"/>
      <c r="I329" s="49"/>
      <c r="J329" s="49"/>
      <c r="K329" s="49"/>
      <c r="L329" s="49"/>
      <c r="M329" s="49"/>
      <c r="N329" s="49"/>
      <c r="P329" s="448"/>
      <c r="Q329" s="448"/>
      <c r="R329" s="448"/>
      <c r="S329" s="448"/>
      <c r="T329" s="448"/>
      <c r="U329" s="448"/>
    </row>
    <row r="330" customFormat="false" ht="12.75" hidden="false" customHeight="false" outlineLevel="0" collapsed="false">
      <c r="A330" s="49"/>
      <c r="B330" s="49"/>
      <c r="C330" s="49"/>
      <c r="I330" s="49"/>
      <c r="J330" s="49"/>
      <c r="K330" s="49"/>
      <c r="L330" s="49"/>
      <c r="M330" s="49"/>
      <c r="N330" s="49"/>
      <c r="P330" s="448"/>
      <c r="Q330" s="448"/>
      <c r="R330" s="448"/>
      <c r="S330" s="448"/>
      <c r="T330" s="448"/>
      <c r="U330" s="448"/>
    </row>
    <row r="331" customFormat="false" ht="12.75" hidden="false" customHeight="false" outlineLevel="0" collapsed="false">
      <c r="A331" s="49"/>
      <c r="B331" s="49"/>
      <c r="C331" s="49"/>
      <c r="I331" s="49"/>
      <c r="J331" s="49"/>
      <c r="K331" s="49"/>
      <c r="L331" s="49"/>
      <c r="M331" s="49"/>
      <c r="N331" s="49"/>
      <c r="P331" s="448"/>
      <c r="Q331" s="448"/>
      <c r="R331" s="448"/>
      <c r="S331" s="448"/>
      <c r="T331" s="448"/>
      <c r="U331" s="448"/>
    </row>
    <row r="332" customFormat="false" ht="12.75" hidden="false" customHeight="false" outlineLevel="0" collapsed="false">
      <c r="A332" s="49"/>
      <c r="B332" s="49"/>
      <c r="C332" s="49"/>
      <c r="I332" s="49"/>
      <c r="J332" s="49"/>
      <c r="K332" s="49"/>
      <c r="L332" s="49"/>
      <c r="M332" s="49"/>
      <c r="N332" s="49"/>
      <c r="P332" s="448"/>
      <c r="Q332" s="448"/>
      <c r="R332" s="448"/>
      <c r="S332" s="448"/>
      <c r="T332" s="448"/>
      <c r="U332" s="448"/>
    </row>
    <row r="333" customFormat="false" ht="12.75" hidden="false" customHeight="false" outlineLevel="0" collapsed="false">
      <c r="A333" s="49"/>
      <c r="B333" s="49"/>
      <c r="C333" s="49"/>
      <c r="I333" s="49"/>
      <c r="J333" s="49"/>
      <c r="K333" s="49"/>
      <c r="L333" s="49"/>
      <c r="M333" s="49"/>
      <c r="N333" s="49"/>
      <c r="P333" s="448"/>
      <c r="Q333" s="448"/>
      <c r="R333" s="448"/>
      <c r="S333" s="448"/>
      <c r="T333" s="448"/>
      <c r="U333" s="448"/>
    </row>
    <row r="334" customFormat="false" ht="12.75" hidden="false" customHeight="false" outlineLevel="0" collapsed="false">
      <c r="A334" s="49"/>
      <c r="B334" s="49"/>
      <c r="C334" s="49"/>
      <c r="I334" s="49"/>
      <c r="J334" s="49"/>
      <c r="K334" s="49"/>
      <c r="L334" s="49"/>
      <c r="M334" s="49"/>
      <c r="N334" s="49"/>
      <c r="P334" s="448"/>
      <c r="Q334" s="448"/>
      <c r="R334" s="448"/>
      <c r="S334" s="448"/>
      <c r="T334" s="448"/>
      <c r="U334" s="448"/>
    </row>
    <row r="335" customFormat="false" ht="12.75" hidden="false" customHeight="false" outlineLevel="0" collapsed="false">
      <c r="A335" s="49"/>
      <c r="B335" s="49"/>
      <c r="C335" s="49"/>
      <c r="I335" s="49"/>
      <c r="J335" s="49"/>
      <c r="K335" s="49"/>
      <c r="L335" s="49"/>
      <c r="M335" s="49"/>
      <c r="N335" s="49"/>
      <c r="P335" s="448"/>
      <c r="Q335" s="448"/>
      <c r="R335" s="448"/>
      <c r="S335" s="448"/>
      <c r="T335" s="448"/>
      <c r="U335" s="448"/>
    </row>
    <row r="336" customFormat="false" ht="12.75" hidden="false" customHeight="false" outlineLevel="0" collapsed="false">
      <c r="A336" s="49"/>
      <c r="B336" s="49"/>
      <c r="C336" s="49"/>
      <c r="I336" s="49"/>
      <c r="J336" s="49"/>
      <c r="K336" s="49"/>
      <c r="L336" s="49"/>
      <c r="M336" s="49"/>
      <c r="N336" s="49"/>
      <c r="P336" s="448"/>
      <c r="Q336" s="448"/>
      <c r="R336" s="448"/>
      <c r="S336" s="448"/>
      <c r="T336" s="448"/>
      <c r="U336" s="448"/>
    </row>
    <row r="337" customFormat="false" ht="12.75" hidden="false" customHeight="false" outlineLevel="0" collapsed="false">
      <c r="A337" s="49"/>
      <c r="B337" s="49"/>
      <c r="C337" s="49"/>
      <c r="I337" s="49"/>
      <c r="J337" s="49"/>
      <c r="K337" s="49"/>
      <c r="L337" s="49"/>
      <c r="M337" s="49"/>
      <c r="N337" s="49"/>
      <c r="P337" s="448"/>
      <c r="Q337" s="448"/>
      <c r="R337" s="448"/>
      <c r="S337" s="448"/>
      <c r="T337" s="448"/>
      <c r="U337" s="448"/>
    </row>
    <row r="338" customFormat="false" ht="12.75" hidden="false" customHeight="false" outlineLevel="0" collapsed="false">
      <c r="A338" s="49"/>
      <c r="B338" s="49"/>
      <c r="C338" s="49"/>
      <c r="I338" s="49"/>
      <c r="J338" s="49"/>
      <c r="K338" s="49"/>
      <c r="L338" s="49"/>
      <c r="M338" s="49"/>
      <c r="N338" s="49"/>
      <c r="P338" s="448"/>
      <c r="Q338" s="448"/>
      <c r="R338" s="448"/>
      <c r="S338" s="448"/>
      <c r="T338" s="448"/>
      <c r="U338" s="448"/>
    </row>
    <row r="339" customFormat="false" ht="12.75" hidden="false" customHeight="false" outlineLevel="0" collapsed="false">
      <c r="A339" s="49"/>
      <c r="B339" s="49"/>
      <c r="C339" s="49"/>
      <c r="I339" s="49"/>
      <c r="J339" s="49"/>
      <c r="K339" s="49"/>
      <c r="L339" s="49"/>
      <c r="M339" s="49"/>
      <c r="N339" s="49"/>
      <c r="P339" s="448"/>
      <c r="Q339" s="448"/>
      <c r="R339" s="448"/>
      <c r="S339" s="448"/>
      <c r="T339" s="448"/>
      <c r="U339" s="448"/>
    </row>
    <row r="340" customFormat="false" ht="12.75" hidden="false" customHeight="false" outlineLevel="0" collapsed="false">
      <c r="A340" s="49"/>
      <c r="B340" s="49"/>
      <c r="C340" s="49"/>
      <c r="I340" s="49"/>
      <c r="J340" s="49"/>
      <c r="K340" s="49"/>
      <c r="L340" s="49"/>
      <c r="M340" s="49"/>
      <c r="N340" s="49"/>
      <c r="P340" s="448"/>
      <c r="Q340" s="448"/>
      <c r="R340" s="448"/>
      <c r="S340" s="448"/>
      <c r="T340" s="448"/>
      <c r="U340" s="448"/>
    </row>
    <row r="341" customFormat="false" ht="12.75" hidden="false" customHeight="false" outlineLevel="0" collapsed="false">
      <c r="A341" s="49"/>
      <c r="B341" s="49"/>
      <c r="C341" s="49"/>
      <c r="I341" s="49"/>
      <c r="J341" s="49"/>
      <c r="K341" s="49"/>
      <c r="L341" s="49"/>
      <c r="M341" s="49"/>
      <c r="N341" s="49"/>
      <c r="P341" s="448"/>
      <c r="Q341" s="448"/>
      <c r="R341" s="448"/>
      <c r="S341" s="448"/>
      <c r="T341" s="448"/>
      <c r="U341" s="448"/>
    </row>
    <row r="342" customFormat="false" ht="12.75" hidden="false" customHeight="false" outlineLevel="0" collapsed="false">
      <c r="A342" s="49"/>
      <c r="B342" s="49"/>
      <c r="C342" s="49"/>
      <c r="I342" s="49"/>
      <c r="J342" s="49"/>
      <c r="K342" s="49"/>
      <c r="L342" s="49"/>
      <c r="M342" s="49"/>
      <c r="N342" s="49"/>
      <c r="P342" s="448"/>
      <c r="Q342" s="448"/>
      <c r="R342" s="448"/>
      <c r="S342" s="448"/>
      <c r="T342" s="448"/>
      <c r="U342" s="448"/>
    </row>
    <row r="343" customFormat="false" ht="12.75" hidden="false" customHeight="false" outlineLevel="0" collapsed="false">
      <c r="A343" s="49"/>
      <c r="B343" s="49"/>
      <c r="C343" s="49"/>
      <c r="I343" s="49"/>
      <c r="J343" s="49"/>
      <c r="K343" s="49"/>
      <c r="L343" s="49"/>
      <c r="M343" s="49"/>
      <c r="N343" s="49"/>
      <c r="P343" s="448"/>
      <c r="Q343" s="448"/>
      <c r="R343" s="448"/>
      <c r="S343" s="448"/>
      <c r="T343" s="448"/>
      <c r="U343" s="448"/>
    </row>
    <row r="344" customFormat="false" ht="12.75" hidden="false" customHeight="false" outlineLevel="0" collapsed="false">
      <c r="A344" s="49"/>
      <c r="B344" s="49"/>
      <c r="C344" s="49"/>
      <c r="I344" s="49"/>
      <c r="J344" s="49"/>
      <c r="K344" s="49"/>
      <c r="L344" s="49"/>
      <c r="M344" s="49"/>
      <c r="N344" s="49"/>
      <c r="P344" s="448"/>
      <c r="Q344" s="448"/>
      <c r="R344" s="448"/>
      <c r="S344" s="448"/>
      <c r="T344" s="448"/>
      <c r="U344" s="448"/>
    </row>
    <row r="345" customFormat="false" ht="12.75" hidden="false" customHeight="false" outlineLevel="0" collapsed="false">
      <c r="A345" s="49"/>
      <c r="B345" s="49"/>
      <c r="C345" s="49"/>
      <c r="I345" s="49"/>
      <c r="J345" s="49"/>
      <c r="K345" s="49"/>
      <c r="L345" s="49"/>
      <c r="M345" s="49"/>
      <c r="N345" s="49"/>
      <c r="P345" s="448"/>
      <c r="Q345" s="448"/>
      <c r="R345" s="448"/>
      <c r="S345" s="448"/>
      <c r="T345" s="448"/>
      <c r="U345" s="448"/>
    </row>
    <row r="346" customFormat="false" ht="12.75" hidden="false" customHeight="false" outlineLevel="0" collapsed="false">
      <c r="A346" s="49"/>
      <c r="B346" s="49"/>
      <c r="C346" s="49"/>
      <c r="I346" s="49"/>
      <c r="J346" s="49"/>
      <c r="K346" s="49"/>
      <c r="L346" s="49"/>
      <c r="M346" s="49"/>
      <c r="N346" s="49"/>
      <c r="P346" s="448"/>
      <c r="Q346" s="448"/>
      <c r="R346" s="448"/>
      <c r="S346" s="448"/>
      <c r="T346" s="448"/>
      <c r="U346" s="448"/>
    </row>
    <row r="347" customFormat="false" ht="12.75" hidden="false" customHeight="false" outlineLevel="0" collapsed="false">
      <c r="A347" s="49"/>
      <c r="B347" s="49"/>
      <c r="C347" s="49"/>
      <c r="I347" s="49"/>
      <c r="J347" s="49"/>
      <c r="K347" s="49"/>
      <c r="L347" s="49"/>
      <c r="M347" s="49"/>
      <c r="N347" s="49"/>
      <c r="P347" s="448"/>
      <c r="Q347" s="448"/>
      <c r="R347" s="448"/>
      <c r="S347" s="448"/>
      <c r="T347" s="448"/>
      <c r="U347" s="448"/>
    </row>
    <row r="348" customFormat="false" ht="12.75" hidden="false" customHeight="false" outlineLevel="0" collapsed="false">
      <c r="A348" s="49"/>
      <c r="B348" s="49"/>
      <c r="C348" s="49"/>
      <c r="I348" s="49"/>
      <c r="J348" s="49"/>
      <c r="K348" s="49"/>
      <c r="L348" s="49"/>
      <c r="M348" s="49"/>
      <c r="N348" s="49"/>
      <c r="P348" s="448"/>
      <c r="Q348" s="448"/>
      <c r="R348" s="448"/>
      <c r="S348" s="448"/>
      <c r="T348" s="448"/>
      <c r="U348" s="448"/>
    </row>
    <row r="349" customFormat="false" ht="12.75" hidden="false" customHeight="false" outlineLevel="0" collapsed="false">
      <c r="A349" s="49"/>
      <c r="B349" s="49"/>
      <c r="C349" s="49"/>
      <c r="I349" s="49"/>
      <c r="J349" s="49"/>
      <c r="K349" s="49"/>
      <c r="L349" s="49"/>
      <c r="M349" s="49"/>
      <c r="N349" s="49"/>
      <c r="P349" s="448"/>
      <c r="Q349" s="448"/>
      <c r="R349" s="448"/>
      <c r="S349" s="448"/>
      <c r="T349" s="448"/>
      <c r="U349" s="448"/>
    </row>
    <row r="350" customFormat="false" ht="12.75" hidden="false" customHeight="false" outlineLevel="0" collapsed="false">
      <c r="A350" s="49"/>
      <c r="B350" s="49"/>
      <c r="C350" s="49"/>
      <c r="I350" s="49"/>
      <c r="J350" s="49"/>
      <c r="K350" s="49"/>
      <c r="L350" s="49"/>
      <c r="M350" s="49"/>
      <c r="N350" s="49"/>
      <c r="P350" s="448"/>
      <c r="Q350" s="448"/>
      <c r="R350" s="448"/>
      <c r="S350" s="448"/>
      <c r="T350" s="448"/>
      <c r="U350" s="448"/>
    </row>
    <row r="351" customFormat="false" ht="12.75" hidden="false" customHeight="false" outlineLevel="0" collapsed="false">
      <c r="A351" s="49"/>
      <c r="B351" s="49"/>
      <c r="C351" s="49"/>
      <c r="I351" s="49"/>
      <c r="J351" s="49"/>
      <c r="K351" s="49"/>
      <c r="L351" s="49"/>
      <c r="M351" s="49"/>
      <c r="N351" s="49"/>
      <c r="P351" s="448"/>
      <c r="Q351" s="448"/>
      <c r="R351" s="448"/>
      <c r="S351" s="448"/>
      <c r="T351" s="448"/>
      <c r="U351" s="448"/>
    </row>
    <row r="352" customFormat="false" ht="12.75" hidden="false" customHeight="false" outlineLevel="0" collapsed="false">
      <c r="A352" s="49"/>
      <c r="B352" s="49"/>
      <c r="C352" s="49"/>
      <c r="I352" s="49"/>
      <c r="J352" s="49"/>
      <c r="K352" s="49"/>
      <c r="L352" s="49"/>
      <c r="M352" s="49"/>
      <c r="N352" s="49"/>
      <c r="P352" s="448"/>
      <c r="Q352" s="448"/>
      <c r="R352" s="448"/>
      <c r="S352" s="448"/>
      <c r="T352" s="448"/>
      <c r="U352" s="448"/>
    </row>
    <row r="353" customFormat="false" ht="12.75" hidden="false" customHeight="false" outlineLevel="0" collapsed="false">
      <c r="A353" s="49"/>
      <c r="B353" s="49"/>
      <c r="C353" s="49"/>
      <c r="I353" s="49"/>
      <c r="J353" s="49"/>
      <c r="K353" s="49"/>
      <c r="L353" s="49"/>
      <c r="M353" s="49"/>
      <c r="N353" s="49"/>
      <c r="P353" s="448"/>
      <c r="Q353" s="448"/>
      <c r="R353" s="448"/>
      <c r="S353" s="448"/>
      <c r="T353" s="448"/>
      <c r="U353" s="448"/>
    </row>
    <row r="354" customFormat="false" ht="12.75" hidden="false" customHeight="false" outlineLevel="0" collapsed="false">
      <c r="A354" s="49"/>
      <c r="B354" s="49"/>
      <c r="C354" s="49"/>
      <c r="I354" s="49"/>
      <c r="J354" s="49"/>
      <c r="K354" s="49"/>
      <c r="L354" s="49"/>
      <c r="M354" s="49"/>
      <c r="N354" s="49"/>
      <c r="P354" s="448"/>
      <c r="Q354" s="448"/>
      <c r="R354" s="448"/>
      <c r="S354" s="448"/>
      <c r="T354" s="448"/>
      <c r="U354" s="448"/>
    </row>
    <row r="355" customFormat="false" ht="12.75" hidden="false" customHeight="false" outlineLevel="0" collapsed="false">
      <c r="A355" s="49"/>
      <c r="B355" s="49"/>
      <c r="C355" s="49"/>
      <c r="I355" s="49"/>
      <c r="J355" s="49"/>
      <c r="K355" s="49"/>
      <c r="L355" s="49"/>
      <c r="M355" s="49"/>
      <c r="N355" s="49"/>
      <c r="P355" s="448"/>
      <c r="Q355" s="448"/>
      <c r="R355" s="448"/>
      <c r="S355" s="448"/>
      <c r="T355" s="448"/>
      <c r="U355" s="448"/>
    </row>
    <row r="356" customFormat="false" ht="12.75" hidden="false" customHeight="false" outlineLevel="0" collapsed="false">
      <c r="A356" s="49"/>
      <c r="B356" s="49"/>
      <c r="C356" s="49"/>
      <c r="I356" s="49"/>
      <c r="J356" s="49"/>
      <c r="K356" s="49"/>
      <c r="L356" s="49"/>
      <c r="M356" s="49"/>
      <c r="N356" s="49"/>
      <c r="P356" s="448"/>
      <c r="Q356" s="448"/>
      <c r="R356" s="448"/>
      <c r="S356" s="448"/>
      <c r="T356" s="448"/>
      <c r="U356" s="448"/>
    </row>
    <row r="357" customFormat="false" ht="12.75" hidden="false" customHeight="false" outlineLevel="0" collapsed="false">
      <c r="A357" s="49"/>
      <c r="B357" s="49"/>
      <c r="C357" s="49"/>
      <c r="I357" s="49"/>
      <c r="J357" s="49"/>
      <c r="K357" s="49"/>
      <c r="L357" s="49"/>
      <c r="M357" s="49"/>
      <c r="N357" s="49"/>
      <c r="P357" s="448"/>
      <c r="Q357" s="448"/>
      <c r="R357" s="448"/>
      <c r="S357" s="448"/>
      <c r="T357" s="448"/>
      <c r="U357" s="448"/>
    </row>
    <row r="358" customFormat="false" ht="12.75" hidden="false" customHeight="false" outlineLevel="0" collapsed="false">
      <c r="A358" s="49"/>
      <c r="B358" s="49"/>
      <c r="C358" s="49"/>
      <c r="I358" s="49"/>
      <c r="J358" s="49"/>
      <c r="K358" s="49"/>
      <c r="L358" s="49"/>
      <c r="M358" s="49"/>
      <c r="N358" s="49"/>
      <c r="P358" s="448"/>
      <c r="Q358" s="448"/>
      <c r="R358" s="448"/>
      <c r="S358" s="448"/>
      <c r="T358" s="448"/>
      <c r="U358" s="448"/>
    </row>
    <row r="359" customFormat="false" ht="12.75" hidden="false" customHeight="false" outlineLevel="0" collapsed="false">
      <c r="A359" s="49"/>
      <c r="B359" s="49"/>
      <c r="C359" s="49"/>
      <c r="I359" s="49"/>
      <c r="J359" s="49"/>
      <c r="K359" s="49"/>
      <c r="L359" s="49"/>
      <c r="M359" s="49"/>
      <c r="N359" s="49"/>
      <c r="P359" s="448"/>
      <c r="Q359" s="448"/>
      <c r="R359" s="448"/>
      <c r="S359" s="448"/>
      <c r="T359" s="448"/>
      <c r="U359" s="448"/>
    </row>
    <row r="360" customFormat="false" ht="12.75" hidden="false" customHeight="false" outlineLevel="0" collapsed="false">
      <c r="A360" s="49"/>
      <c r="B360" s="49"/>
      <c r="C360" s="49"/>
      <c r="I360" s="49"/>
      <c r="J360" s="49"/>
      <c r="K360" s="49"/>
      <c r="L360" s="49"/>
      <c r="M360" s="49"/>
      <c r="N360" s="49"/>
      <c r="P360" s="448"/>
      <c r="Q360" s="448"/>
      <c r="R360" s="448"/>
      <c r="S360" s="448"/>
      <c r="T360" s="448"/>
      <c r="U360" s="448"/>
    </row>
    <row r="361" customFormat="false" ht="12.75" hidden="false" customHeight="false" outlineLevel="0" collapsed="false">
      <c r="A361" s="49"/>
      <c r="B361" s="49"/>
      <c r="C361" s="49"/>
      <c r="I361" s="49"/>
      <c r="J361" s="49"/>
      <c r="K361" s="49"/>
      <c r="L361" s="49"/>
      <c r="M361" s="49"/>
      <c r="N361" s="49"/>
      <c r="P361" s="448"/>
      <c r="Q361" s="448"/>
      <c r="R361" s="448"/>
      <c r="S361" s="448"/>
      <c r="T361" s="448"/>
      <c r="U361" s="448"/>
    </row>
    <row r="362" customFormat="false" ht="12.75" hidden="false" customHeight="false" outlineLevel="0" collapsed="false">
      <c r="A362" s="49"/>
      <c r="B362" s="49"/>
      <c r="C362" s="49"/>
      <c r="I362" s="49"/>
      <c r="J362" s="49"/>
      <c r="K362" s="49"/>
      <c r="L362" s="49"/>
      <c r="M362" s="49"/>
      <c r="N362" s="49"/>
      <c r="P362" s="448"/>
      <c r="Q362" s="448"/>
      <c r="R362" s="448"/>
      <c r="S362" s="448"/>
      <c r="T362" s="448"/>
      <c r="U362" s="448"/>
    </row>
    <row r="363" customFormat="false" ht="12.75" hidden="false" customHeight="false" outlineLevel="0" collapsed="false">
      <c r="A363" s="49"/>
      <c r="B363" s="49"/>
      <c r="C363" s="49"/>
      <c r="I363" s="49"/>
      <c r="J363" s="49"/>
      <c r="K363" s="49"/>
      <c r="L363" s="49"/>
      <c r="M363" s="49"/>
      <c r="N363" s="49"/>
      <c r="P363" s="448"/>
      <c r="Q363" s="448"/>
      <c r="R363" s="448"/>
      <c r="S363" s="448"/>
      <c r="T363" s="448"/>
      <c r="U363" s="448"/>
    </row>
    <row r="364" customFormat="false" ht="12.75" hidden="false" customHeight="false" outlineLevel="0" collapsed="false">
      <c r="A364" s="49"/>
      <c r="B364" s="49"/>
      <c r="C364" s="49"/>
      <c r="I364" s="49"/>
      <c r="J364" s="49"/>
      <c r="K364" s="49"/>
      <c r="L364" s="49"/>
      <c r="M364" s="49"/>
      <c r="N364" s="49"/>
      <c r="P364" s="448"/>
      <c r="Q364" s="448"/>
      <c r="R364" s="448"/>
      <c r="S364" s="448"/>
      <c r="T364" s="448"/>
      <c r="U364" s="448"/>
    </row>
    <row r="365" customFormat="false" ht="12.75" hidden="false" customHeight="false" outlineLevel="0" collapsed="false">
      <c r="A365" s="49"/>
      <c r="B365" s="49"/>
      <c r="C365" s="49"/>
      <c r="I365" s="49"/>
      <c r="J365" s="49"/>
      <c r="K365" s="49"/>
      <c r="L365" s="49"/>
      <c r="M365" s="49"/>
      <c r="N365" s="49"/>
      <c r="P365" s="448"/>
      <c r="Q365" s="448"/>
      <c r="R365" s="448"/>
      <c r="S365" s="448"/>
      <c r="T365" s="448"/>
      <c r="U365" s="448"/>
    </row>
    <row r="366" customFormat="false" ht="12.75" hidden="false" customHeight="false" outlineLevel="0" collapsed="false">
      <c r="A366" s="49"/>
      <c r="B366" s="49"/>
      <c r="C366" s="49"/>
      <c r="I366" s="49"/>
      <c r="J366" s="49"/>
      <c r="K366" s="49"/>
      <c r="L366" s="49"/>
      <c r="M366" s="49"/>
      <c r="N366" s="49"/>
      <c r="P366" s="448"/>
      <c r="Q366" s="448"/>
      <c r="R366" s="448"/>
      <c r="S366" s="448"/>
      <c r="T366" s="448"/>
      <c r="U366" s="448"/>
    </row>
    <row r="367" customFormat="false" ht="12.75" hidden="false" customHeight="false" outlineLevel="0" collapsed="false">
      <c r="A367" s="49"/>
      <c r="B367" s="49"/>
      <c r="C367" s="49"/>
      <c r="I367" s="49"/>
      <c r="J367" s="49"/>
      <c r="K367" s="49"/>
      <c r="L367" s="49"/>
      <c r="M367" s="49"/>
      <c r="N367" s="49"/>
      <c r="P367" s="448"/>
      <c r="Q367" s="448"/>
      <c r="R367" s="448"/>
      <c r="S367" s="448"/>
      <c r="T367" s="448"/>
      <c r="U367" s="448"/>
    </row>
    <row r="368" customFormat="false" ht="12.75" hidden="false" customHeight="false" outlineLevel="0" collapsed="false">
      <c r="A368" s="49"/>
      <c r="B368" s="49"/>
      <c r="C368" s="49"/>
      <c r="I368" s="49"/>
      <c r="J368" s="49"/>
      <c r="K368" s="49"/>
      <c r="L368" s="49"/>
      <c r="M368" s="49"/>
      <c r="N368" s="49"/>
      <c r="P368" s="448"/>
      <c r="Q368" s="448"/>
      <c r="R368" s="448"/>
      <c r="S368" s="448"/>
      <c r="T368" s="448"/>
      <c r="U368" s="448"/>
    </row>
    <row r="369" customFormat="false" ht="12.75" hidden="false" customHeight="false" outlineLevel="0" collapsed="false">
      <c r="A369" s="49"/>
      <c r="B369" s="49"/>
      <c r="C369" s="49"/>
      <c r="I369" s="49"/>
      <c r="J369" s="49"/>
      <c r="K369" s="49"/>
      <c r="L369" s="49"/>
      <c r="M369" s="49"/>
      <c r="N369" s="49"/>
      <c r="P369" s="448"/>
      <c r="Q369" s="448"/>
      <c r="R369" s="448"/>
      <c r="S369" s="448"/>
      <c r="T369" s="448"/>
      <c r="U369" s="448"/>
    </row>
    <row r="370" customFormat="false" ht="12.75" hidden="false" customHeight="false" outlineLevel="0" collapsed="false">
      <c r="A370" s="49"/>
      <c r="B370" s="49"/>
      <c r="C370" s="49"/>
      <c r="I370" s="49"/>
      <c r="J370" s="49"/>
      <c r="K370" s="49"/>
      <c r="L370" s="49"/>
      <c r="M370" s="49"/>
      <c r="N370" s="49"/>
      <c r="P370" s="448"/>
      <c r="Q370" s="448"/>
      <c r="R370" s="448"/>
      <c r="S370" s="448"/>
      <c r="T370" s="448"/>
      <c r="U370" s="448"/>
    </row>
    <row r="371" customFormat="false" ht="12.75" hidden="false" customHeight="false" outlineLevel="0" collapsed="false">
      <c r="A371" s="49"/>
      <c r="B371" s="49"/>
      <c r="C371" s="49"/>
      <c r="I371" s="49"/>
      <c r="J371" s="49"/>
      <c r="K371" s="49"/>
      <c r="L371" s="49"/>
      <c r="M371" s="49"/>
      <c r="N371" s="49"/>
      <c r="P371" s="448"/>
      <c r="Q371" s="448"/>
      <c r="R371" s="448"/>
      <c r="S371" s="448"/>
      <c r="T371" s="448"/>
      <c r="U371" s="448"/>
    </row>
    <row r="372" customFormat="false" ht="12.75" hidden="false" customHeight="false" outlineLevel="0" collapsed="false">
      <c r="A372" s="49"/>
      <c r="B372" s="49"/>
      <c r="C372" s="49"/>
      <c r="I372" s="49"/>
      <c r="J372" s="49"/>
      <c r="K372" s="49"/>
      <c r="L372" s="49"/>
      <c r="M372" s="49"/>
      <c r="N372" s="49"/>
      <c r="P372" s="448"/>
      <c r="Q372" s="448"/>
      <c r="R372" s="448"/>
      <c r="S372" s="448"/>
      <c r="T372" s="448"/>
      <c r="U372" s="448"/>
    </row>
    <row r="373" customFormat="false" ht="12.75" hidden="false" customHeight="false" outlineLevel="0" collapsed="false">
      <c r="A373" s="49"/>
      <c r="B373" s="49"/>
      <c r="C373" s="49"/>
      <c r="I373" s="49"/>
      <c r="J373" s="49"/>
      <c r="K373" s="49"/>
      <c r="L373" s="49"/>
      <c r="M373" s="49"/>
      <c r="N373" s="49"/>
      <c r="P373" s="448"/>
      <c r="Q373" s="448"/>
      <c r="R373" s="448"/>
      <c r="S373" s="448"/>
      <c r="T373" s="448"/>
      <c r="U373" s="448"/>
    </row>
    <row r="374" customFormat="false" ht="12.75" hidden="false" customHeight="false" outlineLevel="0" collapsed="false">
      <c r="A374" s="49"/>
      <c r="B374" s="49"/>
      <c r="C374" s="49"/>
      <c r="I374" s="49"/>
      <c r="J374" s="49"/>
      <c r="K374" s="49"/>
      <c r="L374" s="49"/>
      <c r="M374" s="49"/>
      <c r="N374" s="49"/>
      <c r="P374" s="448"/>
      <c r="Q374" s="448"/>
      <c r="R374" s="448"/>
      <c r="S374" s="448"/>
      <c r="T374" s="448"/>
      <c r="U374" s="448"/>
    </row>
    <row r="375" customFormat="false" ht="12.75" hidden="false" customHeight="false" outlineLevel="0" collapsed="false">
      <c r="A375" s="49"/>
      <c r="B375" s="49"/>
      <c r="C375" s="49"/>
      <c r="I375" s="49"/>
      <c r="J375" s="49"/>
      <c r="K375" s="49"/>
      <c r="L375" s="49"/>
      <c r="M375" s="49"/>
      <c r="N375" s="49"/>
      <c r="P375" s="448"/>
      <c r="Q375" s="448"/>
      <c r="R375" s="448"/>
      <c r="S375" s="448"/>
      <c r="T375" s="448"/>
      <c r="U375" s="448"/>
    </row>
    <row r="376" customFormat="false" ht="12.75" hidden="false" customHeight="false" outlineLevel="0" collapsed="false">
      <c r="A376" s="49"/>
      <c r="B376" s="49"/>
      <c r="C376" s="49"/>
      <c r="I376" s="49"/>
      <c r="J376" s="49"/>
      <c r="K376" s="49"/>
      <c r="L376" s="49"/>
      <c r="M376" s="49"/>
      <c r="N376" s="49"/>
      <c r="P376" s="448"/>
      <c r="Q376" s="448"/>
      <c r="R376" s="448"/>
      <c r="S376" s="448"/>
      <c r="T376" s="448"/>
      <c r="U376" s="448"/>
    </row>
    <row r="377" customFormat="false" ht="12.75" hidden="false" customHeight="false" outlineLevel="0" collapsed="false">
      <c r="A377" s="49"/>
      <c r="B377" s="49"/>
      <c r="C377" s="49"/>
      <c r="I377" s="49"/>
      <c r="J377" s="49"/>
      <c r="K377" s="49"/>
      <c r="L377" s="49"/>
      <c r="M377" s="49"/>
      <c r="N377" s="49"/>
      <c r="P377" s="448"/>
      <c r="Q377" s="448"/>
      <c r="R377" s="448"/>
      <c r="S377" s="448"/>
      <c r="T377" s="448"/>
      <c r="U377" s="448"/>
    </row>
    <row r="378" customFormat="false" ht="12.75" hidden="false" customHeight="false" outlineLevel="0" collapsed="false">
      <c r="A378" s="49"/>
      <c r="B378" s="49"/>
      <c r="C378" s="49"/>
      <c r="I378" s="49"/>
      <c r="J378" s="49"/>
      <c r="K378" s="49"/>
      <c r="L378" s="49"/>
      <c r="M378" s="49"/>
      <c r="N378" s="49"/>
      <c r="P378" s="448"/>
      <c r="Q378" s="448"/>
      <c r="R378" s="448"/>
      <c r="S378" s="448"/>
      <c r="T378" s="448"/>
      <c r="U378" s="448"/>
    </row>
    <row r="379" customFormat="false" ht="12.75" hidden="false" customHeight="false" outlineLevel="0" collapsed="false">
      <c r="A379" s="49"/>
      <c r="B379" s="49"/>
      <c r="C379" s="49"/>
      <c r="I379" s="49"/>
      <c r="J379" s="49"/>
      <c r="K379" s="49"/>
      <c r="L379" s="49"/>
      <c r="M379" s="49"/>
      <c r="N379" s="49"/>
      <c r="P379" s="448"/>
      <c r="Q379" s="448"/>
      <c r="R379" s="448"/>
      <c r="S379" s="448"/>
      <c r="T379" s="448"/>
      <c r="U379" s="448"/>
    </row>
    <row r="380" customFormat="false" ht="12.75" hidden="false" customHeight="false" outlineLevel="0" collapsed="false">
      <c r="A380" s="49"/>
      <c r="B380" s="49"/>
      <c r="C380" s="49"/>
      <c r="I380" s="49"/>
      <c r="J380" s="49"/>
      <c r="K380" s="49"/>
      <c r="L380" s="49"/>
      <c r="M380" s="49"/>
      <c r="N380" s="49"/>
      <c r="P380" s="448"/>
      <c r="Q380" s="448"/>
      <c r="R380" s="448"/>
      <c r="S380" s="448"/>
      <c r="T380" s="448"/>
      <c r="U380" s="448"/>
    </row>
    <row r="381" customFormat="false" ht="12.75" hidden="false" customHeight="false" outlineLevel="0" collapsed="false">
      <c r="A381" s="49"/>
      <c r="B381" s="49"/>
      <c r="C381" s="49"/>
      <c r="I381" s="49"/>
      <c r="J381" s="49"/>
      <c r="K381" s="49"/>
      <c r="L381" s="49"/>
      <c r="M381" s="49"/>
      <c r="N381" s="49"/>
      <c r="P381" s="448"/>
      <c r="Q381" s="448"/>
      <c r="R381" s="448"/>
      <c r="S381" s="448"/>
      <c r="T381" s="448"/>
      <c r="U381" s="448"/>
    </row>
    <row r="382" customFormat="false" ht="12.75" hidden="false" customHeight="false" outlineLevel="0" collapsed="false">
      <c r="A382" s="49"/>
      <c r="B382" s="49"/>
      <c r="C382" s="49"/>
      <c r="I382" s="49"/>
      <c r="J382" s="49"/>
      <c r="K382" s="49"/>
      <c r="L382" s="49"/>
      <c r="M382" s="49"/>
      <c r="N382" s="49"/>
      <c r="P382" s="448"/>
      <c r="Q382" s="448"/>
      <c r="R382" s="448"/>
      <c r="S382" s="448"/>
      <c r="T382" s="448"/>
      <c r="U382" s="448"/>
    </row>
    <row r="383" customFormat="false" ht="12.75" hidden="false" customHeight="false" outlineLevel="0" collapsed="false">
      <c r="A383" s="49"/>
      <c r="B383" s="49"/>
      <c r="C383" s="49"/>
      <c r="I383" s="49"/>
      <c r="J383" s="49"/>
      <c r="K383" s="49"/>
      <c r="L383" s="49"/>
      <c r="M383" s="49"/>
      <c r="N383" s="49"/>
      <c r="P383" s="448"/>
      <c r="Q383" s="448"/>
      <c r="R383" s="448"/>
      <c r="S383" s="448"/>
      <c r="T383" s="448"/>
      <c r="U383" s="448"/>
    </row>
    <row r="384" customFormat="false" ht="12.75" hidden="false" customHeight="false" outlineLevel="0" collapsed="false">
      <c r="A384" s="49"/>
      <c r="B384" s="49"/>
      <c r="C384" s="49"/>
      <c r="I384" s="49"/>
      <c r="J384" s="49"/>
      <c r="K384" s="49"/>
      <c r="L384" s="49"/>
      <c r="M384" s="49"/>
      <c r="N384" s="49"/>
      <c r="P384" s="448"/>
      <c r="Q384" s="448"/>
      <c r="R384" s="448"/>
      <c r="S384" s="448"/>
      <c r="T384" s="448"/>
      <c r="U384" s="448"/>
    </row>
    <row r="385" customFormat="false" ht="12.75" hidden="false" customHeight="false" outlineLevel="0" collapsed="false">
      <c r="A385" s="49"/>
      <c r="B385" s="49"/>
      <c r="C385" s="49"/>
      <c r="I385" s="49"/>
      <c r="J385" s="49"/>
      <c r="K385" s="49"/>
      <c r="L385" s="49"/>
      <c r="M385" s="49"/>
      <c r="N385" s="49"/>
    </row>
    <row r="386" customFormat="false" ht="12.75" hidden="false" customHeight="false" outlineLevel="0" collapsed="false">
      <c r="A386" s="49"/>
      <c r="B386" s="49"/>
      <c r="C386" s="49"/>
      <c r="I386" s="49"/>
      <c r="J386" s="49"/>
      <c r="K386" s="49"/>
      <c r="L386" s="49"/>
      <c r="M386" s="49"/>
      <c r="N386" s="49"/>
    </row>
    <row r="387" customFormat="false" ht="12.75" hidden="false" customHeight="false" outlineLevel="0" collapsed="false">
      <c r="A387" s="49"/>
      <c r="B387" s="49"/>
      <c r="C387" s="49"/>
      <c r="I387" s="49"/>
      <c r="J387" s="49"/>
      <c r="K387" s="49"/>
      <c r="L387" s="49"/>
      <c r="M387" s="49"/>
      <c r="N387" s="49"/>
    </row>
    <row r="388" customFormat="false" ht="12.75" hidden="false" customHeight="false" outlineLevel="0" collapsed="false">
      <c r="A388" s="49"/>
      <c r="B388" s="49"/>
      <c r="C388" s="49"/>
      <c r="I388" s="49"/>
      <c r="J388" s="49"/>
      <c r="K388" s="49"/>
      <c r="L388" s="49"/>
      <c r="M388" s="49"/>
      <c r="N388" s="49"/>
    </row>
    <row r="389" customFormat="false" ht="12.75" hidden="false" customHeight="false" outlineLevel="0" collapsed="false">
      <c r="A389" s="49"/>
      <c r="B389" s="49"/>
      <c r="C389" s="49"/>
      <c r="I389" s="49"/>
      <c r="J389" s="49"/>
      <c r="K389" s="49"/>
      <c r="L389" s="49"/>
      <c r="M389" s="49"/>
      <c r="N389" s="49"/>
    </row>
    <row r="390" customFormat="false" ht="12.75" hidden="false" customHeight="false" outlineLevel="0" collapsed="false">
      <c r="A390" s="49"/>
      <c r="B390" s="49"/>
      <c r="C390" s="49"/>
      <c r="I390" s="49"/>
      <c r="J390" s="49"/>
      <c r="K390" s="49"/>
      <c r="L390" s="49"/>
      <c r="M390" s="49"/>
      <c r="N390" s="49"/>
    </row>
    <row r="391" customFormat="false" ht="12.75" hidden="false" customHeight="false" outlineLevel="0" collapsed="false">
      <c r="A391" s="49"/>
      <c r="B391" s="49"/>
      <c r="C391" s="49"/>
      <c r="I391" s="49"/>
      <c r="J391" s="49"/>
      <c r="K391" s="49"/>
      <c r="L391" s="49"/>
      <c r="M391" s="49"/>
      <c r="N391" s="49"/>
    </row>
    <row r="392" customFormat="false" ht="12.75" hidden="false" customHeight="false" outlineLevel="0" collapsed="false">
      <c r="A392" s="49"/>
      <c r="B392" s="49"/>
      <c r="C392" s="49"/>
      <c r="I392" s="49"/>
      <c r="J392" s="49"/>
      <c r="K392" s="49"/>
      <c r="L392" s="49"/>
      <c r="M392" s="49"/>
      <c r="N392" s="49"/>
    </row>
    <row r="393" customFormat="false" ht="12.75" hidden="false" customHeight="false" outlineLevel="0" collapsed="false">
      <c r="A393" s="49"/>
      <c r="B393" s="49"/>
      <c r="C393" s="49"/>
      <c r="I393" s="49"/>
      <c r="J393" s="49"/>
      <c r="K393" s="49"/>
      <c r="L393" s="49"/>
      <c r="M393" s="49"/>
      <c r="N393" s="49"/>
    </row>
    <row r="394" customFormat="false" ht="12.75" hidden="false" customHeight="false" outlineLevel="0" collapsed="false">
      <c r="A394" s="49"/>
      <c r="B394" s="49"/>
      <c r="C394" s="49"/>
      <c r="I394" s="49"/>
      <c r="J394" s="49"/>
      <c r="K394" s="49"/>
      <c r="L394" s="49"/>
      <c r="M394" s="49"/>
      <c r="N394" s="49"/>
    </row>
    <row r="395" customFormat="false" ht="12.75" hidden="false" customHeight="false" outlineLevel="0" collapsed="false">
      <c r="A395" s="49"/>
      <c r="B395" s="49"/>
      <c r="C395" s="49"/>
      <c r="I395" s="49"/>
      <c r="J395" s="49"/>
      <c r="K395" s="49"/>
      <c r="L395" s="49"/>
      <c r="M395" s="49"/>
      <c r="N395" s="49"/>
    </row>
    <row r="396" customFormat="false" ht="12.75" hidden="false" customHeight="false" outlineLevel="0" collapsed="false">
      <c r="A396" s="49"/>
      <c r="B396" s="49"/>
      <c r="C396" s="49"/>
      <c r="I396" s="49"/>
      <c r="J396" s="49"/>
      <c r="K396" s="49"/>
      <c r="L396" s="49"/>
      <c r="M396" s="49"/>
      <c r="N396" s="49"/>
    </row>
    <row r="397" customFormat="false" ht="12.75" hidden="false" customHeight="false" outlineLevel="0" collapsed="false">
      <c r="A397" s="49"/>
      <c r="B397" s="49"/>
      <c r="C397" s="49"/>
      <c r="I397" s="49"/>
      <c r="J397" s="49"/>
      <c r="K397" s="49"/>
      <c r="L397" s="49"/>
      <c r="M397" s="49"/>
      <c r="N397" s="49"/>
    </row>
    <row r="398" customFormat="false" ht="12.75" hidden="false" customHeight="false" outlineLevel="0" collapsed="false">
      <c r="A398" s="49"/>
      <c r="B398" s="49"/>
      <c r="C398" s="49"/>
      <c r="I398" s="49"/>
      <c r="J398" s="49"/>
      <c r="K398" s="49"/>
      <c r="L398" s="49"/>
      <c r="M398" s="49"/>
      <c r="N398" s="49"/>
    </row>
    <row r="399" customFormat="false" ht="12.75" hidden="false" customHeight="false" outlineLevel="0" collapsed="false">
      <c r="A399" s="49"/>
      <c r="B399" s="49"/>
      <c r="C399" s="49"/>
      <c r="I399" s="49"/>
      <c r="J399" s="49"/>
      <c r="K399" s="49"/>
      <c r="L399" s="49"/>
      <c r="M399" s="49"/>
      <c r="N399" s="49"/>
    </row>
    <row r="400" customFormat="false" ht="12.75" hidden="false" customHeight="false" outlineLevel="0" collapsed="false">
      <c r="A400" s="49"/>
      <c r="B400" s="49"/>
      <c r="C400" s="49"/>
      <c r="I400" s="49"/>
      <c r="J400" s="49"/>
      <c r="K400" s="49"/>
      <c r="L400" s="49"/>
      <c r="M400" s="49"/>
      <c r="N400" s="49"/>
    </row>
    <row r="401" customFormat="false" ht="12.75" hidden="false" customHeight="false" outlineLevel="0" collapsed="false">
      <c r="A401" s="49"/>
      <c r="B401" s="49"/>
      <c r="C401" s="49"/>
      <c r="I401" s="49"/>
      <c r="J401" s="49"/>
      <c r="K401" s="49"/>
      <c r="L401" s="49"/>
      <c r="M401" s="49"/>
      <c r="N401" s="49"/>
    </row>
    <row r="402" customFormat="false" ht="12.75" hidden="false" customHeight="false" outlineLevel="0" collapsed="false">
      <c r="A402" s="49"/>
      <c r="B402" s="49"/>
      <c r="C402" s="49"/>
      <c r="I402" s="49"/>
      <c r="J402" s="49"/>
      <c r="K402" s="49"/>
      <c r="L402" s="49"/>
      <c r="M402" s="49"/>
      <c r="N402" s="49"/>
    </row>
    <row r="403" customFormat="false" ht="12.75" hidden="false" customHeight="false" outlineLevel="0" collapsed="false">
      <c r="A403" s="49"/>
      <c r="B403" s="49"/>
      <c r="C403" s="49"/>
      <c r="I403" s="49"/>
      <c r="J403" s="49"/>
      <c r="K403" s="49"/>
      <c r="L403" s="49"/>
      <c r="M403" s="49"/>
      <c r="N403" s="49"/>
    </row>
    <row r="404" customFormat="false" ht="12.75" hidden="false" customHeight="false" outlineLevel="0" collapsed="false">
      <c r="A404" s="49"/>
      <c r="B404" s="49"/>
      <c r="C404" s="49"/>
      <c r="I404" s="49"/>
      <c r="J404" s="49"/>
      <c r="K404" s="49"/>
      <c r="L404" s="49"/>
      <c r="M404" s="49"/>
      <c r="N404" s="49"/>
    </row>
    <row r="405" customFormat="false" ht="12.75" hidden="false" customHeight="false" outlineLevel="0" collapsed="false">
      <c r="A405" s="49"/>
      <c r="B405" s="49"/>
      <c r="C405" s="49"/>
      <c r="I405" s="49"/>
      <c r="J405" s="49"/>
      <c r="K405" s="49"/>
      <c r="L405" s="49"/>
      <c r="M405" s="49"/>
      <c r="N405" s="49"/>
    </row>
    <row r="406" customFormat="false" ht="12.75" hidden="false" customHeight="false" outlineLevel="0" collapsed="false">
      <c r="A406" s="49"/>
      <c r="B406" s="49"/>
      <c r="C406" s="49"/>
      <c r="I406" s="49"/>
      <c r="J406" s="49"/>
      <c r="K406" s="49"/>
      <c r="L406" s="49"/>
      <c r="M406" s="49"/>
      <c r="N406" s="49"/>
    </row>
    <row r="407" customFormat="false" ht="12.75" hidden="false" customHeight="false" outlineLevel="0" collapsed="false">
      <c r="A407" s="49"/>
      <c r="B407" s="49"/>
      <c r="C407" s="49"/>
      <c r="I407" s="49"/>
      <c r="J407" s="49"/>
      <c r="K407" s="49"/>
      <c r="L407" s="49"/>
      <c r="M407" s="49"/>
      <c r="N407" s="49"/>
    </row>
    <row r="408" customFormat="false" ht="12.75" hidden="false" customHeight="false" outlineLevel="0" collapsed="false">
      <c r="A408" s="49"/>
      <c r="B408" s="49"/>
      <c r="C408" s="49"/>
      <c r="I408" s="49"/>
      <c r="J408" s="49"/>
      <c r="K408" s="49"/>
      <c r="L408" s="49"/>
      <c r="M408" s="49"/>
      <c r="N408" s="49"/>
    </row>
    <row r="409" customFormat="false" ht="12.75" hidden="false" customHeight="false" outlineLevel="0" collapsed="false">
      <c r="A409" s="49"/>
      <c r="B409" s="49"/>
      <c r="C409" s="49"/>
      <c r="I409" s="49"/>
      <c r="J409" s="49"/>
      <c r="K409" s="49"/>
      <c r="L409" s="49"/>
      <c r="M409" s="49"/>
      <c r="N409" s="49"/>
    </row>
    <row r="410" customFormat="false" ht="12.75" hidden="false" customHeight="false" outlineLevel="0" collapsed="false">
      <c r="A410" s="49"/>
      <c r="B410" s="49"/>
      <c r="C410" s="49"/>
      <c r="I410" s="49"/>
      <c r="J410" s="49"/>
      <c r="K410" s="49"/>
      <c r="L410" s="49"/>
      <c r="M410" s="49"/>
      <c r="N410" s="49"/>
    </row>
    <row r="411" customFormat="false" ht="12.75" hidden="false" customHeight="false" outlineLevel="0" collapsed="false">
      <c r="A411" s="49"/>
      <c r="B411" s="49"/>
      <c r="C411" s="49"/>
      <c r="I411" s="49"/>
      <c r="J411" s="49"/>
      <c r="K411" s="49"/>
      <c r="L411" s="49"/>
      <c r="M411" s="49"/>
      <c r="N411" s="49"/>
    </row>
    <row r="412" customFormat="false" ht="12.75" hidden="false" customHeight="false" outlineLevel="0" collapsed="false">
      <c r="A412" s="49"/>
      <c r="B412" s="49"/>
      <c r="C412" s="49"/>
      <c r="I412" s="49"/>
      <c r="J412" s="49"/>
      <c r="K412" s="49"/>
      <c r="L412" s="49"/>
      <c r="M412" s="49"/>
      <c r="N412" s="49"/>
    </row>
    <row r="413" customFormat="false" ht="12.75" hidden="false" customHeight="false" outlineLevel="0" collapsed="false">
      <c r="A413" s="49"/>
      <c r="B413" s="49"/>
      <c r="C413" s="49"/>
      <c r="I413" s="49"/>
      <c r="J413" s="49"/>
      <c r="K413" s="49"/>
      <c r="L413" s="49"/>
      <c r="M413" s="49"/>
      <c r="N413" s="49"/>
    </row>
    <row r="414" customFormat="false" ht="12.75" hidden="false" customHeight="false" outlineLevel="0" collapsed="false">
      <c r="A414" s="49"/>
      <c r="B414" s="49"/>
      <c r="C414" s="49"/>
      <c r="I414" s="49"/>
      <c r="J414" s="49"/>
      <c r="K414" s="49"/>
      <c r="L414" s="49"/>
      <c r="M414" s="49"/>
      <c r="N414" s="49"/>
    </row>
    <row r="415" customFormat="false" ht="12.75" hidden="false" customHeight="false" outlineLevel="0" collapsed="false">
      <c r="A415" s="49"/>
      <c r="B415" s="49"/>
      <c r="C415" s="49"/>
      <c r="I415" s="49"/>
      <c r="J415" s="49"/>
      <c r="K415" s="49"/>
      <c r="L415" s="49"/>
      <c r="M415" s="49"/>
      <c r="N415" s="49"/>
    </row>
    <row r="416" customFormat="false" ht="12.75" hidden="false" customHeight="false" outlineLevel="0" collapsed="false">
      <c r="A416" s="49"/>
      <c r="B416" s="49"/>
      <c r="C416" s="49"/>
      <c r="I416" s="49"/>
      <c r="J416" s="49"/>
      <c r="K416" s="49"/>
      <c r="L416" s="49"/>
      <c r="M416" s="49"/>
      <c r="N416" s="49"/>
    </row>
    <row r="417" customFormat="false" ht="12.75" hidden="false" customHeight="false" outlineLevel="0" collapsed="false">
      <c r="A417" s="49"/>
      <c r="B417" s="49"/>
      <c r="C417" s="49"/>
      <c r="I417" s="49"/>
      <c r="J417" s="49"/>
      <c r="K417" s="49"/>
      <c r="L417" s="49"/>
      <c r="M417" s="49"/>
      <c r="N417" s="49"/>
    </row>
    <row r="418" customFormat="false" ht="12.75" hidden="false" customHeight="false" outlineLevel="0" collapsed="false">
      <c r="A418" s="49"/>
      <c r="B418" s="49"/>
      <c r="C418" s="49"/>
      <c r="I418" s="49"/>
      <c r="J418" s="49"/>
      <c r="K418" s="49"/>
      <c r="L418" s="49"/>
      <c r="M418" s="49"/>
      <c r="N418" s="49"/>
    </row>
    <row r="419" customFormat="false" ht="12.75" hidden="false" customHeight="false" outlineLevel="0" collapsed="false">
      <c r="A419" s="49"/>
      <c r="B419" s="49"/>
      <c r="C419" s="49"/>
      <c r="I419" s="49"/>
      <c r="J419" s="49"/>
      <c r="K419" s="49"/>
      <c r="L419" s="49"/>
      <c r="M419" s="49"/>
      <c r="N419" s="49"/>
    </row>
    <row r="420" customFormat="false" ht="12.75" hidden="false" customHeight="false" outlineLevel="0" collapsed="false">
      <c r="A420" s="49"/>
      <c r="B420" s="49"/>
      <c r="C420" s="49"/>
    </row>
    <row r="421" customFormat="false" ht="12.75" hidden="false" customHeight="false" outlineLevel="0" collapsed="false">
      <c r="A421" s="49"/>
      <c r="B421" s="49"/>
      <c r="C421" s="49"/>
    </row>
    <row r="422" customFormat="false" ht="12.75" hidden="false" customHeight="false" outlineLevel="0" collapsed="false">
      <c r="A422" s="49"/>
      <c r="B422" s="49"/>
      <c r="C422" s="49"/>
    </row>
    <row r="423" customFormat="false" ht="12.75" hidden="false" customHeight="false" outlineLevel="0" collapsed="false">
      <c r="A423" s="49"/>
      <c r="B423" s="49"/>
      <c r="C423" s="49"/>
    </row>
    <row r="424" customFormat="false" ht="12.75" hidden="false" customHeight="false" outlineLevel="0" collapsed="false">
      <c r="A424" s="49"/>
      <c r="B424" s="49"/>
      <c r="C424" s="49"/>
    </row>
    <row r="425" customFormat="false" ht="12.75" hidden="false" customHeight="false" outlineLevel="0" collapsed="false">
      <c r="A425" s="49"/>
      <c r="B425" s="49"/>
      <c r="C425" s="49"/>
    </row>
    <row r="426" customFormat="false" ht="12.75" hidden="false" customHeight="false" outlineLevel="0" collapsed="false">
      <c r="A426" s="49"/>
      <c r="B426" s="49"/>
      <c r="C426" s="49"/>
    </row>
    <row r="427" customFormat="false" ht="12.75" hidden="false" customHeight="false" outlineLevel="0" collapsed="false">
      <c r="A427" s="49"/>
      <c r="B427" s="49"/>
      <c r="C427" s="49"/>
    </row>
    <row r="428" customFormat="false" ht="12.75" hidden="false" customHeight="false" outlineLevel="0" collapsed="false">
      <c r="A428" s="49"/>
      <c r="B428" s="49"/>
      <c r="C428" s="49"/>
    </row>
    <row r="429" customFormat="false" ht="12.75" hidden="false" customHeight="false" outlineLevel="0" collapsed="false">
      <c r="A429" s="49"/>
      <c r="B429" s="49"/>
      <c r="C429" s="49"/>
    </row>
    <row r="430" customFormat="false" ht="12.75" hidden="false" customHeight="false" outlineLevel="0" collapsed="false">
      <c r="A430" s="49"/>
      <c r="B430" s="49"/>
      <c r="C430" s="49"/>
    </row>
    <row r="431" customFormat="false" ht="12.75" hidden="false" customHeight="false" outlineLevel="0" collapsed="false">
      <c r="A431" s="49"/>
      <c r="B431" s="49"/>
      <c r="C431" s="49"/>
    </row>
    <row r="432" customFormat="false" ht="12.75" hidden="false" customHeight="false" outlineLevel="0" collapsed="false">
      <c r="A432" s="49"/>
      <c r="B432" s="49"/>
      <c r="C432" s="49"/>
    </row>
    <row r="433" customFormat="false" ht="12.75" hidden="false" customHeight="false" outlineLevel="0" collapsed="false">
      <c r="A433" s="49"/>
      <c r="B433" s="49"/>
      <c r="C433" s="49"/>
    </row>
    <row r="434" customFormat="false" ht="12.75" hidden="false" customHeight="false" outlineLevel="0" collapsed="false">
      <c r="A434" s="49"/>
      <c r="B434" s="49"/>
      <c r="C434" s="49"/>
    </row>
    <row r="435" customFormat="false" ht="12.75" hidden="false" customHeight="false" outlineLevel="0" collapsed="false">
      <c r="A435" s="49"/>
      <c r="B435" s="49"/>
      <c r="C435" s="49"/>
    </row>
    <row r="436" customFormat="false" ht="12.75" hidden="false" customHeight="false" outlineLevel="0" collapsed="false">
      <c r="A436" s="49"/>
      <c r="B436" s="49"/>
      <c r="C436" s="49"/>
    </row>
    <row r="437" customFormat="false" ht="12.75" hidden="false" customHeight="false" outlineLevel="0" collapsed="false">
      <c r="A437" s="49"/>
      <c r="B437" s="49"/>
      <c r="C437" s="49"/>
    </row>
    <row r="438" customFormat="false" ht="12.75" hidden="false" customHeight="false" outlineLevel="0" collapsed="false">
      <c r="A438" s="49"/>
      <c r="B438" s="49"/>
      <c r="C438" s="49"/>
    </row>
    <row r="439" customFormat="false" ht="12.75" hidden="false" customHeight="false" outlineLevel="0" collapsed="false">
      <c r="A439" s="49"/>
      <c r="B439" s="49"/>
      <c r="C439" s="49"/>
    </row>
    <row r="440" customFormat="false" ht="12.75" hidden="false" customHeight="false" outlineLevel="0" collapsed="false">
      <c r="A440" s="49"/>
      <c r="B440" s="49"/>
      <c r="C440" s="49"/>
    </row>
    <row r="441" customFormat="false" ht="12.75" hidden="false" customHeight="false" outlineLevel="0" collapsed="false">
      <c r="A441" s="49"/>
      <c r="B441" s="49"/>
      <c r="C441" s="49"/>
    </row>
    <row r="442" customFormat="false" ht="12.75" hidden="false" customHeight="false" outlineLevel="0" collapsed="false">
      <c r="A442" s="49"/>
      <c r="B442" s="49"/>
      <c r="C442" s="49"/>
    </row>
    <row r="443" customFormat="false" ht="12.75" hidden="false" customHeight="false" outlineLevel="0" collapsed="false">
      <c r="A443" s="49"/>
      <c r="B443" s="49"/>
      <c r="C443" s="49"/>
    </row>
    <row r="444" customFormat="false" ht="12.75" hidden="false" customHeight="false" outlineLevel="0" collapsed="false">
      <c r="A444" s="49"/>
      <c r="B444" s="49"/>
      <c r="C444" s="49"/>
    </row>
    <row r="445" customFormat="false" ht="12.75" hidden="false" customHeight="false" outlineLevel="0" collapsed="false">
      <c r="A445" s="49"/>
      <c r="B445" s="49"/>
      <c r="C445" s="49"/>
    </row>
    <row r="446" customFormat="false" ht="12.75" hidden="false" customHeight="false" outlineLevel="0" collapsed="false">
      <c r="A446" s="49"/>
      <c r="B446" s="49"/>
      <c r="C446" s="49"/>
    </row>
    <row r="447" customFormat="false" ht="12.75" hidden="false" customHeight="false" outlineLevel="0" collapsed="false">
      <c r="A447" s="49"/>
      <c r="B447" s="49"/>
      <c r="C447" s="49"/>
    </row>
    <row r="448" customFormat="false" ht="12.75" hidden="false" customHeight="false" outlineLevel="0" collapsed="false">
      <c r="A448" s="49"/>
      <c r="B448" s="49"/>
      <c r="C448" s="49"/>
    </row>
    <row r="449" customFormat="false" ht="12.75" hidden="false" customHeight="false" outlineLevel="0" collapsed="false">
      <c r="A449" s="49"/>
      <c r="B449" s="49"/>
      <c r="C449" s="49"/>
    </row>
    <row r="450" customFormat="false" ht="12.75" hidden="false" customHeight="false" outlineLevel="0" collapsed="false">
      <c r="A450" s="49"/>
      <c r="B450" s="49"/>
      <c r="C450" s="49"/>
    </row>
    <row r="451" customFormat="false" ht="12.75" hidden="false" customHeight="false" outlineLevel="0" collapsed="false">
      <c r="A451" s="49"/>
      <c r="B451" s="49"/>
      <c r="C451" s="49"/>
    </row>
    <row r="452" customFormat="false" ht="12.75" hidden="false" customHeight="false" outlineLevel="0" collapsed="false">
      <c r="A452" s="49"/>
      <c r="B452" s="49"/>
      <c r="C452" s="49"/>
    </row>
    <row r="453" customFormat="false" ht="12.75" hidden="false" customHeight="false" outlineLevel="0" collapsed="false">
      <c r="A453" s="49"/>
      <c r="B453" s="49"/>
      <c r="C453" s="49"/>
    </row>
    <row r="454" customFormat="false" ht="12.75" hidden="false" customHeight="false" outlineLevel="0" collapsed="false">
      <c r="A454" s="49"/>
      <c r="B454" s="49"/>
      <c r="C454" s="49"/>
    </row>
    <row r="455" customFormat="false" ht="12.75" hidden="false" customHeight="false" outlineLevel="0" collapsed="false">
      <c r="A455" s="49"/>
      <c r="B455" s="49"/>
      <c r="C455" s="49"/>
    </row>
    <row r="456" customFormat="false" ht="12.75" hidden="false" customHeight="false" outlineLevel="0" collapsed="false">
      <c r="A456" s="49"/>
      <c r="B456" s="49"/>
      <c r="C456" s="49"/>
    </row>
    <row r="457" customFormat="false" ht="12.75" hidden="false" customHeight="false" outlineLevel="0" collapsed="false">
      <c r="A457" s="49"/>
      <c r="B457" s="49"/>
      <c r="C457" s="49"/>
    </row>
    <row r="458" customFormat="false" ht="12.75" hidden="false" customHeight="false" outlineLevel="0" collapsed="false">
      <c r="A458" s="49"/>
      <c r="B458" s="49"/>
      <c r="C458" s="49"/>
    </row>
    <row r="459" customFormat="false" ht="12.75" hidden="false" customHeight="false" outlineLevel="0" collapsed="false">
      <c r="A459" s="49"/>
      <c r="B459" s="49"/>
      <c r="C459" s="49"/>
    </row>
    <row r="460" customFormat="false" ht="12.75" hidden="false" customHeight="false" outlineLevel="0" collapsed="false">
      <c r="A460" s="49"/>
      <c r="B460" s="49"/>
      <c r="C460" s="49"/>
    </row>
    <row r="461" customFormat="false" ht="12.75" hidden="false" customHeight="false" outlineLevel="0" collapsed="false">
      <c r="A461" s="49"/>
      <c r="B461" s="49"/>
      <c r="C461" s="49"/>
    </row>
    <row r="462" customFormat="false" ht="12.75" hidden="false" customHeight="false" outlineLevel="0" collapsed="false">
      <c r="A462" s="49"/>
      <c r="B462" s="49"/>
      <c r="C462" s="49"/>
    </row>
    <row r="463" customFormat="false" ht="12.75" hidden="false" customHeight="false" outlineLevel="0" collapsed="false">
      <c r="A463" s="49"/>
      <c r="B463" s="49"/>
      <c r="C463" s="49"/>
    </row>
    <row r="464" customFormat="false" ht="12.75" hidden="false" customHeight="false" outlineLevel="0" collapsed="false">
      <c r="A464" s="49"/>
      <c r="B464" s="49"/>
      <c r="C464" s="49"/>
    </row>
    <row r="465" customFormat="false" ht="12.75" hidden="false" customHeight="false" outlineLevel="0" collapsed="false">
      <c r="A465" s="49"/>
      <c r="B465" s="49"/>
      <c r="C465" s="49"/>
    </row>
    <row r="466" customFormat="false" ht="12.75" hidden="false" customHeight="false" outlineLevel="0" collapsed="false">
      <c r="A466" s="49"/>
      <c r="B466" s="49"/>
      <c r="C466" s="49"/>
    </row>
    <row r="467" customFormat="false" ht="12.75" hidden="false" customHeight="false" outlineLevel="0" collapsed="false">
      <c r="A467" s="49"/>
      <c r="B467" s="49"/>
      <c r="C467" s="49"/>
    </row>
    <row r="468" customFormat="false" ht="12.75" hidden="false" customHeight="false" outlineLevel="0" collapsed="false">
      <c r="A468" s="49"/>
      <c r="B468" s="49"/>
      <c r="C468" s="49"/>
    </row>
    <row r="469" customFormat="false" ht="12.75" hidden="false" customHeight="false" outlineLevel="0" collapsed="false">
      <c r="A469" s="49"/>
      <c r="B469" s="49"/>
      <c r="C469" s="49"/>
    </row>
    <row r="470" customFormat="false" ht="12.75" hidden="false" customHeight="false" outlineLevel="0" collapsed="false">
      <c r="A470" s="49"/>
      <c r="B470" s="49"/>
      <c r="C470" s="49"/>
    </row>
    <row r="471" customFormat="false" ht="12.75" hidden="false" customHeight="false" outlineLevel="0" collapsed="false">
      <c r="A471" s="49"/>
      <c r="B471" s="49"/>
      <c r="C471" s="49"/>
    </row>
    <row r="472" customFormat="false" ht="12.75" hidden="false" customHeight="false" outlineLevel="0" collapsed="false">
      <c r="A472" s="49"/>
      <c r="B472" s="49"/>
      <c r="C472" s="49"/>
    </row>
    <row r="473" customFormat="false" ht="12.75" hidden="false" customHeight="false" outlineLevel="0" collapsed="false">
      <c r="A473" s="49"/>
      <c r="B473" s="49"/>
      <c r="C473" s="49"/>
    </row>
    <row r="474" customFormat="false" ht="12.75" hidden="false" customHeight="false" outlineLevel="0" collapsed="false">
      <c r="A474" s="49"/>
      <c r="B474" s="49"/>
      <c r="C474" s="49"/>
    </row>
    <row r="475" customFormat="false" ht="12.75" hidden="false" customHeight="false" outlineLevel="0" collapsed="false">
      <c r="A475" s="49"/>
      <c r="B475" s="49"/>
      <c r="C475" s="49"/>
    </row>
    <row r="476" customFormat="false" ht="12.75" hidden="false" customHeight="false" outlineLevel="0" collapsed="false">
      <c r="A476" s="49"/>
      <c r="B476" s="49"/>
      <c r="C476" s="49"/>
    </row>
    <row r="477" customFormat="false" ht="12.75" hidden="false" customHeight="false" outlineLevel="0" collapsed="false">
      <c r="A477" s="49"/>
      <c r="B477" s="49"/>
      <c r="C477" s="49"/>
    </row>
    <row r="478" customFormat="false" ht="12.75" hidden="false" customHeight="false" outlineLevel="0" collapsed="false">
      <c r="A478" s="49"/>
      <c r="B478" s="49"/>
      <c r="C478" s="49"/>
    </row>
    <row r="479" customFormat="false" ht="12.75" hidden="false" customHeight="false" outlineLevel="0" collapsed="false">
      <c r="A479" s="49"/>
      <c r="B479" s="49"/>
      <c r="C479" s="49"/>
    </row>
    <row r="480" customFormat="false" ht="12.75" hidden="false" customHeight="false" outlineLevel="0" collapsed="false">
      <c r="A480" s="49"/>
      <c r="B480" s="49"/>
      <c r="C480" s="49"/>
    </row>
    <row r="481" customFormat="false" ht="12.75" hidden="false" customHeight="false" outlineLevel="0" collapsed="false">
      <c r="A481" s="49"/>
      <c r="B481" s="49"/>
      <c r="C481" s="49"/>
    </row>
    <row r="482" customFormat="false" ht="12.75" hidden="false" customHeight="false" outlineLevel="0" collapsed="false">
      <c r="A482" s="49"/>
      <c r="B482" s="49"/>
      <c r="C482" s="49"/>
    </row>
    <row r="483" customFormat="false" ht="12.75" hidden="false" customHeight="false" outlineLevel="0" collapsed="false">
      <c r="A483" s="49"/>
      <c r="B483" s="49"/>
      <c r="C483" s="49"/>
    </row>
    <row r="484" customFormat="false" ht="12.75" hidden="false" customHeight="false" outlineLevel="0" collapsed="false">
      <c r="A484" s="49"/>
      <c r="B484" s="49"/>
      <c r="C484" s="49"/>
    </row>
    <row r="485" customFormat="false" ht="12.75" hidden="false" customHeight="false" outlineLevel="0" collapsed="false">
      <c r="A485" s="49"/>
      <c r="B485" s="49"/>
      <c r="C485" s="49"/>
    </row>
    <row r="486" customFormat="false" ht="12.75" hidden="false" customHeight="false" outlineLevel="0" collapsed="false">
      <c r="A486" s="49"/>
      <c r="B486" s="49"/>
      <c r="C486" s="49"/>
    </row>
    <row r="487" customFormat="false" ht="12.75" hidden="false" customHeight="false" outlineLevel="0" collapsed="false">
      <c r="A487" s="49"/>
      <c r="B487" s="49"/>
      <c r="C487" s="49"/>
    </row>
    <row r="488" customFormat="false" ht="12.75" hidden="false" customHeight="false" outlineLevel="0" collapsed="false">
      <c r="A488" s="49"/>
      <c r="B488" s="49"/>
      <c r="C488" s="49"/>
    </row>
    <row r="489" customFormat="false" ht="12.75" hidden="false" customHeight="false" outlineLevel="0" collapsed="false">
      <c r="A489" s="49"/>
      <c r="B489" s="49"/>
      <c r="C489" s="49"/>
    </row>
    <row r="490" customFormat="false" ht="12.75" hidden="false" customHeight="false" outlineLevel="0" collapsed="false">
      <c r="A490" s="49"/>
      <c r="B490" s="49"/>
      <c r="C490" s="49"/>
    </row>
    <row r="491" customFormat="false" ht="12.75" hidden="false" customHeight="false" outlineLevel="0" collapsed="false">
      <c r="A491" s="49"/>
      <c r="B491" s="49"/>
      <c r="C491" s="49"/>
    </row>
    <row r="492" customFormat="false" ht="12.75" hidden="false" customHeight="false" outlineLevel="0" collapsed="false">
      <c r="A492" s="49"/>
      <c r="B492" s="49"/>
      <c r="C492" s="49"/>
    </row>
    <row r="493" customFormat="false" ht="12.75" hidden="false" customHeight="false" outlineLevel="0" collapsed="false">
      <c r="A493" s="49"/>
      <c r="B493" s="49"/>
      <c r="C493" s="49"/>
    </row>
    <row r="494" customFormat="false" ht="12.75" hidden="false" customHeight="false" outlineLevel="0" collapsed="false">
      <c r="A494" s="49"/>
      <c r="B494" s="49"/>
      <c r="C494" s="49"/>
    </row>
    <row r="495" customFormat="false" ht="12.75" hidden="false" customHeight="false" outlineLevel="0" collapsed="false">
      <c r="A495" s="49"/>
      <c r="B495" s="49"/>
      <c r="C495" s="49"/>
    </row>
    <row r="496" customFormat="false" ht="12.75" hidden="false" customHeight="false" outlineLevel="0" collapsed="false">
      <c r="A496" s="49"/>
      <c r="B496" s="49"/>
      <c r="C496" s="49"/>
    </row>
    <row r="497" customFormat="false" ht="12.75" hidden="false" customHeight="false" outlineLevel="0" collapsed="false">
      <c r="A497" s="49"/>
      <c r="B497" s="49"/>
      <c r="C497" s="49"/>
    </row>
    <row r="498" customFormat="false" ht="12.75" hidden="false" customHeight="false" outlineLevel="0" collapsed="false">
      <c r="A498" s="49"/>
      <c r="B498" s="49"/>
      <c r="C498" s="49"/>
    </row>
    <row r="499" customFormat="false" ht="12.75" hidden="false" customHeight="false" outlineLevel="0" collapsed="false">
      <c r="A499" s="49"/>
      <c r="B499" s="49"/>
      <c r="C499" s="49"/>
    </row>
    <row r="500" customFormat="false" ht="12.75" hidden="false" customHeight="false" outlineLevel="0" collapsed="false">
      <c r="A500" s="49"/>
      <c r="B500" s="49"/>
      <c r="C500" s="49"/>
    </row>
    <row r="501" customFormat="false" ht="12.75" hidden="false" customHeight="false" outlineLevel="0" collapsed="false">
      <c r="A501" s="49"/>
      <c r="B501" s="49"/>
      <c r="C501" s="49"/>
    </row>
    <row r="502" customFormat="false" ht="12.75" hidden="false" customHeight="false" outlineLevel="0" collapsed="false">
      <c r="A502" s="49"/>
      <c r="B502" s="49"/>
      <c r="C502" s="49"/>
    </row>
    <row r="503" customFormat="false" ht="12.75" hidden="false" customHeight="false" outlineLevel="0" collapsed="false">
      <c r="A503" s="49"/>
      <c r="B503" s="49"/>
      <c r="C503" s="49"/>
    </row>
    <row r="504" customFormat="false" ht="12.75" hidden="false" customHeight="false" outlineLevel="0" collapsed="false">
      <c r="A504" s="49"/>
      <c r="B504" s="49"/>
      <c r="C504" s="49"/>
    </row>
    <row r="505" customFormat="false" ht="12.75" hidden="false" customHeight="false" outlineLevel="0" collapsed="false">
      <c r="A505" s="49"/>
      <c r="B505" s="49"/>
      <c r="C505" s="49"/>
    </row>
    <row r="506" customFormat="false" ht="12.75" hidden="false" customHeight="false" outlineLevel="0" collapsed="false">
      <c r="A506" s="49"/>
      <c r="B506" s="49"/>
      <c r="C506" s="49"/>
    </row>
    <row r="507" customFormat="false" ht="12.75" hidden="false" customHeight="false" outlineLevel="0" collapsed="false">
      <c r="A507" s="49"/>
      <c r="B507" s="49"/>
      <c r="C507" s="49"/>
    </row>
    <row r="508" customFormat="false" ht="12.75" hidden="false" customHeight="false" outlineLevel="0" collapsed="false">
      <c r="A508" s="49"/>
      <c r="B508" s="49"/>
      <c r="C508" s="49"/>
    </row>
    <row r="509" customFormat="false" ht="12.75" hidden="false" customHeight="false" outlineLevel="0" collapsed="false">
      <c r="A509" s="49"/>
      <c r="B509" s="49"/>
      <c r="C509" s="49"/>
    </row>
    <row r="510" customFormat="false" ht="12.75" hidden="false" customHeight="false" outlineLevel="0" collapsed="false">
      <c r="A510" s="49"/>
      <c r="B510" s="49"/>
      <c r="C510" s="49"/>
    </row>
    <row r="511" customFormat="false" ht="12.75" hidden="false" customHeight="false" outlineLevel="0" collapsed="false">
      <c r="A511" s="49"/>
      <c r="B511" s="49"/>
      <c r="C511" s="49"/>
    </row>
    <row r="512" customFormat="false" ht="12.75" hidden="false" customHeight="false" outlineLevel="0" collapsed="false">
      <c r="A512" s="49"/>
      <c r="B512" s="49"/>
      <c r="C512" s="49"/>
    </row>
    <row r="513" customFormat="false" ht="12.75" hidden="false" customHeight="false" outlineLevel="0" collapsed="false">
      <c r="A513" s="49"/>
      <c r="B513" s="49"/>
      <c r="C513" s="49"/>
    </row>
    <row r="514" customFormat="false" ht="12.75" hidden="false" customHeight="false" outlineLevel="0" collapsed="false">
      <c r="A514" s="49"/>
      <c r="B514" s="49"/>
      <c r="C514" s="49"/>
    </row>
    <row r="515" customFormat="false" ht="12.75" hidden="false" customHeight="false" outlineLevel="0" collapsed="false">
      <c r="A515" s="49"/>
      <c r="B515" s="49"/>
      <c r="C515" s="49"/>
    </row>
    <row r="516" customFormat="false" ht="12.75" hidden="false" customHeight="false" outlineLevel="0" collapsed="false">
      <c r="A516" s="49"/>
      <c r="B516" s="49"/>
      <c r="C516" s="49"/>
    </row>
    <row r="517" customFormat="false" ht="12.75" hidden="false" customHeight="false" outlineLevel="0" collapsed="false">
      <c r="A517" s="49"/>
      <c r="B517" s="49"/>
      <c r="C517" s="49"/>
    </row>
    <row r="518" customFormat="false" ht="12.75" hidden="false" customHeight="false" outlineLevel="0" collapsed="false">
      <c r="A518" s="49"/>
      <c r="B518" s="49"/>
      <c r="C518" s="49"/>
    </row>
    <row r="519" customFormat="false" ht="12.75" hidden="false" customHeight="false" outlineLevel="0" collapsed="false">
      <c r="A519" s="49"/>
      <c r="B519" s="49"/>
      <c r="C519" s="4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&amp;L&amp;"Arial,Bold"&amp;16Construction Schedule</oddHeader>
    <oddFooter>&amp;LI:CES\IS\KChaney\Power\Omers\New Models\&amp;F
&amp;D
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794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E14" activeCellId="0" sqref="E14:S14"/>
    </sheetView>
  </sheetViews>
  <sheetFormatPr defaultColWidth="9.0546875" defaultRowHeight="10.5" customHeight="true" zeroHeight="false" outlineLevelRow="0" outlineLevelCol="0"/>
  <cols>
    <col collapsed="false" customWidth="true" hidden="false" outlineLevel="0" max="1" min="1" style="0" width="6.13"/>
    <col collapsed="false" customWidth="true" hidden="false" outlineLevel="0" max="2" min="2" style="0" width="35.56"/>
    <col collapsed="false" customWidth="true" hidden="false" outlineLevel="0" max="3" min="3" style="0" width="6.56"/>
    <col collapsed="false" customWidth="true" hidden="false" outlineLevel="0" max="4" min="4" style="0" width="12.14"/>
    <col collapsed="false" customWidth="true" hidden="false" outlineLevel="0" max="5" min="5" style="0" width="10.41"/>
    <col collapsed="false" customWidth="true" hidden="false" outlineLevel="0" max="6" min="6" style="0" width="10.28"/>
    <col collapsed="false" customWidth="true" hidden="false" outlineLevel="0" max="7" min="7" style="0" width="9.56"/>
    <col collapsed="false" customWidth="true" hidden="false" outlineLevel="0" max="8" min="8" style="0" width="11.56"/>
    <col collapsed="false" customWidth="true" hidden="false" outlineLevel="0" max="19" min="19" style="0" width="10.41"/>
    <col collapsed="false" customWidth="true" hidden="false" outlineLevel="0" max="29" min="25" style="288" width="9.14"/>
  </cols>
  <sheetData>
    <row r="1" customFormat="false" ht="10.5" hidden="false" customHeight="true" outlineLevel="0" collapsed="false">
      <c r="F1" s="0" t="str">
        <f aca="false">IF(Tables!$B$21=2,"EOC","")</f>
        <v/>
      </c>
      <c r="I1" s="0" t="str">
        <f aca="false">IF(Tables!$B$21=5,"EOC","")</f>
        <v/>
      </c>
      <c r="N1" s="0" t="str">
        <f aca="false">IF(Tables!$B$21=10,"EOC","")</f>
        <v/>
      </c>
      <c r="S1" s="0" t="str">
        <f aca="false">IF(Tables!$B$21=15,"EOC","")</f>
        <v>EOC</v>
      </c>
    </row>
    <row r="2" customFormat="false" ht="15.75" hidden="false" customHeight="true" outlineLevel="0" collapsed="false">
      <c r="D2" s="485" t="n">
        <f aca="false">Cashflow!C3</f>
        <v>36891</v>
      </c>
      <c r="E2" s="485" t="n">
        <f aca="false">EOMONTH(D2,12)</f>
        <v>37256</v>
      </c>
      <c r="F2" s="485" t="n">
        <f aca="false">EOMONTH(E2,12)</f>
        <v>37621</v>
      </c>
      <c r="G2" s="485" t="n">
        <f aca="false">EOMONTH(F2,12)</f>
        <v>37986</v>
      </c>
      <c r="H2" s="485" t="n">
        <f aca="false">EOMONTH(G2,12)</f>
        <v>38352</v>
      </c>
      <c r="I2" s="485" t="n">
        <f aca="false">EOMONTH(H2,12)</f>
        <v>38717</v>
      </c>
      <c r="J2" s="485" t="n">
        <f aca="false">EOMONTH(I2,12)</f>
        <v>39082</v>
      </c>
      <c r="K2" s="485" t="n">
        <f aca="false">EOMONTH(J2,12)</f>
        <v>39447</v>
      </c>
      <c r="L2" s="485" t="n">
        <f aca="false">EOMONTH(K2,12)</f>
        <v>39813</v>
      </c>
      <c r="M2" s="485" t="n">
        <f aca="false">EOMONTH(L2,12)</f>
        <v>40178</v>
      </c>
      <c r="N2" s="485" t="n">
        <f aca="false">EOMONTH(M2,12)</f>
        <v>40543</v>
      </c>
      <c r="O2" s="485" t="n">
        <f aca="false">EOMONTH(N2,12)</f>
        <v>40908</v>
      </c>
      <c r="P2" s="485" t="n">
        <f aca="false">EOMONTH(O2,12)</f>
        <v>41274</v>
      </c>
      <c r="Q2" s="485" t="n">
        <f aca="false">EOMONTH(P2,12)</f>
        <v>41639</v>
      </c>
      <c r="R2" s="485" t="n">
        <f aca="false">EOMONTH(Q2,12)</f>
        <v>42004</v>
      </c>
      <c r="S2" s="485" t="n">
        <f aca="false">EOMONTH(R2,12)</f>
        <v>42369</v>
      </c>
      <c r="T2" s="485" t="n">
        <f aca="false">EOMONTH(S2,12)</f>
        <v>42735</v>
      </c>
      <c r="U2" s="485" t="n">
        <f aca="false">EOMONTH(T2,12)</f>
        <v>43100</v>
      </c>
      <c r="V2" s="485" t="n">
        <f aca="false">EOMONTH(U2,12)</f>
        <v>43465</v>
      </c>
      <c r="W2" s="485" t="n">
        <f aca="false">EOMONTH(V2,12)</f>
        <v>43830</v>
      </c>
      <c r="X2" s="486" t="n">
        <f aca="false">EOMONTH(W2,12)</f>
        <v>44196</v>
      </c>
      <c r="Y2" s="487"/>
      <c r="Z2" s="487"/>
      <c r="AA2" s="487"/>
      <c r="AB2" s="487"/>
      <c r="AC2" s="487"/>
    </row>
    <row r="3" customFormat="false" ht="15" hidden="false" customHeight="true" outlineLevel="0" collapsed="false">
      <c r="B3" s="488" t="s">
        <v>429</v>
      </c>
      <c r="C3" s="488"/>
      <c r="D3" s="489" t="n">
        <f aca="false">YEAR(D2)</f>
        <v>2000</v>
      </c>
      <c r="E3" s="489" t="n">
        <f aca="false">YEAR(E2)</f>
        <v>2001</v>
      </c>
      <c r="F3" s="489" t="n">
        <f aca="false">YEAR(F2)</f>
        <v>2002</v>
      </c>
      <c r="G3" s="489" t="n">
        <f aca="false">YEAR(G2)</f>
        <v>2003</v>
      </c>
      <c r="H3" s="489" t="n">
        <f aca="false">YEAR(H2)</f>
        <v>2004</v>
      </c>
      <c r="I3" s="489" t="n">
        <f aca="false">YEAR(I2)</f>
        <v>2005</v>
      </c>
      <c r="J3" s="489" t="n">
        <f aca="false">YEAR(J2)</f>
        <v>2006</v>
      </c>
      <c r="K3" s="489" t="n">
        <f aca="false">YEAR(K2)</f>
        <v>2007</v>
      </c>
      <c r="L3" s="489" t="n">
        <f aca="false">YEAR(L2)</f>
        <v>2008</v>
      </c>
      <c r="M3" s="489" t="n">
        <f aca="false">YEAR(M2)</f>
        <v>2009</v>
      </c>
      <c r="N3" s="489" t="n">
        <f aca="false">YEAR(N2)</f>
        <v>2010</v>
      </c>
      <c r="O3" s="489" t="n">
        <f aca="false">YEAR(O2)</f>
        <v>2011</v>
      </c>
      <c r="P3" s="489" t="n">
        <f aca="false">YEAR(P2)</f>
        <v>2012</v>
      </c>
      <c r="Q3" s="489" t="n">
        <f aca="false">YEAR(Q2)</f>
        <v>2013</v>
      </c>
      <c r="R3" s="489" t="n">
        <f aca="false">YEAR(R2)</f>
        <v>2014</v>
      </c>
      <c r="S3" s="489" t="n">
        <f aca="false">YEAR(S2)</f>
        <v>2015</v>
      </c>
      <c r="T3" s="489" t="n">
        <f aca="false">YEAR(T2)</f>
        <v>2016</v>
      </c>
      <c r="U3" s="489" t="n">
        <f aca="false">YEAR(U2)</f>
        <v>2017</v>
      </c>
      <c r="V3" s="489" t="n">
        <f aca="false">YEAR(V2)</f>
        <v>2018</v>
      </c>
      <c r="W3" s="489" t="n">
        <f aca="false">YEAR(W2)</f>
        <v>2019</v>
      </c>
      <c r="X3" s="489" t="n">
        <f aca="false">YEAR(X2)</f>
        <v>2020</v>
      </c>
      <c r="Y3" s="289"/>
      <c r="Z3" s="289"/>
      <c r="AA3" s="289"/>
      <c r="AB3" s="289"/>
    </row>
    <row r="4" customFormat="false" ht="10.5" hidden="false" customHeight="true" outlineLevel="0" collapsed="false">
      <c r="B4" s="113"/>
      <c r="C4" s="490"/>
      <c r="D4" s="113"/>
      <c r="E4" s="113"/>
      <c r="F4" s="113"/>
      <c r="G4" s="113"/>
      <c r="H4" s="113"/>
      <c r="I4" s="113"/>
      <c r="J4" s="113"/>
      <c r="K4" s="113"/>
      <c r="L4" s="113"/>
      <c r="M4" s="142"/>
      <c r="N4" s="142"/>
      <c r="O4" s="142"/>
      <c r="P4" s="142"/>
      <c r="Q4" s="142"/>
      <c r="R4" s="142"/>
      <c r="S4" s="142"/>
      <c r="T4" s="142"/>
      <c r="U4" s="142"/>
      <c r="V4" s="113"/>
      <c r="W4" s="113"/>
      <c r="X4" s="113"/>
      <c r="Y4" s="114"/>
      <c r="Z4" s="114"/>
      <c r="AA4" s="114"/>
      <c r="AB4" s="114"/>
    </row>
    <row r="5" customFormat="false" ht="10.5" hidden="false" customHeight="true" outlineLevel="0" collapsed="false">
      <c r="B5" s="491" t="s">
        <v>351</v>
      </c>
      <c r="C5" s="49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14"/>
      <c r="Z5" s="114"/>
      <c r="AA5" s="114"/>
      <c r="AB5" s="114"/>
    </row>
    <row r="6" customFormat="false" ht="10.5" hidden="false" customHeight="true" outlineLevel="0" collapsed="false">
      <c r="B6" s="151" t="s">
        <v>430</v>
      </c>
      <c r="C6" s="493"/>
      <c r="D6" s="494" t="n">
        <f aca="false">Assumptions!$B$6</f>
        <v>324</v>
      </c>
      <c r="E6" s="494" t="n">
        <f aca="false">Assumptions!$B$6</f>
        <v>324</v>
      </c>
      <c r="F6" s="494" t="n">
        <f aca="false">Assumptions!$B$6</f>
        <v>324</v>
      </c>
      <c r="G6" s="494" t="n">
        <f aca="false">Assumptions!$B$6</f>
        <v>324</v>
      </c>
      <c r="H6" s="494" t="n">
        <f aca="false">Tables!$C$36</f>
        <v>324</v>
      </c>
      <c r="I6" s="494" t="n">
        <f aca="false">Tables!$C$36</f>
        <v>324</v>
      </c>
      <c r="J6" s="494" t="n">
        <f aca="false">Tables!$C$36</f>
        <v>324</v>
      </c>
      <c r="K6" s="494" t="n">
        <f aca="false">Tables!$C$36</f>
        <v>324</v>
      </c>
      <c r="L6" s="494" t="n">
        <f aca="false">Tables!$C$36</f>
        <v>324</v>
      </c>
      <c r="M6" s="494" t="n">
        <f aca="false">Tables!$C$36</f>
        <v>324</v>
      </c>
      <c r="N6" s="494" t="n">
        <f aca="false">Tables!$C$36</f>
        <v>324</v>
      </c>
      <c r="O6" s="494" t="n">
        <f aca="false">Tables!$C$36</f>
        <v>324</v>
      </c>
      <c r="P6" s="494" t="n">
        <f aca="false">Tables!$C$36</f>
        <v>324</v>
      </c>
      <c r="Q6" s="494" t="n">
        <f aca="false">Tables!$C$36</f>
        <v>324</v>
      </c>
      <c r="R6" s="494" t="n">
        <f aca="false">Tables!$C$36</f>
        <v>324</v>
      </c>
      <c r="S6" s="494" t="n">
        <f aca="false">Tables!$C$36</f>
        <v>324</v>
      </c>
      <c r="T6" s="494" t="str">
        <f aca="false">IF(Tables!$B$21=15,"",Tables!$C$36)</f>
        <v/>
      </c>
      <c r="U6" s="494" t="str">
        <f aca="false">IF(Tables!$B$21=15,"",Tables!$C$36)</f>
        <v/>
      </c>
      <c r="V6" s="494" t="str">
        <f aca="false">IF(Tables!$B$21=15,"",Tables!$C$36)</f>
        <v/>
      </c>
      <c r="W6" s="494" t="str">
        <f aca="false">IF(Tables!$B$21=15,"",Tables!$C$36)</f>
        <v/>
      </c>
      <c r="X6" s="494" t="str">
        <f aca="false">IF(Tables!$B$21=15,"",Tables!$C$36)</f>
        <v/>
      </c>
      <c r="Y6" s="304"/>
      <c r="Z6" s="304"/>
      <c r="AA6" s="304"/>
      <c r="AB6" s="304"/>
    </row>
    <row r="7" customFormat="false" ht="10.5" hidden="false" customHeight="true" outlineLevel="0" collapsed="false">
      <c r="B7" s="153" t="s">
        <v>431</v>
      </c>
      <c r="C7" s="495"/>
      <c r="D7" s="365" t="n">
        <f aca="false">Assumptions!$B$14*'Operational Detail'!D19/Assumptions!$B$15</f>
        <v>0.00625</v>
      </c>
      <c r="E7" s="365" t="n">
        <f aca="false">Assumptions!$B$14*'Operational Detail'!E19/Assumptions!$B$15</f>
        <v>0.00883</v>
      </c>
      <c r="F7" s="365" t="n">
        <f aca="false">Assumptions!$B$14*'Operational Detail'!F19/Assumptions!$B$15</f>
        <v>0.0116</v>
      </c>
      <c r="G7" s="365" t="n">
        <f aca="false">Assumptions!$B$14*'Operational Detail'!G19/Assumptions!$B$15</f>
        <v>0.01439</v>
      </c>
      <c r="H7" s="365" t="n">
        <f aca="false">Assumptions!$B$14*'Operational Detail'!H19/Assumptions!$B$15</f>
        <v>0.01698</v>
      </c>
      <c r="I7" s="365" t="n">
        <f aca="false">Assumptions!$B$14*'Operational Detail'!I19/Assumptions!$B$15</f>
        <v>0.01957</v>
      </c>
      <c r="J7" s="365" t="n">
        <f aca="false">Assumptions!$B$14*'Operational Detail'!J19/Assumptions!$B$15</f>
        <v>0.00216</v>
      </c>
      <c r="K7" s="365" t="n">
        <f aca="false">Assumptions!$B$14*'Operational Detail'!K19/Assumptions!$B$15</f>
        <v>0.00474</v>
      </c>
      <c r="L7" s="365" t="n">
        <f aca="false">Assumptions!$B$14*'Operational Detail'!L19/Assumptions!$B$15</f>
        <v>0.00732</v>
      </c>
      <c r="M7" s="365" t="n">
        <f aca="false">Assumptions!$B$14*'Operational Detail'!M19/Assumptions!$B$15</f>
        <v>0.00991</v>
      </c>
      <c r="N7" s="365" t="n">
        <f aca="false">Assumptions!$B$14*'Operational Detail'!N19/Assumptions!$B$15</f>
        <v>0.0125</v>
      </c>
      <c r="O7" s="365" t="n">
        <f aca="false">Assumptions!$B$14*'Operational Detail'!O19/Assumptions!$B$15</f>
        <v>0.01509</v>
      </c>
      <c r="P7" s="365" t="n">
        <f aca="false">Assumptions!$B$14*'Operational Detail'!P19/Assumptions!$B$15</f>
        <v>0.01757</v>
      </c>
      <c r="Q7" s="365" t="n">
        <f aca="false">Assumptions!$B$14*'Operational Detail'!Q19/Assumptions!$B$15</f>
        <v>5E-005</v>
      </c>
      <c r="R7" s="365" t="n">
        <f aca="false">Assumptions!$B$14*'Operational Detail'!R19/Assumptions!$B$15</f>
        <v>0.00253</v>
      </c>
      <c r="S7" s="365" t="n">
        <f aca="false">Assumptions!$B$14*'Operational Detail'!S19/Assumptions!$B$15</f>
        <v>0.00502</v>
      </c>
      <c r="T7" s="365" t="str">
        <f aca="false">IF($S$1="EOC","",Assumptions!$B$14*'Operational Detail'!T19/Assumptions!$B$15)</f>
        <v/>
      </c>
      <c r="U7" s="365" t="str">
        <f aca="false">IF($S$1="EOC","",Assumptions!$B$14*'Operational Detail'!U19/Assumptions!$B$15)</f>
        <v/>
      </c>
      <c r="V7" s="365" t="str">
        <f aca="false">IF($S$1="EOC","",Assumptions!$B$14*'Operational Detail'!V19/Assumptions!$B$15)</f>
        <v/>
      </c>
      <c r="W7" s="365" t="str">
        <f aca="false">IF($S$1="EOC","",Assumptions!$B$14*'Operational Detail'!W19/Assumptions!$B$15)</f>
        <v/>
      </c>
      <c r="X7" s="365" t="str">
        <f aca="false">IF($S$1="EOC","",Assumptions!$B$14*'Operational Detail'!X19/Assumptions!$B$15)</f>
        <v/>
      </c>
      <c r="Y7" s="365"/>
      <c r="Z7" s="365"/>
      <c r="AA7" s="365"/>
      <c r="AB7" s="365"/>
    </row>
    <row r="8" customFormat="false" ht="10.5" hidden="false" customHeight="true" outlineLevel="0" collapsed="false">
      <c r="B8" s="151" t="s">
        <v>432</v>
      </c>
      <c r="C8" s="493"/>
      <c r="D8" s="152" t="n">
        <f aca="false">SUMIF('Monthly Table'!$C:$C,YEAR('Operational Detail'!D$2),'Monthly Table'!$BJ:$BJ)</f>
        <v>0</v>
      </c>
      <c r="E8" s="152" t="n">
        <f aca="false">SUMIF('Monthly Table'!$C:$C,YEAR('Operational Detail'!E2),'Monthly Table'!$BJ:$BJ)</f>
        <v>520</v>
      </c>
      <c r="F8" s="152" t="n">
        <f aca="false">SUMIF('Monthly Table'!$C:$C,YEAR('Operational Detail'!F2),'Monthly Table'!$BJ:$BJ)</f>
        <v>672</v>
      </c>
      <c r="G8" s="152" t="n">
        <f aca="false">SUMIF('Monthly Table'!$C:$C,YEAR('Operational Detail'!G2),'Monthly Table'!$BJ:$BJ)</f>
        <v>680</v>
      </c>
      <c r="H8" s="152" t="n">
        <f aca="false">IF(Tables!$B$21=3,0,SUMIF('Monthly Table'!$C:$C,YEAR('Operational Detail'!H2),'Monthly Table'!$BJ:$BJ))</f>
        <v>520</v>
      </c>
      <c r="I8" s="152" t="n">
        <f aca="false">IF(Tables!$B$21=3,0,SUMIF('Monthly Table'!$C:$C,YEAR('Operational Detail'!I2),'Monthly Table'!$BJ:$BJ))</f>
        <v>520</v>
      </c>
      <c r="J8" s="152" t="n">
        <f aca="false">IF(Tables!$B$21=3,0,SUMIF('Monthly Table'!$C:$C,YEAR('Operational Detail'!J2),'Monthly Table'!$BJ:$BJ))</f>
        <v>520</v>
      </c>
      <c r="K8" s="152" t="n">
        <f aca="false">IF(Tables!$B$21=3,0,SUMIF('Monthly Table'!$C:$C,YEAR('Operational Detail'!K2),'Monthly Table'!$BJ:$BJ))</f>
        <v>520</v>
      </c>
      <c r="L8" s="152" t="n">
        <f aca="false">IF(Tables!$B$21=3,0,SUMIF('Monthly Table'!$C:$C,YEAR('Operational Detail'!L2),'Monthly Table'!$BJ:$BJ))</f>
        <v>512</v>
      </c>
      <c r="M8" s="152" t="n">
        <f aca="false">IF(Tables!$B$21=3,0,SUMIF('Monthly Table'!$C:$C,YEAR('Operational Detail'!M2),'Monthly Table'!$BJ:$BJ))</f>
        <v>528</v>
      </c>
      <c r="N8" s="152" t="n">
        <f aca="false">IF(Tables!$B$21=3,0,SUMIF('Monthly Table'!$C:$C,YEAR('Operational Detail'!N2),'Monthly Table'!$BJ:$BJ))</f>
        <v>520</v>
      </c>
      <c r="O8" s="152" t="n">
        <f aca="false">IF(Tables!$B$21=3,0,SUMIF('Monthly Table'!$C:$C,YEAR('Operational Detail'!O2),'Monthly Table'!$BJ:$BJ))</f>
        <v>520</v>
      </c>
      <c r="P8" s="152" t="n">
        <f aca="false">IF(Tables!$B$21=3,0,SUMIF('Monthly Table'!$C:$C,YEAR('Operational Detail'!P2),'Monthly Table'!$BJ:$BJ))</f>
        <v>520</v>
      </c>
      <c r="Q8" s="152" t="n">
        <f aca="false">IF(Tables!$B$21=3,0,SUMIF('Monthly Table'!$C:$C,YEAR('Operational Detail'!Q2),'Monthly Table'!$BJ:$BJ))</f>
        <v>512</v>
      </c>
      <c r="R8" s="152" t="n">
        <f aca="false">IF(Tables!$B$21=3,0,SUMIF('Monthly Table'!$C:$C,YEAR('Operational Detail'!R2),'Monthly Table'!$BJ:$BJ))</f>
        <v>512</v>
      </c>
      <c r="S8" s="152" t="n">
        <f aca="false">IF(Tables!$B$21=3,0,SUMIF('Monthly Table'!$C:$C,YEAR('Operational Detail'!S2),'Monthly Table'!$BJ:$BJ))</f>
        <v>528</v>
      </c>
      <c r="T8" s="152" t="str">
        <f aca="false">IF($S$1="EOC","",SUMIF('Monthly Table'!$C:$C,YEAR('Operational Detail'!T2),'Monthly Table'!$BJ:$BJ))</f>
        <v/>
      </c>
      <c r="U8" s="152" t="str">
        <f aca="false">IF($S$1="EOC","",SUMIF('Monthly Table'!$C:$C,YEAR('Operational Detail'!U2),'Monthly Table'!$BJ:$BJ))</f>
        <v/>
      </c>
      <c r="V8" s="152" t="str">
        <f aca="false">IF($S$1="EOC","",SUMIF('Monthly Table'!$C:$C,YEAR('Operational Detail'!V2),'Monthly Table'!$BJ:$BJ))</f>
        <v/>
      </c>
      <c r="W8" s="152" t="str">
        <f aca="false">IF($S$1="EOC","",SUMIF('Monthly Table'!$C:$C,YEAR('Operational Detail'!W2),'Monthly Table'!$BJ:$BJ))</f>
        <v/>
      </c>
      <c r="X8" s="152" t="str">
        <f aca="false">IF($S$1="EOC","",SUMIF('Monthly Table'!$C:$C,YEAR('Operational Detail'!X2),'Monthly Table'!$BJ:$BJ))</f>
        <v/>
      </c>
      <c r="Y8" s="136"/>
      <c r="Z8" s="136"/>
      <c r="AA8" s="136"/>
      <c r="AB8" s="136"/>
    </row>
    <row r="9" customFormat="false" ht="10.5" hidden="false" customHeight="true" outlineLevel="0" collapsed="false">
      <c r="B9" s="151" t="s">
        <v>433</v>
      </c>
      <c r="C9" s="493"/>
      <c r="D9" s="152" t="n">
        <f aca="false">SUMIF('Monthly Table'!$C:$C,YEAR('Operational Detail'!D$2),'Monthly Table'!$BO:$BO)</f>
        <v>0</v>
      </c>
      <c r="E9" s="152" t="n">
        <f aca="false">SUMIF('Monthly Table'!$C:$C,YEAR('Operational Detail'!E$2),'Monthly Table'!$BO:$BO)</f>
        <v>0</v>
      </c>
      <c r="F9" s="152" t="n">
        <f aca="false">SUMIF('Monthly Table'!$C:$C,YEAR('Operational Detail'!F$2),'Monthly Table'!$BO:$BO)</f>
        <v>0</v>
      </c>
      <c r="G9" s="152" t="n">
        <f aca="false">SUMIF('Monthly Table'!$C:$C,YEAR('Operational Detail'!G$2),'Monthly Table'!$BO:$BO)</f>
        <v>0</v>
      </c>
      <c r="H9" s="152" t="n">
        <f aca="false">SUMIF('Monthly Table'!$C:$C,YEAR('Operational Detail'!H$2),'Monthly Table'!$BO:$BO)</f>
        <v>0</v>
      </c>
      <c r="I9" s="152" t="n">
        <f aca="false">SUMIF('Monthly Table'!$C:$C,YEAR('Operational Detail'!I$2),'Monthly Table'!$BO:$BO)</f>
        <v>0</v>
      </c>
      <c r="J9" s="152" t="n">
        <f aca="false">SUMIF('Monthly Table'!$C:$C,YEAR('Operational Detail'!J$2),'Monthly Table'!$BO:$BO)</f>
        <v>0</v>
      </c>
      <c r="K9" s="152" t="n">
        <f aca="false">SUMIF('Monthly Table'!$C:$C,YEAR('Operational Detail'!K$2),'Monthly Table'!$BO:$BO)</f>
        <v>0</v>
      </c>
      <c r="L9" s="152" t="n">
        <f aca="false">SUMIF('Monthly Table'!$C:$C,YEAR('Operational Detail'!L$2),'Monthly Table'!$BO:$BO)</f>
        <v>0</v>
      </c>
      <c r="M9" s="152" t="n">
        <f aca="false">SUMIF('Monthly Table'!$C:$C,YEAR('Operational Detail'!M$2),'Monthly Table'!$BO:$BO)</f>
        <v>0</v>
      </c>
      <c r="N9" s="152" t="n">
        <f aca="false">SUMIF('Monthly Table'!$C:$C,YEAR('Operational Detail'!N$2),'Monthly Table'!$BO:$BO)</f>
        <v>0</v>
      </c>
      <c r="O9" s="152" t="n">
        <f aca="false">SUMIF('Monthly Table'!$C:$C,YEAR('Operational Detail'!O$2),'Monthly Table'!$BO:$BO)</f>
        <v>0</v>
      </c>
      <c r="P9" s="152" t="n">
        <f aca="false">SUMIF('Monthly Table'!$C:$C,YEAR('Operational Detail'!P$2),'Monthly Table'!$BO:$BO)</f>
        <v>0</v>
      </c>
      <c r="Q9" s="152" t="n">
        <f aca="false">SUMIF('Monthly Table'!$C:$C,YEAR('Operational Detail'!Q$2),'Monthly Table'!$BO:$BO)</f>
        <v>0</v>
      </c>
      <c r="R9" s="152" t="n">
        <f aca="false">SUMIF('Monthly Table'!$C:$C,YEAR('Operational Detail'!R$2),'Monthly Table'!$BO:$BO)</f>
        <v>0</v>
      </c>
      <c r="S9" s="152" t="n">
        <f aca="false">SUMIF('Monthly Table'!$C:$C,YEAR('Operational Detail'!S$2),'Monthly Table'!$BO:$BO)</f>
        <v>0</v>
      </c>
      <c r="T9" s="152" t="str">
        <f aca="false">IF($S$1="EOC","",SUMIF('Monthly Table'!$C:$C,YEAR('Operational Detail'!T$2),'Monthly Table'!$BO:$BO))</f>
        <v/>
      </c>
      <c r="U9" s="152" t="str">
        <f aca="false">IF($S$1="EOC","",SUMIF('Monthly Table'!$C:$C,YEAR('Operational Detail'!U$2),'Monthly Table'!$BO:$BO))</f>
        <v/>
      </c>
      <c r="V9" s="152" t="str">
        <f aca="false">IF($S$1="EOC","",SUMIF('Monthly Table'!$C:$C,YEAR('Operational Detail'!V$2),'Monthly Table'!$BO:$BO))</f>
        <v/>
      </c>
      <c r="W9" s="152" t="str">
        <f aca="false">IF($S$1="EOC","",SUMIF('Monthly Table'!$C:$C,YEAR('Operational Detail'!W$2),'Monthly Table'!$BO:$BO))</f>
        <v/>
      </c>
      <c r="X9" s="152" t="str">
        <f aca="false">IF($S$1="EOC","",SUMIF('Monthly Table'!$C:$C,YEAR('Operational Detail'!X$2),'Monthly Table'!$BO:$BO))</f>
        <v/>
      </c>
      <c r="Y9" s="136"/>
      <c r="Z9" s="136"/>
      <c r="AA9" s="136"/>
      <c r="AB9" s="136"/>
    </row>
    <row r="10" customFormat="false" ht="10.5" hidden="false" customHeight="true" outlineLevel="0" collapsed="false">
      <c r="B10" s="151" t="s">
        <v>434</v>
      </c>
      <c r="C10" s="493"/>
      <c r="D10" s="152" t="n">
        <f aca="false">SUMIF('Monthly Table'!$C:$C,YEAR('Operational Detail'!D$2),'Monthly Table'!$BL:$BL)</f>
        <v>0</v>
      </c>
      <c r="E10" s="152" t="n">
        <f aca="false">SUMIF('Monthly Table'!$C:$C,YEAR('Operational Detail'!E$2),'Monthly Table'!$BL:$BL)</f>
        <v>64</v>
      </c>
      <c r="F10" s="152" t="n">
        <f aca="false">SUMIF('Monthly Table'!$C:$C,YEAR('Operational Detail'!F$2),'Monthly Table'!$BL:$BL)</f>
        <v>72</v>
      </c>
      <c r="G10" s="152" t="n">
        <f aca="false">SUMIF('Monthly Table'!$C:$C,YEAR('Operational Detail'!G$2),'Monthly Table'!$BL:$BL)</f>
        <v>72</v>
      </c>
      <c r="H10" s="152" t="n">
        <f aca="false">IF(Tables!$B$21=3,0,SUMIF('Monthly Table'!$C:$C,YEAR('Operational Detail'!H$2),'Monthly Table'!$BL:$BL))</f>
        <v>72</v>
      </c>
      <c r="I10" s="152" t="n">
        <f aca="false">IF(Tables!$B$21=3,0,SUMIF('Monthly Table'!$C:$C,YEAR('Operational Detail'!I$2),'Monthly Table'!$BL:$BL))</f>
        <v>72</v>
      </c>
      <c r="J10" s="152" t="n">
        <f aca="false">IF(Tables!$B$21=3,0,SUMIF('Monthly Table'!$C:$C,YEAR('Operational Detail'!J$2),'Monthly Table'!$BL:$BL))</f>
        <v>72</v>
      </c>
      <c r="K10" s="152" t="n">
        <f aca="false">IF(Tables!$B$21=3,0,SUMIF('Monthly Table'!$C:$C,YEAR('Operational Detail'!K$2),'Monthly Table'!$BL:$BL))</f>
        <v>64</v>
      </c>
      <c r="L10" s="152" t="n">
        <f aca="false">IF(Tables!$B$21=3,0,SUMIF('Monthly Table'!$C:$C,YEAR('Operational Detail'!L$2),'Monthly Table'!$BL:$BL))</f>
        <v>72</v>
      </c>
      <c r="M10" s="152" t="n">
        <f aca="false">IF(Tables!$B$21=3,0,SUMIF('Monthly Table'!$C:$C,YEAR('Operational Detail'!M$2),'Monthly Table'!$BL:$BL))</f>
        <v>64</v>
      </c>
      <c r="N10" s="152" t="n">
        <f aca="false">IF(Tables!$B$21=3,0,SUMIF('Monthly Table'!$C:$C,YEAR('Operational Detail'!N$2),'Monthly Table'!$BL:$BL))</f>
        <v>72</v>
      </c>
      <c r="O10" s="152" t="n">
        <f aca="false">IF(Tables!$B$21=3,0,SUMIF('Monthly Table'!$C:$C,YEAR('Operational Detail'!O$2),'Monthly Table'!$BL:$BL))</f>
        <v>72</v>
      </c>
      <c r="P10" s="152" t="n">
        <f aca="false">IF(Tables!$B$21=3,0,SUMIF('Monthly Table'!$C:$C,YEAR('Operational Detail'!P$2),'Monthly Table'!$BL:$BL))</f>
        <v>64</v>
      </c>
      <c r="Q10" s="152" t="n">
        <f aca="false">IF(Tables!$B$21=3,0,SUMIF('Monthly Table'!$C:$C,YEAR('Operational Detail'!Q$2),'Monthly Table'!$BL:$BL))</f>
        <v>72</v>
      </c>
      <c r="R10" s="152" t="n">
        <f aca="false">IF(Tables!$B$21=3,0,SUMIF('Monthly Table'!$C:$C,YEAR('Operational Detail'!R$2),'Monthly Table'!$BL:$BL))</f>
        <v>72</v>
      </c>
      <c r="S10" s="152" t="n">
        <f aca="false">IF(Tables!$B$21=3,0,SUMIF('Monthly Table'!$C:$C,YEAR('Operational Detail'!S$2),'Monthly Table'!$BL:$BL))</f>
        <v>64</v>
      </c>
      <c r="T10" s="152" t="str">
        <f aca="false">IF(Tables!$B$21=15,"",SUMIF('Monthly Table'!$C:$C,YEAR('Operational Detail'!T$2),'Monthly Table'!$BL:$BL))</f>
        <v/>
      </c>
      <c r="U10" s="152" t="str">
        <f aca="false">IF(Tables!$B$21=15,"",SUMIF('Monthly Table'!$C:$C,YEAR('Operational Detail'!U$2),'Monthly Table'!$BL:$BL))</f>
        <v/>
      </c>
      <c r="V10" s="152" t="str">
        <f aca="false">IF(Tables!$B$21=15,"",SUMIF('Monthly Table'!$C:$C,YEAR('Operational Detail'!V$2),'Monthly Table'!$BL:$BL))</f>
        <v/>
      </c>
      <c r="W10" s="152" t="str">
        <f aca="false">IF(Tables!$B$21=15,"",SUMIF('Monthly Table'!$C:$C,YEAR('Operational Detail'!W$2),'Monthly Table'!$BL:$BL))</f>
        <v/>
      </c>
      <c r="X10" s="152" t="str">
        <f aca="false">IF(Tables!$B$21=15,"",SUMIF('Monthly Table'!$C:$C,YEAR('Operational Detail'!X$2),'Monthly Table'!$BL:$BL))</f>
        <v/>
      </c>
      <c r="Y10" s="136"/>
      <c r="Z10" s="136"/>
      <c r="AA10" s="136"/>
      <c r="AB10" s="136"/>
    </row>
    <row r="11" customFormat="false" ht="10.5" hidden="false" customHeight="true" outlineLevel="0" collapsed="false">
      <c r="B11" s="151" t="s">
        <v>435</v>
      </c>
      <c r="C11" s="493"/>
      <c r="D11" s="152" t="n">
        <f aca="false">SUMIF('Monthly Table'!$C:$C,YEAR('Operational Detail'!D$2),'Monthly Table'!$BP:$BP)</f>
        <v>0</v>
      </c>
      <c r="E11" s="152" t="n">
        <f aca="false">SUMIF('Monthly Table'!$C:$C,YEAR('Operational Detail'!E$2),'Monthly Table'!$BP:$BP)</f>
        <v>0</v>
      </c>
      <c r="F11" s="152" t="n">
        <f aca="false">SUMIF('Monthly Table'!$C:$C,YEAR('Operational Detail'!F$2),'Monthly Table'!$BP:$BP)</f>
        <v>0</v>
      </c>
      <c r="G11" s="152" t="n">
        <f aca="false">SUMIF('Monthly Table'!$C:$C,YEAR('Operational Detail'!G$2),'Monthly Table'!$BP:$BP)</f>
        <v>0</v>
      </c>
      <c r="H11" s="152" t="n">
        <f aca="false">IF(Tables!$B$21=3,0,SUMIF('Monthly Table'!$C:$C,YEAR('Operational Detail'!H$2),'Monthly Table'!$BP:$BP))</f>
        <v>0</v>
      </c>
      <c r="I11" s="152" t="n">
        <f aca="false">IF(Tables!$B$21=3,0,SUMIF('Monthly Table'!$C:$C,YEAR('Operational Detail'!I$2),'Monthly Table'!$BP:$BP))</f>
        <v>0</v>
      </c>
      <c r="J11" s="152" t="n">
        <f aca="false">IF(Tables!$B$21=3,0,SUMIF('Monthly Table'!$C:$C,YEAR('Operational Detail'!J$2),'Monthly Table'!$BP:$BP))</f>
        <v>0</v>
      </c>
      <c r="K11" s="152" t="n">
        <f aca="false">IF(Tables!$B$21=3,0,SUMIF('Monthly Table'!$C:$C,YEAR('Operational Detail'!K$2),'Monthly Table'!$BP:$BP))</f>
        <v>0</v>
      </c>
      <c r="L11" s="152" t="n">
        <f aca="false">IF(Tables!$B$21=3,0,SUMIF('Monthly Table'!$C:$C,YEAR('Operational Detail'!L$2),'Monthly Table'!$BP:$BP))</f>
        <v>0</v>
      </c>
      <c r="M11" s="152" t="n">
        <f aca="false">IF(Tables!$B$21=3,0,SUMIF('Monthly Table'!$C:$C,YEAR('Operational Detail'!M$2),'Monthly Table'!$BP:$BP))</f>
        <v>0</v>
      </c>
      <c r="N11" s="152" t="n">
        <f aca="false">IF(Tables!$B$21=3,0,SUMIF('Monthly Table'!$C:$C,YEAR('Operational Detail'!N$2),'Monthly Table'!$BP:$BP))</f>
        <v>0</v>
      </c>
      <c r="O11" s="152" t="n">
        <f aca="false">IF(Tables!$B$21=3,0,SUMIF('Monthly Table'!$C:$C,YEAR('Operational Detail'!O$2),'Monthly Table'!$BP:$BP))</f>
        <v>0</v>
      </c>
      <c r="P11" s="152" t="n">
        <f aca="false">IF(Tables!$B$21=3,0,SUMIF('Monthly Table'!$C:$C,YEAR('Operational Detail'!P$2),'Monthly Table'!$BP:$BP))</f>
        <v>0</v>
      </c>
      <c r="Q11" s="152" t="n">
        <f aca="false">IF(Tables!$B$21=3,0,SUMIF('Monthly Table'!$C:$C,YEAR('Operational Detail'!Q$2),'Monthly Table'!$BP:$BP))</f>
        <v>0</v>
      </c>
      <c r="R11" s="152" t="n">
        <f aca="false">IF(Tables!$B$21=3,0,SUMIF('Monthly Table'!$C:$C,YEAR('Operational Detail'!R$2),'Monthly Table'!$BP:$BP))</f>
        <v>0</v>
      </c>
      <c r="S11" s="152" t="n">
        <f aca="false">IF(Tables!$B$21=3,0,SUMIF('Monthly Table'!$C:$C,YEAR('Operational Detail'!S$2),'Monthly Table'!$BP:$BP))</f>
        <v>0</v>
      </c>
      <c r="T11" s="152" t="str">
        <f aca="false">IF(Tables!$B$21=15,"",SUMIF('Monthly Table'!$C:$C,YEAR('Operational Detail'!T$2),'Monthly Table'!$BP:$BP))</f>
        <v/>
      </c>
      <c r="U11" s="152" t="str">
        <f aca="false">IF(Tables!$B$21=15,"",SUMIF('Monthly Table'!$C:$C,YEAR('Operational Detail'!U$2),'Monthly Table'!$BP:$BP))</f>
        <v/>
      </c>
      <c r="V11" s="152" t="str">
        <f aca="false">IF(Tables!$B$21=15,"",SUMIF('Monthly Table'!$C:$C,YEAR('Operational Detail'!V$2),'Monthly Table'!$BP:$BP))</f>
        <v/>
      </c>
      <c r="W11" s="152" t="str">
        <f aca="false">IF(Tables!$B$21=15,"",SUMIF('Monthly Table'!$C:$C,YEAR('Operational Detail'!W$2),'Monthly Table'!$BP:$BP))</f>
        <v/>
      </c>
      <c r="X11" s="152" t="str">
        <f aca="false">IF(Tables!$B$21=15,"",SUMIF('Monthly Table'!$C:$C,YEAR('Operational Detail'!X$2),'Monthly Table'!$BP:$BP))</f>
        <v/>
      </c>
      <c r="Y11" s="136"/>
      <c r="Z11" s="136"/>
      <c r="AA11" s="136"/>
      <c r="AB11" s="136"/>
    </row>
    <row r="12" customFormat="false" ht="10.5" hidden="false" customHeight="true" outlineLevel="0" collapsed="false">
      <c r="B12" s="151" t="s">
        <v>436</v>
      </c>
      <c r="C12" s="493"/>
      <c r="D12" s="152" t="n">
        <f aca="false">SUMIF('Monthly Table'!$C:$C,YEAR('Operational Detail'!D$2),'Monthly Table'!$BM:$BM)</f>
        <v>0</v>
      </c>
      <c r="E12" s="152" t="n">
        <f aca="false">SUMIF('Monthly Table'!$C:$C,YEAR('Operational Detail'!E$2),'Monthly Table'!$BM:$BM)</f>
        <v>80</v>
      </c>
      <c r="F12" s="152" t="n">
        <f aca="false">SUMIF('Monthly Table'!$C:$C,YEAR('Operational Detail'!F$2),'Monthly Table'!$BM:$BM)</f>
        <v>72</v>
      </c>
      <c r="G12" s="152" t="n">
        <f aca="false">SUMIF('Monthly Table'!$C:$C,YEAR('Operational Detail'!G$2),'Monthly Table'!$BM:$BM)</f>
        <v>80</v>
      </c>
      <c r="H12" s="152" t="n">
        <f aca="false">IF(Tables!$B$21=3,0,SUMIF('Monthly Table'!$C:$C,YEAR('Operational Detail'!H$2),'Monthly Table'!$BM:$BM))</f>
        <v>80</v>
      </c>
      <c r="I12" s="152" t="n">
        <f aca="false">IF(Tables!$B$21=3,0,SUMIF('Monthly Table'!$C:$C,YEAR('Operational Detail'!I$2),'Monthly Table'!$BM:$BM))</f>
        <v>80</v>
      </c>
      <c r="J12" s="152" t="n">
        <f aca="false">IF(Tables!$B$21=3,0,SUMIF('Monthly Table'!$C:$C,YEAR('Operational Detail'!J$2),'Monthly Table'!$BM:$BM))</f>
        <v>80</v>
      </c>
      <c r="K12" s="152" t="n">
        <f aca="false">IF(Tables!$B$21=3,0,SUMIF('Monthly Table'!$C:$C,YEAR('Operational Detail'!K$2),'Monthly Table'!$BM:$BM))</f>
        <v>80</v>
      </c>
      <c r="L12" s="152" t="n">
        <f aca="false">IF(Tables!$B$21=3,0,SUMIF('Monthly Table'!$C:$C,YEAR('Operational Detail'!L$2),'Monthly Table'!$BM:$BM))</f>
        <v>80</v>
      </c>
      <c r="M12" s="152" t="n">
        <f aca="false">IF(Tables!$B$21=3,0,SUMIF('Monthly Table'!$C:$C,YEAR('Operational Detail'!M$2),'Monthly Table'!$BM:$BM))</f>
        <v>80</v>
      </c>
      <c r="N12" s="152" t="n">
        <f aca="false">IF(Tables!$B$21=3,0,SUMIF('Monthly Table'!$C:$C,YEAR('Operational Detail'!N$2),'Monthly Table'!$BM:$BM))</f>
        <v>80</v>
      </c>
      <c r="O12" s="152" t="n">
        <f aca="false">IF(Tables!$B$21=3,0,SUMIF('Monthly Table'!$C:$C,YEAR('Operational Detail'!O$2),'Monthly Table'!$BM:$BM))</f>
        <v>80</v>
      </c>
      <c r="P12" s="152" t="n">
        <f aca="false">IF(Tables!$B$21=3,0,SUMIF('Monthly Table'!$C:$C,YEAR('Operational Detail'!P$2),'Monthly Table'!$BM:$BM))</f>
        <v>0</v>
      </c>
      <c r="Q12" s="152" t="n">
        <f aca="false">IF(Tables!$B$21=3,0,SUMIF('Monthly Table'!$C:$C,YEAR('Operational Detail'!Q$2),'Monthly Table'!$BM:$BM))</f>
        <v>0</v>
      </c>
      <c r="R12" s="152" t="n">
        <f aca="false">IF(Tables!$B$21=3,0,SUMIF('Monthly Table'!$C:$C,YEAR('Operational Detail'!R$2),'Monthly Table'!$BM:$BM))</f>
        <v>0</v>
      </c>
      <c r="S12" s="152" t="n">
        <f aca="false">IF(Tables!$B$21=3,0,SUMIF('Monthly Table'!$C:$C,YEAR('Operational Detail'!S$2),'Monthly Table'!$BM:$BM))</f>
        <v>0</v>
      </c>
      <c r="T12" s="152" t="str">
        <f aca="false">IF(Tables!$B$21=15,"",SUMIF('Monthly Table'!$C:$C,YEAR('Operational Detail'!T$2),'Monthly Table'!$BM:$BM))</f>
        <v/>
      </c>
      <c r="U12" s="152" t="str">
        <f aca="false">IF(Tables!$B$21=15,"",SUMIF('Monthly Table'!$C:$C,YEAR('Operational Detail'!U$2),'Monthly Table'!$BM:$BM))</f>
        <v/>
      </c>
      <c r="V12" s="152" t="str">
        <f aca="false">IF(Tables!$B$21=15,"",SUMIF('Monthly Table'!$C:$C,YEAR('Operational Detail'!V$2),'Monthly Table'!$BM:$BM))</f>
        <v/>
      </c>
      <c r="W12" s="152" t="str">
        <f aca="false">IF(Tables!$B$21=15,"",SUMIF('Monthly Table'!$C:$C,YEAR('Operational Detail'!W$2),'Monthly Table'!$BM:$BM))</f>
        <v/>
      </c>
      <c r="X12" s="152" t="str">
        <f aca="false">IF(Tables!$B$21=15,"",SUMIF('Monthly Table'!$C:$C,YEAR('Operational Detail'!X$2),'Monthly Table'!$BM:$BM))</f>
        <v/>
      </c>
      <c r="Y12" s="136"/>
      <c r="Z12" s="136"/>
      <c r="AA12" s="136"/>
      <c r="AB12" s="136"/>
    </row>
    <row r="13" customFormat="false" ht="10.5" hidden="false" customHeight="true" outlineLevel="0" collapsed="false">
      <c r="A13" s="112"/>
      <c r="B13" s="153"/>
      <c r="C13" s="495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</row>
    <row r="14" customFormat="false" ht="10.5" hidden="false" customHeight="true" outlineLevel="0" collapsed="false">
      <c r="A14" s="112"/>
      <c r="B14" s="153" t="s">
        <v>437</v>
      </c>
      <c r="C14" s="495"/>
      <c r="D14" s="162" t="n">
        <f aca="false">SUM(D8:D13)</f>
        <v>0</v>
      </c>
      <c r="E14" s="162" t="n">
        <f aca="false">SUM(E8:E13)</f>
        <v>664</v>
      </c>
      <c r="F14" s="162" t="n">
        <f aca="false">SUM(F8:F13)</f>
        <v>816</v>
      </c>
      <c r="G14" s="162" t="n">
        <f aca="false">SUM(G8:G13)</f>
        <v>832</v>
      </c>
      <c r="H14" s="162" t="n">
        <f aca="false">SUM(H8:H13)</f>
        <v>672</v>
      </c>
      <c r="I14" s="162" t="n">
        <f aca="false">SUM(I8:I13)</f>
        <v>672</v>
      </c>
      <c r="J14" s="162" t="n">
        <f aca="false">SUM(J8:J13)</f>
        <v>672</v>
      </c>
      <c r="K14" s="162" t="n">
        <f aca="false">SUM(K8:K13)</f>
        <v>664</v>
      </c>
      <c r="L14" s="162" t="n">
        <f aca="false">SUM(L8:L13)</f>
        <v>664</v>
      </c>
      <c r="M14" s="162" t="n">
        <f aca="false">SUM(M8:M13)</f>
        <v>672</v>
      </c>
      <c r="N14" s="162" t="n">
        <f aca="false">SUM(N8:N13)</f>
        <v>672</v>
      </c>
      <c r="O14" s="162" t="n">
        <f aca="false">SUM(O8:O13)</f>
        <v>672</v>
      </c>
      <c r="P14" s="162" t="n">
        <f aca="false">SUM(P8:P13)</f>
        <v>584</v>
      </c>
      <c r="Q14" s="162" t="n">
        <f aca="false">SUM(Q8:Q13)</f>
        <v>584</v>
      </c>
      <c r="R14" s="162" t="n">
        <f aca="false">SUM(R8:R13)</f>
        <v>584</v>
      </c>
      <c r="S14" s="162" t="n">
        <f aca="false">SUM(S8:S13)</f>
        <v>592</v>
      </c>
      <c r="T14" s="162" t="n">
        <f aca="false">SUM(T8:T13)</f>
        <v>0</v>
      </c>
      <c r="U14" s="162" t="n">
        <f aca="false">SUM(U8:U13)</f>
        <v>0</v>
      </c>
      <c r="V14" s="162" t="n">
        <f aca="false">SUM(V8:V13)</f>
        <v>0</v>
      </c>
      <c r="W14" s="162" t="n">
        <f aca="false">SUM(W8:W13)</f>
        <v>0</v>
      </c>
      <c r="X14" s="162" t="n">
        <f aca="false">SUM(X8:X13)</f>
        <v>0</v>
      </c>
      <c r="Y14" s="136"/>
      <c r="Z14" s="136"/>
      <c r="AA14" s="136"/>
      <c r="AB14" s="136"/>
    </row>
    <row r="15" customFormat="false" ht="10.5" hidden="false" customHeight="true" outlineLevel="0" collapsed="false">
      <c r="B15" s="153"/>
      <c r="C15" s="495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</row>
    <row r="16" customFormat="false" ht="10.5" hidden="false" customHeight="true" outlineLevel="0" collapsed="false">
      <c r="B16" s="151"/>
      <c r="C16" s="493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36"/>
      <c r="Z16" s="136"/>
      <c r="AA16" s="136"/>
      <c r="AB16" s="136"/>
    </row>
    <row r="17" customFormat="false" ht="10.5" hidden="false" customHeight="true" outlineLevel="0" collapsed="false">
      <c r="B17" s="151" t="s">
        <v>438</v>
      </c>
      <c r="C17" s="493"/>
      <c r="D17" s="496" t="n">
        <f aca="false">Assumptions!B17</f>
        <v>5000</v>
      </c>
      <c r="E17" s="152" t="n">
        <f aca="false">((Tables!$I$10*Tables!$B$30)*1)+E14</f>
        <v>2064</v>
      </c>
      <c r="F17" s="152" t="n">
        <f aca="false">IF(Tables!$B$21=2,(Tables!$I$10*Tables!$B$30)*1,(Tables!$I$10*Tables!$B$30))+F14</f>
        <v>2216</v>
      </c>
      <c r="G17" s="152" t="n">
        <f aca="false">IF(G14&gt;0,Tables!$I$10*Tables!$B$30,0)+G14</f>
        <v>2232</v>
      </c>
      <c r="H17" s="152" t="n">
        <f aca="false">IF(H14&gt;0,Tables!$I$10*Tables!$S$36,0)+H14</f>
        <v>2072</v>
      </c>
      <c r="I17" s="152" t="n">
        <f aca="false">IF(Tables!$B$21=5,(Tables!$I$10*Tables!$S$36)*1,IF(I14&gt;0,(Tables!$I$10*Tables!$S$36),0))+I14</f>
        <v>2072</v>
      </c>
      <c r="J17" s="152" t="n">
        <f aca="false">IF(J14&gt;0,Tables!$I$10*Tables!$S$36,0)+J14</f>
        <v>2072</v>
      </c>
      <c r="K17" s="152" t="n">
        <f aca="false">IF(K14&gt;0,Tables!$I$10*Tables!$S$36,0)+K14</f>
        <v>2064</v>
      </c>
      <c r="L17" s="152" t="n">
        <f aca="false">IF(L14&gt;0,Tables!$I$10*Tables!$S$36,0)+L14</f>
        <v>2064</v>
      </c>
      <c r="M17" s="152" t="n">
        <f aca="false">IF(M14&gt;0,Tables!$I$10*Tables!$S$36,0)+M14</f>
        <v>2072</v>
      </c>
      <c r="N17" s="152" t="n">
        <f aca="false">IF(Tables!$B$21=10,(Tables!$I$10*Tables!$S$36)*1,IF(N14&gt;0,(Tables!$I$10*Tables!$S$36),0))+N14</f>
        <v>2072</v>
      </c>
      <c r="O17" s="152" t="n">
        <f aca="false">IF(O14&gt;0,Tables!$I$10*Tables!$S$36,0)+O14</f>
        <v>2072</v>
      </c>
      <c r="P17" s="152" t="n">
        <f aca="false">IF(P14&gt;0,Tables!$I$10*Tables!$S$36,0)+P14</f>
        <v>1984</v>
      </c>
      <c r="Q17" s="152" t="n">
        <f aca="false">IF(Q14&gt;0,Tables!$I$10*Tables!$S$36,0)+Q14</f>
        <v>1984</v>
      </c>
      <c r="R17" s="152" t="n">
        <f aca="false">IF(R14&gt;0,Tables!$I$10*Tables!$S$36,0)+R14</f>
        <v>1984</v>
      </c>
      <c r="S17" s="152" t="n">
        <f aca="false">IF(Tables!$B$21=15,(Tables!$I$10*Tables!$S$36)*1,IF(S14&gt;0,(Tables!$I$10*Tables!$S$36),0))+S14</f>
        <v>1992</v>
      </c>
      <c r="T17" s="152" t="n">
        <f aca="false">IF(T14&gt;0,Tables!$I$10*Tables!$S$36,0)+T14</f>
        <v>0</v>
      </c>
      <c r="U17" s="152" t="n">
        <f aca="false">IF(U14&gt;0,Tables!$I$10*Tables!$S$36,0)+U14</f>
        <v>0</v>
      </c>
      <c r="V17" s="152" t="n">
        <f aca="false">IF(V14&gt;0,Tables!$I$10*Tables!$S$36,0)+V14</f>
        <v>0</v>
      </c>
      <c r="W17" s="152" t="n">
        <f aca="false">IF(W14&gt;0,Tables!$I$10*Tables!$S$36,0)+W14</f>
        <v>0</v>
      </c>
      <c r="X17" s="152" t="n">
        <f aca="false">IF(Tables!$B$21=20,(Tables!$I$10*Tables!$S$36)*0.25,IF(X14&gt;0,(Tables!$I$10*Tables!$S$36),0))+X14</f>
        <v>0</v>
      </c>
      <c r="Y17" s="136"/>
      <c r="Z17" s="136"/>
      <c r="AA17" s="136"/>
      <c r="AB17" s="136"/>
    </row>
    <row r="18" customFormat="false" ht="10.5" hidden="false" customHeight="true" outlineLevel="0" collapsed="false">
      <c r="B18" s="151" t="s">
        <v>353</v>
      </c>
      <c r="C18" s="493"/>
      <c r="D18" s="152" t="n">
        <f aca="false">D17</f>
        <v>5000</v>
      </c>
      <c r="E18" s="152" t="n">
        <f aca="false">D18+E17</f>
        <v>7064</v>
      </c>
      <c r="F18" s="152" t="n">
        <f aca="false">E18+F17</f>
        <v>9280</v>
      </c>
      <c r="G18" s="152" t="n">
        <f aca="false">F18+G17</f>
        <v>11512</v>
      </c>
      <c r="H18" s="152" t="n">
        <f aca="false">G18+H17</f>
        <v>13584</v>
      </c>
      <c r="I18" s="152" t="n">
        <f aca="false">H18+I17</f>
        <v>15656</v>
      </c>
      <c r="J18" s="152" t="n">
        <f aca="false">I18+J17</f>
        <v>17728</v>
      </c>
      <c r="K18" s="152" t="n">
        <f aca="false">J18+K17</f>
        <v>19792</v>
      </c>
      <c r="L18" s="152" t="n">
        <f aca="false">K18+L17</f>
        <v>21856</v>
      </c>
      <c r="M18" s="152" t="n">
        <f aca="false">L18+M17</f>
        <v>23928</v>
      </c>
      <c r="N18" s="152" t="n">
        <f aca="false">M18+N17</f>
        <v>26000</v>
      </c>
      <c r="O18" s="152" t="n">
        <f aca="false">N18+O17</f>
        <v>28072</v>
      </c>
      <c r="P18" s="152" t="n">
        <f aca="false">O18+P17</f>
        <v>30056</v>
      </c>
      <c r="Q18" s="152" t="n">
        <f aca="false">P18+Q17</f>
        <v>32040</v>
      </c>
      <c r="R18" s="152" t="n">
        <f aca="false">Q18+R17</f>
        <v>34024</v>
      </c>
      <c r="S18" s="152" t="n">
        <f aca="false">R18+S17</f>
        <v>36016</v>
      </c>
      <c r="T18" s="152" t="n">
        <f aca="false">IF(T14=0,0,S18+T17)</f>
        <v>0</v>
      </c>
      <c r="U18" s="152" t="n">
        <f aca="false">T18+U17</f>
        <v>0</v>
      </c>
      <c r="V18" s="152" t="n">
        <f aca="false">U18+V17</f>
        <v>0</v>
      </c>
      <c r="W18" s="152" t="n">
        <f aca="false">V18+W17</f>
        <v>0</v>
      </c>
      <c r="X18" s="152" t="n">
        <f aca="false">W18+X17</f>
        <v>0</v>
      </c>
      <c r="Y18" s="136"/>
      <c r="Z18" s="136"/>
      <c r="AA18" s="136"/>
      <c r="AB18" s="136"/>
    </row>
    <row r="19" customFormat="false" ht="10.5" hidden="false" customHeight="true" outlineLevel="0" collapsed="false">
      <c r="B19" s="153" t="s">
        <v>354</v>
      </c>
      <c r="C19" s="495"/>
      <c r="D19" s="136" t="n">
        <f aca="false">IF(SUM(D18)&lt;Assumptions!$B$15,SUM('Operational Detail'!D18),SUM('Operational Detail'!D18)-FLOOR(SUM(D18),Assumptions!$B$15))</f>
        <v>5000</v>
      </c>
      <c r="E19" s="136" t="n">
        <f aca="false">IF(SUM(E18)&lt;Assumptions!$B$15,SUM('Operational Detail'!E18),SUM('Operational Detail'!E18)-FLOOR(SUM(E18),Assumptions!$B$15))</f>
        <v>7064</v>
      </c>
      <c r="F19" s="136" t="n">
        <f aca="false">IF(SUM(F18)&lt;Assumptions!$B$15,SUM('Operational Detail'!F18),SUM('Operational Detail'!F18)-FLOOR(SUM(F18),Assumptions!$B$15))</f>
        <v>9280</v>
      </c>
      <c r="G19" s="136" t="n">
        <f aca="false">IF(SUM(G18)&lt;Assumptions!$B$15,SUM('Operational Detail'!G18),SUM('Operational Detail'!G18)-FLOOR(SUM(G18),Assumptions!$B$15))</f>
        <v>11512</v>
      </c>
      <c r="H19" s="136" t="n">
        <f aca="false">IF(SUM(H18)&lt;Assumptions!$B$15,SUM('Operational Detail'!H18),SUM('Operational Detail'!H18)-FLOOR(SUM(H18),Assumptions!$B$15))</f>
        <v>13584</v>
      </c>
      <c r="I19" s="136" t="n">
        <f aca="false">IF(SUM(I18)&lt;Assumptions!$B$15,SUM('Operational Detail'!I18),SUM('Operational Detail'!I18)-FLOOR(SUM(I18),Assumptions!$B$15))</f>
        <v>15656</v>
      </c>
      <c r="J19" s="136" t="n">
        <f aca="false">IF(SUM(J18)&lt;Assumptions!$B$15,SUM('Operational Detail'!J18),SUM('Operational Detail'!J18)-FLOOR(SUM(J18),Assumptions!$B$15))</f>
        <v>1728</v>
      </c>
      <c r="K19" s="136" t="n">
        <f aca="false">IF(SUM(K18)&lt;Assumptions!$B$15,SUM('Operational Detail'!K18),SUM('Operational Detail'!K18)-FLOOR(SUM(K18),Assumptions!$B$15))</f>
        <v>3792</v>
      </c>
      <c r="L19" s="136" t="n">
        <f aca="false">IF(SUM(L18)&lt;Assumptions!$B$15,SUM('Operational Detail'!L18),SUM('Operational Detail'!L18)-FLOOR(SUM(L18),Assumptions!$B$15))</f>
        <v>5856</v>
      </c>
      <c r="M19" s="136" t="n">
        <f aca="false">IF(SUM(M18)&lt;Assumptions!$B$15,SUM('Operational Detail'!M18),SUM('Operational Detail'!M18)-FLOOR(SUM(M18),Assumptions!$B$15))</f>
        <v>7928</v>
      </c>
      <c r="N19" s="136" t="n">
        <f aca="false">IF(SUM(N18)&lt;Assumptions!$B$15,SUM('Operational Detail'!N18),SUM('Operational Detail'!N18)-FLOOR(SUM(N18),Assumptions!$B$15))</f>
        <v>10000</v>
      </c>
      <c r="O19" s="136" t="n">
        <f aca="false">IF(SUM(O18)&lt;Assumptions!$B$15,SUM('Operational Detail'!O18),SUM('Operational Detail'!O18)-FLOOR(SUM(O18),Assumptions!$B$15))</f>
        <v>12072</v>
      </c>
      <c r="P19" s="136" t="n">
        <f aca="false">IF(SUM(P18)&lt;Assumptions!$B$15,SUM('Operational Detail'!P18),SUM('Operational Detail'!P18)-FLOOR(SUM(P18),Assumptions!$B$15))</f>
        <v>14056</v>
      </c>
      <c r="Q19" s="136" t="n">
        <f aca="false">IF(SUM(Q18)&lt;Assumptions!$B$15,SUM('Operational Detail'!Q18),SUM('Operational Detail'!Q18)-FLOOR(SUM(Q18),Assumptions!$B$15))</f>
        <v>40</v>
      </c>
      <c r="R19" s="136" t="n">
        <f aca="false">IF(SUM(R18)&lt;Assumptions!$B$15,SUM('Operational Detail'!R18),SUM('Operational Detail'!R18)-FLOOR(SUM(R18),Assumptions!$B$15))</f>
        <v>2024</v>
      </c>
      <c r="S19" s="136" t="n">
        <f aca="false">IF(SUM(S18)&lt;Assumptions!$B$15,SUM('Operational Detail'!S18),SUM('Operational Detail'!S18)-FLOOR(SUM(S18),Assumptions!$B$15))</f>
        <v>4016</v>
      </c>
      <c r="T19" s="136" t="n">
        <f aca="false">IF(SUM(T18)&lt;Assumptions!$B$15,SUM('Operational Detail'!T18),SUM('Operational Detail'!T18)-FLOOR(SUM(T18),Assumptions!$B$15))</f>
        <v>0</v>
      </c>
      <c r="U19" s="136" t="n">
        <f aca="false">IF(SUM(U18)&lt;Assumptions!$B$15,SUM('Operational Detail'!U18),SUM('Operational Detail'!U18)-FLOOR(SUM(U18),Assumptions!$B$15))</f>
        <v>0</v>
      </c>
      <c r="V19" s="136" t="n">
        <f aca="false">IF(SUM(V18)&lt;Assumptions!$B$15,SUM('Operational Detail'!V18),SUM('Operational Detail'!V18)-FLOOR(SUM(V18),Assumptions!$B$15))</f>
        <v>0</v>
      </c>
      <c r="W19" s="136" t="n">
        <f aca="false">IF(SUM(W18)&lt;Assumptions!$B$15,SUM('Operational Detail'!W18),SUM('Operational Detail'!W18)-FLOOR(SUM(W18),Assumptions!$B$15))</f>
        <v>0</v>
      </c>
      <c r="X19" s="136" t="n">
        <f aca="false">IF(SUM(X18)&lt;Assumptions!$B$15,SUM('Operational Detail'!X18),SUM('Operational Detail'!X18)-FLOOR(SUM(X18),Assumptions!$B$15))</f>
        <v>0</v>
      </c>
      <c r="Y19" s="136"/>
      <c r="Z19" s="136"/>
      <c r="AA19" s="136"/>
      <c r="AB19" s="136"/>
    </row>
    <row r="20" customFormat="false" ht="10.5" hidden="false" customHeight="true" outlineLevel="0" collapsed="false">
      <c r="B20" s="151"/>
      <c r="C20" s="493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36"/>
      <c r="Z20" s="136"/>
      <c r="AA20" s="136"/>
      <c r="AB20" s="136"/>
    </row>
    <row r="21" customFormat="false" ht="10.5" hidden="false" customHeight="true" outlineLevel="0" collapsed="false">
      <c r="B21" s="151" t="s">
        <v>439</v>
      </c>
      <c r="C21" s="493"/>
      <c r="D21" s="497" t="n">
        <f aca="false">+D$14*(1-D$7)*D$6</f>
        <v>0</v>
      </c>
      <c r="E21" s="497" t="n">
        <f aca="false">+E$14*(1-E$7)*E$6</f>
        <v>213236.34912</v>
      </c>
      <c r="F21" s="497" t="n">
        <f aca="false">+F$14*(1-F$7)*F$6</f>
        <v>261317.1456</v>
      </c>
      <c r="G21" s="497" t="n">
        <f aca="false">+G$14*(1-G$7)*G$6</f>
        <v>265688.91648</v>
      </c>
      <c r="H21" s="497" t="n">
        <f aca="false">+H$14*(1-H$7)*H$6</f>
        <v>214030.97856</v>
      </c>
      <c r="I21" s="497" t="n">
        <f aca="false">+I$14*(1-I$7)*I$6</f>
        <v>213467.06304</v>
      </c>
      <c r="J21" s="497" t="n">
        <f aca="false">+J$14*(1-J$7)*J$6</f>
        <v>217257.70752</v>
      </c>
      <c r="K21" s="497" t="n">
        <f aca="false">+K$14*(1-K$7)*K$6</f>
        <v>214116.25536</v>
      </c>
      <c r="L21" s="497" t="n">
        <f aca="false">+L$14*(1-L$7)*L$6</f>
        <v>213561.20448</v>
      </c>
      <c r="M21" s="497" t="n">
        <f aca="false">+M$14*(1-M$7)*M$6</f>
        <v>215570.31552</v>
      </c>
      <c r="N21" s="497" t="n">
        <f aca="false">+N$14*(1-N$7)*N$6</f>
        <v>215006.4</v>
      </c>
      <c r="O21" s="497" t="n">
        <f aca="false">+O$14*(1-O$7)*O$6</f>
        <v>214442.48448</v>
      </c>
      <c r="P21" s="497" t="n">
        <f aca="false">+P$14*(1-P$7)*P$6</f>
        <v>185891.47488</v>
      </c>
      <c r="Q21" s="497" t="n">
        <f aca="false">+Q$14*(1-Q$7)*Q$6</f>
        <v>189206.5392</v>
      </c>
      <c r="R21" s="497" t="n">
        <f aca="false">+R$14*(1-R$7)*R$6</f>
        <v>188737.28352</v>
      </c>
      <c r="S21" s="497" t="n">
        <f aca="false">+S$14*(1-S$7)*S$6</f>
        <v>190845.12384</v>
      </c>
      <c r="T21" s="497" t="n">
        <f aca="false">IF(T14=0,0,+T$14*(1-T$7)*T$6)</f>
        <v>0</v>
      </c>
      <c r="U21" s="497" t="n">
        <f aca="false">IF(U14=0,0,+U$14*(1-U$7)*U$6)</f>
        <v>0</v>
      </c>
      <c r="V21" s="497" t="n">
        <f aca="false">IF(V14=0,0,+V$14*(1-V$7)*V$6)</f>
        <v>0</v>
      </c>
      <c r="W21" s="497" t="n">
        <f aca="false">IF(W14=0,0,+W$14*(1-W$7)*W$6)</f>
        <v>0</v>
      </c>
      <c r="X21" s="497" t="n">
        <f aca="false">IF(X14=0,0,+X$14*(1-X$7)*X$6)</f>
        <v>0</v>
      </c>
      <c r="Y21" s="136"/>
      <c r="Z21" s="136"/>
      <c r="AA21" s="136"/>
      <c r="AB21" s="136"/>
    </row>
    <row r="22" customFormat="false" ht="10.5" hidden="false" customHeight="true" outlineLevel="0" collapsed="false">
      <c r="B22" s="493"/>
      <c r="C22" s="493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14"/>
      <c r="Z22" s="114"/>
      <c r="AA22" s="114"/>
      <c r="AB22" s="114"/>
    </row>
    <row r="23" customFormat="false" ht="10.5" hidden="false" customHeight="true" outlineLevel="0" collapsed="false">
      <c r="B23" s="491" t="s">
        <v>440</v>
      </c>
      <c r="C23" s="493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14"/>
      <c r="Z23" s="114"/>
      <c r="AA23" s="114"/>
      <c r="AB23" s="114"/>
    </row>
    <row r="24" customFormat="false" ht="10.5" hidden="false" customHeight="true" outlineLevel="0" collapsed="false">
      <c r="B24" s="492" t="s">
        <v>441</v>
      </c>
      <c r="C24" s="493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14"/>
      <c r="Z24" s="114"/>
      <c r="AA24" s="114"/>
      <c r="AB24" s="114"/>
    </row>
    <row r="25" customFormat="false" ht="10.5" hidden="false" customHeight="true" outlineLevel="0" collapsed="false">
      <c r="A25" s="112"/>
      <c r="B25" s="153" t="s">
        <v>442</v>
      </c>
      <c r="C25" s="495"/>
      <c r="D25" s="498" t="n">
        <f aca="false">IF(D$21=0,0,SUMIF('Monthly Table'!$CR:$CR,YEAR('Operational Detail'!D$2),'Monthly Table'!$AL:$AL)/COUNTIF('Monthly Table'!$CR:$CR,YEAR(D$2)))</f>
        <v>0</v>
      </c>
      <c r="E25" s="498" t="n">
        <f aca="false">IF(E21=0,0,SUMIF('Monthly Table'!$CR:$CR,YEAR('Operational Detail'!E$2),'Monthly Table'!$AL:$AL)/COUNTIF('Monthly Table'!$CR:$CR,YEAR(E$2)))</f>
        <v>170.645794276139</v>
      </c>
      <c r="F25" s="498" t="n">
        <f aca="false">IF(F21=0,0,SUMIF('Monthly Table'!$CR:$CR,YEAR('Operational Detail'!F$2),'Monthly Table'!$AL:$AL)/COUNTIF('Monthly Table'!$CR:$CR,YEAR(F$2)))</f>
        <v>111.189897006471</v>
      </c>
      <c r="G25" s="498" t="n">
        <f aca="false">IF(G21=0,0,SUMIF('Monthly Table'!$CR:$CR,YEAR('Operational Detail'!G$2),'Monthly Table'!$AL:$AL)/COUNTIF('Monthly Table'!$CR:$CR,YEAR(G$2)))</f>
        <v>99.6441537437053</v>
      </c>
      <c r="H25" s="498" t="n">
        <f aca="false">IF(H21=0,0,SUMIF('Monthly Table'!$CR:$CR,YEAR('Operational Detail'!H$2),'Monthly Table'!$AL:$AL)/COUNTIF('Monthly Table'!$CR:$CR,YEAR(H$2)))</f>
        <v>105.741479880052</v>
      </c>
      <c r="I25" s="498" t="n">
        <f aca="false">IF(I21=0,0,SUMIF('Monthly Table'!$CR:$CR,YEAR('Operational Detail'!I$2),'Monthly Table'!$AL:$AL)/COUNTIF('Monthly Table'!$CR:$CR,YEAR(I$2)))</f>
        <v>100.81740673432</v>
      </c>
      <c r="J25" s="498" t="n">
        <f aca="false">IF(J21=0,0,SUMIF('Monthly Table'!$CR:$CR,YEAR('Operational Detail'!J$2),'Monthly Table'!$AL:$AL)/COUNTIF('Monthly Table'!$CR:$CR,YEAR(J$2)))</f>
        <v>105.099747959417</v>
      </c>
      <c r="K25" s="498" t="n">
        <f aca="false">IF(K21=0,0,SUMIF('Monthly Table'!$CR:$CR,YEAR('Operational Detail'!K$2),'Monthly Table'!$AL:$AL)/COUNTIF('Monthly Table'!$CR:$CR,YEAR(K$2)))</f>
        <v>109.395107905961</v>
      </c>
      <c r="L25" s="498" t="n">
        <f aca="false">IF(L21=0,0,SUMIF('Monthly Table'!$CR:$CR,YEAR('Operational Detail'!L$2),'Monthly Table'!$AL:$AL)/COUNTIF('Monthly Table'!$CR:$CR,YEAR(L$2)))</f>
        <v>113.702767187641</v>
      </c>
      <c r="M25" s="498" t="n">
        <f aca="false">IF(M21=0,0,SUMIF('Monthly Table'!$CR:$CR,YEAR('Operational Detail'!M$2),'Monthly Table'!$AL:$AL)/COUNTIF('Monthly Table'!$CR:$CR,YEAR(M$2)))</f>
        <v>118.022071599646</v>
      </c>
      <c r="N25" s="498" t="n">
        <f aca="false">IF(N21=0,0,SUMIF('Monthly Table'!$CR:$CR,YEAR('Operational Detail'!N$2),'Monthly Table'!$AL:$AL)/COUNTIF('Monthly Table'!$CR:$CR,YEAR(N$2)))</f>
        <v>122.352424052462</v>
      </c>
      <c r="O25" s="498" t="n">
        <f aca="false">IF(O21=0,0,SUMIF('Monthly Table'!$CR:$CR,YEAR('Operational Detail'!O$2),'Monthly Table'!$AL:$AL)/COUNTIF('Monthly Table'!$CR:$CR,YEAR(O$2)))</f>
        <v>126.693277752581</v>
      </c>
      <c r="P25" s="498" t="n">
        <f aca="false">IF(P21=0,0,SUMIF('Monthly Table'!$CR:$CR,YEAR('Operational Detail'!P$2),'Monthly Table'!$AL:$AL)/COUNTIF('Monthly Table'!$CR:$CR,YEAR(P$2)))</f>
        <v>131.044130401624</v>
      </c>
      <c r="Q25" s="498" t="n">
        <f aca="false">IF(Q21=0,0,SUMIF('Monthly Table'!$CR:$CR,YEAR('Operational Detail'!Q$2),'Monthly Table'!$AL:$AL)/COUNTIF('Monthly Table'!$CR:$CR,YEAR(Q$2)))</f>
        <v>135.404519233352</v>
      </c>
      <c r="R25" s="498" t="n">
        <f aca="false">IF(R21=0,0,SUMIF('Monthly Table'!$CR:$CR,YEAR('Operational Detail'!R$2),'Monthly Table'!$AL:$AL)/COUNTIF('Monthly Table'!$CR:$CR,YEAR(R$2)))</f>
        <v>139.774016744737</v>
      </c>
      <c r="S25" s="498" t="n">
        <f aca="false">IF(S21=0,0,SUMIF('Monthly Table'!$CR:$CR,YEAR('Operational Detail'!S$2),'Monthly Table'!$AL:$AL)/COUNTIF('Monthly Table'!$CR:$CR,YEAR(S$2)))</f>
        <v>144.152227005623</v>
      </c>
      <c r="T25" s="498" t="n">
        <f aca="false">IF(T21=0,0,SUMIF('Monthly Table'!$CR:$CR,YEAR('Operational Detail'!T$2),'Monthly Table'!$AL:$AL)/COUNTIF('Monthly Table'!$CR:$CR,YEAR(T$2)))</f>
        <v>0</v>
      </c>
      <c r="U25" s="498" t="n">
        <f aca="false">IF(U21=0,0,SUMIF('Monthly Table'!$CR:$CR,YEAR('Operational Detail'!U$2),'Monthly Table'!$AL:$AL)/COUNTIF('Monthly Table'!$CR:$CR,YEAR(U$2)))</f>
        <v>0</v>
      </c>
      <c r="V25" s="498" t="n">
        <f aca="false">IF(V21=0,0,SUMIF('Monthly Table'!$CR:$CR,YEAR('Operational Detail'!V$2),'Monthly Table'!$AL:$AL)/COUNTIF('Monthly Table'!$CR:$CR,YEAR(V$2)))</f>
        <v>0</v>
      </c>
      <c r="W25" s="498" t="n">
        <f aca="false">IF(W21=0,0,SUMIF('Monthly Table'!$CR:$CR,YEAR('Operational Detail'!W$2),'Monthly Table'!$AL:$AL)/COUNTIF('Monthly Table'!$CR:$CR,YEAR(W$2)))</f>
        <v>0</v>
      </c>
      <c r="X25" s="498" t="n">
        <f aca="false">IF(X21=0,0,SUMIF('Monthly Table'!$CR:$CR,YEAR('Operational Detail'!X$2),'Monthly Table'!$AL:$AL)/COUNTIF('Monthly Table'!$CR:$CR,YEAR(X$2)))</f>
        <v>0</v>
      </c>
      <c r="Y25" s="498"/>
      <c r="Z25" s="498"/>
      <c r="AA25" s="498"/>
      <c r="AB25" s="498"/>
    </row>
    <row r="26" customFormat="false" ht="10.5" hidden="false" customHeight="true" outlineLevel="0" collapsed="false">
      <c r="A26" s="112"/>
      <c r="B26" s="153" t="s">
        <v>443</v>
      </c>
      <c r="C26" s="495"/>
      <c r="D26" s="498" t="n">
        <f aca="false">INDEX(fxcurve,MATCH(D$3,FX!$F$2:$F$28,0),MATCH("Annual Average",FX!$F$2:$G$2,0))</f>
        <v>1.44841975689983</v>
      </c>
      <c r="E26" s="498" t="n">
        <f aca="false">INDEX(fxcurve,MATCH(E3,FX!$F$2:$F$28,0),MATCH("Annual Average",FX!$F$2:$G$2,0))</f>
        <v>1.43711123864166</v>
      </c>
      <c r="F26" s="498" t="n">
        <f aca="false">INDEX(fxcurve,MATCH(F3,FX!$F$2:$F$28,0),MATCH("Annual Average",FX!$F$2:$G$2,0))</f>
        <v>1.42625625574583</v>
      </c>
      <c r="G26" s="498" t="n">
        <f aca="false">INDEX(fxcurve,MATCH(G$3,FX!$F$2:$F$28,0),MATCH("Annual Average",FX!$F$2:$G$2,0))</f>
        <v>1.41407427747014</v>
      </c>
      <c r="H26" s="498" t="n">
        <f aca="false">INDEX(fxcurve,MATCH(H3,FX!$F$2:$F$28,0),MATCH("Annual Average",FX!$F$2:$G$2,0))</f>
        <v>1.40018628512148</v>
      </c>
      <c r="I26" s="498" t="n">
        <f aca="false">INDEX(fxcurve,MATCH(I3,FX!$F$2:$F$28,0),MATCH("Annual Average",FX!$F$2:$G$2,0))</f>
        <v>1.3825442094226</v>
      </c>
      <c r="J26" s="498" t="n">
        <f aca="false">INDEX(fxcurve,MATCH(J3,FX!$F$2:$F$28,0),MATCH("Annual Average",FX!$F$2:$G$2,0))</f>
        <v>1.36919339352631</v>
      </c>
      <c r="K26" s="498" t="n">
        <f aca="false">INDEX(fxcurve,MATCH(K3,FX!$F$2:$F$28,0),MATCH("Annual Average",FX!$F$2:$G$2,0))</f>
        <v>1.35672433416726</v>
      </c>
      <c r="L26" s="498" t="n">
        <f aca="false">INDEX(fxcurve,MATCH(L3,FX!$F$2:$F$28,0),MATCH("Annual Average",FX!$F$2:$G$2,0))</f>
        <v>1.34581191169358</v>
      </c>
      <c r="M26" s="498" t="n">
        <f aca="false">INDEX(fxcurve,MATCH(M3,FX!$F$2:$F$28,0),MATCH("Annual Average",FX!$F$2:$G$2,0))</f>
        <v>1.33556764320821</v>
      </c>
      <c r="N26" s="498" t="n">
        <f aca="false">INDEX(fxcurve,MATCH(N3,FX!$F$2:$F$28,0),MATCH("Annual Average",FX!$F$2:$G$2,0))</f>
        <v>1.32561446530123</v>
      </c>
      <c r="O26" s="498" t="n">
        <f aca="false">INDEX(fxcurve,MATCH(O3,FX!$F$2:$F$28,0),MATCH("Annual Average",FX!$F$2:$G$2,0))</f>
        <v>1.31531097724534</v>
      </c>
      <c r="P26" s="498" t="n">
        <f aca="false">INDEX(fxcurve,MATCH(P3,FX!$F$2:$F$28,0),MATCH("Annual Average",FX!$F$2:$G$2,0))</f>
        <v>1.30527842366359</v>
      </c>
      <c r="Q26" s="498" t="n">
        <f aca="false">INDEX(fxcurve,MATCH(Q3,FX!$F$2:$F$28,0),MATCH("Annual Average",FX!$F$2:$G$2,0))</f>
        <v>1.29559980538011</v>
      </c>
      <c r="R26" s="498" t="n">
        <f aca="false">INDEX(fxcurve,MATCH(R3,FX!$F$2:$F$28,0),MATCH("Annual Average",FX!$F$2:$G$2,0))</f>
        <v>1.28625454928102</v>
      </c>
      <c r="S26" s="498" t="n">
        <f aca="false">INDEX(fxcurve,MATCH(S3,FX!$F$2:$F$28,0),MATCH("Annual Average",FX!$F$2:$G$2,0))</f>
        <v>1.27749962551242</v>
      </c>
      <c r="T26" s="498" t="n">
        <f aca="false">INDEX(fxcurve,MATCH(T3,FX!$F$2:$F$28,0),MATCH("Annual Average",FX!$F$2:$G$2,0))</f>
        <v>1.26990342899257</v>
      </c>
      <c r="U26" s="498" t="n">
        <f aca="false">INDEX(fxcurve,MATCH(U3,FX!$F$2:$F$28,0),MATCH("Annual Average",FX!$F$2:$G$2,0))</f>
        <v>1.26281103438461</v>
      </c>
      <c r="V26" s="498" t="n">
        <f aca="false">INDEX(fxcurve,MATCH(V3,FX!$F$2:$F$28,0),MATCH("Annual Average",FX!$F$2:$G$2,0))</f>
        <v>1.25615455254258</v>
      </c>
      <c r="W26" s="498" t="n">
        <f aca="false">INDEX(fxcurve,MATCH(W3,FX!$F$2:$F$28,0),MATCH("Annual Average",FX!$F$2:$G$2,0))</f>
        <v>1.24992408625793</v>
      </c>
      <c r="X26" s="498" t="n">
        <f aca="false">INDEX(fxcurve,MATCH(X3,FX!$F$2:$F$28,0),MATCH("Annual Average",FX!$F$2:$G$2,0))</f>
        <v>1.24228396737324</v>
      </c>
      <c r="Y26" s="498"/>
      <c r="Z26" s="498"/>
      <c r="AA26" s="498"/>
      <c r="AB26" s="498"/>
    </row>
    <row r="27" customFormat="false" ht="10.5" hidden="false" customHeight="true" outlineLevel="0" collapsed="false">
      <c r="A27" s="112"/>
      <c r="B27" s="153" t="s">
        <v>444</v>
      </c>
      <c r="C27" s="495"/>
      <c r="D27" s="498" t="n">
        <f aca="false">D25*D26</f>
        <v>0</v>
      </c>
      <c r="E27" s="498" t="n">
        <f aca="false">E25*E26</f>
        <v>245.236988781172</v>
      </c>
      <c r="F27" s="498" t="n">
        <f aca="false">F25*F26</f>
        <v>158.585286181213</v>
      </c>
      <c r="G27" s="498" t="n">
        <f aca="false">G25*G26</f>
        <v>140.904234709254</v>
      </c>
      <c r="H27" s="498" t="n">
        <f aca="false">H25*H26</f>
        <v>148.057769896497</v>
      </c>
      <c r="I27" s="498" t="n">
        <f aca="false">I25*I26</f>
        <v>139.384521889537</v>
      </c>
      <c r="J27" s="498" t="n">
        <f aca="false">J25*J26</f>
        <v>143.901880567315</v>
      </c>
      <c r="K27" s="498" t="n">
        <f aca="false">K25*K26</f>
        <v>148.419004934872</v>
      </c>
      <c r="L27" s="498" t="n">
        <f aca="false">L25*L26</f>
        <v>153.022538473649</v>
      </c>
      <c r="M27" s="498" t="n">
        <f aca="false">M25*M26</f>
        <v>157.62646001289</v>
      </c>
      <c r="N27" s="498" t="n">
        <f aca="false">N25*N26</f>
        <v>162.192143188614</v>
      </c>
      <c r="O27" s="498" t="n">
        <f aca="false">O25*O26</f>
        <v>166.641058971162</v>
      </c>
      <c r="P27" s="498" t="n">
        <f aca="false">P25*P26</f>
        <v>171.049075960998</v>
      </c>
      <c r="Q27" s="498" t="n">
        <f aca="false">Q25*Q26</f>
        <v>175.430068766318</v>
      </c>
      <c r="R27" s="498" t="n">
        <f aca="false">R25*R26</f>
        <v>179.784964909198</v>
      </c>
      <c r="S27" s="498" t="n">
        <f aca="false">S25*S26</f>
        <v>184.154416016465</v>
      </c>
      <c r="T27" s="498" t="n">
        <f aca="false">T25*T26</f>
        <v>0</v>
      </c>
      <c r="U27" s="498" t="n">
        <f aca="false">U25*U26</f>
        <v>0</v>
      </c>
      <c r="V27" s="498" t="n">
        <f aca="false">V25*V26</f>
        <v>0</v>
      </c>
      <c r="W27" s="498" t="n">
        <f aca="false">W25*W26</f>
        <v>0</v>
      </c>
      <c r="X27" s="498" t="n">
        <f aca="false">X25*X26</f>
        <v>0</v>
      </c>
      <c r="Y27" s="498"/>
      <c r="Z27" s="498"/>
      <c r="AA27" s="498"/>
      <c r="AB27" s="498"/>
    </row>
    <row r="28" customFormat="false" ht="10.5" hidden="false" customHeight="true" outlineLevel="0" collapsed="false">
      <c r="A28" s="112"/>
      <c r="B28" s="153"/>
      <c r="C28" s="495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  <c r="T28" s="498"/>
      <c r="U28" s="498"/>
      <c r="V28" s="498"/>
      <c r="W28" s="498"/>
      <c r="X28" s="498"/>
      <c r="Y28" s="498"/>
      <c r="Z28" s="498"/>
      <c r="AA28" s="498"/>
      <c r="AB28" s="498"/>
    </row>
    <row r="29" customFormat="false" ht="10.5" hidden="false" customHeight="true" outlineLevel="0" collapsed="false">
      <c r="A29" s="112"/>
      <c r="B29" s="201" t="s">
        <v>445</v>
      </c>
      <c r="C29" s="495"/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8"/>
    </row>
    <row r="30" customFormat="false" ht="10.5" hidden="false" customHeight="true" outlineLevel="0" collapsed="false">
      <c r="A30" s="112"/>
      <c r="B30" s="153" t="s">
        <v>442</v>
      </c>
      <c r="C30" s="495"/>
      <c r="D30" s="498" t="n">
        <f aca="false">IF(D$21=0,0,SUMIF('Monthly Table'!$CS:$CS,YEAR('Operational Detail'!D$2),'Monthly Table'!$AQ:$AQ)/COUNTIF('Monthly Table'!$CS:$CS,YEAR(D$2)))</f>
        <v>0</v>
      </c>
      <c r="E30" s="498" t="e">
        <f aca="false">IF(E$21=0,0,SUMIF('Monthly Table'!$CS:$CS,YEAR('Operational Detail'!E$2),'Monthly Table'!$AQ:$AQ)/COUNTIF('Monthly Table'!$CS:$CS,YEAR(E$2)))</f>
        <v>#DIV/0!</v>
      </c>
      <c r="F30" s="498" t="e">
        <f aca="false">IF(F$21=0,0,SUMIF('Monthly Table'!$CS:$CS,YEAR('Operational Detail'!F$2),'Monthly Table'!$AQ:$AQ)/COUNTIF('Monthly Table'!$CS:$CS,YEAR(F$2)))</f>
        <v>#DIV/0!</v>
      </c>
      <c r="G30" s="498" t="e">
        <f aca="false">IF(G$21=0,0,SUMIF('Monthly Table'!$CS:$CS,YEAR('Operational Detail'!G$2),'Monthly Table'!$AQ:$AQ)/COUNTIF('Monthly Table'!$CS:$CS,YEAR(G$2)))</f>
        <v>#DIV/0!</v>
      </c>
      <c r="H30" s="498" t="e">
        <f aca="false">IF(H$21=0,0,SUMIF('Monthly Table'!$CS:$CS,YEAR('Operational Detail'!H$2),'Monthly Table'!$AQ:$AQ)/COUNTIF('Monthly Table'!$CS:$CS,YEAR(H$2)))</f>
        <v>#DIV/0!</v>
      </c>
      <c r="I30" s="498" t="e">
        <f aca="false">IF(I$21=0,0,SUMIF('Monthly Table'!$CS:$CS,YEAR('Operational Detail'!I$2),'Monthly Table'!$AQ:$AQ)/COUNTIF('Monthly Table'!$CS:$CS,YEAR(I$2)))</f>
        <v>#DIV/0!</v>
      </c>
      <c r="J30" s="498" t="e">
        <f aca="false">IF(J$21=0,0,SUMIF('Monthly Table'!$CS:$CS,YEAR('Operational Detail'!J$2),'Monthly Table'!$AQ:$AQ)/COUNTIF('Monthly Table'!$CS:$CS,YEAR(J$2)))</f>
        <v>#DIV/0!</v>
      </c>
      <c r="K30" s="498" t="e">
        <f aca="false">IF(K$21=0,0,SUMIF('Monthly Table'!$CS:$CS,YEAR('Operational Detail'!K$2),'Monthly Table'!$AQ:$AQ)/COUNTIF('Monthly Table'!$CS:$CS,YEAR(K$2)))</f>
        <v>#DIV/0!</v>
      </c>
      <c r="L30" s="498" t="e">
        <f aca="false">IF(L$21=0,0,SUMIF('Monthly Table'!$CS:$CS,YEAR('Operational Detail'!L$2),'Monthly Table'!$AQ:$AQ)/COUNTIF('Monthly Table'!$CS:$CS,YEAR(L$2)))</f>
        <v>#DIV/0!</v>
      </c>
      <c r="M30" s="498" t="e">
        <f aca="false">IF(M$21=0,0,SUMIF('Monthly Table'!$CS:$CS,YEAR('Operational Detail'!M$2),'Monthly Table'!$AQ:$AQ)/COUNTIF('Monthly Table'!$CS:$CS,YEAR(M$2)))</f>
        <v>#DIV/0!</v>
      </c>
      <c r="N30" s="498" t="e">
        <f aca="false">IF(N$21=0,0,SUMIF('Monthly Table'!$CS:$CS,YEAR('Operational Detail'!N$2),'Monthly Table'!$AQ:$AQ)/COUNTIF('Monthly Table'!$CS:$CS,YEAR(N$2)))</f>
        <v>#DIV/0!</v>
      </c>
      <c r="O30" s="498" t="e">
        <f aca="false">IF(O$21=0,0,SUMIF('Monthly Table'!$CS:$CS,YEAR('Operational Detail'!O$2),'Monthly Table'!$AQ:$AQ)/COUNTIF('Monthly Table'!$CS:$CS,YEAR(O$2)))</f>
        <v>#DIV/0!</v>
      </c>
      <c r="P30" s="498" t="e">
        <f aca="false">IF(P$21=0,0,SUMIF('Monthly Table'!$CS:$CS,YEAR('Operational Detail'!P$2),'Monthly Table'!$AQ:$AQ)/COUNTIF('Monthly Table'!$CS:$CS,YEAR(P$2)))</f>
        <v>#DIV/0!</v>
      </c>
      <c r="Q30" s="498" t="e">
        <f aca="false">IF(Q$21=0,0,SUMIF('Monthly Table'!$CS:$CS,YEAR('Operational Detail'!Q$2),'Monthly Table'!$AQ:$AQ)/COUNTIF('Monthly Table'!$CS:$CS,YEAR(Q$2)))</f>
        <v>#DIV/0!</v>
      </c>
      <c r="R30" s="498" t="e">
        <f aca="false">IF(R$21=0,0,SUMIF('Monthly Table'!$CS:$CS,YEAR('Operational Detail'!R$2),'Monthly Table'!$AQ:$AQ)/COUNTIF('Monthly Table'!$CS:$CS,YEAR(R$2)))</f>
        <v>#DIV/0!</v>
      </c>
      <c r="S30" s="498" t="e">
        <f aca="false">IF(S$21=0,0,SUMIF('Monthly Table'!$CS:$CS,YEAR('Operational Detail'!S$2),'Monthly Table'!$AQ:$AQ)/COUNTIF('Monthly Table'!$CS:$CS,YEAR(S$2)))</f>
        <v>#DIV/0!</v>
      </c>
      <c r="T30" s="498" t="n">
        <f aca="false">IF(T$21=0,0,SUMIF('Monthly Table'!$CS:$CS,YEAR('Operational Detail'!T$2),'Monthly Table'!$AQ:$AQ)/COUNTIF('Monthly Table'!$CS:$CS,YEAR(T$2)))</f>
        <v>0</v>
      </c>
      <c r="U30" s="498" t="n">
        <f aca="false">IF(U$21=0,0,SUMIF('Monthly Table'!$CS:$CS,YEAR('Operational Detail'!U$2),'Monthly Table'!$AQ:$AQ)/COUNTIF('Monthly Table'!$CS:$CS,YEAR(U$2)))</f>
        <v>0</v>
      </c>
      <c r="V30" s="498" t="n">
        <f aca="false">IF(V$21=0,0,SUMIF('Monthly Table'!$CS:$CS,YEAR('Operational Detail'!V$2),'Monthly Table'!$AQ:$AQ)/COUNTIF('Monthly Table'!$CS:$CS,YEAR(V$2)))</f>
        <v>0</v>
      </c>
      <c r="W30" s="498" t="n">
        <f aca="false">IF(W$21=0,0,SUMIF('Monthly Table'!$CS:$CS,YEAR('Operational Detail'!W$2),'Monthly Table'!$AQ:$AQ)/COUNTIF('Monthly Table'!$CS:$CS,YEAR(W$2)))</f>
        <v>0</v>
      </c>
      <c r="X30" s="498" t="n">
        <f aca="false">IF(X$21=0,0,SUMIF('Monthly Table'!$CS:$CS,YEAR('Operational Detail'!X$2),'Monthly Table'!$AQ:$AQ)/COUNTIF('Monthly Table'!$CS:$CS,YEAR(X$2)))</f>
        <v>0</v>
      </c>
      <c r="Y30" s="498"/>
      <c r="Z30" s="498"/>
      <c r="AA30" s="498"/>
      <c r="AB30" s="498"/>
    </row>
    <row r="31" customFormat="false" ht="10.5" hidden="false" customHeight="true" outlineLevel="0" collapsed="false">
      <c r="A31" s="112"/>
      <c r="B31" s="153" t="s">
        <v>443</v>
      </c>
      <c r="C31" s="495"/>
      <c r="D31" s="498" t="n">
        <f aca="false">INDEX(fxcurve,MATCH(D$3,FX!$F$2:$F$28,0),MATCH("Annual Average",FX!$F$2:$G$2,0))</f>
        <v>1.44841975689983</v>
      </c>
      <c r="E31" s="498" t="n">
        <f aca="false">INDEX(fxcurve,MATCH(E$3,FX!$F$2:$F$28,0),MATCH("Annual Average",FX!$F$2:$G$2,0))</f>
        <v>1.43711123864166</v>
      </c>
      <c r="F31" s="498" t="n">
        <f aca="false">INDEX(fxcurve,MATCH(F$3,FX!$F$2:$F$28,0),MATCH("Annual Average",FX!$F$2:$G$2,0))</f>
        <v>1.42625625574583</v>
      </c>
      <c r="G31" s="498" t="n">
        <f aca="false">INDEX(fxcurve,MATCH(G$3,FX!$F$2:$F$28,0),MATCH("Annual Average",FX!$F$2:$G$2,0))</f>
        <v>1.41407427747014</v>
      </c>
      <c r="H31" s="498" t="n">
        <f aca="false">INDEX(fxcurve,MATCH(H$3,FX!$F$2:$F$28,0),MATCH("Annual Average",FX!$F$2:$G$2,0))</f>
        <v>1.40018628512148</v>
      </c>
      <c r="I31" s="498" t="n">
        <f aca="false">INDEX(fxcurve,MATCH(I$3,FX!$F$2:$F$28,0),MATCH("Annual Average",FX!$F$2:$G$2,0))</f>
        <v>1.3825442094226</v>
      </c>
      <c r="J31" s="498" t="n">
        <f aca="false">INDEX(fxcurve,MATCH(J$3,FX!$F$2:$F$28,0),MATCH("Annual Average",FX!$F$2:$G$2,0))</f>
        <v>1.36919339352631</v>
      </c>
      <c r="K31" s="498" t="n">
        <f aca="false">INDEX(fxcurve,MATCH(K$3,FX!$F$2:$F$28,0),MATCH("Annual Average",FX!$F$2:$G$2,0))</f>
        <v>1.35672433416726</v>
      </c>
      <c r="L31" s="498" t="n">
        <f aca="false">INDEX(fxcurve,MATCH(L$3,FX!$F$2:$F$28,0),MATCH("Annual Average",FX!$F$2:$G$2,0))</f>
        <v>1.34581191169358</v>
      </c>
      <c r="M31" s="498" t="n">
        <f aca="false">INDEX(fxcurve,MATCH(M$3,FX!$F$2:$F$28,0),MATCH("Annual Average",FX!$F$2:$G$2,0))</f>
        <v>1.33556764320821</v>
      </c>
      <c r="N31" s="498" t="n">
        <f aca="false">INDEX(fxcurve,MATCH(N$3,FX!$F$2:$F$28,0),MATCH("Annual Average",FX!$F$2:$G$2,0))</f>
        <v>1.32561446530123</v>
      </c>
      <c r="O31" s="498" t="n">
        <f aca="false">INDEX(fxcurve,MATCH(O$3,FX!$F$2:$F$28,0),MATCH("Annual Average",FX!$F$2:$G$2,0))</f>
        <v>1.31531097724534</v>
      </c>
      <c r="P31" s="498" t="n">
        <f aca="false">INDEX(fxcurve,MATCH(P$3,FX!$F$2:$F$28,0),MATCH("Annual Average",FX!$F$2:$G$2,0))</f>
        <v>1.30527842366359</v>
      </c>
      <c r="Q31" s="498" t="n">
        <f aca="false">INDEX(fxcurve,MATCH(Q$3,FX!$F$2:$F$28,0),MATCH("Annual Average",FX!$F$2:$G$2,0))</f>
        <v>1.29559980538011</v>
      </c>
      <c r="R31" s="498" t="n">
        <f aca="false">INDEX(fxcurve,MATCH(R$3,FX!$F$2:$F$28,0),MATCH("Annual Average",FX!$F$2:$G$2,0))</f>
        <v>1.28625454928102</v>
      </c>
      <c r="S31" s="498" t="n">
        <f aca="false">INDEX(fxcurve,MATCH(S$3,FX!$F$2:$F$28,0),MATCH("Annual Average",FX!$F$2:$G$2,0))</f>
        <v>1.27749962551242</v>
      </c>
      <c r="T31" s="498" t="n">
        <f aca="false">INDEX(fxcurve,MATCH(T$3,FX!$F$2:$F$28,0),MATCH("Annual Average",FX!$F$2:$G$2,0))</f>
        <v>1.26990342899257</v>
      </c>
      <c r="U31" s="498" t="n">
        <f aca="false">INDEX(fxcurve,MATCH(U$3,FX!$F$2:$F$28,0),MATCH("Annual Average",FX!$F$2:$G$2,0))</f>
        <v>1.26281103438461</v>
      </c>
      <c r="V31" s="498" t="n">
        <f aca="false">INDEX(fxcurve,MATCH(V$3,FX!$F$2:$F$28,0),MATCH("Annual Average",FX!$F$2:$G$2,0))</f>
        <v>1.25615455254258</v>
      </c>
      <c r="W31" s="498" t="n">
        <f aca="false">INDEX(fxcurve,MATCH(W$3,FX!$F$2:$F$28,0),MATCH("Annual Average",FX!$F$2:$G$2,0))</f>
        <v>1.24992408625793</v>
      </c>
      <c r="X31" s="498" t="n">
        <f aca="false">INDEX(fxcurve,MATCH(X$3,FX!$F$2:$F$28,0),MATCH("Annual Average",FX!$F$2:$G$2,0))</f>
        <v>1.24228396737324</v>
      </c>
      <c r="Y31" s="498"/>
      <c r="Z31" s="498"/>
      <c r="AA31" s="498"/>
      <c r="AB31" s="498"/>
    </row>
    <row r="32" customFormat="false" ht="10.5" hidden="false" customHeight="true" outlineLevel="0" collapsed="false">
      <c r="A32" s="112"/>
      <c r="B32" s="153" t="s">
        <v>444</v>
      </c>
      <c r="C32" s="495"/>
      <c r="D32" s="498" t="n">
        <f aca="false">D30*D31</f>
        <v>0</v>
      </c>
      <c r="E32" s="498" t="e">
        <f aca="false">E30*E31</f>
        <v>#DIV/0!</v>
      </c>
      <c r="F32" s="498" t="e">
        <f aca="false">F30*F31</f>
        <v>#DIV/0!</v>
      </c>
      <c r="G32" s="498" t="e">
        <f aca="false">G30*G31</f>
        <v>#DIV/0!</v>
      </c>
      <c r="H32" s="498" t="e">
        <f aca="false">H30*H31</f>
        <v>#DIV/0!</v>
      </c>
      <c r="I32" s="498" t="e">
        <f aca="false">I30*I31</f>
        <v>#DIV/0!</v>
      </c>
      <c r="J32" s="498" t="e">
        <f aca="false">J30*J31</f>
        <v>#DIV/0!</v>
      </c>
      <c r="K32" s="498" t="e">
        <f aca="false">K30*K31</f>
        <v>#DIV/0!</v>
      </c>
      <c r="L32" s="498" t="e">
        <f aca="false">L30*L31</f>
        <v>#DIV/0!</v>
      </c>
      <c r="M32" s="498" t="e">
        <f aca="false">M30*M31</f>
        <v>#DIV/0!</v>
      </c>
      <c r="N32" s="498" t="e">
        <f aca="false">N30*N31</f>
        <v>#DIV/0!</v>
      </c>
      <c r="O32" s="498" t="e">
        <f aca="false">O30*O31</f>
        <v>#DIV/0!</v>
      </c>
      <c r="P32" s="498" t="e">
        <f aca="false">P30*P31</f>
        <v>#DIV/0!</v>
      </c>
      <c r="Q32" s="498" t="e">
        <f aca="false">Q30*Q31</f>
        <v>#DIV/0!</v>
      </c>
      <c r="R32" s="498" t="e">
        <f aca="false">R30*R31</f>
        <v>#DIV/0!</v>
      </c>
      <c r="S32" s="498" t="e">
        <f aca="false">S30*S31</f>
        <v>#DIV/0!</v>
      </c>
      <c r="T32" s="498" t="n">
        <f aca="false">T30*T31</f>
        <v>0</v>
      </c>
      <c r="U32" s="498" t="n">
        <f aca="false">U30*U31</f>
        <v>0</v>
      </c>
      <c r="V32" s="498" t="n">
        <f aca="false">V30*V31</f>
        <v>0</v>
      </c>
      <c r="W32" s="498" t="n">
        <f aca="false">W30*W31</f>
        <v>0</v>
      </c>
      <c r="X32" s="498" t="n">
        <f aca="false">X30*X31</f>
        <v>0</v>
      </c>
      <c r="Y32" s="498"/>
      <c r="Z32" s="498"/>
      <c r="AA32" s="498"/>
      <c r="AB32" s="498"/>
    </row>
    <row r="33" customFormat="false" ht="10.5" hidden="false" customHeight="true" outlineLevel="0" collapsed="false">
      <c r="A33" s="112"/>
      <c r="B33" s="153"/>
      <c r="C33" s="495"/>
      <c r="D33" s="498"/>
      <c r="E33" s="498"/>
      <c r="F33" s="498"/>
      <c r="G33" s="498"/>
      <c r="H33" s="498"/>
      <c r="I33" s="498"/>
      <c r="J33" s="498"/>
      <c r="K33" s="498"/>
      <c r="L33" s="498"/>
      <c r="M33" s="498"/>
      <c r="N33" s="498"/>
      <c r="O33" s="498"/>
      <c r="P33" s="498"/>
      <c r="Q33" s="498"/>
      <c r="R33" s="498"/>
      <c r="S33" s="498"/>
      <c r="T33" s="498"/>
      <c r="U33" s="498"/>
      <c r="V33" s="498"/>
      <c r="W33" s="498"/>
      <c r="X33" s="498"/>
      <c r="Y33" s="498"/>
      <c r="Z33" s="498"/>
      <c r="AA33" s="498"/>
      <c r="AB33" s="498"/>
    </row>
    <row r="34" customFormat="false" ht="10.5" hidden="false" customHeight="true" outlineLevel="0" collapsed="false">
      <c r="A34" s="112"/>
      <c r="B34" s="201" t="s">
        <v>446</v>
      </c>
      <c r="C34" s="495"/>
      <c r="D34" s="498"/>
      <c r="E34" s="498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  <c r="T34" s="498"/>
      <c r="U34" s="498"/>
      <c r="V34" s="498"/>
      <c r="W34" s="498"/>
      <c r="X34" s="498"/>
      <c r="Y34" s="498"/>
      <c r="Z34" s="498"/>
      <c r="AA34" s="498"/>
      <c r="AB34" s="498"/>
    </row>
    <row r="35" customFormat="false" ht="10.5" hidden="false" customHeight="true" outlineLevel="0" collapsed="false">
      <c r="A35" s="112"/>
      <c r="B35" s="153" t="s">
        <v>442</v>
      </c>
      <c r="C35" s="495"/>
      <c r="D35" s="498" t="n">
        <f aca="false">IF(D$10=0,0,SUMIF('Monthly Table'!$CT:$CT,YEAR('Operational Detail'!D$2),'Monthly Table'!$AU:$AU)/COUNTIF('Monthly Table'!$CT:$CT,YEAR(D$2)))</f>
        <v>0</v>
      </c>
      <c r="E35" s="498" t="n">
        <f aca="false">IF(E$10=0,0,SUMIF('Monthly Table'!$CT:$CT,YEAR('Operational Detail'!E$2),'Monthly Table'!$AU:$AU)/COUNTIF('Monthly Table'!$CT:$CT,YEAR(E$2)))</f>
        <v>60.6456848071083</v>
      </c>
      <c r="F35" s="498" t="n">
        <f aca="false">IF(F$10=0,0,SUMIF('Monthly Table'!$CT:$CT,YEAR('Operational Detail'!F$2),'Monthly Table'!$AU:$AU)/COUNTIF('Monthly Table'!$CT:$CT,YEAR(F$2)))</f>
        <v>59.0931167790042</v>
      </c>
      <c r="G35" s="498" t="n">
        <f aca="false">IF(G$10=0,0,SUMIF('Monthly Table'!$CT:$CT,YEAR('Operational Detail'!G$2),'Monthly Table'!$AU:$AU)/COUNTIF('Monthly Table'!$CT:$CT,YEAR(G$2)))</f>
        <v>58.2796777306868</v>
      </c>
      <c r="H35" s="498" t="n">
        <f aca="false">IF(H$10=0,0,SUMIF('Monthly Table'!$CT:$CT,YEAR('Operational Detail'!H$2),'Monthly Table'!$AU:$AU)/COUNTIF('Monthly Table'!$CT:$CT,YEAR(H$2)))</f>
        <v>57.4670735422153</v>
      </c>
      <c r="I35" s="498" t="n">
        <f aca="false">IF(I$10=0,0,SUMIF('Monthly Table'!$CT:$CT,YEAR('Operational Detail'!I$2),'Monthly Table'!$AU:$AU)/COUNTIF('Monthly Table'!$CT:$CT,YEAR(I$2)))</f>
        <v>57.0636149496808</v>
      </c>
      <c r="J35" s="498" t="n">
        <f aca="false">IF(J$10=0,0,SUMIF('Monthly Table'!$CT:$CT,YEAR('Operational Detail'!J$2),'Monthly Table'!$AU:$AU)/COUNTIF('Monthly Table'!$CT:$CT,YEAR(J$2)))</f>
        <v>57.3688911249573</v>
      </c>
      <c r="K35" s="498" t="n">
        <f aca="false">IF(K$10=0,0,SUMIF('Monthly Table'!$CT:$CT,YEAR('Operational Detail'!K$2),'Monthly Table'!$AU:$AU)/COUNTIF('Monthly Table'!$CT:$CT,YEAR(K$2)))</f>
        <v>57.6583846313371</v>
      </c>
      <c r="L35" s="498" t="n">
        <f aca="false">IF(L$10=0,0,SUMIF('Monthly Table'!$CT:$CT,YEAR('Operational Detail'!L$2),'Monthly Table'!$AU:$AU)/COUNTIF('Monthly Table'!$CT:$CT,YEAR(L$2)))</f>
        <v>57.9334248626638</v>
      </c>
      <c r="M35" s="498" t="n">
        <f aca="false">IF(M$10=0,0,SUMIF('Monthly Table'!$CT:$CT,YEAR('Operational Detail'!M$2),'Monthly Table'!$AU:$AU)/COUNTIF('Monthly Table'!$CT:$CT,YEAR(M$2)))</f>
        <v>58.1951889775049</v>
      </c>
      <c r="N35" s="498" t="n">
        <f aca="false">IF(N$10=0,0,SUMIF('Monthly Table'!$CT:$CT,YEAR('Operational Detail'!N$2),'Monthly Table'!$AU:$AU)/COUNTIF('Monthly Table'!$CT:$CT,YEAR(N$2)))</f>
        <v>58.4447236121785</v>
      </c>
      <c r="O35" s="498" t="n">
        <f aca="false">IF(O$10=0,0,SUMIF('Monthly Table'!$CT:$CT,YEAR('Operational Detail'!O$2),'Monthly Table'!$AU:$AU)/COUNTIF('Monthly Table'!$CT:$CT,YEAR(O$2)))</f>
        <v>58.6829629307891</v>
      </c>
      <c r="P35" s="498" t="n">
        <f aca="false">IF(P$10=0,0,SUMIF('Monthly Table'!$CT:$CT,YEAR('Operational Detail'!P$2),'Monthly Table'!$AU:$AU)/COUNTIF('Monthly Table'!$CT:$CT,YEAR(P$2)))</f>
        <v>58.9107437187121</v>
      </c>
      <c r="Q35" s="498" t="n">
        <f aca="false">IF(Q$10=0,0,SUMIF('Monthly Table'!$CT:$CT,YEAR('Operational Detail'!Q$2),'Monthly Table'!$AU:$AU)/COUNTIF('Monthly Table'!$CT:$CT,YEAR(Q$2)))</f>
        <v>59.1288180739318</v>
      </c>
      <c r="R35" s="498" t="n">
        <f aca="false">IF(R$10=0,0,SUMIF('Monthly Table'!$CT:$CT,YEAR('Operational Detail'!R$2),'Monthly Table'!$AU:$AU)/COUNTIF('Monthly Table'!$CT:$CT,YEAR(R$2)))</f>
        <v>59.3378641344567</v>
      </c>
      <c r="S35" s="498" t="n">
        <f aca="false">IF(S$10=0,0,SUMIF('Monthly Table'!$CT:$CT,YEAR('Operational Detail'!S$2),'Monthly Table'!$AU:$AU)/COUNTIF('Monthly Table'!$CT:$CT,YEAR(S$2)))</f>
        <v>59.5384951905826</v>
      </c>
      <c r="T35" s="498" t="e">
        <f aca="false">IF(T$10=0,0,SUMIF('Monthly Table'!$CT:$CT,YEAR('Operational Detail'!T$2),'Monthly Table'!$AU:$AU)/COUNTIF('Monthly Table'!$CT:$CT,YEAR(T$2)))</f>
        <v>#DIV/0!</v>
      </c>
      <c r="U35" s="498" t="e">
        <f aca="false">IF(U$10=0,0,SUMIF('Monthly Table'!$CT:$CT,YEAR('Operational Detail'!U$2),'Monthly Table'!$AU:$AU)/COUNTIF('Monthly Table'!$CT:$CT,YEAR(U$2)))</f>
        <v>#DIV/0!</v>
      </c>
      <c r="V35" s="498" t="e">
        <f aca="false">IF(V$10=0,0,SUMIF('Monthly Table'!$CT:$CT,YEAR('Operational Detail'!V$2),'Monthly Table'!$AU:$AU)/COUNTIF('Monthly Table'!$CT:$CT,YEAR(V$2)))</f>
        <v>#DIV/0!</v>
      </c>
      <c r="W35" s="498" t="e">
        <f aca="false">IF(W$10=0,0,SUMIF('Monthly Table'!$CT:$CT,YEAR('Operational Detail'!W$2),'Monthly Table'!$AU:$AU)/COUNTIF('Monthly Table'!$CT:$CT,YEAR(W$2)))</f>
        <v>#DIV/0!</v>
      </c>
      <c r="X35" s="498" t="e">
        <f aca="false">IF(X$10=0,0,SUMIF('Monthly Table'!$CT:$CT,YEAR('Operational Detail'!X$2),'Monthly Table'!$AU:$AU)/COUNTIF('Monthly Table'!$CT:$CT,YEAR(X$2)))</f>
        <v>#DIV/0!</v>
      </c>
      <c r="Y35" s="498"/>
      <c r="Z35" s="498"/>
      <c r="AA35" s="498"/>
      <c r="AB35" s="498"/>
    </row>
    <row r="36" customFormat="false" ht="10.5" hidden="false" customHeight="true" outlineLevel="0" collapsed="false">
      <c r="A36" s="112"/>
      <c r="B36" s="153" t="s">
        <v>443</v>
      </c>
      <c r="C36" s="495"/>
      <c r="D36" s="498" t="n">
        <f aca="false">INDEX(fxcurve,MATCH(D$3,FX!$F$2:$F$28,0),MATCH("Annual Average",FX!$F$2:$G$2,0))</f>
        <v>1.44841975689983</v>
      </c>
      <c r="E36" s="498" t="n">
        <f aca="false">INDEX(fxcurve,MATCH(E$3,FX!$F$2:$F$28,0),MATCH("Annual Average",FX!$F$2:$G$2,0))</f>
        <v>1.43711123864166</v>
      </c>
      <c r="F36" s="498" t="n">
        <f aca="false">INDEX(fxcurve,MATCH(F$3,FX!$F$2:$F$28,0),MATCH("Annual Average",FX!$F$2:$G$2,0))</f>
        <v>1.42625625574583</v>
      </c>
      <c r="G36" s="498" t="n">
        <f aca="false">INDEX(fxcurve,MATCH(G$3,FX!$F$2:$F$28,0),MATCH("Annual Average",FX!$F$2:$G$2,0))</f>
        <v>1.41407427747014</v>
      </c>
      <c r="H36" s="498" t="n">
        <f aca="false">INDEX(fxcurve,MATCH(H$3,FX!$F$2:$F$28,0),MATCH("Annual Average",FX!$F$2:$G$2,0))</f>
        <v>1.40018628512148</v>
      </c>
      <c r="I36" s="498" t="n">
        <f aca="false">INDEX(fxcurve,MATCH(I$3,FX!$F$2:$F$28,0),MATCH("Annual Average",FX!$F$2:$G$2,0))</f>
        <v>1.3825442094226</v>
      </c>
      <c r="J36" s="498" t="n">
        <f aca="false">INDEX(fxcurve,MATCH(J$3,FX!$F$2:$F$28,0),MATCH("Annual Average",FX!$F$2:$G$2,0))</f>
        <v>1.36919339352631</v>
      </c>
      <c r="K36" s="498" t="n">
        <f aca="false">INDEX(fxcurve,MATCH(K$3,FX!$F$2:$F$28,0),MATCH("Annual Average",FX!$F$2:$G$2,0))</f>
        <v>1.35672433416726</v>
      </c>
      <c r="L36" s="498" t="n">
        <f aca="false">INDEX(fxcurve,MATCH(L$3,FX!$F$2:$F$28,0),MATCH("Annual Average",FX!$F$2:$G$2,0))</f>
        <v>1.34581191169358</v>
      </c>
      <c r="M36" s="498" t="n">
        <f aca="false">INDEX(fxcurve,MATCH(M$3,FX!$F$2:$F$28,0),MATCH("Annual Average",FX!$F$2:$G$2,0))</f>
        <v>1.33556764320821</v>
      </c>
      <c r="N36" s="498" t="n">
        <f aca="false">INDEX(fxcurve,MATCH(N$3,FX!$F$2:$F$28,0),MATCH("Annual Average",FX!$F$2:$G$2,0))</f>
        <v>1.32561446530123</v>
      </c>
      <c r="O36" s="498" t="n">
        <f aca="false">INDEX(fxcurve,MATCH(O$3,FX!$F$2:$F$28,0),MATCH("Annual Average",FX!$F$2:$G$2,0))</f>
        <v>1.31531097724534</v>
      </c>
      <c r="P36" s="498" t="n">
        <f aca="false">INDEX(fxcurve,MATCH(P$3,FX!$F$2:$F$28,0),MATCH("Annual Average",FX!$F$2:$G$2,0))</f>
        <v>1.30527842366359</v>
      </c>
      <c r="Q36" s="498" t="n">
        <f aca="false">INDEX(fxcurve,MATCH(Q$3,FX!$F$2:$F$28,0),MATCH("Annual Average",FX!$F$2:$G$2,0))</f>
        <v>1.29559980538011</v>
      </c>
      <c r="R36" s="498" t="n">
        <f aca="false">INDEX(fxcurve,MATCH(R$3,FX!$F$2:$F$28,0),MATCH("Annual Average",FX!$F$2:$G$2,0))</f>
        <v>1.28625454928102</v>
      </c>
      <c r="S36" s="498" t="n">
        <f aca="false">INDEX(fxcurve,MATCH(S$3,FX!$F$2:$F$28,0),MATCH("Annual Average",FX!$F$2:$G$2,0))</f>
        <v>1.27749962551242</v>
      </c>
      <c r="T36" s="498" t="n">
        <f aca="false">INDEX(fxcurve,MATCH(T$3,FX!$F$2:$F$28,0),MATCH("Annual Average",FX!$F$2:$G$2,0))</f>
        <v>1.26990342899257</v>
      </c>
      <c r="U36" s="498" t="n">
        <f aca="false">INDEX(fxcurve,MATCH(U$3,FX!$F$2:$F$28,0),MATCH("Annual Average",FX!$F$2:$G$2,0))</f>
        <v>1.26281103438461</v>
      </c>
      <c r="V36" s="498" t="n">
        <f aca="false">INDEX(fxcurve,MATCH(V$3,FX!$F$2:$F$28,0),MATCH("Annual Average",FX!$F$2:$G$2,0))</f>
        <v>1.25615455254258</v>
      </c>
      <c r="W36" s="498" t="n">
        <f aca="false">INDEX(fxcurve,MATCH(W$3,FX!$F$2:$F$28,0),MATCH("Annual Average",FX!$F$2:$G$2,0))</f>
        <v>1.24992408625793</v>
      </c>
      <c r="X36" s="498" t="n">
        <f aca="false">INDEX(fxcurve,MATCH(X$3,FX!$F$2:$F$28,0),MATCH("Annual Average",FX!$F$2:$G$2,0))</f>
        <v>1.24228396737324</v>
      </c>
      <c r="Y36" s="498"/>
      <c r="Z36" s="498"/>
      <c r="AA36" s="498"/>
      <c r="AB36" s="498"/>
    </row>
    <row r="37" customFormat="false" ht="10.5" hidden="false" customHeight="true" outlineLevel="0" collapsed="false">
      <c r="A37" s="112"/>
      <c r="B37" s="153" t="s">
        <v>444</v>
      </c>
      <c r="C37" s="495"/>
      <c r="D37" s="498" t="n">
        <f aca="false">D35*D36</f>
        <v>0</v>
      </c>
      <c r="E37" s="498" t="n">
        <f aca="false">E35*E36</f>
        <v>87.1545952114151</v>
      </c>
      <c r="F37" s="498" t="n">
        <f aca="false">F35*F36</f>
        <v>84.2819274775737</v>
      </c>
      <c r="G37" s="498" t="n">
        <f aca="false">G35*G36</f>
        <v>82.4117931782136</v>
      </c>
      <c r="H37" s="498" t="n">
        <f aca="false">H35*H36</f>
        <v>80.4646082198771</v>
      </c>
      <c r="I37" s="498" t="n">
        <f aca="false">I35*I36</f>
        <v>78.8929704174024</v>
      </c>
      <c r="J37" s="498" t="n">
        <f aca="false">J35*J36</f>
        <v>78.5491067222219</v>
      </c>
      <c r="K37" s="498" t="n">
        <f aca="false">K35*K36</f>
        <v>78.2265334981108</v>
      </c>
      <c r="L37" s="498" t="n">
        <f aca="false">L35*L36</f>
        <v>77.9674932653779</v>
      </c>
      <c r="M37" s="498" t="n">
        <f aca="false">M35*M36</f>
        <v>77.7236113887427</v>
      </c>
      <c r="N37" s="498" t="n">
        <f aca="false">N35*N36</f>
        <v>77.4751710408361</v>
      </c>
      <c r="O37" s="498" t="n">
        <f aca="false">O35*O36</f>
        <v>77.1863453201482</v>
      </c>
      <c r="P37" s="498" t="n">
        <f aca="false">P35*P36</f>
        <v>76.8949226980103</v>
      </c>
      <c r="Q37" s="498" t="n">
        <f aca="false">Q35*Q36</f>
        <v>76.6072851889417</v>
      </c>
      <c r="R37" s="498" t="n">
        <f aca="false">R35*R36</f>
        <v>76.3235976875638</v>
      </c>
      <c r="S37" s="498" t="n">
        <f aca="false">S35*S36</f>
        <v>76.0604053095423</v>
      </c>
      <c r="T37" s="498" t="e">
        <f aca="false">T35*T36</f>
        <v>#DIV/0!</v>
      </c>
      <c r="U37" s="498" t="e">
        <f aca="false">U35*U36</f>
        <v>#DIV/0!</v>
      </c>
      <c r="V37" s="498" t="e">
        <f aca="false">V35*V36</f>
        <v>#DIV/0!</v>
      </c>
      <c r="W37" s="498" t="e">
        <f aca="false">W35*W36</f>
        <v>#DIV/0!</v>
      </c>
      <c r="X37" s="498" t="e">
        <f aca="false">X35*X36</f>
        <v>#DIV/0!</v>
      </c>
      <c r="Y37" s="498"/>
      <c r="Z37" s="498"/>
      <c r="AA37" s="498"/>
      <c r="AB37" s="498"/>
    </row>
    <row r="38" customFormat="false" ht="10.5" hidden="false" customHeight="true" outlineLevel="0" collapsed="false">
      <c r="A38" s="112"/>
      <c r="B38" s="153"/>
      <c r="C38" s="495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  <c r="T38" s="498"/>
      <c r="U38" s="498"/>
      <c r="V38" s="498"/>
      <c r="W38" s="498"/>
      <c r="X38" s="498"/>
      <c r="Y38" s="498"/>
      <c r="Z38" s="498"/>
      <c r="AA38" s="498"/>
      <c r="AB38" s="498"/>
    </row>
    <row r="39" customFormat="false" ht="10.5" hidden="false" customHeight="true" outlineLevel="0" collapsed="false">
      <c r="A39" s="112"/>
      <c r="B39" s="201" t="s">
        <v>447</v>
      </c>
      <c r="C39" s="495"/>
      <c r="D39" s="498"/>
      <c r="E39" s="498"/>
      <c r="F39" s="498"/>
      <c r="G39" s="498"/>
      <c r="H39" s="498"/>
      <c r="I39" s="498"/>
      <c r="J39" s="498"/>
      <c r="K39" s="498"/>
      <c r="L39" s="498"/>
      <c r="M39" s="498"/>
      <c r="N39" s="498"/>
      <c r="O39" s="498"/>
      <c r="P39" s="498"/>
      <c r="Q39" s="498"/>
      <c r="R39" s="498"/>
      <c r="S39" s="498"/>
      <c r="T39" s="498"/>
      <c r="U39" s="498"/>
      <c r="V39" s="498"/>
      <c r="W39" s="498"/>
      <c r="X39" s="498"/>
      <c r="Y39" s="498"/>
      <c r="Z39" s="498"/>
      <c r="AA39" s="498"/>
      <c r="AB39" s="498"/>
    </row>
    <row r="40" customFormat="false" ht="10.5" hidden="false" customHeight="true" outlineLevel="0" collapsed="false">
      <c r="A40" s="112"/>
      <c r="B40" s="153" t="s">
        <v>442</v>
      </c>
      <c r="C40" s="495"/>
      <c r="D40" s="498" t="n">
        <f aca="false">IF(D$11=0,0,SUMIF('Monthly Table'!$CU:$CU,YEAR('Operational Detail'!D$2),'Monthly Table'!$AX:$AX)/COUNTIF('Monthly Table'!$CU:$CU,YEAR(D$2)))</f>
        <v>0</v>
      </c>
      <c r="E40" s="498" t="n">
        <f aca="false">IF(E$11=0,0,SUMIF('Monthly Table'!$CU:$CU,YEAR('Operational Detail'!E$2),'Monthly Table'!$AX:$AX)/COUNTIF('Monthly Table'!$CU:$CU,YEAR(E$2)))</f>
        <v>0</v>
      </c>
      <c r="F40" s="498" t="n">
        <f aca="false">IF(F$11=0,0,SUMIF('Monthly Table'!$CU:$CU,YEAR('Operational Detail'!F$2),'Monthly Table'!$AX:$AX)/COUNTIF('Monthly Table'!$CU:$CU,YEAR(F$2)))</f>
        <v>0</v>
      </c>
      <c r="G40" s="498" t="n">
        <f aca="false">IF(G$11=0,0,SUMIF('Monthly Table'!$CU:$CU,YEAR('Operational Detail'!G$2),'Monthly Table'!$AX:$AX)/COUNTIF('Monthly Table'!$CU:$CU,YEAR(G$2)))</f>
        <v>0</v>
      </c>
      <c r="H40" s="498" t="n">
        <f aca="false">IF(H$11=0,0,SUMIF('Monthly Table'!$CU:$CU,YEAR('Operational Detail'!H$2),'Monthly Table'!$AX:$AX)/COUNTIF('Monthly Table'!$CU:$CU,YEAR(H$2)))</f>
        <v>0</v>
      </c>
      <c r="I40" s="498" t="n">
        <f aca="false">IF(I$11=0,0,SUMIF('Monthly Table'!$CU:$CU,YEAR('Operational Detail'!I$2),'Monthly Table'!$AX:$AX)/COUNTIF('Monthly Table'!$CU:$CU,YEAR(I$2)))</f>
        <v>0</v>
      </c>
      <c r="J40" s="498" t="n">
        <f aca="false">IF(J$11=0,0,SUMIF('Monthly Table'!$CU:$CU,YEAR('Operational Detail'!J$2),'Monthly Table'!$AX:$AX)/COUNTIF('Monthly Table'!$CU:$CU,YEAR(J$2)))</f>
        <v>0</v>
      </c>
      <c r="K40" s="498" t="n">
        <f aca="false">IF(K$11=0,0,SUMIF('Monthly Table'!$CU:$CU,YEAR('Operational Detail'!K$2),'Monthly Table'!$AX:$AX)/COUNTIF('Monthly Table'!$CU:$CU,YEAR(K$2)))</f>
        <v>0</v>
      </c>
      <c r="L40" s="498" t="n">
        <f aca="false">IF(L$11=0,0,SUMIF('Monthly Table'!$CU:$CU,YEAR('Operational Detail'!L$2),'Monthly Table'!$AX:$AX)/COUNTIF('Monthly Table'!$CU:$CU,YEAR(L$2)))</f>
        <v>0</v>
      </c>
      <c r="M40" s="498" t="n">
        <f aca="false">IF(M$11=0,0,SUMIF('Monthly Table'!$CU:$CU,YEAR('Operational Detail'!M$2),'Monthly Table'!$AX:$AX)/COUNTIF('Monthly Table'!$CU:$CU,YEAR(M$2)))</f>
        <v>0</v>
      </c>
      <c r="N40" s="498" t="n">
        <f aca="false">IF(N$11=0,0,SUMIF('Monthly Table'!$CU:$CU,YEAR('Operational Detail'!N$2),'Monthly Table'!$AX:$AX)/COUNTIF('Monthly Table'!$CU:$CU,YEAR(N$2)))</f>
        <v>0</v>
      </c>
      <c r="O40" s="498" t="n">
        <f aca="false">IF(O$11=0,0,SUMIF('Monthly Table'!$CU:$CU,YEAR('Operational Detail'!O$2),'Monthly Table'!$AX:$AX)/COUNTIF('Monthly Table'!$CU:$CU,YEAR(O$2)))</f>
        <v>0</v>
      </c>
      <c r="P40" s="498" t="n">
        <f aca="false">IF(P$11=0,0,SUMIF('Monthly Table'!$CU:$CU,YEAR('Operational Detail'!P$2),'Monthly Table'!$AX:$AX)/COUNTIF('Monthly Table'!$CU:$CU,YEAR(P$2)))</f>
        <v>0</v>
      </c>
      <c r="Q40" s="498" t="n">
        <f aca="false">IF(Q$11=0,0,SUMIF('Monthly Table'!$CU:$CU,YEAR('Operational Detail'!Q$2),'Monthly Table'!$AX:$AX)/COUNTIF('Monthly Table'!$CU:$CU,YEAR(Q$2)))</f>
        <v>0</v>
      </c>
      <c r="R40" s="498" t="n">
        <f aca="false">IF(R$11=0,0,SUMIF('Monthly Table'!$CU:$CU,YEAR('Operational Detail'!R$2),'Monthly Table'!$AX:$AX)/COUNTIF('Monthly Table'!$CU:$CU,YEAR(R$2)))</f>
        <v>0</v>
      </c>
      <c r="S40" s="498" t="n">
        <f aca="false">IF(S$11=0,0,SUMIF('Monthly Table'!$CU:$CU,YEAR('Operational Detail'!S$2),'Monthly Table'!$AX:$AX)/COUNTIF('Monthly Table'!$CU:$CU,YEAR(S$2)))</f>
        <v>0</v>
      </c>
      <c r="T40" s="498" t="e">
        <f aca="false">IF(T$11=0,0,SUMIF('Monthly Table'!$CU:$CU,YEAR('Operational Detail'!T$2),'Monthly Table'!$AX:$AX)/COUNTIF('Monthly Table'!$CU:$CU,YEAR(T$2)))</f>
        <v>#DIV/0!</v>
      </c>
      <c r="U40" s="498" t="e">
        <f aca="false">IF(U$11=0,0,SUMIF('Monthly Table'!$CU:$CU,YEAR('Operational Detail'!U$2),'Monthly Table'!$AX:$AX)/COUNTIF('Monthly Table'!$CU:$CU,YEAR(U$2)))</f>
        <v>#DIV/0!</v>
      </c>
      <c r="V40" s="498" t="e">
        <f aca="false">IF(V$11=0,0,SUMIF('Monthly Table'!$CU:$CU,YEAR('Operational Detail'!V$2),'Monthly Table'!$AX:$AX)/COUNTIF('Monthly Table'!$CU:$CU,YEAR(V$2)))</f>
        <v>#DIV/0!</v>
      </c>
      <c r="W40" s="498" t="e">
        <f aca="false">IF(W$11=0,0,SUMIF('Monthly Table'!$CU:$CU,YEAR('Operational Detail'!W$2),'Monthly Table'!$AX:$AX)/COUNTIF('Monthly Table'!$CU:$CU,YEAR(W$2)))</f>
        <v>#DIV/0!</v>
      </c>
      <c r="X40" s="498" t="e">
        <f aca="false">IF(X$11=0,0,SUMIF('Monthly Table'!$CU:$CU,YEAR('Operational Detail'!X$2),'Monthly Table'!$AX:$AX)/COUNTIF('Monthly Table'!$CU:$CU,YEAR(X$2)))</f>
        <v>#DIV/0!</v>
      </c>
      <c r="Y40" s="498"/>
      <c r="Z40" s="498"/>
      <c r="AA40" s="498"/>
      <c r="AB40" s="498"/>
    </row>
    <row r="41" customFormat="false" ht="10.5" hidden="false" customHeight="true" outlineLevel="0" collapsed="false">
      <c r="A41" s="112"/>
      <c r="B41" s="153" t="s">
        <v>443</v>
      </c>
      <c r="C41" s="495"/>
      <c r="D41" s="498" t="n">
        <f aca="false">INDEX(fxcurve,MATCH(D$3,FX!$F$2:$F$28,0),MATCH("Annual Average",FX!$F$2:$G$2,0))</f>
        <v>1.44841975689983</v>
      </c>
      <c r="E41" s="498" t="n">
        <f aca="false">INDEX(fxcurve,MATCH(E$3,FX!$F$2:$F$28,0),MATCH("Annual Average",FX!$F$2:$G$2,0))</f>
        <v>1.43711123864166</v>
      </c>
      <c r="F41" s="498" t="n">
        <f aca="false">INDEX(fxcurve,MATCH(F$3,FX!$F$2:$F$28,0),MATCH("Annual Average",FX!$F$2:$G$2,0))</f>
        <v>1.42625625574583</v>
      </c>
      <c r="G41" s="498" t="n">
        <f aca="false">INDEX(fxcurve,MATCH(G$3,FX!$F$2:$F$28,0),MATCH("Annual Average",FX!$F$2:$G$2,0))</f>
        <v>1.41407427747014</v>
      </c>
      <c r="H41" s="498" t="n">
        <f aca="false">INDEX(fxcurve,MATCH(H$3,FX!$F$2:$F$28,0),MATCH("Annual Average",FX!$F$2:$G$2,0))</f>
        <v>1.40018628512148</v>
      </c>
      <c r="I41" s="498" t="n">
        <f aca="false">INDEX(fxcurve,MATCH(I$3,FX!$F$2:$F$28,0),MATCH("Annual Average",FX!$F$2:$G$2,0))</f>
        <v>1.3825442094226</v>
      </c>
      <c r="J41" s="498" t="n">
        <f aca="false">INDEX(fxcurve,MATCH(J$3,FX!$F$2:$F$28,0),MATCH("Annual Average",FX!$F$2:$G$2,0))</f>
        <v>1.36919339352631</v>
      </c>
      <c r="K41" s="498" t="n">
        <f aca="false">INDEX(fxcurve,MATCH(K$3,FX!$F$2:$F$28,0),MATCH("Annual Average",FX!$F$2:$G$2,0))</f>
        <v>1.35672433416726</v>
      </c>
      <c r="L41" s="498" t="n">
        <f aca="false">INDEX(fxcurve,MATCH(L$3,FX!$F$2:$F$28,0),MATCH("Annual Average",FX!$F$2:$G$2,0))</f>
        <v>1.34581191169358</v>
      </c>
      <c r="M41" s="498" t="n">
        <f aca="false">INDEX(fxcurve,MATCH(M$3,FX!$F$2:$F$28,0),MATCH("Annual Average",FX!$F$2:$G$2,0))</f>
        <v>1.33556764320821</v>
      </c>
      <c r="N41" s="498" t="n">
        <f aca="false">INDEX(fxcurve,MATCH(N$3,FX!$F$2:$F$28,0),MATCH("Annual Average",FX!$F$2:$G$2,0))</f>
        <v>1.32561446530123</v>
      </c>
      <c r="O41" s="498" t="n">
        <f aca="false">INDEX(fxcurve,MATCH(O$3,FX!$F$2:$F$28,0),MATCH("Annual Average",FX!$F$2:$G$2,0))</f>
        <v>1.31531097724534</v>
      </c>
      <c r="P41" s="498" t="n">
        <f aca="false">INDEX(fxcurve,MATCH(P$3,FX!$F$2:$F$28,0),MATCH("Annual Average",FX!$F$2:$G$2,0))</f>
        <v>1.30527842366359</v>
      </c>
      <c r="Q41" s="498" t="n">
        <f aca="false">INDEX(fxcurve,MATCH(Q$3,FX!$F$2:$F$28,0),MATCH("Annual Average",FX!$F$2:$G$2,0))</f>
        <v>1.29559980538011</v>
      </c>
      <c r="R41" s="498" t="n">
        <f aca="false">INDEX(fxcurve,MATCH(R$3,FX!$F$2:$F$28,0),MATCH("Annual Average",FX!$F$2:$G$2,0))</f>
        <v>1.28625454928102</v>
      </c>
      <c r="S41" s="498" t="n">
        <f aca="false">INDEX(fxcurve,MATCH(S$3,FX!$F$2:$F$28,0),MATCH("Annual Average",FX!$F$2:$G$2,0))</f>
        <v>1.27749962551242</v>
      </c>
      <c r="T41" s="498" t="n">
        <f aca="false">INDEX(fxcurve,MATCH(T$3,FX!$F$2:$F$28,0),MATCH("Annual Average",FX!$F$2:$G$2,0))</f>
        <v>1.26990342899257</v>
      </c>
      <c r="U41" s="498" t="n">
        <f aca="false">INDEX(fxcurve,MATCH(U$3,FX!$F$2:$F$28,0),MATCH("Annual Average",FX!$F$2:$G$2,0))</f>
        <v>1.26281103438461</v>
      </c>
      <c r="V41" s="498" t="n">
        <f aca="false">INDEX(fxcurve,MATCH(V$3,FX!$F$2:$F$28,0),MATCH("Annual Average",FX!$F$2:$G$2,0))</f>
        <v>1.25615455254258</v>
      </c>
      <c r="W41" s="498" t="n">
        <f aca="false">INDEX(fxcurve,MATCH(W$3,FX!$F$2:$F$28,0),MATCH("Annual Average",FX!$F$2:$G$2,0))</f>
        <v>1.24992408625793</v>
      </c>
      <c r="X41" s="498" t="n">
        <f aca="false">INDEX(fxcurve,MATCH(X$3,FX!$F$2:$F$28,0),MATCH("Annual Average",FX!$F$2:$G$2,0))</f>
        <v>1.24228396737324</v>
      </c>
      <c r="Y41" s="498"/>
      <c r="Z41" s="498"/>
      <c r="AA41" s="498"/>
      <c r="AB41" s="498"/>
    </row>
    <row r="42" customFormat="false" ht="10.5" hidden="false" customHeight="true" outlineLevel="0" collapsed="false">
      <c r="A42" s="112"/>
      <c r="B42" s="153" t="s">
        <v>444</v>
      </c>
      <c r="C42" s="495"/>
      <c r="D42" s="498" t="n">
        <f aca="false">D40*D41</f>
        <v>0</v>
      </c>
      <c r="E42" s="498" t="n">
        <f aca="false">E40*E41</f>
        <v>0</v>
      </c>
      <c r="F42" s="498" t="n">
        <f aca="false">F40*F41</f>
        <v>0</v>
      </c>
      <c r="G42" s="498" t="n">
        <f aca="false">G40*G41</f>
        <v>0</v>
      </c>
      <c r="H42" s="498" t="n">
        <f aca="false">H40*H41</f>
        <v>0</v>
      </c>
      <c r="I42" s="498" t="n">
        <f aca="false">I40*I41</f>
        <v>0</v>
      </c>
      <c r="J42" s="498" t="n">
        <f aca="false">J40*J41</f>
        <v>0</v>
      </c>
      <c r="K42" s="498" t="n">
        <f aca="false">K40*K41</f>
        <v>0</v>
      </c>
      <c r="L42" s="498" t="n">
        <f aca="false">L40*L41</f>
        <v>0</v>
      </c>
      <c r="M42" s="498" t="n">
        <f aca="false">M40*M41</f>
        <v>0</v>
      </c>
      <c r="N42" s="498" t="n">
        <f aca="false">N40*N41</f>
        <v>0</v>
      </c>
      <c r="O42" s="498" t="n">
        <f aca="false">O40*O41</f>
        <v>0</v>
      </c>
      <c r="P42" s="498" t="n">
        <f aca="false">P40*P41</f>
        <v>0</v>
      </c>
      <c r="Q42" s="498" t="n">
        <f aca="false">Q40*Q41</f>
        <v>0</v>
      </c>
      <c r="R42" s="498" t="n">
        <f aca="false">R40*R41</f>
        <v>0</v>
      </c>
      <c r="S42" s="498" t="n">
        <f aca="false">S40*S41</f>
        <v>0</v>
      </c>
      <c r="T42" s="498" t="e">
        <f aca="false">T40*T41</f>
        <v>#DIV/0!</v>
      </c>
      <c r="U42" s="498" t="e">
        <f aca="false">U40*U41</f>
        <v>#DIV/0!</v>
      </c>
      <c r="V42" s="498" t="e">
        <f aca="false">V40*V41</f>
        <v>#DIV/0!</v>
      </c>
      <c r="W42" s="498" t="e">
        <f aca="false">W40*W41</f>
        <v>#DIV/0!</v>
      </c>
      <c r="X42" s="498" t="e">
        <f aca="false">X40*X41</f>
        <v>#DIV/0!</v>
      </c>
      <c r="Y42" s="498"/>
      <c r="Z42" s="498"/>
      <c r="AA42" s="498"/>
      <c r="AB42" s="498"/>
    </row>
    <row r="43" customFormat="false" ht="10.5" hidden="false" customHeight="true" outlineLevel="0" collapsed="false">
      <c r="A43" s="112"/>
      <c r="B43" s="153"/>
      <c r="C43" s="495"/>
      <c r="D43" s="498"/>
      <c r="E43" s="498"/>
      <c r="F43" s="498"/>
      <c r="G43" s="498"/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  <c r="T43" s="498"/>
      <c r="U43" s="498"/>
      <c r="V43" s="498"/>
      <c r="W43" s="498"/>
      <c r="X43" s="498"/>
      <c r="Y43" s="498"/>
      <c r="Z43" s="498"/>
      <c r="AA43" s="498"/>
      <c r="AB43" s="498"/>
    </row>
    <row r="44" customFormat="false" ht="10.5" hidden="false" customHeight="true" outlineLevel="0" collapsed="false">
      <c r="A44" s="112"/>
      <c r="B44" s="201" t="s">
        <v>448</v>
      </c>
      <c r="C44" s="495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  <c r="T44" s="498"/>
      <c r="U44" s="498"/>
      <c r="V44" s="498"/>
      <c r="W44" s="498"/>
      <c r="X44" s="498"/>
      <c r="Y44" s="498"/>
      <c r="Z44" s="498"/>
      <c r="AA44" s="498"/>
      <c r="AB44" s="498"/>
    </row>
    <row r="45" customFormat="false" ht="10.5" hidden="false" customHeight="true" outlineLevel="0" collapsed="false">
      <c r="A45" s="112"/>
      <c r="B45" s="153" t="s">
        <v>442</v>
      </c>
      <c r="C45" s="495"/>
      <c r="D45" s="498" t="n">
        <f aca="false">IF(D$12=0,0,SUMIF('Monthly Table'!$CV:$CV,YEAR('Operational Detail'!D$2),'Monthly Table'!$BB:$BB)/COUNTIF('Monthly Table'!$CV:$CV,YEAR(D$2)))</f>
        <v>0</v>
      </c>
      <c r="E45" s="498" t="n">
        <f aca="false">IF(E$12=0,0,SUMIF('Monthly Table'!$CV:$CV,YEAR('Operational Detail'!E$2),'Monthly Table'!$BB:$BB)/COUNTIF('Monthly Table'!$CV:$CV,YEAR(E$2)))</f>
        <v>53.7147448208966</v>
      </c>
      <c r="F45" s="498" t="n">
        <f aca="false">IF(F$12=0,0,SUMIF('Monthly Table'!$CV:$CV,YEAR('Operational Detail'!F$2),'Monthly Table'!$BB:$BB)/COUNTIF('Monthly Table'!$CV:$CV,YEAR(F$2)))</f>
        <v>52.3396132561044</v>
      </c>
      <c r="G45" s="498" t="n">
        <f aca="false">IF(G$12=0,0,SUMIF('Monthly Table'!$CV:$CV,YEAR('Operational Detail'!G$2),'Monthly Table'!$BB:$BB)/COUNTIF('Monthly Table'!$CV:$CV,YEAR(G$2)))</f>
        <v>51.619138731879</v>
      </c>
      <c r="H45" s="498" t="n">
        <f aca="false">IF(H$12=0,0,SUMIF('Monthly Table'!$CV:$CV,YEAR('Operational Detail'!H$2),'Monthly Table'!$BB:$BB)/COUNTIF('Monthly Table'!$CV:$CV,YEAR(H$2)))</f>
        <v>50.8994036548827</v>
      </c>
      <c r="I45" s="498" t="n">
        <f aca="false">IF(I$12=0,0,SUMIF('Monthly Table'!$CV:$CV,YEAR('Operational Detail'!I$2),'Monthly Table'!$BB:$BB)/COUNTIF('Monthly Table'!$CV:$CV,YEAR(I$2)))</f>
        <v>50.5420546462481</v>
      </c>
      <c r="J45" s="498" t="n">
        <f aca="false">IF(J$12=0,0,SUMIF('Monthly Table'!$CV:$CV,YEAR('Operational Detail'!J$2),'Monthly Table'!$BB:$BB)/COUNTIF('Monthly Table'!$CV:$CV,YEAR(J$2)))</f>
        <v>50.8124420927256</v>
      </c>
      <c r="K45" s="498" t="n">
        <f aca="false">IF(K$12=0,0,SUMIF('Monthly Table'!$CV:$CV,YEAR('Operational Detail'!K$2),'Monthly Table'!$BB:$BB)/COUNTIF('Monthly Table'!$CV:$CV,YEAR(K$2)))</f>
        <v>51.0688506050865</v>
      </c>
      <c r="L45" s="498" t="n">
        <f aca="false">IF(L$12=0,0,SUMIF('Monthly Table'!$CV:$CV,YEAR('Operational Detail'!L$2),'Monthly Table'!$BB:$BB)/COUNTIF('Monthly Table'!$CV:$CV,YEAR(L$2)))</f>
        <v>51.3124576463489</v>
      </c>
      <c r="M45" s="498" t="n">
        <f aca="false">IF(M$12=0,0,SUMIF('Monthly Table'!$CV:$CV,YEAR('Operational Detail'!M$2),'Monthly Table'!$BB:$BB)/COUNTIF('Monthly Table'!$CV:$CV,YEAR(M$2)))</f>
        <v>51.5443058425838</v>
      </c>
      <c r="N45" s="498" t="n">
        <f aca="false">IF(N$12=0,0,SUMIF('Monthly Table'!$CV:$CV,YEAR('Operational Detail'!N$2),'Monthly Table'!$BB:$BB)/COUNTIF('Monthly Table'!$CV:$CV,YEAR(N$2)))</f>
        <v>51.765322214451</v>
      </c>
      <c r="O45" s="498" t="n">
        <f aca="false">IF(O$12=0,0,SUMIF('Monthly Table'!$CV:$CV,YEAR('Operational Detail'!O$2),'Monthly Table'!$BB:$BB)/COUNTIF('Monthly Table'!$CV:$CV,YEAR(O$2)))</f>
        <v>51.9763341643725</v>
      </c>
      <c r="P45" s="498" t="n">
        <f aca="false">IF(P$12=0,0,SUMIF('Monthly Table'!$CV:$CV,YEAR('Operational Detail'!P$2),'Monthly Table'!$BB:$BB)/COUNTIF('Monthly Table'!$CV:$CV,YEAR(P$2)))</f>
        <v>0</v>
      </c>
      <c r="Q45" s="498" t="n">
        <f aca="false">IF(Q$12=0,0,SUMIF('Monthly Table'!$CV:$CV,YEAR('Operational Detail'!Q$2),'Monthly Table'!$BB:$BB)/COUNTIF('Monthly Table'!$CV:$CV,YEAR(Q$2)))</f>
        <v>0</v>
      </c>
      <c r="R45" s="498" t="n">
        <f aca="false">IF(R$12=0,0,SUMIF('Monthly Table'!$CV:$CV,YEAR('Operational Detail'!R$2),'Monthly Table'!$BB:$BB)/COUNTIF('Monthly Table'!$CV:$CV,YEAR(R$2)))</f>
        <v>0</v>
      </c>
      <c r="S45" s="498" t="n">
        <f aca="false">IF(S$12=0,0,SUMIF('Monthly Table'!$CV:$CV,YEAR('Operational Detail'!S$2),'Monthly Table'!$BB:$BB)/COUNTIF('Monthly Table'!$CV:$CV,YEAR(S$2)))</f>
        <v>0</v>
      </c>
      <c r="T45" s="498" t="n">
        <f aca="false">IF(T$12=0,0,SUMIF('Monthly Table'!$CV:$CV,YEAR('Operational Detail'!T$2),'Monthly Table'!$BB:$BB)/COUNTIF('Monthly Table'!$CV:$CV,YEAR(T$2)))</f>
        <v>28.1563634381304</v>
      </c>
      <c r="U45" s="498" t="n">
        <f aca="false">IF(U$12=0,0,SUMIF('Monthly Table'!$CV:$CV,YEAR('Operational Detail'!U$2),'Monthly Table'!$BB:$BB)/COUNTIF('Monthly Table'!$CV:$CV,YEAR(U$2)))</f>
        <v>28.1915308442301</v>
      </c>
      <c r="V45" s="498" t="n">
        <f aca="false">IF(V$12=0,0,SUMIF('Monthly Table'!$CV:$CV,YEAR('Operational Detail'!V$2),'Monthly Table'!$BB:$BB)/COUNTIF('Monthly Table'!$CV:$CV,YEAR(V$2)))</f>
        <v>31.089960800636</v>
      </c>
      <c r="W45" s="498" t="e">
        <f aca="false">IF(W$12=0,0,SUMIF('Monthly Table'!$CV:$CV,YEAR('Operational Detail'!W$2),'Monthly Table'!$BB:$BB)/COUNTIF('Monthly Table'!$CV:$CV,YEAR(W$2)))</f>
        <v>#DIV/0!</v>
      </c>
      <c r="X45" s="498" t="e">
        <f aca="false">IF(X$12=0,0,SUMIF('Monthly Table'!$CV:$CV,YEAR('Operational Detail'!X$2),'Monthly Table'!$BB:$BB)/COUNTIF('Monthly Table'!$CV:$CV,YEAR(X$2)))</f>
        <v>#DIV/0!</v>
      </c>
      <c r="Y45" s="498"/>
      <c r="Z45" s="498"/>
      <c r="AA45" s="498"/>
      <c r="AB45" s="498"/>
    </row>
    <row r="46" customFormat="false" ht="10.5" hidden="false" customHeight="true" outlineLevel="0" collapsed="false">
      <c r="A46" s="112"/>
      <c r="B46" s="153" t="s">
        <v>443</v>
      </c>
      <c r="C46" s="495"/>
      <c r="D46" s="498" t="n">
        <f aca="false">INDEX(fxcurve,MATCH(D$3,FX!$F$2:$F$28,0),MATCH("Annual Average",FX!$F$2:$G$2,0))</f>
        <v>1.44841975689983</v>
      </c>
      <c r="E46" s="498" t="n">
        <f aca="false">INDEX(fxcurve,MATCH(E$3,FX!$F$2:$F$28,0),MATCH("Annual Average",FX!$F$2:$G$2,0))</f>
        <v>1.43711123864166</v>
      </c>
      <c r="F46" s="498" t="n">
        <f aca="false">INDEX(fxcurve,MATCH(F$3,FX!$F$2:$F$28,0),MATCH("Annual Average",FX!$F$2:$G$2,0))</f>
        <v>1.42625625574583</v>
      </c>
      <c r="G46" s="498" t="n">
        <f aca="false">INDEX(fxcurve,MATCH(G$3,FX!$F$2:$F$28,0),MATCH("Annual Average",FX!$F$2:$G$2,0))</f>
        <v>1.41407427747014</v>
      </c>
      <c r="H46" s="498" t="n">
        <f aca="false">INDEX(fxcurve,MATCH(H$3,FX!$F$2:$F$28,0),MATCH("Annual Average",FX!$F$2:$G$2,0))</f>
        <v>1.40018628512148</v>
      </c>
      <c r="I46" s="498" t="n">
        <f aca="false">INDEX(fxcurve,MATCH(I$3,FX!$F$2:$F$28,0),MATCH("Annual Average",FX!$F$2:$G$2,0))</f>
        <v>1.3825442094226</v>
      </c>
      <c r="J46" s="498" t="n">
        <f aca="false">INDEX(fxcurve,MATCH(J$3,FX!$F$2:$F$28,0),MATCH("Annual Average",FX!$F$2:$G$2,0))</f>
        <v>1.36919339352631</v>
      </c>
      <c r="K46" s="498" t="n">
        <f aca="false">INDEX(fxcurve,MATCH(K$3,FX!$F$2:$F$28,0),MATCH("Annual Average",FX!$F$2:$G$2,0))</f>
        <v>1.35672433416726</v>
      </c>
      <c r="L46" s="498" t="n">
        <f aca="false">INDEX(fxcurve,MATCH(L$3,FX!$F$2:$F$28,0),MATCH("Annual Average",FX!$F$2:$G$2,0))</f>
        <v>1.34581191169358</v>
      </c>
      <c r="M46" s="498" t="n">
        <f aca="false">INDEX(fxcurve,MATCH(M$3,FX!$F$2:$F$28,0),MATCH("Annual Average",FX!$F$2:$G$2,0))</f>
        <v>1.33556764320821</v>
      </c>
      <c r="N46" s="498" t="n">
        <f aca="false">INDEX(fxcurve,MATCH(N$3,FX!$F$2:$F$28,0),MATCH("Annual Average",FX!$F$2:$G$2,0))</f>
        <v>1.32561446530123</v>
      </c>
      <c r="O46" s="498" t="n">
        <f aca="false">INDEX(fxcurve,MATCH(O$3,FX!$F$2:$F$28,0),MATCH("Annual Average",FX!$F$2:$G$2,0))</f>
        <v>1.31531097724534</v>
      </c>
      <c r="P46" s="498" t="n">
        <f aca="false">INDEX(fxcurve,MATCH(P$3,FX!$F$2:$F$28,0),MATCH("Annual Average",FX!$F$2:$G$2,0))</f>
        <v>1.30527842366359</v>
      </c>
      <c r="Q46" s="498" t="n">
        <f aca="false">INDEX(fxcurve,MATCH(Q$3,FX!$F$2:$F$28,0),MATCH("Annual Average",FX!$F$2:$G$2,0))</f>
        <v>1.29559980538011</v>
      </c>
      <c r="R46" s="498" t="n">
        <f aca="false">INDEX(fxcurve,MATCH(R$3,FX!$F$2:$F$28,0),MATCH("Annual Average",FX!$F$2:$G$2,0))</f>
        <v>1.28625454928102</v>
      </c>
      <c r="S46" s="498" t="n">
        <f aca="false">INDEX(fxcurve,MATCH(S$3,FX!$F$2:$F$28,0),MATCH("Annual Average",FX!$F$2:$G$2,0))</f>
        <v>1.27749962551242</v>
      </c>
      <c r="T46" s="498" t="n">
        <f aca="false">INDEX(fxcurve,MATCH(T$3,FX!$F$2:$F$28,0),MATCH("Annual Average",FX!$F$2:$G$2,0))</f>
        <v>1.26990342899257</v>
      </c>
      <c r="U46" s="498" t="n">
        <f aca="false">INDEX(fxcurve,MATCH(U$3,FX!$F$2:$F$28,0),MATCH("Annual Average",FX!$F$2:$G$2,0))</f>
        <v>1.26281103438461</v>
      </c>
      <c r="V46" s="498" t="n">
        <f aca="false">INDEX(fxcurve,MATCH(V$3,FX!$F$2:$F$28,0),MATCH("Annual Average",FX!$F$2:$G$2,0))</f>
        <v>1.25615455254258</v>
      </c>
      <c r="W46" s="498" t="n">
        <f aca="false">INDEX(fxcurve,MATCH(W$3,FX!$F$2:$F$28,0),MATCH("Annual Average",FX!$F$2:$G$2,0))</f>
        <v>1.24992408625793</v>
      </c>
      <c r="X46" s="498" t="n">
        <f aca="false">INDEX(fxcurve,MATCH(X$3,FX!$F$2:$F$28,0),MATCH("Annual Average",FX!$F$2:$G$2,0))</f>
        <v>1.24228396737324</v>
      </c>
      <c r="Y46" s="498"/>
      <c r="Z46" s="498"/>
      <c r="AA46" s="498"/>
      <c r="AB46" s="498"/>
    </row>
    <row r="47" customFormat="false" ht="10.5" hidden="false" customHeight="true" outlineLevel="0" collapsed="false">
      <c r="A47" s="112"/>
      <c r="B47" s="153" t="s">
        <v>444</v>
      </c>
      <c r="C47" s="495"/>
      <c r="D47" s="498" t="n">
        <f aca="false">D45*D46</f>
        <v>0</v>
      </c>
      <c r="E47" s="498" t="n">
        <f aca="false">E45*E46</f>
        <v>77.1940634628794</v>
      </c>
      <c r="F47" s="498" t="n">
        <f aca="false">F45*F46</f>
        <v>74.6497008298363</v>
      </c>
      <c r="G47" s="498" t="n">
        <f aca="false">G45*G46</f>
        <v>72.9932963059128</v>
      </c>
      <c r="H47" s="498" t="n">
        <f aca="false">H45*H46</f>
        <v>71.2686469184287</v>
      </c>
      <c r="I47" s="498" t="n">
        <f aca="false">I45*I46</f>
        <v>69.8766249834911</v>
      </c>
      <c r="J47" s="498" t="n">
        <f aca="false">J45*J46</f>
        <v>69.5720600222982</v>
      </c>
      <c r="K47" s="498" t="n">
        <f aca="false">K45*K46</f>
        <v>69.2863523338734</v>
      </c>
      <c r="L47" s="498" t="n">
        <f aca="false">L45*L46</f>
        <v>69.0569167187286</v>
      </c>
      <c r="M47" s="498" t="n">
        <f aca="false">M45*M46</f>
        <v>68.8409070749829</v>
      </c>
      <c r="N47" s="498" t="n">
        <f aca="false">N45*N46</f>
        <v>68.6208599284553</v>
      </c>
      <c r="O47" s="498" t="n">
        <f aca="false">O45*O46</f>
        <v>68.3650428833711</v>
      </c>
      <c r="P47" s="498" t="n">
        <f aca="false">P45*P46</f>
        <v>0</v>
      </c>
      <c r="Q47" s="498" t="n">
        <f aca="false">Q45*Q46</f>
        <v>0</v>
      </c>
      <c r="R47" s="498" t="n">
        <f aca="false">R45*R46</f>
        <v>0</v>
      </c>
      <c r="S47" s="498" t="n">
        <f aca="false">S45*S46</f>
        <v>0</v>
      </c>
      <c r="T47" s="498" t="n">
        <f aca="false">T45*T46</f>
        <v>35.7558624780427</v>
      </c>
      <c r="U47" s="498" t="n">
        <f aca="false">U45*U46</f>
        <v>35.6005762262877</v>
      </c>
      <c r="V47" s="498" t="n">
        <f aca="false">V45*V46</f>
        <v>39.0537957980891</v>
      </c>
      <c r="W47" s="498" t="e">
        <f aca="false">W45*W46</f>
        <v>#DIV/0!</v>
      </c>
      <c r="X47" s="498" t="e">
        <f aca="false">X45*X46</f>
        <v>#DIV/0!</v>
      </c>
      <c r="Y47" s="498"/>
      <c r="Z47" s="498"/>
      <c r="AA47" s="498"/>
      <c r="AB47" s="498"/>
    </row>
    <row r="48" customFormat="false" ht="10.5" hidden="false" customHeight="true" outlineLevel="0" collapsed="false">
      <c r="A48" s="112"/>
      <c r="B48" s="153"/>
      <c r="C48" s="495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  <c r="T48" s="498"/>
      <c r="U48" s="498"/>
      <c r="V48" s="498"/>
      <c r="W48" s="498"/>
      <c r="X48" s="498"/>
      <c r="Y48" s="498"/>
      <c r="Z48" s="498"/>
      <c r="AA48" s="498"/>
      <c r="AB48" s="498"/>
    </row>
    <row r="49" customFormat="false" ht="10.5" hidden="false" customHeight="true" outlineLevel="0" collapsed="false">
      <c r="B49" s="492" t="s">
        <v>449</v>
      </c>
      <c r="C49" s="493"/>
      <c r="D49" s="202" t="n">
        <f aca="false">SUMIF('Monthly Table'!$C$11:$C$244,YEAR('Operational Detail'!D$2),'Monthly Table'!$BU$11:$BU$244)</f>
        <v>0</v>
      </c>
      <c r="E49" s="202" t="n">
        <f aca="false">SUMIF('Monthly Table'!$C$11:$C$244,YEAR('Operational Detail'!E$2),'Monthly Table'!$BU$11:$BU$244)</f>
        <v>41200.5357795109</v>
      </c>
      <c r="F49" s="202" t="n">
        <f aca="false">SUMIF('Monthly Table'!$C$11:$C$244,YEAR('Operational Detail'!F$2),'Monthly Table'!$BU$11:$BU$244)</f>
        <v>34816.9094426803</v>
      </c>
      <c r="G49" s="202" t="n">
        <f aca="false">SUMIF('Monthly Table'!$C$11:$C$244,YEAR('Operational Detail'!G$2),'Monthly Table'!$BU$11:$BU$244)</f>
        <v>30723.5639503616</v>
      </c>
      <c r="H49" s="202" t="n">
        <f aca="false">SUMIF('Monthly Table'!$C$11:$C$244,YEAR('Operational Detail'!H$2),'Monthly Table'!$BU$11:$BU$244)</f>
        <v>24445.9935552963</v>
      </c>
      <c r="I49" s="202" t="n">
        <f aca="false">SUMIF('Monthly Table'!$C$11:$C$244,YEAR('Operational Detail'!I$2),'Monthly Table'!$BU$11:$BU$244)</f>
        <v>22954.0325095441</v>
      </c>
      <c r="J49" s="202" t="n">
        <f aca="false">SUMIF('Monthly Table'!$C$11:$C$244,YEAR('Operational Detail'!J$2),'Monthly Table'!$BU$11:$BU$244)</f>
        <v>24122.1696084527</v>
      </c>
      <c r="K49" s="202" t="n">
        <f aca="false">SUMIF('Monthly Table'!$C$11:$C$244,YEAR('Operational Detail'!K$2),'Monthly Table'!$BU$11:$BU$244)</f>
        <v>24995.9054520014</v>
      </c>
      <c r="L49" s="202" t="n">
        <f aca="false">SUMIF('Monthly Table'!$C$11:$C$244,YEAR('Operational Detail'!L$2),'Monthly Table'!$BU$11:$BU$244)</f>
        <v>25252.4245428248</v>
      </c>
      <c r="M49" s="202" t="n">
        <f aca="false">SUMIF('Monthly Table'!$C$11:$C$244,YEAR('Operational Detail'!M$2),'Monthly Table'!$BU$11:$BU$244)</f>
        <v>26687.2310079208</v>
      </c>
      <c r="N49" s="202" t="n">
        <f aca="false">SUMIF('Monthly Table'!$C$11:$C$244,YEAR('Operational Detail'!N$2),'Monthly Table'!$BU$11:$BU$244)</f>
        <v>26901.3262610206</v>
      </c>
      <c r="O49" s="202" t="n">
        <f aca="false">SUMIF('Monthly Table'!$C$11:$C$244,YEAR('Operational Detail'!O$2),'Monthly Table'!$BU$11:$BU$244)</f>
        <v>27563.8870263443</v>
      </c>
      <c r="P49" s="202" t="n">
        <f aca="false">SUMIF('Monthly Table'!$C$11:$C$244,YEAR('Operational Detail'!P$2),'Monthly Table'!$BU$11:$BU$244)</f>
        <v>28457.3982022639</v>
      </c>
      <c r="Q49" s="202" t="n">
        <f aca="false">SUMIF('Monthly Table'!$C$11:$C$244,YEAR('Operational Detail'!Q$2),'Monthly Table'!$BU$11:$BU$244)</f>
        <v>29424.4704526385</v>
      </c>
      <c r="R49" s="202" t="n">
        <f aca="false">SUMIF('Monthly Table'!$C$11:$C$244,YEAR('Operational Detail'!R$2),'Monthly Table'!$BU$11:$BU$244)</f>
        <v>29824.1999891051</v>
      </c>
      <c r="S49" s="202" t="n">
        <f aca="false">SUMIF('Monthly Table'!$C$11:$C$244,YEAR('Operational Detail'!S$2),'Monthly Table'!$BU$11:$BU$244)</f>
        <v>31333.4030492542</v>
      </c>
      <c r="T49" s="202" t="n">
        <f aca="false">SUMIF('Monthly Table'!$C$11:$C$244,YEAR('Operational Detail'!T$2),'Monthly Table'!$BU$11:$BU$244)</f>
        <v>0</v>
      </c>
      <c r="U49" s="202" t="n">
        <f aca="false">SUMIF('Monthly Table'!$C$11:$C$244,YEAR('Operational Detail'!U$2),'Monthly Table'!$BU$11:$BU$244)</f>
        <v>0</v>
      </c>
      <c r="V49" s="202" t="n">
        <f aca="false">SUMIF('Monthly Table'!$C$11:$C$244,YEAR('Operational Detail'!V$2),'Monthly Table'!$BU$11:$BU$244)</f>
        <v>0</v>
      </c>
      <c r="W49" s="202" t="n">
        <f aca="false">SUMIF('Monthly Table'!$C$11:$C$244,YEAR('Operational Detail'!W$2),'Monthly Table'!$BU$11:$BU$244)</f>
        <v>0</v>
      </c>
      <c r="X49" s="202" t="n">
        <f aca="false">SUMIF('Monthly Table'!$C$11:$C$244,YEAR('Operational Detail'!X$2),'Monthly Table'!$BU$11:$BU$244)</f>
        <v>0</v>
      </c>
      <c r="Y49" s="114"/>
      <c r="Z49" s="114"/>
      <c r="AA49" s="114"/>
      <c r="AB49" s="114"/>
    </row>
    <row r="50" customFormat="false" ht="10.5" hidden="false" customHeight="true" outlineLevel="0" collapsed="false">
      <c r="B50" s="492" t="s">
        <v>450</v>
      </c>
      <c r="C50" s="493"/>
      <c r="D50" s="202" t="n">
        <f aca="false">SUMIF('Monthly Table'!$C$11:$C$244,YEAR('Operational Detail'!D$2),'Monthly Table'!$BY$11:$BY$244)</f>
        <v>0</v>
      </c>
      <c r="E50" s="202" t="n">
        <f aca="false">SUMIF('Monthly Table'!$C$11:$C$244,YEAR('Operational Detail'!E$2),'Monthly Table'!$BY$11:$BY$244)</f>
        <v>0</v>
      </c>
      <c r="F50" s="202" t="n">
        <f aca="false">SUMIF('Monthly Table'!$C$11:$C$244,YEAR('Operational Detail'!F$2),'Monthly Table'!$BY$11:$BY$244)</f>
        <v>0</v>
      </c>
      <c r="G50" s="202" t="n">
        <f aca="false">SUMIF('Monthly Table'!$C$11:$C$244,YEAR('Operational Detail'!G$2),'Monthly Table'!$BY$11:$BY$244)</f>
        <v>0</v>
      </c>
      <c r="H50" s="202" t="n">
        <f aca="false">SUMIF('Monthly Table'!$C$11:$C$244,YEAR('Operational Detail'!H$2),'Monthly Table'!$BY$11:$BY$244)</f>
        <v>0</v>
      </c>
      <c r="I50" s="202" t="n">
        <f aca="false">SUMIF('Monthly Table'!$C$11:$C$244,YEAR('Operational Detail'!I$2),'Monthly Table'!$BY$11:$BY$244)</f>
        <v>0</v>
      </c>
      <c r="J50" s="202" t="n">
        <f aca="false">SUMIF('Monthly Table'!$C$11:$C$244,YEAR('Operational Detail'!J$2),'Monthly Table'!$BY$11:$BY$244)</f>
        <v>0</v>
      </c>
      <c r="K50" s="202" t="n">
        <f aca="false">SUMIF('Monthly Table'!$C$11:$C$244,YEAR('Operational Detail'!K$2),'Monthly Table'!$BY$11:$BY$244)</f>
        <v>0</v>
      </c>
      <c r="L50" s="202" t="n">
        <f aca="false">SUMIF('Monthly Table'!$C$11:$C$244,YEAR('Operational Detail'!L$2),'Monthly Table'!$BY$11:$BY$244)</f>
        <v>0</v>
      </c>
      <c r="M50" s="202" t="n">
        <f aca="false">SUMIF('Monthly Table'!$C$11:$C$244,YEAR('Operational Detail'!M$2),'Monthly Table'!$BY$11:$BY$244)</f>
        <v>0</v>
      </c>
      <c r="N50" s="202" t="n">
        <f aca="false">SUMIF('Monthly Table'!$C$11:$C$244,YEAR('Operational Detail'!N$2),'Monthly Table'!$BY$11:$BY$244)</f>
        <v>0</v>
      </c>
      <c r="O50" s="202" t="n">
        <f aca="false">SUMIF('Monthly Table'!$C$11:$C$244,YEAR('Operational Detail'!O$2),'Monthly Table'!$BY$11:$BY$244)</f>
        <v>0</v>
      </c>
      <c r="P50" s="202" t="n">
        <f aca="false">SUMIF('Monthly Table'!$C$11:$C$244,YEAR('Operational Detail'!P$2),'Monthly Table'!$BY$11:$BY$244)</f>
        <v>0</v>
      </c>
      <c r="Q50" s="202" t="n">
        <f aca="false">SUMIF('Monthly Table'!$C$11:$C$244,YEAR('Operational Detail'!Q$2),'Monthly Table'!$BY$11:$BY$244)</f>
        <v>0</v>
      </c>
      <c r="R50" s="202" t="n">
        <f aca="false">SUMIF('Monthly Table'!$C$11:$C$244,YEAR('Operational Detail'!R$2),'Monthly Table'!$BY$11:$BY$244)</f>
        <v>0</v>
      </c>
      <c r="S50" s="202" t="n">
        <f aca="false">SUMIF('Monthly Table'!$C$11:$C$244,YEAR('Operational Detail'!S$2),'Monthly Table'!$BY$11:$BY$244)</f>
        <v>0</v>
      </c>
      <c r="T50" s="202" t="n">
        <f aca="false">SUMIF('Monthly Table'!$C$11:$C$244,YEAR('Operational Detail'!T$2),'Monthly Table'!$BY$11:$BY$244)</f>
        <v>0</v>
      </c>
      <c r="U50" s="202" t="n">
        <f aca="false">SUMIF('Monthly Table'!$C$11:$C$244,YEAR('Operational Detail'!U$2),'Monthly Table'!$BY$11:$BY$244)</f>
        <v>0</v>
      </c>
      <c r="V50" s="202" t="n">
        <f aca="false">SUMIF('Monthly Table'!$C$11:$C$244,YEAR('Operational Detail'!V$2),'Monthly Table'!$BY$11:$BY$244)</f>
        <v>0</v>
      </c>
      <c r="W50" s="202" t="e">
        <f aca="false">SUMIF('Monthly Table'!$C$11:$C$244,YEAR('Operational Detail'!W$2),'Monthly Table'!$BY$11:$BY$244)</f>
        <v>#DIV/0!</v>
      </c>
      <c r="X50" s="202" t="e">
        <f aca="false">SUMIF('Monthly Table'!$C$11:$C$244,YEAR('Operational Detail'!X$2),'Monthly Table'!$BY$11:$BY$244)</f>
        <v>#DIV/0!</v>
      </c>
      <c r="Y50" s="114"/>
      <c r="Z50" s="114"/>
      <c r="AA50" s="114"/>
      <c r="AB50" s="114"/>
    </row>
    <row r="51" customFormat="false" ht="10.5" hidden="false" customHeight="true" outlineLevel="0" collapsed="false">
      <c r="B51" s="492" t="s">
        <v>451</v>
      </c>
      <c r="C51" s="493"/>
      <c r="D51" s="202" t="n">
        <f aca="false">SUMIF('Monthly Table'!$C$11:$C$244,YEAR('Operational Detail'!D$2),'Monthly Table'!$CC$11:$CC$244)</f>
        <v>0</v>
      </c>
      <c r="E51" s="202" t="n">
        <f aca="false">SUMIF('Monthly Table'!$C$11:$C$244,YEAR('Operational Detail'!E$2),'Monthly Table'!$CC$11:$CC$244)</f>
        <v>1789.76365787289</v>
      </c>
      <c r="F51" s="202" t="n">
        <f aca="false">SUMIF('Monthly Table'!$C$11:$C$244,YEAR('Operational Detail'!F$2),'Monthly Table'!$CC$11:$CC$244)</f>
        <v>1942.0551838602</v>
      </c>
      <c r="G51" s="202" t="n">
        <f aca="false">SUMIF('Monthly Table'!$C$11:$C$244,YEAR('Operational Detail'!G$2),'Monthly Table'!$CC$11:$CC$244)</f>
        <v>1893.41443768602</v>
      </c>
      <c r="H51" s="202" t="n">
        <f aca="false">IF(H10=0,0,SUMIF('Monthly Table'!$C$11:$C$244,YEAR('Operational Detail'!H$2),'Monthly Table'!$CC$11:$CC$244))</f>
        <v>1843.65837505042</v>
      </c>
      <c r="I51" s="202" t="n">
        <f aca="false">IF(I10=0,0,SUMIF('Monthly Table'!$C$11:$C$244,YEAR('Operational Detail'!I$2),'Monthly Table'!$CC$11:$CC$244))</f>
        <v>1802.64129561777</v>
      </c>
      <c r="J51" s="202" t="n">
        <f aca="false">IF(J10=0,0,SUMIF('Monthly Table'!$C$11:$C$244,YEAR('Operational Detail'!J$2),'Monthly Table'!$CC$11:$CC$244))</f>
        <v>1827.08825489832</v>
      </c>
      <c r="K51" s="202" t="n">
        <f aca="false">IF(K10=0,0,SUMIF('Monthly Table'!$C$11:$C$244,YEAR('Operational Detail'!K$2),'Monthly Table'!$CC$11:$CC$244))</f>
        <v>1613.21321152448</v>
      </c>
      <c r="L51" s="202" t="n">
        <f aca="false">IF(L10=0,0,SUMIF('Monthly Table'!$C$11:$C$244,YEAR('Operational Detail'!L$2),'Monthly Table'!$CC$11:$CC$244))</f>
        <v>1804.25038948254</v>
      </c>
      <c r="M51" s="202" t="n">
        <f aca="false">IF(M10=0,0,SUMIF('Monthly Table'!$C$11:$C$244,YEAR('Operational Detail'!M$2),'Monthly Table'!$CC$11:$CC$244))</f>
        <v>1594.57676822763</v>
      </c>
      <c r="N51" s="202" t="n">
        <f aca="false">IF(N10=0,0,SUMIF('Monthly Table'!$C$11:$C$244,YEAR('Operational Detail'!N$2),'Monthly Table'!$CC$11:$CC$244))</f>
        <v>1783.69883645095</v>
      </c>
      <c r="O51" s="202" t="n">
        <f aca="false">IF(O10=0,0,SUMIF('Monthly Table'!$C$11:$C$244,YEAR('Operational Detail'!O$2),'Monthly Table'!$CC$11:$CC$244))</f>
        <v>1772.35133715885</v>
      </c>
      <c r="P51" s="202" t="n">
        <f aca="false">IF(P10=0,0,SUMIF('Monthly Table'!$C$11:$C$244,YEAR('Operational Detail'!P$2),'Monthly Table'!$CC$11:$CC$244))</f>
        <v>1565.48683991288</v>
      </c>
      <c r="Q51" s="202" t="n">
        <f aca="false">IF(Q10=0,0,SUMIF('Monthly Table'!$C$11:$C$244,YEAR('Operational Detail'!Q$2),'Monthly Table'!$CC$11:$CC$244))</f>
        <v>1785.84894472222</v>
      </c>
      <c r="R51" s="202" t="n">
        <f aca="false">IF(R10=0,0,SUMIF('Monthly Table'!$C$11:$C$244,YEAR('Operational Detail'!R$2),'Monthly Table'!$CC$11:$CC$244))</f>
        <v>1774.85401423388</v>
      </c>
      <c r="S51" s="202" t="n">
        <f aca="false">IF(S10=0,0,SUMIF('Monthly Table'!$C$11:$C$244,YEAR('Operational Detail'!S$2),'Monthly Table'!$CC$11:$CC$244))</f>
        <v>1568.30610014951</v>
      </c>
      <c r="T51" s="202" t="n">
        <f aca="false">IF(T10=0,0,SUMIF('Monthly Table'!$C$11:$C$244,YEAR('Operational Detail'!T$2),'Monthly Table'!$CC$11:$CC$244))</f>
        <v>0</v>
      </c>
      <c r="U51" s="202" t="n">
        <f aca="false">IF(U10=0,0,SUMIF('Monthly Table'!$C$11:$C$244,YEAR('Operational Detail'!U$2),'Monthly Table'!$CC$11:$CC$244))</f>
        <v>0</v>
      </c>
      <c r="V51" s="202" t="n">
        <f aca="false">IF(V10=0,0,SUMIF('Monthly Table'!$C$11:$C$244,YEAR('Operational Detail'!V$2),'Monthly Table'!$CC$11:$CC$244))</f>
        <v>0</v>
      </c>
      <c r="W51" s="202" t="e">
        <f aca="false">IF(W10=0,0,SUMIF('Monthly Table'!$C$11:$C$244,YEAR('Operational Detail'!W$2),'Monthly Table'!$CC$11:$CC$244))</f>
        <v>#DIV/0!</v>
      </c>
      <c r="X51" s="202" t="e">
        <f aca="false">IF(X10=0,0,SUMIF('Monthly Table'!$C$11:$C$244,YEAR('Operational Detail'!X$2),'Monthly Table'!$CC$11:$CC$244))</f>
        <v>#DIV/0!</v>
      </c>
      <c r="Y51" s="114"/>
      <c r="Z51" s="114"/>
      <c r="AA51" s="114"/>
      <c r="AB51" s="114"/>
    </row>
    <row r="52" customFormat="false" ht="10.5" hidden="false" customHeight="true" outlineLevel="0" collapsed="false">
      <c r="B52" s="492" t="s">
        <v>452</v>
      </c>
      <c r="C52" s="493"/>
      <c r="D52" s="202" t="n">
        <f aca="false">SUMIF('Monthly Table'!$C$11:$C$244,YEAR('Operational Detail'!D$2),'Monthly Table'!$CF$11:$CF$244)</f>
        <v>0</v>
      </c>
      <c r="E52" s="202" t="n">
        <f aca="false">SUMIF('Monthly Table'!$C$11:$C$244,YEAR('Operational Detail'!E$2),'Monthly Table'!$CF$11:$CF$244)</f>
        <v>0</v>
      </c>
      <c r="F52" s="202" t="n">
        <f aca="false">SUMIF('Monthly Table'!$C$11:$C$244,YEAR('Operational Detail'!F$2),'Monthly Table'!$CF$11:$CF$244)</f>
        <v>0</v>
      </c>
      <c r="G52" s="202" t="n">
        <f aca="false">SUMIF('Monthly Table'!$C$11:$C$244,YEAR('Operational Detail'!G$2),'Monthly Table'!$CF$11:$CF$244)</f>
        <v>0</v>
      </c>
      <c r="H52" s="202" t="n">
        <f aca="false">SUMIF('Monthly Table'!$C$11:$C$244,YEAR('Operational Detail'!H$2),'Monthly Table'!$CF$11:$CF$244)</f>
        <v>0</v>
      </c>
      <c r="I52" s="202" t="n">
        <f aca="false">SUMIF('Monthly Table'!$C$11:$C$244,YEAR('Operational Detail'!I$2),'Monthly Table'!$CF$11:$CF$244)</f>
        <v>0</v>
      </c>
      <c r="J52" s="202" t="n">
        <f aca="false">SUMIF('Monthly Table'!$C$11:$C$244,YEAR('Operational Detail'!J$2),'Monthly Table'!$CF$11:$CF$244)</f>
        <v>0</v>
      </c>
      <c r="K52" s="202" t="n">
        <f aca="false">SUMIF('Monthly Table'!$C$11:$C$244,YEAR('Operational Detail'!K$2),'Monthly Table'!$CF$11:$CF$244)</f>
        <v>0</v>
      </c>
      <c r="L52" s="202" t="n">
        <f aca="false">SUMIF('Monthly Table'!$C$11:$C$244,YEAR('Operational Detail'!L$2),'Monthly Table'!$CF$11:$CF$244)</f>
        <v>0</v>
      </c>
      <c r="M52" s="202" t="n">
        <f aca="false">SUMIF('Monthly Table'!$C$11:$C$244,YEAR('Operational Detail'!M$2),'Monthly Table'!$CF$11:$CF$244)</f>
        <v>0</v>
      </c>
      <c r="N52" s="202" t="n">
        <f aca="false">SUMIF('Monthly Table'!$C$11:$C$244,YEAR('Operational Detail'!N$2),'Monthly Table'!$CF$11:$CF$244)</f>
        <v>0</v>
      </c>
      <c r="O52" s="202" t="n">
        <f aca="false">SUMIF('Monthly Table'!$C$11:$C$244,YEAR('Operational Detail'!O$2),'Monthly Table'!$CF$11:$CF$244)</f>
        <v>0</v>
      </c>
      <c r="P52" s="202" t="n">
        <f aca="false">SUMIF('Monthly Table'!$C$11:$C$244,YEAR('Operational Detail'!P$2),'Monthly Table'!$CF$11:$CF$244)</f>
        <v>0</v>
      </c>
      <c r="Q52" s="202" t="n">
        <f aca="false">SUMIF('Monthly Table'!$C$11:$C$244,YEAR('Operational Detail'!Q$2),'Monthly Table'!$CF$11:$CF$244)</f>
        <v>0</v>
      </c>
      <c r="R52" s="202" t="n">
        <f aca="false">SUMIF('Monthly Table'!$C$11:$C$244,YEAR('Operational Detail'!R$2),'Monthly Table'!$CF$11:$CF$244)</f>
        <v>0</v>
      </c>
      <c r="S52" s="202" t="n">
        <f aca="false">SUMIF('Monthly Table'!$C$11:$C$244,YEAR('Operational Detail'!S$2),'Monthly Table'!$CF$11:$CF$244)</f>
        <v>0</v>
      </c>
      <c r="T52" s="202" t="n">
        <f aca="false">SUMIF('Monthly Table'!$C$11:$C$244,YEAR('Operational Detail'!T$2),'Monthly Table'!$CF$11:$CF$244)</f>
        <v>0</v>
      </c>
      <c r="U52" s="202" t="n">
        <f aca="false">SUMIF('Monthly Table'!$C$11:$C$244,YEAR('Operational Detail'!U$2),'Monthly Table'!$CF$11:$CF$244)</f>
        <v>0</v>
      </c>
      <c r="V52" s="202" t="n">
        <f aca="false">SUMIF('Monthly Table'!$C$11:$C$244,YEAR('Operational Detail'!V$2),'Monthly Table'!$CF$11:$CF$244)</f>
        <v>0</v>
      </c>
      <c r="W52" s="202" t="e">
        <f aca="false">SUMIF('Monthly Table'!$C$11:$C$244,YEAR('Operational Detail'!W$2),'Monthly Table'!$CF$11:$CF$244)</f>
        <v>#DIV/0!</v>
      </c>
      <c r="X52" s="202" t="e">
        <f aca="false">SUMIF('Monthly Table'!$C$11:$C$244,YEAR('Operational Detail'!X$2),'Monthly Table'!$CF$11:$CF$244)</f>
        <v>#DIV/0!</v>
      </c>
      <c r="Y52" s="114"/>
      <c r="Z52" s="114"/>
      <c r="AA52" s="114"/>
      <c r="AB52" s="114"/>
    </row>
    <row r="53" customFormat="false" ht="10.5" hidden="false" customHeight="true" outlineLevel="0" collapsed="false">
      <c r="B53" s="492" t="s">
        <v>453</v>
      </c>
      <c r="C53" s="493"/>
      <c r="D53" s="202" t="n">
        <f aca="false">SUMIF('Monthly Table'!$C$11:$C$244,YEAR('Operational Detail'!D$2),'Monthly Table'!$CJ$11:$CJ$244)</f>
        <v>0</v>
      </c>
      <c r="E53" s="202" t="n">
        <f aca="false">SUMIF('Monthly Table'!$C$11:$C$244,YEAR('Operational Detail'!E$2),'Monthly Table'!$CJ$11:$CJ$244)</f>
        <v>1981.66153518635</v>
      </c>
      <c r="F53" s="202" t="n">
        <f aca="false">SUMIF('Monthly Table'!$C$11:$C$244,YEAR('Operational Detail'!F$2),'Monthly Table'!$CJ$11:$CJ$244)</f>
        <v>1720.25040861551</v>
      </c>
      <c r="G53" s="202" t="n">
        <f aca="false">SUMIF('Monthly Table'!$C$11:$C$244,YEAR('Operational Detail'!G$2),'Monthly Table'!$CJ$11:$CJ$244)</f>
        <v>1863.43419098438</v>
      </c>
      <c r="H53" s="202" t="n">
        <f aca="false">SUMIF('Monthly Table'!$C$11:$C$244,YEAR('Operational Detail'!H$2),'Monthly Table'!$CJ$11:$CJ$244)</f>
        <v>1814.27980822201</v>
      </c>
      <c r="I53" s="202" t="n">
        <f aca="false">SUMIF('Monthly Table'!$C$11:$C$244,YEAR('Operational Detail'!I$2),'Monthly Table'!$CJ$11:$CJ$244)</f>
        <v>1774.0912612486</v>
      </c>
      <c r="J53" s="202" t="n">
        <f aca="false">SUMIF('Monthly Table'!$C$11:$C$244,YEAR('Operational Detail'!J$2),'Monthly Table'!$CJ$11:$CJ$244)</f>
        <v>1798.15086652468</v>
      </c>
      <c r="K53" s="202" t="n">
        <f aca="false">SUMIF('Monthly Table'!$C$11:$C$244,YEAR('Operational Detail'!K$2),'Monthly Table'!$CJ$11:$CJ$244)</f>
        <v>1786.18098299049</v>
      </c>
      <c r="L53" s="202" t="n">
        <f aca="false">SUMIF('Monthly Table'!$C$11:$C$244,YEAR('Operational Detail'!L$2),'Monthly Table'!$CJ$11:$CJ$244)</f>
        <v>1775.67658846609</v>
      </c>
      <c r="M53" s="202" t="n">
        <f aca="false">SUMIF('Monthly Table'!$C$11:$C$244,YEAR('Operational Detail'!M$2),'Monthly Table'!$CJ$11:$CJ$244)</f>
        <v>1765.56330099291</v>
      </c>
      <c r="N53" s="202" t="n">
        <f aca="false">SUMIF('Monthly Table'!$C$11:$C$244,YEAR('Operational Detail'!N$2),'Monthly Table'!$CJ$11:$CJ$244)</f>
        <v>1755.32039715704</v>
      </c>
      <c r="O53" s="202" t="n">
        <f aca="false">SUMIF('Monthly Table'!$C$11:$C$244,YEAR('Operational Detail'!O$2),'Monthly Table'!$CJ$11:$CJ$244)</f>
        <v>1744.26947340382</v>
      </c>
      <c r="P53" s="202" t="n">
        <f aca="false">SUMIF('Monthly Table'!$C$11:$C$244,YEAR('Operational Detail'!P$2),'Monthly Table'!$CJ$11:$CJ$244)</f>
        <v>0</v>
      </c>
      <c r="Q53" s="202" t="n">
        <f aca="false">SUMIF('Monthly Table'!$C$11:$C$244,YEAR('Operational Detail'!Q$2),'Monthly Table'!$CJ$11:$CJ$244)</f>
        <v>0</v>
      </c>
      <c r="R53" s="202" t="n">
        <f aca="false">SUMIF('Monthly Table'!$C$11:$C$244,YEAR('Operational Detail'!R$2),'Monthly Table'!$CJ$11:$CJ$244)</f>
        <v>0</v>
      </c>
      <c r="S53" s="202" t="n">
        <f aca="false">SUMIF('Monthly Table'!$C$11:$C$244,YEAR('Operational Detail'!S$2),'Monthly Table'!$CJ$11:$CJ$244)</f>
        <v>0</v>
      </c>
      <c r="T53" s="202" t="n">
        <f aca="false">SUMIF('Monthly Table'!$C$11:$C$244,YEAR('Operational Detail'!T$2),'Monthly Table'!$CJ$11:$CJ$244)</f>
        <v>5379.62180344061</v>
      </c>
      <c r="U53" s="202" t="n">
        <f aca="false">SUMIF('Monthly Table'!$C$11:$C$244,YEAR('Operational Detail'!U$2),'Monthly Table'!$CJ$11:$CJ$244)</f>
        <v>5411.21218554882</v>
      </c>
      <c r="V53" s="202" t="n">
        <f aca="false">SUMIF('Monthly Table'!$C$11:$C$244,YEAR('Operational Detail'!V$2),'Monthly Table'!$CJ$11:$CJ$244)</f>
        <v>4404.70324205983</v>
      </c>
      <c r="W53" s="202" t="e">
        <f aca="false">SUMIF('Monthly Table'!$C$11:$C$244,YEAR('Operational Detail'!W$2),'Monthly Table'!$CJ$11:$CJ$244)</f>
        <v>#DIV/0!</v>
      </c>
      <c r="X53" s="202" t="e">
        <f aca="false">SUMIF('Monthly Table'!$C$11:$C$244,YEAR('Operational Detail'!X$2),'Monthly Table'!$CJ$11:$CJ$244)</f>
        <v>#DIV/0!</v>
      </c>
      <c r="Y53" s="114"/>
      <c r="Z53" s="114"/>
      <c r="AA53" s="114"/>
      <c r="AB53" s="114"/>
    </row>
    <row r="54" customFormat="false" ht="10.5" hidden="false" customHeight="true" outlineLevel="0" collapsed="false">
      <c r="B54" s="493"/>
      <c r="C54" s="493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14"/>
      <c r="Z54" s="114"/>
      <c r="AA54" s="114"/>
      <c r="AB54" s="114"/>
    </row>
    <row r="55" customFormat="false" ht="10.5" hidden="false" customHeight="true" outlineLevel="0" collapsed="false">
      <c r="B55" s="192" t="s">
        <v>454</v>
      </c>
      <c r="C55" s="493"/>
      <c r="D55" s="499" t="n">
        <f aca="false">SUM(D49:D54)</f>
        <v>0</v>
      </c>
      <c r="E55" s="499" t="n">
        <f aca="false">SUM(E49:E54)</f>
        <v>44971.9609725701</v>
      </c>
      <c r="F55" s="499" t="n">
        <f aca="false">SUM(F49:F54)</f>
        <v>38479.215035156</v>
      </c>
      <c r="G55" s="499" t="n">
        <f aca="false">SUM(G49:G54)</f>
        <v>34480.412579032</v>
      </c>
      <c r="H55" s="499" t="n">
        <f aca="false">SUM(H49:H54)</f>
        <v>28103.9317385688</v>
      </c>
      <c r="I55" s="499" t="n">
        <f aca="false">SUM(I49:I54)</f>
        <v>26530.7650664104</v>
      </c>
      <c r="J55" s="499" t="n">
        <f aca="false">SUM(J49:J54)</f>
        <v>27747.4087298757</v>
      </c>
      <c r="K55" s="499" t="n">
        <f aca="false">SUM(K49:K54)</f>
        <v>28395.2996465163</v>
      </c>
      <c r="L55" s="499" t="n">
        <f aca="false">SUM(L49:L54)</f>
        <v>28832.3515207734</v>
      </c>
      <c r="M55" s="499" t="n">
        <f aca="false">SUM(M49:M54)</f>
        <v>30047.3710771413</v>
      </c>
      <c r="N55" s="499" t="n">
        <f aca="false">SUM(N49:N54)</f>
        <v>30440.3454946286</v>
      </c>
      <c r="O55" s="499" t="n">
        <f aca="false">SUM(O49:O54)</f>
        <v>31080.507836907</v>
      </c>
      <c r="P55" s="499" t="n">
        <f aca="false">SUM(P49:P54)</f>
        <v>30022.8850421768</v>
      </c>
      <c r="Q55" s="499" t="n">
        <f aca="false">SUM(Q49:Q54)</f>
        <v>31210.3193973607</v>
      </c>
      <c r="R55" s="499" t="n">
        <f aca="false">SUM(R49:R54)</f>
        <v>31599.054003339</v>
      </c>
      <c r="S55" s="499" t="n">
        <f aca="false">SUM(S49:S54)</f>
        <v>32901.7091494037</v>
      </c>
      <c r="T55" s="499" t="n">
        <f aca="false">SUM(T49:T54)</f>
        <v>5379.62180344061</v>
      </c>
      <c r="U55" s="499" t="n">
        <f aca="false">SUM(U49:U54)</f>
        <v>5411.21218554882</v>
      </c>
      <c r="V55" s="499" t="n">
        <f aca="false">SUM(V49:V54)</f>
        <v>4404.70324205983</v>
      </c>
      <c r="W55" s="499" t="e">
        <f aca="false">SUM(W49:W54)</f>
        <v>#DIV/0!</v>
      </c>
      <c r="X55" s="499" t="e">
        <f aca="false">SUM(X49:X54)</f>
        <v>#DIV/0!</v>
      </c>
      <c r="Y55" s="202"/>
      <c r="Z55" s="202"/>
      <c r="AA55" s="202"/>
      <c r="AB55" s="202"/>
    </row>
    <row r="56" customFormat="false" ht="10.5" hidden="false" customHeight="true" outlineLevel="0" collapsed="false">
      <c r="B56" s="493"/>
      <c r="C56" s="493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14"/>
      <c r="Z56" s="114"/>
      <c r="AA56" s="114"/>
      <c r="AB56" s="114"/>
    </row>
    <row r="57" customFormat="false" ht="10.5" hidden="false" customHeight="true" outlineLevel="0" collapsed="false">
      <c r="B57" s="493"/>
      <c r="C57" s="493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14"/>
      <c r="Z57" s="114"/>
      <c r="AA57" s="114"/>
      <c r="AB57" s="114"/>
    </row>
    <row r="58" customFormat="false" ht="10.5" hidden="false" customHeight="true" outlineLevel="0" collapsed="false">
      <c r="B58" s="492" t="s">
        <v>455</v>
      </c>
      <c r="C58" s="493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14"/>
      <c r="Z58" s="114"/>
      <c r="AA58" s="114"/>
      <c r="AB58" s="114"/>
    </row>
    <row r="59" customFormat="false" ht="10.5" hidden="false" customHeight="true" outlineLevel="0" collapsed="false">
      <c r="B59" s="493" t="s">
        <v>456</v>
      </c>
      <c r="C59" s="493"/>
      <c r="D59" s="498" t="n">
        <f aca="false">Assumptions!$B$49</f>
        <v>0</v>
      </c>
      <c r="E59" s="498" t="n">
        <f aca="false">Assumptions!$B$49</f>
        <v>0</v>
      </c>
      <c r="F59" s="498" t="n">
        <f aca="false">Assumptions!$B$49</f>
        <v>0</v>
      </c>
      <c r="G59" s="498" t="n">
        <f aca="false">Assumptions!$B$49</f>
        <v>0</v>
      </c>
      <c r="H59" s="498" t="n">
        <f aca="false">Assumptions!$B$49</f>
        <v>0</v>
      </c>
      <c r="I59" s="498" t="n">
        <f aca="false">Assumptions!$B$49</f>
        <v>0</v>
      </c>
      <c r="J59" s="498" t="n">
        <f aca="false">Assumptions!$B$49</f>
        <v>0</v>
      </c>
      <c r="K59" s="498" t="n">
        <f aca="false">Assumptions!$B$49</f>
        <v>0</v>
      </c>
      <c r="L59" s="498" t="n">
        <f aca="false">Assumptions!$B$49</f>
        <v>0</v>
      </c>
      <c r="M59" s="498" t="n">
        <f aca="false">Assumptions!$B$49</f>
        <v>0</v>
      </c>
      <c r="N59" s="498" t="n">
        <f aca="false">Assumptions!$B$49</f>
        <v>0</v>
      </c>
      <c r="O59" s="498" t="n">
        <f aca="false">Assumptions!$B$49</f>
        <v>0</v>
      </c>
      <c r="P59" s="498" t="n">
        <f aca="false">Assumptions!$B$49</f>
        <v>0</v>
      </c>
      <c r="Q59" s="498" t="n">
        <f aca="false">Assumptions!$B$49</f>
        <v>0</v>
      </c>
      <c r="R59" s="498" t="n">
        <f aca="false">Assumptions!$B$49</f>
        <v>0</v>
      </c>
      <c r="S59" s="498" t="n">
        <f aca="false">Assumptions!$B$49</f>
        <v>0</v>
      </c>
      <c r="T59" s="498" t="n">
        <f aca="false">Assumptions!$B$49</f>
        <v>0</v>
      </c>
      <c r="U59" s="498" t="n">
        <f aca="false">Assumptions!$B$49</f>
        <v>0</v>
      </c>
      <c r="V59" s="498" t="n">
        <f aca="false">Assumptions!$B$49</f>
        <v>0</v>
      </c>
      <c r="W59" s="498" t="n">
        <f aca="false">Assumptions!$B$49</f>
        <v>0</v>
      </c>
      <c r="X59" s="498" t="n">
        <f aca="false">Assumptions!$B$49</f>
        <v>0</v>
      </c>
      <c r="Y59" s="114"/>
      <c r="Z59" s="114"/>
      <c r="AA59" s="114"/>
      <c r="AB59" s="114"/>
    </row>
    <row r="60" customFormat="false" ht="10.5" hidden="false" customHeight="true" outlineLevel="0" collapsed="false">
      <c r="B60" s="493"/>
      <c r="C60" s="493"/>
      <c r="D60" s="500" t="n">
        <f aca="false">(D21*D59)/1000</f>
        <v>0</v>
      </c>
      <c r="E60" s="500" t="n">
        <f aca="false">(E21*E59)/1000</f>
        <v>0</v>
      </c>
      <c r="F60" s="500" t="n">
        <f aca="false">(F21*F59)/1000</f>
        <v>0</v>
      </c>
      <c r="G60" s="500" t="n">
        <f aca="false">(G21*G59)/1000</f>
        <v>0</v>
      </c>
      <c r="H60" s="500" t="n">
        <f aca="false">(H21*H59)/1000</f>
        <v>0</v>
      </c>
      <c r="I60" s="500" t="n">
        <f aca="false">(I21*I59)/1000</f>
        <v>0</v>
      </c>
      <c r="J60" s="500" t="n">
        <f aca="false">(J21*J59)/1000</f>
        <v>0</v>
      </c>
      <c r="K60" s="500" t="n">
        <f aca="false">(K21*K59)/1000</f>
        <v>0</v>
      </c>
      <c r="L60" s="500" t="n">
        <f aca="false">(L21*L59)/1000</f>
        <v>0</v>
      </c>
      <c r="M60" s="500" t="n">
        <f aca="false">(M21*M59)/1000</f>
        <v>0</v>
      </c>
      <c r="N60" s="500" t="n">
        <f aca="false">(N21*N59)/1000</f>
        <v>0</v>
      </c>
      <c r="O60" s="500" t="n">
        <f aca="false">(O21*O59)/1000</f>
        <v>0</v>
      </c>
      <c r="P60" s="500" t="n">
        <f aca="false">(P21*P59)/1000</f>
        <v>0</v>
      </c>
      <c r="Q60" s="500" t="n">
        <f aca="false">(Q21*Q59)/1000</f>
        <v>0</v>
      </c>
      <c r="R60" s="500" t="n">
        <f aca="false">(R21*R59)/1000</f>
        <v>0</v>
      </c>
      <c r="S60" s="500" t="n">
        <f aca="false">(S21*S59)/1000</f>
        <v>0</v>
      </c>
      <c r="T60" s="500" t="n">
        <f aca="false">(T21*T59)/1000</f>
        <v>0</v>
      </c>
      <c r="U60" s="500" t="n">
        <f aca="false">(U21*U59)/1000</f>
        <v>0</v>
      </c>
      <c r="V60" s="500" t="n">
        <f aca="false">(V21*V59)/1000</f>
        <v>0</v>
      </c>
      <c r="W60" s="500" t="n">
        <f aca="false">(W21*W59)/1000</f>
        <v>0</v>
      </c>
      <c r="X60" s="500" t="n">
        <f aca="false">(X21*X59)/1000</f>
        <v>0</v>
      </c>
      <c r="Y60" s="114"/>
      <c r="Z60" s="114"/>
      <c r="AA60" s="114"/>
      <c r="AB60" s="114"/>
    </row>
    <row r="61" customFormat="false" ht="10.5" hidden="false" customHeight="true" outlineLevel="0" collapsed="false">
      <c r="B61" s="493"/>
      <c r="C61" s="493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14"/>
      <c r="Z61" s="114"/>
      <c r="AA61" s="114"/>
      <c r="AB61" s="114"/>
    </row>
    <row r="62" customFormat="false" ht="10.5" hidden="false" customHeight="true" outlineLevel="0" collapsed="false">
      <c r="B62" s="493"/>
      <c r="C62" s="493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14"/>
      <c r="Z62" s="114"/>
      <c r="AA62" s="114"/>
      <c r="AB62" s="114"/>
    </row>
    <row r="63" customFormat="false" ht="10.5" hidden="false" customHeight="true" outlineLevel="0" collapsed="false">
      <c r="A63" s="112"/>
      <c r="B63" s="153" t="s">
        <v>457</v>
      </c>
      <c r="C63" s="495"/>
      <c r="D63" s="202" t="n">
        <f aca="false">Assumptions!$B$53*'Operational Detail'!D26</f>
        <v>14484.1975689983</v>
      </c>
      <c r="E63" s="202" t="n">
        <f aca="false">Assumptions!$B$53*'Operational Detail'!E26</f>
        <v>14371.1123864166</v>
      </c>
      <c r="F63" s="202" t="n">
        <f aca="false">Assumptions!$B$53*'Operational Detail'!F26</f>
        <v>14262.5625574583</v>
      </c>
      <c r="G63" s="202" t="n">
        <f aca="false">Assumptions!$B$53*'Operational Detail'!G26</f>
        <v>14140.7427747014</v>
      </c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114"/>
      <c r="Z63" s="114"/>
      <c r="AA63" s="114"/>
      <c r="AB63" s="114"/>
    </row>
    <row r="64" customFormat="false" ht="10.5" hidden="false" customHeight="true" outlineLevel="0" collapsed="false">
      <c r="A64" s="112"/>
      <c r="B64" s="153" t="s">
        <v>458</v>
      </c>
      <c r="C64" s="495"/>
      <c r="D64" s="501" t="n">
        <v>0</v>
      </c>
      <c r="E64" s="501" t="n">
        <f aca="false">Assumptions!$B$52</f>
        <v>0</v>
      </c>
      <c r="F64" s="501" t="n">
        <f aca="false">Assumptions!$B$52</f>
        <v>0</v>
      </c>
      <c r="G64" s="501" t="n">
        <f aca="false">Assumptions!$B$52</f>
        <v>0</v>
      </c>
      <c r="H64" s="501"/>
      <c r="I64" s="501"/>
      <c r="J64" s="501"/>
      <c r="K64" s="501"/>
      <c r="L64" s="501"/>
      <c r="M64" s="501"/>
      <c r="N64" s="501"/>
      <c r="O64" s="501"/>
      <c r="P64" s="501"/>
      <c r="Q64" s="501"/>
      <c r="R64" s="501"/>
      <c r="S64" s="501"/>
      <c r="T64" s="501"/>
      <c r="U64" s="501"/>
      <c r="V64" s="501"/>
      <c r="W64" s="501"/>
      <c r="X64" s="501"/>
      <c r="Y64" s="114"/>
      <c r="Z64" s="114"/>
      <c r="AA64" s="114"/>
      <c r="AB64" s="114"/>
    </row>
    <row r="65" customFormat="false" ht="10.5" hidden="false" customHeight="true" outlineLevel="0" collapsed="false">
      <c r="A65" s="112"/>
      <c r="B65" s="495"/>
      <c r="C65" s="495"/>
      <c r="D65" s="502" t="n">
        <f aca="false">(D63*D64*D6)/1000</f>
        <v>0</v>
      </c>
      <c r="E65" s="502" t="n">
        <f aca="false">(E63*E64*E6)/1000</f>
        <v>0</v>
      </c>
      <c r="F65" s="502" t="n">
        <f aca="false">(F63*F64*F6)/1000</f>
        <v>0</v>
      </c>
      <c r="G65" s="502" t="n">
        <f aca="false">(G63*G64*G6)/1000</f>
        <v>0</v>
      </c>
      <c r="H65" s="502" t="n">
        <f aca="false">(H63*H64*H6)/1000</f>
        <v>0</v>
      </c>
      <c r="I65" s="502" t="n">
        <f aca="false">(I63*I64*I6)/1000</f>
        <v>0</v>
      </c>
      <c r="J65" s="502" t="n">
        <f aca="false">(J63*J64*J6)/1000</f>
        <v>0</v>
      </c>
      <c r="K65" s="502" t="n">
        <f aca="false">(K63*K64*K6)/1000</f>
        <v>0</v>
      </c>
      <c r="L65" s="502" t="n">
        <f aca="false">(L63*L64*L6)/1000</f>
        <v>0</v>
      </c>
      <c r="M65" s="502" t="n">
        <f aca="false">(M63*M64*M6)/1000</f>
        <v>0</v>
      </c>
      <c r="N65" s="502" t="n">
        <f aca="false">(N63*N64*N6)/1000</f>
        <v>0</v>
      </c>
      <c r="O65" s="502" t="n">
        <f aca="false">(O63*O64*O6)/1000</f>
        <v>0</v>
      </c>
      <c r="P65" s="502" t="n">
        <f aca="false">(P63*P64*P6)/1000</f>
        <v>0</v>
      </c>
      <c r="Q65" s="502" t="n">
        <f aca="false">(Q63*Q64*Q6)/1000</f>
        <v>0</v>
      </c>
      <c r="R65" s="502" t="n">
        <f aca="false">(R63*R64*R6)/1000</f>
        <v>0</v>
      </c>
      <c r="S65" s="502" t="n">
        <f aca="false">(S63*S64*S6)/1000</f>
        <v>0</v>
      </c>
      <c r="T65" s="502" t="n">
        <f aca="false">IF(Tables!$B$21=15,0,(T63*T64*T6)/1000)</f>
        <v>0</v>
      </c>
      <c r="U65" s="502" t="n">
        <f aca="false">IF(Tables!$B$21=15,0,(U63*U64*U6)/1000)</f>
        <v>0</v>
      </c>
      <c r="V65" s="502" t="n">
        <f aca="false">IF(Tables!$B$21=15,0,(V63*V64*V6)/1000)</f>
        <v>0</v>
      </c>
      <c r="W65" s="502" t="n">
        <f aca="false">IF(Tables!$B$21=15,0,(W63*W64*W6)/1000)</f>
        <v>0</v>
      </c>
      <c r="X65" s="502" t="n">
        <f aca="false">IF(Tables!$B$21=15,0,(X63*X64*X6)/1000)</f>
        <v>0</v>
      </c>
      <c r="Y65" s="114"/>
      <c r="Z65" s="114"/>
      <c r="AA65" s="114"/>
      <c r="AB65" s="114"/>
    </row>
    <row r="66" customFormat="false" ht="10.5" hidden="false" customHeight="true" outlineLevel="0" collapsed="false">
      <c r="B66" s="493"/>
      <c r="C66" s="493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14"/>
      <c r="Z66" s="114"/>
      <c r="AA66" s="114"/>
      <c r="AB66" s="114"/>
    </row>
    <row r="67" customFormat="false" ht="10.5" hidden="false" customHeight="true" outlineLevel="0" collapsed="false">
      <c r="B67" s="192" t="s">
        <v>459</v>
      </c>
      <c r="C67" s="493"/>
      <c r="D67" s="503" t="n">
        <f aca="false">D55+D60+D65</f>
        <v>0</v>
      </c>
      <c r="E67" s="503" t="n">
        <f aca="false">E55+E60+E65</f>
        <v>44971.9609725701</v>
      </c>
      <c r="F67" s="503" t="n">
        <f aca="false">F55+F60+F65</f>
        <v>38479.215035156</v>
      </c>
      <c r="G67" s="503" t="n">
        <f aca="false">G55+G60+G65</f>
        <v>34480.412579032</v>
      </c>
      <c r="H67" s="503" t="n">
        <f aca="false">H55+H60+H65</f>
        <v>28103.9317385688</v>
      </c>
      <c r="I67" s="503" t="n">
        <f aca="false">I55+I60+I65</f>
        <v>26530.7650664104</v>
      </c>
      <c r="J67" s="503" t="n">
        <f aca="false">J55+J60+J65</f>
        <v>27747.4087298757</v>
      </c>
      <c r="K67" s="503" t="n">
        <f aca="false">K55+K60+K65</f>
        <v>28395.2996465163</v>
      </c>
      <c r="L67" s="503" t="n">
        <f aca="false">L55+L60+L65</f>
        <v>28832.3515207734</v>
      </c>
      <c r="M67" s="503" t="n">
        <f aca="false">M55+M60+M65</f>
        <v>30047.3710771413</v>
      </c>
      <c r="N67" s="503" t="n">
        <f aca="false">N55+N60+N65</f>
        <v>30440.3454946286</v>
      </c>
      <c r="O67" s="503" t="n">
        <f aca="false">O55+O60+O65</f>
        <v>31080.507836907</v>
      </c>
      <c r="P67" s="503" t="n">
        <f aca="false">P55+P60+P65</f>
        <v>30022.8850421768</v>
      </c>
      <c r="Q67" s="503" t="n">
        <f aca="false">Q55+Q60+Q65</f>
        <v>31210.3193973607</v>
      </c>
      <c r="R67" s="503" t="n">
        <f aca="false">R55+R60+R65</f>
        <v>31599.054003339</v>
      </c>
      <c r="S67" s="503" t="n">
        <f aca="false">S55+S60+S65</f>
        <v>32901.7091494037</v>
      </c>
      <c r="T67" s="503" t="n">
        <f aca="false">T55+T60+T65</f>
        <v>5379.62180344061</v>
      </c>
      <c r="U67" s="503" t="n">
        <f aca="false">U55+U60+U65</f>
        <v>5411.21218554882</v>
      </c>
      <c r="V67" s="503" t="n">
        <f aca="false">V55+V60+V65</f>
        <v>4404.70324205983</v>
      </c>
      <c r="W67" s="503" t="e">
        <f aca="false">W55+W60+W65</f>
        <v>#DIV/0!</v>
      </c>
      <c r="X67" s="503" t="e">
        <f aca="false">X55+X60+X65</f>
        <v>#DIV/0!</v>
      </c>
      <c r="Y67" s="114"/>
      <c r="Z67" s="114"/>
      <c r="AA67" s="114"/>
      <c r="AB67" s="114"/>
    </row>
    <row r="68" customFormat="false" ht="10.5" hidden="false" customHeight="true" outlineLevel="0" collapsed="false">
      <c r="B68" s="493"/>
      <c r="C68" s="493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14"/>
      <c r="Z68" s="114"/>
      <c r="AA68" s="114"/>
      <c r="AB68" s="114"/>
    </row>
    <row r="69" customFormat="false" ht="10.5" hidden="false" customHeight="true" outlineLevel="0" collapsed="false">
      <c r="B69" s="492" t="s">
        <v>460</v>
      </c>
      <c r="C69" s="493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14"/>
      <c r="Z69" s="114"/>
      <c r="AA69" s="114"/>
      <c r="AB69" s="114"/>
    </row>
    <row r="70" customFormat="false" ht="10.5" hidden="false" customHeight="true" outlineLevel="0" collapsed="false">
      <c r="B70" s="493" t="s">
        <v>461</v>
      </c>
      <c r="C70" s="493"/>
      <c r="D70" s="202" t="n">
        <f aca="false">IF(D21=0,0,IF(Assumptions!$B$47="Yes",SUMIF('Monthly Table'!$C$11:$C$244,YEAR('Operational Detail'!D$2),'Monthly Table'!$AD$11:$AD$244)/1000,0))</f>
        <v>0</v>
      </c>
      <c r="E70" s="202" t="n">
        <f aca="false">IF(E21=0,0,IF(Assumptions!$B$47="Yes",SUMIF('Monthly Table'!$C$11:$C$244,YEAR('Operational Detail'!E$2),'Monthly Table'!$AD$11:$AD$244)/1000,0))</f>
        <v>3404.6300738322</v>
      </c>
      <c r="F70" s="202" t="n">
        <f aca="false">IF(F21=0,0,IF(Assumptions!$B$47="Yes",SUMIF('Monthly Table'!$C$11:$C$244,YEAR('Operational Detail'!F$2),'Monthly Table'!$AD$11:$AD$244)/1000,0))</f>
        <v>3490.99190668655</v>
      </c>
      <c r="G70" s="202" t="n">
        <f aca="false">IF(G21=0,0,IF(Assumptions!$B$47="Yes",SUMIF('Monthly Table'!$C$11:$C$244,YEAR('Operational Detail'!G$2),'Monthly Table'!$AD$11:$AD$244)/1000,0))</f>
        <v>3223.45143773882</v>
      </c>
      <c r="H70" s="202" t="n">
        <f aca="false">IF(H21=0,0,IF(Assumptions!$B$47="Yes",SUMIF('Monthly Table'!$C$11:$C$244,YEAR('Operational Detail'!H$2),'Monthly Table'!$AD$11:$AD$244)/1000,0))</f>
        <v>2388.87604867595</v>
      </c>
      <c r="I70" s="202" t="n">
        <f aca="false">IF(I21=0,0,IF(Assumptions!$B$47="Yes",SUMIF('Monthly Table'!$C$11:$C$244,YEAR('Operational Detail'!I$2),'Monthly Table'!$AD$11:$AD$244)/1000,0))</f>
        <v>1940.60258118073</v>
      </c>
      <c r="J70" s="202" t="n">
        <f aca="false">IF(J21=0,0,IF(Assumptions!$B$47="Yes",SUMIF('Monthly Table'!$C$11:$C$244,YEAR('Operational Detail'!J$2),'Monthly Table'!$AD$11:$AD$244)/1000,0))</f>
        <v>1850.66317679484</v>
      </c>
      <c r="K70" s="202" t="n">
        <f aca="false">IF(K21=0,0,IF(Assumptions!$B$47="Yes",SUMIF('Monthly Table'!$C$11:$C$244,YEAR('Operational Detail'!K$2),'Monthly Table'!$AD$11:$AD$244)/1000,0))</f>
        <v>1826.57228716379</v>
      </c>
      <c r="L70" s="202" t="n">
        <f aca="false">IF(L21=0,0,IF(Assumptions!$B$47="Yes",SUMIF('Monthly Table'!$C$11:$C$244,YEAR('Operational Detail'!L$2),'Monthly Table'!$AD$11:$AD$244)/1000,0))</f>
        <v>1093.98832302699</v>
      </c>
      <c r="M70" s="202" t="n">
        <f aca="false">IF(M21=0,0,IF(Assumptions!$B$47="Yes",SUMIF('Monthly Table'!$C$11:$C$244,YEAR('Operational Detail'!M$2),'Monthly Table'!$AD$11:$AD$244)/1000,0))</f>
        <v>976.146617287247</v>
      </c>
      <c r="N70" s="202" t="n">
        <f aca="false">IF(N21=0,0,IF(Assumptions!$B$47="Yes",SUMIF('Monthly Table'!$C$11:$C$244,YEAR('Operational Detail'!N$2),'Monthly Table'!$AD$11:$AD$244)/1000,0))</f>
        <v>1016.4296438508</v>
      </c>
      <c r="O70" s="202" t="n">
        <f aca="false">IF(O21=0,0,IF(Assumptions!$B$47="Yes",SUMIF('Monthly Table'!$C$11:$C$244,YEAR('Operational Detail'!O$2),'Monthly Table'!$AD$11:$AD$244)/1000,0))</f>
        <v>1024.92441199704</v>
      </c>
      <c r="P70" s="202" t="n">
        <f aca="false">IF(P21=0,0,IF(Assumptions!$B$47="Yes",SUMIF('Monthly Table'!$C$11:$C$244,YEAR('Operational Detail'!P$2),'Monthly Table'!$AD$11:$AD$244)/1000,0))</f>
        <v>992.039065439538</v>
      </c>
      <c r="Q70" s="202" t="n">
        <f aca="false">IF(Q21=0,0,IF(Assumptions!$B$47="Yes",SUMIF('Monthly Table'!$C$11:$C$244,YEAR('Operational Detail'!Q$2),'Monthly Table'!$AD$11:$AD$244)/1000,0))</f>
        <v>987.590468516159</v>
      </c>
      <c r="R70" s="202" t="n">
        <f aca="false">IF(R21=0,0,IF(Assumptions!$B$47="Yes",SUMIF('Monthly Table'!$C$11:$C$244,YEAR('Operational Detail'!R$2),'Monthly Table'!$AD$11:$AD$244)/1000,0))</f>
        <v>1056.67642396397</v>
      </c>
      <c r="S70" s="202" t="n">
        <f aca="false">IF(S21=0,0,IF(Assumptions!$B$47="Yes",SUMIF('Monthly Table'!$C$11:$C$244,YEAR('Operational Detail'!S$2),'Monthly Table'!$AD$11:$AD$244)/1000,0))</f>
        <v>995.601902430043</v>
      </c>
      <c r="T70" s="202" t="n">
        <f aca="false">IF(T21=0,0,IF(Assumptions!$B$47="Yes",SUMIF('Monthly Table'!$C$11:$C$244,YEAR('Operational Detail'!T$2),'Monthly Table'!$AD$11:$AD$244)/1000,0))</f>
        <v>0</v>
      </c>
      <c r="U70" s="202" t="n">
        <f aca="false">IF(U21=0,0,IF(Assumptions!$B$47="Yes",SUMIF('Monthly Table'!$C$11:$C$244,YEAR('Operational Detail'!U$2),'Monthly Table'!$AD$11:$AD$244)/1000,0))</f>
        <v>0</v>
      </c>
      <c r="V70" s="202" t="n">
        <f aca="false">IF(V21=0,0,IF(Assumptions!$B$47="Yes",SUMIF('Monthly Table'!$C$11:$C$244,YEAR('Operational Detail'!V$2),'Monthly Table'!$AD$11:$AD$244)/1000,0))</f>
        <v>0</v>
      </c>
      <c r="W70" s="202" t="n">
        <f aca="false">IF(W21=0,0,IF(Assumptions!$B$47="Yes",SUMIF('Monthly Table'!$C$11:$C$244,YEAR('Operational Detail'!W$2),'Monthly Table'!$AD$11:$AD$244)/1000,0))</f>
        <v>0</v>
      </c>
      <c r="X70" s="202" t="n">
        <f aca="false">IF(X21=0,0,IF(Assumptions!$B$47="Yes",SUMIF('Monthly Table'!$C$11:$C$244,YEAR('Operational Detail'!X$2),'Monthly Table'!$AD$11:$AD$244)/1000,0))</f>
        <v>0</v>
      </c>
      <c r="Y70" s="114"/>
      <c r="Z70" s="114"/>
      <c r="AA70" s="114"/>
      <c r="AB70" s="114"/>
    </row>
    <row r="71" customFormat="false" ht="10.5" hidden="false" customHeight="true" outlineLevel="0" collapsed="false">
      <c r="B71" s="493" t="s">
        <v>462</v>
      </c>
      <c r="C71" s="493"/>
      <c r="D71" s="499" t="n">
        <f aca="false">IF(D14=0,0,IF(Assumptions!$B$47="Yes",SUMIF('Monthly Table'!$C$11:$C$244,YEAR('Operational Detail'!D$2),'Monthly Table'!$AE$11:$AE$244)/1000,0))</f>
        <v>0</v>
      </c>
      <c r="E71" s="499" t="n">
        <f aca="false">IF(E14=0,0,IF(Assumptions!$B$47="Yes",SUMIF('Monthly Table'!$C$11:$C$244,YEAR('Operational Detail'!E$2),'Monthly Table'!$AE$11:$AE$244)/1000,0))</f>
        <v>4890.2202465738</v>
      </c>
      <c r="F71" s="499" t="n">
        <f aca="false">IF(F14=0,0,IF(Assumptions!$B$47="Yes",SUMIF('Monthly Table'!$C$11:$C$244,YEAR('Operational Detail'!F$2),'Monthly Table'!$AE$11:$AE$244)/1000,0))</f>
        <v>4977.76098126894</v>
      </c>
      <c r="G71" s="499" t="n">
        <f aca="false">IF(G14=0,0,IF(Assumptions!$B$47="Yes",SUMIF('Monthly Table'!$C$11:$C$244,YEAR('Operational Detail'!G$2),'Monthly Table'!$AE$11:$AE$244)/1000,0))</f>
        <v>4556.65969991739</v>
      </c>
      <c r="H71" s="499" t="n">
        <f aca="false">IF(H14=0,0,IF(Assumptions!$B$47="Yes",SUMIF('Monthly Table'!$C$11:$C$244,YEAR('Operational Detail'!H$2),'Monthly Table'!$AE$11:$AE$244)/1000,0))</f>
        <v>3343.41434524008</v>
      </c>
      <c r="I71" s="499" t="n">
        <f aca="false">IF(I14=0,0,IF(Assumptions!$B$47="Yes",SUMIF('Monthly Table'!$C$11:$C$244,YEAR('Operational Detail'!I$2),'Monthly Table'!$AE$11:$AE$244)/1000,0))</f>
        <v>2681.39761400188</v>
      </c>
      <c r="J71" s="499" t="n">
        <f aca="false">IF(J14=0,0,IF(Assumptions!$B$47="Yes",SUMIF('Monthly Table'!$C$11:$C$244,YEAR('Operational Detail'!J$2),'Monthly Table'!$AE$11:$AE$244)/1000,0))</f>
        <v>2532.99902740862</v>
      </c>
      <c r="K71" s="499" t="n">
        <f aca="false">IF(K14=0,0,IF(Assumptions!$B$47="Yes",SUMIF('Monthly Table'!$C$11:$C$244,YEAR('Operational Detail'!K$2),'Monthly Table'!$AE$11:$AE$244)/1000,0))</f>
        <v>2477.41116464088</v>
      </c>
      <c r="L71" s="499" t="n">
        <f aca="false">IF(L14=0,0,IF(Assumptions!$B$47="Yes",SUMIF('Monthly Table'!$C$11:$C$244,YEAR('Operational Detail'!L$2),'Monthly Table'!$AE$11:$AE$244)/1000,0))</f>
        <v>1471.70913506012</v>
      </c>
      <c r="M71" s="499" t="n">
        <f aca="false">IF(M14=0,0,IF(Assumptions!$B$47="Yes",SUMIF('Monthly Table'!$C$11:$C$244,YEAR('Operational Detail'!M$2),'Monthly Table'!$AE$11:$AE$244)/1000,0))</f>
        <v>1303.17721483674</v>
      </c>
      <c r="N71" s="499" t="n">
        <f aca="false">IF(N14=0,0,IF(Assumptions!$B$47="Yes",SUMIF('Monthly Table'!$C$11:$C$244,YEAR('Operational Detail'!N$2),'Monthly Table'!$AE$11:$AE$244)/1000,0))</f>
        <v>1346.85524539206</v>
      </c>
      <c r="O71" s="499" t="n">
        <f aca="false">IF(O14=0,0,IF(Assumptions!$B$47="Yes",SUMIF('Monthly Table'!$C$11:$C$244,YEAR('Operational Detail'!O$2),'Monthly Table'!$AE$11:$AE$244)/1000,0))</f>
        <v>1347.57465589324</v>
      </c>
      <c r="P71" s="499" t="n">
        <f aca="false">IF(P14=0,0,IF(Assumptions!$B$47="Yes",SUMIF('Monthly Table'!$C$11:$C$244,YEAR('Operational Detail'!P$2),'Monthly Table'!$AE$11:$AE$244)/1000,0))</f>
        <v>1294.45486009309</v>
      </c>
      <c r="Q71" s="499" t="n">
        <f aca="false">IF(Q14=0,0,IF(Assumptions!$B$47="Yes",SUMIF('Monthly Table'!$C$11:$C$244,YEAR('Operational Detail'!Q$2),'Monthly Table'!$AE$11:$AE$244)/1000,0))</f>
        <v>1279.10557353375</v>
      </c>
      <c r="R71" s="499" t="n">
        <f aca="false">IF(R14=0,0,IF(Assumptions!$B$47="Yes",SUMIF('Monthly Table'!$C$11:$C$244,YEAR('Operational Detail'!R$2),'Monthly Table'!$AE$11:$AE$244)/1000,0))</f>
        <v>1358.739993613</v>
      </c>
      <c r="S71" s="499" t="n">
        <f aca="false">IF(S14=0,0,IF(Assumptions!$B$47="Yes",SUMIF('Monthly Table'!$C$11:$C$244,YEAR('Operational Detail'!S$2),'Monthly Table'!$AE$11:$AE$244)/1000,0))</f>
        <v>1271.52133039969</v>
      </c>
      <c r="T71" s="499" t="n">
        <f aca="false">IF(T14=0,0,IF(Assumptions!$B$47="Yes",SUMIF('Monthly Table'!$C$11:$C$244,YEAR('Operational Detail'!T$2),'Monthly Table'!$AE$11:$AE$244)/1000,0))</f>
        <v>0</v>
      </c>
      <c r="U71" s="499" t="n">
        <f aca="false">IF(U14=0,0,IF(Assumptions!$B$47="Yes",SUMIF('Monthly Table'!$C$11:$C$244,YEAR('Operational Detail'!U$2),'Monthly Table'!$AE$11:$AE$244)/1000,0))</f>
        <v>0</v>
      </c>
      <c r="V71" s="499" t="n">
        <f aca="false">IF(V14=0,0,IF(Assumptions!$B$47="Yes",SUMIF('Monthly Table'!$C$11:$C$244,YEAR('Operational Detail'!V$2),'Monthly Table'!$AE$11:$AE$244)/1000,0))</f>
        <v>0</v>
      </c>
      <c r="W71" s="499" t="n">
        <f aca="false">IF(W14=0,0,IF(Assumptions!$B$47="Yes",SUMIF('Monthly Table'!$C$11:$C$244,YEAR('Operational Detail'!W$2),'Monthly Table'!$AE$11:$AE$244)/1000,0))</f>
        <v>0</v>
      </c>
      <c r="X71" s="499" t="n">
        <f aca="false">IF(X14=0,0,IF(Assumptions!$B$47="Yes",SUMIF('Monthly Table'!$C$11:$C$244,YEAR('Operational Detail'!X$2),'Monthly Table'!$AE$11:$AE$244)/1000,0))</f>
        <v>0</v>
      </c>
      <c r="Y71" s="114"/>
      <c r="Z71" s="114"/>
      <c r="AA71" s="114"/>
      <c r="AB71" s="114"/>
    </row>
    <row r="72" customFormat="false" ht="10.5" hidden="false" customHeight="true" outlineLevel="0" collapsed="false">
      <c r="B72" s="493"/>
      <c r="C72" s="493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14"/>
      <c r="Z72" s="114"/>
      <c r="AA72" s="114"/>
      <c r="AB72" s="114"/>
    </row>
    <row r="73" customFormat="false" ht="10.5" hidden="false" customHeight="true" outlineLevel="0" collapsed="false">
      <c r="B73" s="493"/>
      <c r="C73" s="493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14"/>
      <c r="Z73" s="114"/>
      <c r="AA73" s="114"/>
      <c r="AB73" s="114"/>
    </row>
    <row r="74" customFormat="false" ht="10.5" hidden="false" customHeight="true" outlineLevel="0" collapsed="false">
      <c r="B74" s="492" t="s">
        <v>463</v>
      </c>
      <c r="C74" s="493"/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14"/>
      <c r="Z74" s="114"/>
      <c r="AA74" s="114"/>
      <c r="AB74" s="114"/>
    </row>
    <row r="75" customFormat="false" ht="10.5" hidden="false" customHeight="true" outlineLevel="0" collapsed="false">
      <c r="B75" s="153" t="s">
        <v>464</v>
      </c>
      <c r="C75" s="493"/>
      <c r="D75" s="494" t="n">
        <f aca="false">Assumptions!$B$7</f>
        <v>312</v>
      </c>
      <c r="E75" s="494" t="n">
        <f aca="false">Assumptions!$B$7</f>
        <v>312</v>
      </c>
      <c r="F75" s="494" t="n">
        <f aca="false">Assumptions!$B$7</f>
        <v>312</v>
      </c>
      <c r="G75" s="494" t="n">
        <f aca="false">Assumptions!$B$7</f>
        <v>312</v>
      </c>
      <c r="H75" s="494" t="n">
        <f aca="false">Tables!$D$36</f>
        <v>312</v>
      </c>
      <c r="I75" s="494" t="n">
        <f aca="false">Tables!$D$36</f>
        <v>312</v>
      </c>
      <c r="J75" s="494" t="n">
        <f aca="false">Tables!$D$36</f>
        <v>312</v>
      </c>
      <c r="K75" s="494" t="n">
        <f aca="false">Tables!$D$36</f>
        <v>312</v>
      </c>
      <c r="L75" s="494" t="n">
        <f aca="false">Tables!$D$36</f>
        <v>312</v>
      </c>
      <c r="M75" s="494" t="n">
        <f aca="false">Tables!$D$36</f>
        <v>312</v>
      </c>
      <c r="N75" s="494" t="n">
        <f aca="false">Tables!$D$36</f>
        <v>312</v>
      </c>
      <c r="O75" s="494" t="n">
        <f aca="false">Tables!$D$36</f>
        <v>312</v>
      </c>
      <c r="P75" s="494" t="n">
        <f aca="false">Tables!$D$36</f>
        <v>312</v>
      </c>
      <c r="Q75" s="494" t="n">
        <f aca="false">Tables!$D$36</f>
        <v>312</v>
      </c>
      <c r="R75" s="494" t="n">
        <f aca="false">Tables!$D$36</f>
        <v>312</v>
      </c>
      <c r="S75" s="494" t="n">
        <f aca="false">Tables!$D$36</f>
        <v>312</v>
      </c>
      <c r="T75" s="494" t="n">
        <f aca="false">Tables!$D$36</f>
        <v>312</v>
      </c>
      <c r="U75" s="494" t="n">
        <f aca="false">Tables!$D$36</f>
        <v>312</v>
      </c>
      <c r="V75" s="494" t="n">
        <f aca="false">Tables!$D$36</f>
        <v>312</v>
      </c>
      <c r="W75" s="494" t="n">
        <f aca="false">Tables!$D$36</f>
        <v>312</v>
      </c>
      <c r="X75" s="494" t="n">
        <f aca="false">Tables!$D$36</f>
        <v>312</v>
      </c>
      <c r="Y75" s="304"/>
      <c r="Z75" s="304"/>
      <c r="AA75" s="304"/>
      <c r="AB75" s="304"/>
    </row>
    <row r="76" customFormat="false" ht="10.5" hidden="false" customHeight="true" outlineLevel="0" collapsed="false">
      <c r="B76" s="151" t="s">
        <v>465</v>
      </c>
      <c r="C76" s="493"/>
      <c r="D76" s="202" t="n">
        <f aca="false">SUMIF('Monthly Table'!$C:$C,YEAR('Operational Detail'!D$2),'Monthly Table'!$AA:$AA)</f>
        <v>0</v>
      </c>
      <c r="E76" s="202" t="n">
        <f aca="false">SUMIF('Monthly Table'!$C:$C,YEAR('Operational Detail'!E$2),'Monthly Table'!$AA:$AA)</f>
        <v>0</v>
      </c>
      <c r="F76" s="202" t="n">
        <f aca="false">SUMIF('Monthly Table'!$C:$C,YEAR('Operational Detail'!F$2),'Monthly Table'!$AA:$AA)</f>
        <v>0</v>
      </c>
      <c r="G76" s="202" t="n">
        <f aca="false">SUMIF('Monthly Table'!$C:$C,YEAR('Operational Detail'!G$2),'Monthly Table'!$AA:$AA)</f>
        <v>0</v>
      </c>
      <c r="H76" s="202" t="n">
        <f aca="false">SUMIF('Monthly Table'!$C:$C,YEAR('Operational Detail'!H$2),'Monthly Table'!$AA:$AA)</f>
        <v>0</v>
      </c>
      <c r="I76" s="202" t="n">
        <f aca="false">SUMIF('Monthly Table'!$C:$C,YEAR('Operational Detail'!I$2),'Monthly Table'!$AA:$AA)</f>
        <v>0</v>
      </c>
      <c r="J76" s="202" t="n">
        <f aca="false">SUMIF('Monthly Table'!$C:$C,YEAR('Operational Detail'!J$2),'Monthly Table'!$AA:$AA)</f>
        <v>0</v>
      </c>
      <c r="K76" s="202" t="n">
        <f aca="false">SUMIF('Monthly Table'!$C:$C,YEAR('Operational Detail'!K$2),'Monthly Table'!$AA:$AA)</f>
        <v>0</v>
      </c>
      <c r="L76" s="202" t="n">
        <f aca="false">SUMIF('Monthly Table'!$C:$C,YEAR('Operational Detail'!L$2),'Monthly Table'!$AA:$AA)</f>
        <v>0</v>
      </c>
      <c r="M76" s="202" t="n">
        <f aca="false">SUMIF('Monthly Table'!$C:$C,YEAR('Operational Detail'!M$2),'Monthly Table'!$AA:$AA)</f>
        <v>0</v>
      </c>
      <c r="N76" s="202" t="n">
        <f aca="false">SUMIF('Monthly Table'!$C:$C,YEAR('Operational Detail'!N$2),'Monthly Table'!$AA:$AA)</f>
        <v>0</v>
      </c>
      <c r="O76" s="202" t="n">
        <f aca="false">SUMIF('Monthly Table'!$C:$C,YEAR('Operational Detail'!O$2),'Monthly Table'!$AA:$AA)</f>
        <v>0</v>
      </c>
      <c r="P76" s="202" t="n">
        <f aca="false">SUMIF('Monthly Table'!$C:$C,YEAR('Operational Detail'!P$2),'Monthly Table'!$AA:$AA)</f>
        <v>0</v>
      </c>
      <c r="Q76" s="202" t="n">
        <f aca="false">SUMIF('Monthly Table'!$C:$C,YEAR('Operational Detail'!Q$2),'Monthly Table'!$AA:$AA)</f>
        <v>0</v>
      </c>
      <c r="R76" s="202" t="n">
        <f aca="false">SUMIF('Monthly Table'!$C:$C,YEAR('Operational Detail'!R$2),'Monthly Table'!$AA:$AA)</f>
        <v>0</v>
      </c>
      <c r="S76" s="202" t="n">
        <f aca="false">SUMIF('Monthly Table'!$C:$C,YEAR('Operational Detail'!S$2),'Monthly Table'!$AA:$AA)</f>
        <v>0</v>
      </c>
      <c r="T76" s="202" t="n">
        <f aca="false">SUMIF('Monthly Table'!$C:$C,YEAR('Operational Detail'!T$2),'Monthly Table'!$AA:$AA)</f>
        <v>0</v>
      </c>
      <c r="U76" s="202" t="n">
        <f aca="false">SUMIF('Monthly Table'!$C:$C,YEAR('Operational Detail'!U$2),'Monthly Table'!$AA:$AA)</f>
        <v>0</v>
      </c>
      <c r="V76" s="202" t="n">
        <f aca="false">SUMIF('Monthly Table'!$C:$C,YEAR('Operational Detail'!V$2),'Monthly Table'!$AA:$AA)</f>
        <v>0</v>
      </c>
      <c r="W76" s="202" t="n">
        <f aca="false">SUMIF('Monthly Table'!$C:$C,YEAR('Operational Detail'!W$2),'Monthly Table'!$AA:$AA)</f>
        <v>0</v>
      </c>
      <c r="X76" s="202" t="n">
        <f aca="false">SUMIF('Monthly Table'!$C:$C,YEAR('Operational Detail'!X$2),'Monthly Table'!$AA:$AA)</f>
        <v>0</v>
      </c>
      <c r="Y76" s="202"/>
      <c r="Z76" s="202"/>
      <c r="AA76" s="202"/>
      <c r="AB76" s="202"/>
      <c r="AC76" s="202"/>
      <c r="AD76" s="202"/>
      <c r="AE76" s="202"/>
      <c r="AF76" s="202"/>
      <c r="AG76" s="202"/>
      <c r="AH76" s="202"/>
      <c r="AI76" s="202"/>
      <c r="AJ76" s="202"/>
      <c r="AK76" s="202"/>
      <c r="AL76" s="202"/>
      <c r="AM76" s="202"/>
      <c r="AN76" s="202"/>
      <c r="AO76" s="202"/>
      <c r="AP76" s="202"/>
      <c r="AQ76" s="202"/>
      <c r="AR76" s="202"/>
      <c r="AS76" s="202"/>
      <c r="AT76" s="202"/>
      <c r="AU76" s="202"/>
      <c r="AV76" s="202"/>
      <c r="AW76" s="202"/>
      <c r="AX76" s="202"/>
      <c r="AY76" s="202"/>
      <c r="AZ76" s="202"/>
      <c r="BA76" s="202"/>
      <c r="BB76" s="202"/>
      <c r="BC76" s="202"/>
      <c r="BD76" s="202"/>
      <c r="BE76" s="202"/>
      <c r="BF76" s="202"/>
      <c r="BG76" s="202"/>
      <c r="BH76" s="202"/>
      <c r="BI76" s="202"/>
      <c r="BJ76" s="202"/>
      <c r="BK76" s="202"/>
      <c r="BL76" s="202"/>
      <c r="BM76" s="202"/>
      <c r="BN76" s="202"/>
      <c r="BO76" s="202"/>
      <c r="BP76" s="202"/>
      <c r="BQ76" s="202"/>
      <c r="BR76" s="202"/>
      <c r="BS76" s="202"/>
      <c r="BT76" s="202"/>
      <c r="BU76" s="202"/>
      <c r="BV76" s="202"/>
      <c r="BW76" s="202"/>
      <c r="BX76" s="202"/>
      <c r="BY76" s="202"/>
      <c r="BZ76" s="202"/>
      <c r="CA76" s="202"/>
      <c r="CB76" s="202"/>
      <c r="CC76" s="202"/>
      <c r="CD76" s="202"/>
      <c r="CE76" s="202"/>
      <c r="CF76" s="202"/>
      <c r="CG76" s="202"/>
      <c r="CH76" s="202"/>
      <c r="CI76" s="202"/>
      <c r="CJ76" s="202"/>
      <c r="CK76" s="202"/>
      <c r="CL76" s="202"/>
      <c r="CM76" s="202"/>
      <c r="CN76" s="202"/>
      <c r="CO76" s="202"/>
      <c r="CP76" s="202"/>
      <c r="CQ76" s="202"/>
      <c r="CR76" s="202"/>
      <c r="CS76" s="202"/>
      <c r="CT76" s="202"/>
      <c r="CU76" s="202"/>
      <c r="CV76" s="202"/>
      <c r="CW76" s="202"/>
      <c r="CX76" s="202"/>
      <c r="CY76" s="202"/>
      <c r="CZ76" s="202"/>
      <c r="DA76" s="202"/>
      <c r="DB76" s="202"/>
      <c r="DC76" s="202"/>
      <c r="DD76" s="202"/>
      <c r="DE76" s="202"/>
      <c r="DF76" s="202"/>
      <c r="DG76" s="202"/>
      <c r="DH76" s="202"/>
      <c r="DI76" s="202"/>
      <c r="DJ76" s="202"/>
      <c r="DK76" s="202"/>
      <c r="DL76" s="202"/>
      <c r="DM76" s="202"/>
      <c r="DN76" s="202"/>
      <c r="DO76" s="202"/>
      <c r="DP76" s="202"/>
      <c r="DQ76" s="202"/>
      <c r="DR76" s="202"/>
      <c r="DS76" s="202"/>
      <c r="DT76" s="202"/>
      <c r="DU76" s="202"/>
      <c r="DV76" s="202"/>
      <c r="DW76" s="202"/>
      <c r="DX76" s="202"/>
      <c r="DY76" s="202"/>
      <c r="DZ76" s="202"/>
      <c r="EA76" s="202"/>
      <c r="EB76" s="202"/>
      <c r="EC76" s="202"/>
      <c r="ED76" s="202"/>
      <c r="EE76" s="202"/>
      <c r="EF76" s="202"/>
      <c r="EG76" s="202"/>
      <c r="EH76" s="202"/>
      <c r="EI76" s="202"/>
      <c r="EJ76" s="202"/>
      <c r="EK76" s="202"/>
      <c r="EL76" s="202"/>
      <c r="EM76" s="202"/>
      <c r="EN76" s="202"/>
      <c r="EO76" s="202"/>
      <c r="EP76" s="202"/>
      <c r="EQ76" s="202"/>
      <c r="ER76" s="202"/>
      <c r="ES76" s="202"/>
      <c r="ET76" s="202"/>
      <c r="EU76" s="202"/>
      <c r="EV76" s="202"/>
      <c r="EW76" s="202"/>
      <c r="EX76" s="202"/>
      <c r="EY76" s="202"/>
      <c r="EZ76" s="202"/>
      <c r="FA76" s="202"/>
      <c r="FB76" s="202"/>
      <c r="FC76" s="202"/>
      <c r="FD76" s="202"/>
      <c r="FE76" s="202"/>
      <c r="FF76" s="202"/>
      <c r="FG76" s="202"/>
      <c r="FH76" s="202"/>
      <c r="FI76" s="202"/>
      <c r="FJ76" s="202"/>
      <c r="FK76" s="202"/>
      <c r="FL76" s="202"/>
      <c r="FM76" s="202"/>
      <c r="FN76" s="202"/>
      <c r="FO76" s="202"/>
      <c r="FP76" s="202"/>
      <c r="FQ76" s="202"/>
      <c r="FR76" s="202"/>
      <c r="FS76" s="202"/>
      <c r="FT76" s="202"/>
      <c r="FU76" s="202"/>
      <c r="FV76" s="202"/>
      <c r="FW76" s="202"/>
      <c r="FX76" s="202"/>
      <c r="FY76" s="202"/>
      <c r="FZ76" s="202"/>
      <c r="GA76" s="202"/>
      <c r="GB76" s="202"/>
      <c r="GC76" s="202"/>
      <c r="GD76" s="202"/>
      <c r="GE76" s="202"/>
      <c r="GF76" s="202"/>
      <c r="GG76" s="202"/>
      <c r="GH76" s="202"/>
      <c r="GI76" s="202"/>
      <c r="GJ76" s="202"/>
      <c r="GK76" s="202"/>
      <c r="GL76" s="202"/>
      <c r="GM76" s="202"/>
      <c r="GN76" s="202"/>
      <c r="GO76" s="202"/>
      <c r="GP76" s="202"/>
      <c r="GQ76" s="202"/>
      <c r="GR76" s="202"/>
      <c r="GS76" s="202"/>
      <c r="GT76" s="202"/>
      <c r="GU76" s="202"/>
      <c r="GV76" s="202"/>
      <c r="GW76" s="202"/>
      <c r="GX76" s="202"/>
      <c r="GY76" s="202"/>
      <c r="GZ76" s="202"/>
      <c r="HA76" s="202"/>
      <c r="HB76" s="202"/>
      <c r="HC76" s="202"/>
      <c r="HD76" s="202"/>
      <c r="HE76" s="202"/>
      <c r="HF76" s="202"/>
      <c r="HG76" s="202"/>
      <c r="HH76" s="202"/>
      <c r="HI76" s="202"/>
      <c r="HJ76" s="202"/>
      <c r="HK76" s="202"/>
      <c r="HL76" s="202"/>
      <c r="HM76" s="202"/>
      <c r="HN76" s="202"/>
      <c r="HO76" s="202"/>
      <c r="HP76" s="202"/>
      <c r="HQ76" s="202"/>
      <c r="HR76" s="202"/>
      <c r="HS76" s="202"/>
      <c r="HT76" s="202"/>
      <c r="HU76" s="202"/>
      <c r="HV76" s="202"/>
      <c r="HW76" s="202"/>
      <c r="HX76" s="202"/>
      <c r="HY76" s="202"/>
      <c r="HZ76" s="202"/>
      <c r="IA76" s="202"/>
      <c r="IB76" s="202"/>
      <c r="IC76" s="202"/>
      <c r="ID76" s="202"/>
      <c r="IE76" s="202"/>
      <c r="IF76" s="202"/>
      <c r="IG76" s="202"/>
      <c r="IH76" s="202"/>
      <c r="II76" s="202"/>
      <c r="IJ76" s="202"/>
      <c r="IK76" s="202"/>
      <c r="IL76" s="202"/>
      <c r="IM76" s="202"/>
      <c r="IN76" s="202"/>
      <c r="IO76" s="202"/>
      <c r="IP76" s="202"/>
      <c r="IQ76" s="202"/>
      <c r="IR76" s="202"/>
      <c r="IS76" s="202"/>
      <c r="IT76" s="202"/>
      <c r="IU76" s="202"/>
      <c r="IV76" s="202"/>
    </row>
    <row r="77" customFormat="false" ht="10.5" hidden="false" customHeight="true" outlineLevel="0" collapsed="false">
      <c r="B77" s="151" t="s">
        <v>466</v>
      </c>
      <c r="C77" s="493"/>
      <c r="D77" s="202" t="n">
        <f aca="false">SUMIF('Monthly Table'!$C:$C,YEAR('Operational Detail'!D$2),'Monthly Table'!$AB:$AB)</f>
        <v>0</v>
      </c>
      <c r="E77" s="202" t="n">
        <f aca="false">SUMIF('Monthly Table'!$C:$C,YEAR('Operational Detail'!E$2),'Monthly Table'!$AB:$AB)</f>
        <v>0</v>
      </c>
      <c r="F77" s="202" t="n">
        <f aca="false">SUMIF('Monthly Table'!$C:$C,YEAR('Operational Detail'!F$2),'Monthly Table'!$AB:$AB)</f>
        <v>0</v>
      </c>
      <c r="G77" s="202" t="n">
        <f aca="false">SUMIF('Monthly Table'!$C:$C,YEAR('Operational Detail'!G$2),'Monthly Table'!$AB:$AB)</f>
        <v>0</v>
      </c>
      <c r="H77" s="202" t="n">
        <f aca="false">SUMIF('Monthly Table'!$C:$C,YEAR('Operational Detail'!H$2),'Monthly Table'!$AB:$AB)</f>
        <v>0</v>
      </c>
      <c r="I77" s="202" t="n">
        <f aca="false">SUMIF('Monthly Table'!$C:$C,YEAR('Operational Detail'!I$2),'Monthly Table'!$AB:$AB)</f>
        <v>0</v>
      </c>
      <c r="J77" s="202" t="n">
        <f aca="false">SUMIF('Monthly Table'!$C:$C,YEAR('Operational Detail'!J$2),'Monthly Table'!$AB:$AB)</f>
        <v>0</v>
      </c>
      <c r="K77" s="202" t="n">
        <f aca="false">SUMIF('Monthly Table'!$C:$C,YEAR('Operational Detail'!K$2),'Monthly Table'!$AB:$AB)</f>
        <v>0</v>
      </c>
      <c r="L77" s="202" t="n">
        <f aca="false">SUMIF('Monthly Table'!$C:$C,YEAR('Operational Detail'!L$2),'Monthly Table'!$AB:$AB)</f>
        <v>0</v>
      </c>
      <c r="M77" s="202" t="n">
        <f aca="false">SUMIF('Monthly Table'!$C:$C,YEAR('Operational Detail'!M$2),'Monthly Table'!$AB:$AB)</f>
        <v>0</v>
      </c>
      <c r="N77" s="202" t="n">
        <f aca="false">SUMIF('Monthly Table'!$C:$C,YEAR('Operational Detail'!N$2),'Monthly Table'!$AB:$AB)</f>
        <v>0</v>
      </c>
      <c r="O77" s="202" t="n">
        <f aca="false">SUMIF('Monthly Table'!$C:$C,YEAR('Operational Detail'!O$2),'Monthly Table'!$AB:$AB)</f>
        <v>0</v>
      </c>
      <c r="P77" s="202" t="n">
        <f aca="false">SUMIF('Monthly Table'!$C:$C,YEAR('Operational Detail'!P$2),'Monthly Table'!$AB:$AB)</f>
        <v>0</v>
      </c>
      <c r="Q77" s="202" t="n">
        <f aca="false">SUMIF('Monthly Table'!$C:$C,YEAR('Operational Detail'!Q$2),'Monthly Table'!$AB:$AB)</f>
        <v>0</v>
      </c>
      <c r="R77" s="202" t="n">
        <f aca="false">SUMIF('Monthly Table'!$C:$C,YEAR('Operational Detail'!R$2),'Monthly Table'!$AB:$AB)</f>
        <v>0</v>
      </c>
      <c r="S77" s="202" t="n">
        <f aca="false">SUMIF('Monthly Table'!$C:$C,YEAR('Operational Detail'!S$2),'Monthly Table'!$AB:$AB)</f>
        <v>0</v>
      </c>
      <c r="T77" s="202" t="n">
        <f aca="false">SUMIF('Monthly Table'!$C:$C,YEAR('Operational Detail'!T$2),'Monthly Table'!$AB:$AB)</f>
        <v>0</v>
      </c>
      <c r="U77" s="202" t="n">
        <f aca="false">SUMIF('Monthly Table'!$C:$C,YEAR('Operational Detail'!U$2),'Monthly Table'!$AB:$AB)</f>
        <v>0</v>
      </c>
      <c r="V77" s="202" t="n">
        <f aca="false">SUMIF('Monthly Table'!$C:$C,YEAR('Operational Detail'!V$2),'Monthly Table'!$AB:$AB)</f>
        <v>0</v>
      </c>
      <c r="W77" s="202" t="n">
        <f aca="false">SUMIF('Monthly Table'!$C:$C,YEAR('Operational Detail'!W$2),'Monthly Table'!$AB:$AB)</f>
        <v>0</v>
      </c>
      <c r="X77" s="202" t="n">
        <f aca="false">SUMIF('Monthly Table'!$C:$C,YEAR('Operational Detail'!X$2),'Monthly Table'!$AB:$AB)</f>
        <v>0</v>
      </c>
      <c r="Y77" s="202"/>
      <c r="Z77" s="202"/>
      <c r="AA77" s="202"/>
      <c r="AB77" s="202"/>
    </row>
    <row r="78" customFormat="false" ht="10.5" hidden="false" customHeight="true" outlineLevel="0" collapsed="false">
      <c r="B78" s="151"/>
      <c r="C78" s="493"/>
      <c r="D78" s="498"/>
      <c r="E78" s="498"/>
      <c r="F78" s="498"/>
      <c r="G78" s="498"/>
      <c r="H78" s="498"/>
      <c r="I78" s="498"/>
      <c r="J78" s="498"/>
      <c r="K78" s="498"/>
      <c r="L78" s="498"/>
      <c r="M78" s="498"/>
      <c r="N78" s="498"/>
      <c r="O78" s="498"/>
      <c r="P78" s="498"/>
      <c r="Q78" s="498"/>
      <c r="R78" s="498"/>
      <c r="S78" s="498"/>
      <c r="T78" s="498"/>
      <c r="U78" s="498"/>
      <c r="V78" s="498"/>
      <c r="W78" s="498"/>
      <c r="X78" s="498"/>
      <c r="Y78" s="498"/>
      <c r="Z78" s="498"/>
      <c r="AA78" s="498"/>
      <c r="AB78" s="498"/>
    </row>
    <row r="79" customFormat="false" ht="10.5" hidden="false" customHeight="true" outlineLevel="0" collapsed="false">
      <c r="B79" s="192" t="s">
        <v>467</v>
      </c>
      <c r="C79" s="493"/>
      <c r="D79" s="499" t="n">
        <f aca="false">D77</f>
        <v>0</v>
      </c>
      <c r="E79" s="499" t="n">
        <f aca="false">E77</f>
        <v>0</v>
      </c>
      <c r="F79" s="499" t="n">
        <f aca="false">F77</f>
        <v>0</v>
      </c>
      <c r="G79" s="499" t="n">
        <f aca="false">G77</f>
        <v>0</v>
      </c>
      <c r="H79" s="499" t="n">
        <f aca="false">H77</f>
        <v>0</v>
      </c>
      <c r="I79" s="499" t="n">
        <f aca="false">I77</f>
        <v>0</v>
      </c>
      <c r="J79" s="499" t="n">
        <f aca="false">J77</f>
        <v>0</v>
      </c>
      <c r="K79" s="499" t="n">
        <f aca="false">K77</f>
        <v>0</v>
      </c>
      <c r="L79" s="499" t="n">
        <f aca="false">L77</f>
        <v>0</v>
      </c>
      <c r="M79" s="499" t="n">
        <f aca="false">M77</f>
        <v>0</v>
      </c>
      <c r="N79" s="499" t="n">
        <f aca="false">N77</f>
        <v>0</v>
      </c>
      <c r="O79" s="499" t="n">
        <f aca="false">O77</f>
        <v>0</v>
      </c>
      <c r="P79" s="499" t="n">
        <f aca="false">P77</f>
        <v>0</v>
      </c>
      <c r="Q79" s="499" t="n">
        <f aca="false">Q77</f>
        <v>0</v>
      </c>
      <c r="R79" s="499" t="n">
        <f aca="false">R77</f>
        <v>0</v>
      </c>
      <c r="S79" s="499" t="n">
        <f aca="false">S77</f>
        <v>0</v>
      </c>
      <c r="T79" s="499" t="n">
        <f aca="false">T77</f>
        <v>0</v>
      </c>
      <c r="U79" s="499" t="n">
        <f aca="false">U77</f>
        <v>0</v>
      </c>
      <c r="V79" s="499" t="n">
        <f aca="false">V77</f>
        <v>0</v>
      </c>
      <c r="W79" s="499" t="n">
        <f aca="false">W77</f>
        <v>0</v>
      </c>
      <c r="X79" s="499" t="n">
        <f aca="false">X77</f>
        <v>0</v>
      </c>
      <c r="Y79" s="202"/>
      <c r="Z79" s="202"/>
      <c r="AA79" s="202"/>
      <c r="AB79" s="202"/>
    </row>
    <row r="80" customFormat="false" ht="10.5" hidden="false" customHeight="true" outlineLevel="0" collapsed="false">
      <c r="B80" s="493"/>
      <c r="C80" s="493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14"/>
      <c r="Z80" s="114"/>
      <c r="AA80" s="114"/>
      <c r="AB80" s="114"/>
    </row>
    <row r="81" customFormat="false" ht="10.5" hidden="false" customHeight="true" outlineLevel="0" collapsed="false">
      <c r="B81" s="492" t="s">
        <v>468</v>
      </c>
      <c r="C81" s="493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14"/>
      <c r="Z81" s="114"/>
      <c r="AA81" s="114"/>
      <c r="AB81" s="114"/>
    </row>
    <row r="82" customFormat="false" ht="10.5" hidden="false" customHeight="true" outlineLevel="0" collapsed="false">
      <c r="B82" s="151" t="s">
        <v>469</v>
      </c>
      <c r="C82" s="493"/>
      <c r="D82" s="498" t="n">
        <f aca="false">Assumptions!B56/1000</f>
        <v>0</v>
      </c>
      <c r="E82" s="498" t="n">
        <f aca="false">D82*(1+Assumptions!$B$57)</f>
        <v>0</v>
      </c>
      <c r="F82" s="498" t="n">
        <f aca="false">E82*(1+Assumptions!$B$57)</f>
        <v>0</v>
      </c>
      <c r="G82" s="498"/>
      <c r="H82" s="498"/>
      <c r="I82" s="498"/>
      <c r="J82" s="498"/>
      <c r="K82" s="498"/>
      <c r="L82" s="498"/>
      <c r="M82" s="498"/>
      <c r="N82" s="498"/>
      <c r="O82" s="498"/>
      <c r="P82" s="498"/>
      <c r="Q82" s="498"/>
      <c r="R82" s="498"/>
      <c r="S82" s="498"/>
      <c r="T82" s="498"/>
      <c r="U82" s="498"/>
      <c r="V82" s="498"/>
      <c r="W82" s="498"/>
      <c r="X82" s="498"/>
      <c r="Y82" s="498"/>
      <c r="Z82" s="498"/>
      <c r="AA82" s="498"/>
      <c r="AB82" s="498"/>
    </row>
    <row r="83" customFormat="false" ht="10.5" hidden="false" customHeight="true" outlineLevel="0" collapsed="false">
      <c r="B83" s="151" t="s">
        <v>470</v>
      </c>
      <c r="C83" s="493"/>
      <c r="D83" s="498" t="n">
        <f aca="false">D82*D26</f>
        <v>0</v>
      </c>
      <c r="E83" s="498" t="n">
        <f aca="false">E82*E26</f>
        <v>0</v>
      </c>
      <c r="F83" s="498" t="n">
        <f aca="false">F82*F26</f>
        <v>0</v>
      </c>
      <c r="G83" s="498" t="n">
        <f aca="false">G82*G26</f>
        <v>0</v>
      </c>
      <c r="H83" s="498" t="n">
        <f aca="false">H82*H26</f>
        <v>0</v>
      </c>
      <c r="I83" s="498" t="n">
        <f aca="false">I82*I26</f>
        <v>0</v>
      </c>
      <c r="J83" s="498" t="n">
        <f aca="false">J82*J26</f>
        <v>0</v>
      </c>
      <c r="K83" s="498" t="n">
        <f aca="false">K82*K26</f>
        <v>0</v>
      </c>
      <c r="L83" s="498" t="n">
        <f aca="false">L82*L26</f>
        <v>0</v>
      </c>
      <c r="M83" s="498" t="n">
        <f aca="false">M82*M26</f>
        <v>0</v>
      </c>
      <c r="N83" s="498" t="n">
        <f aca="false">N82*N26</f>
        <v>0</v>
      </c>
      <c r="O83" s="498" t="n">
        <f aca="false">O82*O26</f>
        <v>0</v>
      </c>
      <c r="P83" s="498" t="n">
        <f aca="false">P82*P26</f>
        <v>0</v>
      </c>
      <c r="Q83" s="498" t="n">
        <f aca="false">Q82*Q26</f>
        <v>0</v>
      </c>
      <c r="R83" s="498" t="n">
        <f aca="false">R82*R26</f>
        <v>0</v>
      </c>
      <c r="S83" s="498" t="n">
        <f aca="false">S82*S26</f>
        <v>0</v>
      </c>
      <c r="T83" s="498" t="n">
        <f aca="false">T82*T26</f>
        <v>0</v>
      </c>
      <c r="U83" s="498" t="n">
        <f aca="false">U82*U26</f>
        <v>0</v>
      </c>
      <c r="V83" s="498" t="n">
        <f aca="false">V82*V26</f>
        <v>0</v>
      </c>
      <c r="W83" s="498" t="n">
        <f aca="false">W82*W26</f>
        <v>0</v>
      </c>
      <c r="X83" s="498" t="n">
        <f aca="false">X82*X26</f>
        <v>0</v>
      </c>
      <c r="Y83" s="498"/>
      <c r="Z83" s="498"/>
      <c r="AA83" s="498"/>
      <c r="AB83" s="498"/>
    </row>
    <row r="84" customFormat="false" ht="10.5" hidden="false" customHeight="true" outlineLevel="0" collapsed="false">
      <c r="B84" s="192" t="s">
        <v>471</v>
      </c>
      <c r="C84" s="493"/>
      <c r="D84" s="503" t="n">
        <f aca="false">(IF(D2=Cashflow!$C$3,Assumptions!$E$51/12,1)*Tables!$B$30)*D83</f>
        <v>0</v>
      </c>
      <c r="E84" s="503" t="n">
        <f aca="false">(IF(E2=Cashflow!$C$3,Assumptions!$E$51/12,1)*Tables!$B$30)*E83</f>
        <v>0</v>
      </c>
      <c r="F84" s="499" t="n">
        <f aca="false">(IF(F2=Cashflow!$C$3,Assumptions!$E$51/12,1)*Tables!$B$30)*F83/4</f>
        <v>0</v>
      </c>
      <c r="G84" s="503" t="n">
        <f aca="false">(IF(G2=Cashflow!$C$3,Assumptions!$E$51/12,1)*Tables!$B$30)*G83</f>
        <v>0</v>
      </c>
      <c r="H84" s="503" t="n">
        <f aca="false">(IF(H2=Cashflow!$C$3,Assumptions!$E$51/12,1)*Tables!$B$30)*H83</f>
        <v>0</v>
      </c>
      <c r="I84" s="503" t="n">
        <f aca="false">(IF(I2=Cashflow!$C$3,Assumptions!$E$51/12,1)*Tables!$B$30)*I83</f>
        <v>0</v>
      </c>
      <c r="J84" s="503" t="n">
        <f aca="false">(IF(J2=Cashflow!$C$3,Assumptions!$E$51/12,1)*Tables!$B$30)*J83</f>
        <v>0</v>
      </c>
      <c r="K84" s="503" t="n">
        <f aca="false">(IF(K2=Cashflow!$C$3,Assumptions!$E$51/12,1)*Tables!$B$30)*K83</f>
        <v>0</v>
      </c>
      <c r="L84" s="503" t="n">
        <f aca="false">(IF(L2=Cashflow!$C$3,Assumptions!$E$51/12,1)*Tables!$B$30)*L83</f>
        <v>0</v>
      </c>
      <c r="M84" s="503" t="n">
        <f aca="false">(IF(M2=Cashflow!$C$3,Assumptions!$E$51/12,1)*Tables!$B$30)*M83</f>
        <v>0</v>
      </c>
      <c r="N84" s="503" t="n">
        <f aca="false">(IF(N2=Cashflow!$C$3,Assumptions!$E$51/12,1)*Tables!$B$30)*N83</f>
        <v>0</v>
      </c>
      <c r="O84" s="503" t="n">
        <f aca="false">(IF(O2=Cashflow!$C$3,Assumptions!$E$51/12,1)*Tables!$B$30)*O83</f>
        <v>0</v>
      </c>
      <c r="P84" s="503" t="n">
        <f aca="false">(IF(P2=Cashflow!$C$3,Assumptions!$E$51/12,1)*Tables!$B$30)*P83</f>
        <v>0</v>
      </c>
      <c r="Q84" s="503" t="n">
        <f aca="false">(IF(Q2=Cashflow!$C$3,Assumptions!$E$51/12,1)*Tables!$B$30)*Q83</f>
        <v>0</v>
      </c>
      <c r="R84" s="503" t="n">
        <f aca="false">(IF(R2=Cashflow!$C$3,Assumptions!$E$51/12,1)*Tables!$B$30)*R83</f>
        <v>0</v>
      </c>
      <c r="S84" s="503" t="n">
        <f aca="false">(IF(S2=Cashflow!$C$3,Assumptions!$E$51/12,1)*Tables!$B$30)*S83</f>
        <v>0</v>
      </c>
      <c r="T84" s="503" t="n">
        <f aca="false">(IF(T2=Cashflow!$C$3,Assumptions!$E$51/12,1)*Tables!$B$30)*T83</f>
        <v>0</v>
      </c>
      <c r="U84" s="503" t="n">
        <f aca="false">(IF(U2=Cashflow!$C$3,Assumptions!$E$51/12,1)*Tables!$B$30)*U83</f>
        <v>0</v>
      </c>
      <c r="V84" s="503" t="n">
        <f aca="false">(IF(V2=Cashflow!$C$3,Assumptions!$E$51/12,1)*Tables!$B$30)*V83</f>
        <v>0</v>
      </c>
      <c r="W84" s="503" t="n">
        <f aca="false">(IF(W2=Cashflow!$C$3,Assumptions!$E$51/12,1)*Tables!$B$30)*W83</f>
        <v>0</v>
      </c>
      <c r="X84" s="503" t="n">
        <f aca="false">(IF(X2=Cashflow!$C$3,Assumptions!$E$51/12,1)*Tables!$B$30)*X83</f>
        <v>0</v>
      </c>
      <c r="Y84" s="202"/>
      <c r="Z84" s="202"/>
      <c r="AA84" s="202"/>
      <c r="AB84" s="202"/>
    </row>
    <row r="85" customFormat="false" ht="10.5" hidden="false" customHeight="true" outlineLevel="0" collapsed="false">
      <c r="B85" s="493"/>
      <c r="C85" s="493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14"/>
      <c r="Z85" s="114"/>
      <c r="AA85" s="114"/>
      <c r="AB85" s="114"/>
    </row>
    <row r="86" customFormat="false" ht="10.5" hidden="false" customHeight="true" outlineLevel="0" collapsed="false">
      <c r="B86" s="493"/>
      <c r="C86" s="493"/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14"/>
      <c r="Z86" s="114"/>
      <c r="AA86" s="114"/>
      <c r="AB86" s="114"/>
    </row>
    <row r="87" customFormat="false" ht="10.5" hidden="false" customHeight="true" outlineLevel="0" collapsed="false">
      <c r="B87" s="151" t="s">
        <v>472</v>
      </c>
      <c r="C87" s="493"/>
      <c r="D87" s="498"/>
      <c r="E87" s="498"/>
      <c r="F87" s="498" t="n">
        <f aca="false">Assumptions!$B$54</f>
        <v>0</v>
      </c>
      <c r="G87" s="498" t="n">
        <f aca="false">Assumptions!$B$54</f>
        <v>0</v>
      </c>
      <c r="H87" s="498" t="n">
        <f aca="false">G87*(1+Assumptions!$B$55)</f>
        <v>0</v>
      </c>
      <c r="I87" s="498" t="n">
        <f aca="false">H87*(1+Assumptions!$B$55)</f>
        <v>0</v>
      </c>
      <c r="J87" s="498" t="n">
        <f aca="false">I87*(1+Assumptions!$B$55)</f>
        <v>0</v>
      </c>
      <c r="K87" s="498" t="n">
        <f aca="false">J87*(1+Assumptions!$B$55)</f>
        <v>0</v>
      </c>
      <c r="L87" s="498"/>
      <c r="M87" s="498"/>
      <c r="N87" s="498"/>
      <c r="O87" s="498"/>
      <c r="P87" s="498"/>
      <c r="Q87" s="498"/>
      <c r="R87" s="498"/>
      <c r="S87" s="498"/>
      <c r="T87" s="498"/>
      <c r="U87" s="498"/>
      <c r="V87" s="498"/>
      <c r="W87" s="498"/>
      <c r="X87" s="498"/>
      <c r="Y87" s="114"/>
      <c r="Z87" s="114"/>
      <c r="AA87" s="114"/>
      <c r="AB87" s="114"/>
    </row>
    <row r="88" customFormat="false" ht="10.5" hidden="false" customHeight="true" outlineLevel="0" collapsed="false">
      <c r="B88" s="151" t="s">
        <v>473</v>
      </c>
      <c r="C88" s="493"/>
      <c r="D88" s="502" t="n">
        <f aca="false">(D87*D21)/1000</f>
        <v>0</v>
      </c>
      <c r="E88" s="502" t="n">
        <f aca="false">(E87*E21)/1000</f>
        <v>0</v>
      </c>
      <c r="F88" s="502" t="n">
        <f aca="false">(F87*F21)/1000</f>
        <v>0</v>
      </c>
      <c r="G88" s="502" t="n">
        <f aca="false">(G87*G21)/1000</f>
        <v>0</v>
      </c>
      <c r="H88" s="502" t="n">
        <f aca="false">MIN($G$88,(H87*H21)/1000)</f>
        <v>0</v>
      </c>
      <c r="I88" s="502" t="n">
        <f aca="false">MIN($G$88,(I87*I21)/1000)</f>
        <v>0</v>
      </c>
      <c r="J88" s="502" t="n">
        <f aca="false">MIN($G$88,(J87*J21)/1000)</f>
        <v>0</v>
      </c>
      <c r="K88" s="502" t="n">
        <f aca="false">MIN($G$88,(K87*K21)/1000)</f>
        <v>0</v>
      </c>
      <c r="L88" s="502" t="n">
        <f aca="false">(L87*L21)/1000</f>
        <v>0</v>
      </c>
      <c r="M88" s="502" t="n">
        <f aca="false">(M87*M21)/1000</f>
        <v>0</v>
      </c>
      <c r="N88" s="502" t="n">
        <f aca="false">(N87*N21)/1000</f>
        <v>0</v>
      </c>
      <c r="O88" s="502" t="n">
        <f aca="false">(O87*O21)/1000</f>
        <v>0</v>
      </c>
      <c r="P88" s="502" t="n">
        <f aca="false">(P87*P21)/1000</f>
        <v>0</v>
      </c>
      <c r="Q88" s="502" t="n">
        <f aca="false">(Q87*Q21)/1000</f>
        <v>0</v>
      </c>
      <c r="R88" s="502" t="n">
        <f aca="false">(R87*R21)/1000</f>
        <v>0</v>
      </c>
      <c r="S88" s="502" t="n">
        <f aca="false">(S87*S21)/1000</f>
        <v>0</v>
      </c>
      <c r="T88" s="502" t="n">
        <f aca="false">(T87*T21)/1000</f>
        <v>0</v>
      </c>
      <c r="U88" s="502" t="n">
        <f aca="false">(U87*U21)/1000</f>
        <v>0</v>
      </c>
      <c r="V88" s="502" t="n">
        <f aca="false">(V87*V21)/1000</f>
        <v>0</v>
      </c>
      <c r="W88" s="502" t="n">
        <f aca="false">(W87*W21)/1000</f>
        <v>0</v>
      </c>
      <c r="X88" s="502" t="n">
        <f aca="false">(X87*X21)/1000</f>
        <v>0</v>
      </c>
      <c r="Y88" s="114"/>
      <c r="Z88" s="114"/>
      <c r="AA88" s="114"/>
      <c r="AB88" s="114"/>
    </row>
    <row r="89" customFormat="false" ht="10.5" hidden="false" customHeight="true" outlineLevel="0" collapsed="false">
      <c r="B89" s="493"/>
      <c r="C89" s="493"/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14"/>
      <c r="Z89" s="114"/>
      <c r="AA89" s="114"/>
      <c r="AB89" s="114"/>
    </row>
    <row r="90" customFormat="false" ht="10.5" hidden="false" customHeight="true" outlineLevel="0" collapsed="false">
      <c r="B90" s="493"/>
      <c r="C90" s="493"/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14"/>
      <c r="Z90" s="114"/>
      <c r="AA90" s="114"/>
      <c r="AB90" s="114"/>
    </row>
    <row r="91" customFormat="false" ht="10.5" hidden="false" customHeight="true" outlineLevel="0" collapsed="false">
      <c r="B91" s="151" t="s">
        <v>474</v>
      </c>
      <c r="C91" s="493"/>
      <c r="D91" s="498"/>
      <c r="E91" s="142"/>
      <c r="F91" s="142"/>
      <c r="G91" s="498" t="n">
        <f aca="false">Assumptions!$B$60</f>
        <v>0</v>
      </c>
      <c r="H91" s="498" t="n">
        <f aca="false">Assumptions!$B$60</f>
        <v>0</v>
      </c>
      <c r="I91" s="498" t="n">
        <f aca="false">Assumptions!$B$60</f>
        <v>0</v>
      </c>
      <c r="J91" s="498" t="n">
        <f aca="false">Assumptions!$B$60</f>
        <v>0</v>
      </c>
      <c r="K91" s="498" t="n">
        <f aca="false">Assumptions!$B$60</f>
        <v>0</v>
      </c>
      <c r="L91" s="498" t="n">
        <f aca="false">Assumptions!$B$60</f>
        <v>0</v>
      </c>
      <c r="M91" s="498" t="n">
        <f aca="false">Assumptions!$B$60</f>
        <v>0</v>
      </c>
      <c r="N91" s="498" t="n">
        <f aca="false">Assumptions!$B$60</f>
        <v>0</v>
      </c>
      <c r="O91" s="498" t="n">
        <f aca="false">Assumptions!$B$60</f>
        <v>0</v>
      </c>
      <c r="P91" s="498" t="n">
        <f aca="false">Assumptions!$B$60</f>
        <v>0</v>
      </c>
      <c r="Q91" s="498" t="n">
        <f aca="false">Assumptions!$B$60</f>
        <v>0</v>
      </c>
      <c r="R91" s="498" t="n">
        <f aca="false">Assumptions!$B$60</f>
        <v>0</v>
      </c>
      <c r="S91" s="498" t="n">
        <f aca="false">Assumptions!$B$60</f>
        <v>0</v>
      </c>
      <c r="T91" s="498" t="n">
        <f aca="false">Assumptions!$B$60</f>
        <v>0</v>
      </c>
      <c r="U91" s="498" t="n">
        <f aca="false">Assumptions!$B$60</f>
        <v>0</v>
      </c>
      <c r="V91" s="498" t="n">
        <f aca="false">Assumptions!$B$60</f>
        <v>0</v>
      </c>
      <c r="W91" s="498" t="n">
        <f aca="false">Assumptions!$B$60</f>
        <v>0</v>
      </c>
      <c r="X91" s="498" t="n">
        <f aca="false">Assumptions!$B$60</f>
        <v>0</v>
      </c>
      <c r="Y91" s="114"/>
      <c r="Z91" s="114"/>
      <c r="AA91" s="114"/>
      <c r="AB91" s="114"/>
    </row>
    <row r="92" customFormat="false" ht="10.5" hidden="false" customHeight="true" outlineLevel="0" collapsed="false">
      <c r="B92" s="153" t="s">
        <v>443</v>
      </c>
      <c r="C92" s="493"/>
      <c r="D92" s="498"/>
      <c r="E92" s="142"/>
      <c r="F92" s="142"/>
      <c r="G92" s="498" t="n">
        <f aca="false">INDEX(fxcurve,MATCH(G$3,FX!$F$2:$F$28,0),MATCH("Annual Average",FX!$F$2:$G$2,0))</f>
        <v>1.41407427747014</v>
      </c>
      <c r="H92" s="498" t="n">
        <f aca="false">INDEX(fxcurve,MATCH(H$3,FX!$F$2:$F$28,0),MATCH("Annual Average",FX!$F$2:$G$2,0))</f>
        <v>1.40018628512148</v>
      </c>
      <c r="I92" s="498" t="n">
        <f aca="false">INDEX(fxcurve,MATCH(I$3,FX!$F$2:$F$28,0),MATCH("Annual Average",FX!$F$2:$G$2,0))</f>
        <v>1.3825442094226</v>
      </c>
      <c r="J92" s="498" t="n">
        <f aca="false">INDEX(fxcurve,MATCH(J$3,FX!$F$2:$F$28,0),MATCH("Annual Average",FX!$F$2:$G$2,0))</f>
        <v>1.36919339352631</v>
      </c>
      <c r="K92" s="498" t="n">
        <f aca="false">INDEX(fxcurve,MATCH(K$3,FX!$F$2:$F$28,0),MATCH("Annual Average",FX!$F$2:$G$2,0))</f>
        <v>1.35672433416726</v>
      </c>
      <c r="L92" s="498" t="n">
        <f aca="false">INDEX(fxcurve,MATCH(L$3,FX!$F$2:$F$28,0),MATCH("Annual Average",FX!$F$2:$G$2,0))</f>
        <v>1.34581191169358</v>
      </c>
      <c r="M92" s="498" t="n">
        <f aca="false">INDEX(fxcurve,MATCH(M$3,FX!$F$2:$F$28,0),MATCH("Annual Average",FX!$F$2:$G$2,0))</f>
        <v>1.33556764320821</v>
      </c>
      <c r="N92" s="498" t="n">
        <f aca="false">INDEX(fxcurve,MATCH(N$3,FX!$F$2:$F$28,0),MATCH("Annual Average",FX!$F$2:$G$2,0))</f>
        <v>1.32561446530123</v>
      </c>
      <c r="O92" s="498" t="n">
        <f aca="false">INDEX(fxcurve,MATCH(O$3,FX!$F$2:$F$28,0),MATCH("Annual Average",FX!$F$2:$G$2,0))</f>
        <v>1.31531097724534</v>
      </c>
      <c r="P92" s="498" t="n">
        <f aca="false">INDEX(fxcurve,MATCH(P$3,FX!$F$2:$F$28,0),MATCH("Annual Average",FX!$F$2:$G$2,0))</f>
        <v>1.30527842366359</v>
      </c>
      <c r="Q92" s="498" t="n">
        <f aca="false">INDEX(fxcurve,MATCH(Q$3,FX!$F$2:$F$28,0),MATCH("Annual Average",FX!$F$2:$G$2,0))</f>
        <v>1.29559980538011</v>
      </c>
      <c r="R92" s="498" t="n">
        <f aca="false">INDEX(fxcurve,MATCH(R$3,FX!$F$2:$F$28,0),MATCH("Annual Average",FX!$F$2:$G$2,0))</f>
        <v>1.28625454928102</v>
      </c>
      <c r="S92" s="498" t="n">
        <f aca="false">INDEX(fxcurve,MATCH(S$3,FX!$F$2:$F$28,0),MATCH("Annual Average",FX!$F$2:$G$2,0))</f>
        <v>1.27749962551242</v>
      </c>
      <c r="T92" s="498" t="n">
        <f aca="false">INDEX(fxcurve,MATCH(T$3,FX!$F$2:$F$28,0),MATCH("Annual Average",FX!$F$2:$G$2,0))</f>
        <v>1.26990342899257</v>
      </c>
      <c r="U92" s="498" t="n">
        <f aca="false">INDEX(fxcurve,MATCH(U$3,FX!$F$2:$F$28,0),MATCH("Annual Average",FX!$F$2:$G$2,0))</f>
        <v>1.26281103438461</v>
      </c>
      <c r="V92" s="498" t="n">
        <f aca="false">INDEX(fxcurve,MATCH(V$3,FX!$F$2:$F$28,0),MATCH("Annual Average",FX!$F$2:$G$2,0))</f>
        <v>1.25615455254258</v>
      </c>
      <c r="W92" s="498" t="n">
        <f aca="false">INDEX(fxcurve,MATCH(W$3,FX!$F$2:$F$28,0),MATCH("Annual Average",FX!$F$2:$G$2,0))</f>
        <v>1.24992408625793</v>
      </c>
      <c r="X92" s="498" t="n">
        <f aca="false">INDEX(fxcurve,MATCH(X$3,FX!$F$2:$F$28,0),MATCH("Annual Average",FX!$F$2:$G$2,0))</f>
        <v>1.24228396737324</v>
      </c>
      <c r="Y92" s="114"/>
      <c r="Z92" s="114"/>
      <c r="AA92" s="114"/>
      <c r="AB92" s="114"/>
    </row>
    <row r="93" customFormat="false" ht="10.5" hidden="false" customHeight="true" outlineLevel="0" collapsed="false">
      <c r="B93" s="153" t="s">
        <v>475</v>
      </c>
      <c r="C93" s="493"/>
      <c r="D93" s="498"/>
      <c r="E93" s="142"/>
      <c r="F93" s="142"/>
      <c r="G93" s="498" t="n">
        <f aca="false">G91*G92</f>
        <v>0</v>
      </c>
      <c r="H93" s="498" t="n">
        <f aca="false">H91*H92</f>
        <v>0</v>
      </c>
      <c r="I93" s="498" t="n">
        <f aca="false">I91*I92</f>
        <v>0</v>
      </c>
      <c r="J93" s="498" t="n">
        <f aca="false">J91*J92</f>
        <v>0</v>
      </c>
      <c r="K93" s="498" t="n">
        <f aca="false">K91*K92</f>
        <v>0</v>
      </c>
      <c r="L93" s="498" t="n">
        <f aca="false">L91*L92</f>
        <v>0</v>
      </c>
      <c r="M93" s="498" t="n">
        <f aca="false">M91*M92</f>
        <v>0</v>
      </c>
      <c r="N93" s="498" t="n">
        <f aca="false">N91*N92</f>
        <v>0</v>
      </c>
      <c r="O93" s="498" t="n">
        <f aca="false">O91*O92</f>
        <v>0</v>
      </c>
      <c r="P93" s="498" t="n">
        <f aca="false">P91*P92</f>
        <v>0</v>
      </c>
      <c r="Q93" s="498" t="n">
        <f aca="false">Q91*Q92</f>
        <v>0</v>
      </c>
      <c r="R93" s="498" t="n">
        <f aca="false">R91*R92</f>
        <v>0</v>
      </c>
      <c r="S93" s="498" t="n">
        <f aca="false">S91*S92</f>
        <v>0</v>
      </c>
      <c r="T93" s="498" t="n">
        <f aca="false">T91*T92</f>
        <v>0</v>
      </c>
      <c r="U93" s="498" t="n">
        <f aca="false">U91*U92</f>
        <v>0</v>
      </c>
      <c r="V93" s="498" t="n">
        <f aca="false">V91*V92</f>
        <v>0</v>
      </c>
      <c r="W93" s="498" t="n">
        <f aca="false">W91*W92</f>
        <v>0</v>
      </c>
      <c r="X93" s="498" t="n">
        <f aca="false">X91*X92</f>
        <v>0</v>
      </c>
      <c r="Y93" s="114"/>
      <c r="Z93" s="114"/>
      <c r="AA93" s="114"/>
      <c r="AB93" s="114"/>
    </row>
    <row r="94" customFormat="false" ht="10.5" hidden="false" customHeight="true" outlineLevel="0" collapsed="false">
      <c r="B94" s="153"/>
      <c r="C94" s="493"/>
      <c r="D94" s="498"/>
      <c r="E94" s="142"/>
      <c r="F94" s="142"/>
      <c r="G94" s="498"/>
      <c r="H94" s="498"/>
      <c r="I94" s="498"/>
      <c r="J94" s="498"/>
      <c r="K94" s="498"/>
      <c r="L94" s="498"/>
      <c r="M94" s="498"/>
      <c r="N94" s="498"/>
      <c r="O94" s="498"/>
      <c r="P94" s="498"/>
      <c r="Q94" s="498"/>
      <c r="R94" s="498"/>
      <c r="S94" s="498"/>
      <c r="T94" s="498"/>
      <c r="U94" s="498"/>
      <c r="V94" s="498"/>
      <c r="W94" s="498"/>
      <c r="X94" s="498"/>
      <c r="Y94" s="114"/>
      <c r="Z94" s="114"/>
      <c r="AA94" s="114"/>
      <c r="AB94" s="114"/>
    </row>
    <row r="95" customFormat="false" ht="10.5" hidden="false" customHeight="true" outlineLevel="0" collapsed="false">
      <c r="B95" s="153" t="s">
        <v>476</v>
      </c>
      <c r="C95" s="493"/>
      <c r="D95" s="500"/>
      <c r="E95" s="160"/>
      <c r="F95" s="160"/>
      <c r="G95" s="502" t="n">
        <f aca="false">((((G6*G8)*G93))*Assumptions!$B$61)/1000</f>
        <v>0</v>
      </c>
      <c r="H95" s="502" t="n">
        <f aca="false">((((H6*H8)*H93))*Assumptions!$B$61)/1000</f>
        <v>0</v>
      </c>
      <c r="I95" s="502" t="n">
        <f aca="false">((((I6*I8)*I93))*Assumptions!$B$61)/1000</f>
        <v>0</v>
      </c>
      <c r="J95" s="502" t="n">
        <f aca="false">((((J6*J8)*J93))*Assumptions!$B$61)/1000</f>
        <v>0</v>
      </c>
      <c r="K95" s="502" t="n">
        <f aca="false">((((K6*K8)*K93))*Assumptions!$B$61)/1000</f>
        <v>0</v>
      </c>
      <c r="L95" s="502" t="n">
        <f aca="false">((((L6*L8)*L93))*Assumptions!$B$61)/1000</f>
        <v>0</v>
      </c>
      <c r="M95" s="502" t="n">
        <f aca="false">((((M6*M8)*M93))*Assumptions!$B$61)/1000</f>
        <v>0</v>
      </c>
      <c r="N95" s="502" t="n">
        <f aca="false">((((N6*N8)*N93))*Assumptions!$B$61)/1000</f>
        <v>0</v>
      </c>
      <c r="O95" s="502" t="n">
        <f aca="false">((((O6*O8)*O93))*Assumptions!$B$61)/1000</f>
        <v>0</v>
      </c>
      <c r="P95" s="502" t="n">
        <f aca="false">((((P6*P8)*P93))*Assumptions!$B$61)/1000</f>
        <v>0</v>
      </c>
      <c r="Q95" s="502" t="n">
        <f aca="false">((((Q6*Q8)*Q93))*Assumptions!$B$61)/1000</f>
        <v>0</v>
      </c>
      <c r="R95" s="502" t="n">
        <f aca="false">((((R6*R8)*R93))*Assumptions!$B$61)/1000</f>
        <v>0</v>
      </c>
      <c r="S95" s="502" t="n">
        <f aca="false">((((S6*S8)*S93))*Assumptions!$B$61)/1000</f>
        <v>0</v>
      </c>
      <c r="T95" s="502" t="n">
        <f aca="false">IF(Tables!$B$21=15,0,((((T6*T8)*T93))*Assumptions!$B$61)/1000)</f>
        <v>0</v>
      </c>
      <c r="U95" s="502" t="n">
        <f aca="false">IF(Tables!$B$21=15,0,((((U6*U8)*U93))*Assumptions!$B$61)/1000)</f>
        <v>0</v>
      </c>
      <c r="V95" s="502" t="n">
        <f aca="false">IF(Tables!$B$21=15,0,((((V6*V8)*V93))*Assumptions!$B$61)/1000)</f>
        <v>0</v>
      </c>
      <c r="W95" s="502" t="n">
        <f aca="false">IF(Tables!$B$21=15,0,((((W6*W8)*W93))*Assumptions!$B$61)/1000)</f>
        <v>0</v>
      </c>
      <c r="X95" s="502" t="n">
        <f aca="false">IF(Tables!$B$21=15,0,((((X6*X8)*X93))*Assumptions!$B$61)/1000)</f>
        <v>0</v>
      </c>
      <c r="Y95" s="114"/>
      <c r="Z95" s="114"/>
      <c r="AA95" s="114"/>
      <c r="AB95" s="114"/>
    </row>
    <row r="96" customFormat="false" ht="10.5" hidden="false" customHeight="true" outlineLevel="0" collapsed="false">
      <c r="B96" s="151"/>
      <c r="C96" s="493"/>
      <c r="D96" s="498"/>
      <c r="E96" s="142"/>
      <c r="F96" s="142"/>
      <c r="G96" s="498"/>
      <c r="H96" s="498"/>
      <c r="I96" s="498"/>
      <c r="J96" s="498"/>
      <c r="K96" s="498"/>
      <c r="L96" s="498"/>
      <c r="M96" s="498"/>
      <c r="N96" s="498"/>
      <c r="O96" s="498"/>
      <c r="P96" s="498"/>
      <c r="Q96" s="498"/>
      <c r="R96" s="498"/>
      <c r="S96" s="498"/>
      <c r="T96" s="498"/>
      <c r="U96" s="498"/>
      <c r="V96" s="498"/>
      <c r="W96" s="498"/>
      <c r="X96" s="498"/>
      <c r="Y96" s="114"/>
      <c r="Z96" s="114"/>
      <c r="AA96" s="114"/>
      <c r="AB96" s="114"/>
    </row>
    <row r="97" customFormat="false" ht="10.5" hidden="false" customHeight="true" outlineLevel="0" collapsed="false">
      <c r="B97" s="151"/>
      <c r="C97" s="493"/>
      <c r="D97" s="498"/>
      <c r="E97" s="142"/>
      <c r="F97" s="142"/>
      <c r="G97" s="498"/>
      <c r="H97" s="498"/>
      <c r="I97" s="498"/>
      <c r="J97" s="498"/>
      <c r="K97" s="498"/>
      <c r="L97" s="498"/>
      <c r="M97" s="498"/>
      <c r="N97" s="498"/>
      <c r="O97" s="498"/>
      <c r="P97" s="498"/>
      <c r="Q97" s="498"/>
      <c r="R97" s="498"/>
      <c r="S97" s="498"/>
      <c r="T97" s="498"/>
      <c r="U97" s="498"/>
      <c r="V97" s="498"/>
      <c r="W97" s="498"/>
      <c r="X97" s="498"/>
      <c r="Y97" s="114"/>
      <c r="Z97" s="114"/>
      <c r="AA97" s="114"/>
      <c r="AB97" s="114"/>
    </row>
    <row r="98" customFormat="false" ht="10.5" hidden="false" customHeight="true" outlineLevel="0" collapsed="false">
      <c r="B98" s="192" t="s">
        <v>477</v>
      </c>
      <c r="C98" s="493"/>
      <c r="D98" s="498"/>
      <c r="E98" s="142"/>
      <c r="F98" s="142"/>
      <c r="G98" s="498"/>
      <c r="H98" s="498"/>
      <c r="I98" s="498"/>
      <c r="J98" s="498"/>
      <c r="K98" s="498"/>
      <c r="L98" s="498"/>
      <c r="M98" s="498"/>
      <c r="N98" s="498"/>
      <c r="O98" s="498"/>
      <c r="P98" s="498"/>
      <c r="Q98" s="498"/>
      <c r="R98" s="498"/>
      <c r="S98" s="498"/>
      <c r="T98" s="498"/>
      <c r="U98" s="498"/>
      <c r="V98" s="498"/>
      <c r="W98" s="498"/>
      <c r="X98" s="498"/>
      <c r="Y98" s="114"/>
      <c r="Z98" s="114"/>
      <c r="AA98" s="114"/>
      <c r="AB98" s="114"/>
    </row>
    <row r="99" customFormat="false" ht="10.5" hidden="false" customHeight="true" outlineLevel="0" collapsed="false">
      <c r="B99" s="151" t="s">
        <v>478</v>
      </c>
      <c r="C99" s="493"/>
      <c r="D99" s="498" t="n">
        <f aca="false">Assumptions!$B$59</f>
        <v>4</v>
      </c>
      <c r="E99" s="498" t="n">
        <f aca="false">Assumptions!$B$59</f>
        <v>4</v>
      </c>
      <c r="F99" s="498" t="n">
        <f aca="false">Assumptions!$B$59</f>
        <v>4</v>
      </c>
      <c r="G99" s="498" t="n">
        <f aca="false">Assumptions!$B$59</f>
        <v>4</v>
      </c>
      <c r="H99" s="498" t="n">
        <f aca="false">Assumptions!$B$59</f>
        <v>4</v>
      </c>
      <c r="I99" s="498" t="n">
        <f aca="false">Assumptions!$B$59</f>
        <v>4</v>
      </c>
      <c r="J99" s="498" t="n">
        <f aca="false">Assumptions!$B$59</f>
        <v>4</v>
      </c>
      <c r="K99" s="498" t="n">
        <f aca="false">Assumptions!$B$59</f>
        <v>4</v>
      </c>
      <c r="L99" s="498" t="n">
        <f aca="false">Assumptions!$B$59</f>
        <v>4</v>
      </c>
      <c r="M99" s="498" t="n">
        <f aca="false">Assumptions!$B$59</f>
        <v>4</v>
      </c>
      <c r="N99" s="498" t="n">
        <f aca="false">Assumptions!$B$59</f>
        <v>4</v>
      </c>
      <c r="O99" s="498" t="n">
        <f aca="false">Assumptions!$B$59</f>
        <v>4</v>
      </c>
      <c r="P99" s="498" t="n">
        <f aca="false">Assumptions!$B$59</f>
        <v>4</v>
      </c>
      <c r="Q99" s="498" t="n">
        <f aca="false">Assumptions!$B$59</f>
        <v>4</v>
      </c>
      <c r="R99" s="498" t="n">
        <f aca="false">Assumptions!$B$59</f>
        <v>4</v>
      </c>
      <c r="S99" s="498" t="n">
        <f aca="false">Assumptions!$B$59</f>
        <v>4</v>
      </c>
      <c r="T99" s="498" t="n">
        <f aca="false">Assumptions!$B$59</f>
        <v>4</v>
      </c>
      <c r="U99" s="498" t="n">
        <f aca="false">Assumptions!$B$59</f>
        <v>4</v>
      </c>
      <c r="V99" s="498" t="n">
        <f aca="false">Assumptions!$B$59</f>
        <v>4</v>
      </c>
      <c r="W99" s="498" t="n">
        <f aca="false">Assumptions!$B$59</f>
        <v>4</v>
      </c>
      <c r="X99" s="498" t="n">
        <f aca="false">Assumptions!$B$59</f>
        <v>4</v>
      </c>
      <c r="Y99" s="114"/>
      <c r="Z99" s="114"/>
      <c r="AA99" s="114"/>
      <c r="AB99" s="114"/>
    </row>
    <row r="100" customFormat="false" ht="10.5" hidden="false" customHeight="true" outlineLevel="0" collapsed="false">
      <c r="B100" s="504" t="s">
        <v>443</v>
      </c>
      <c r="C100" s="493"/>
      <c r="D100" s="498" t="n">
        <f aca="false">INDEX(fxcurve,MATCH(D$3,FX!$F$2:$F$28,0),MATCH("Annual Average",FX!$F$2:$G$2,0))</f>
        <v>1.44841975689983</v>
      </c>
      <c r="E100" s="498" t="n">
        <f aca="false">INDEX(fxcurve,MATCH(E$3,FX!$F$2:$F$28,0),MATCH("Annual Average",FX!$F$2:$G$2,0))</f>
        <v>1.43711123864166</v>
      </c>
      <c r="F100" s="498" t="n">
        <f aca="false">INDEX(fxcurve,MATCH(F$3,FX!$F$2:$F$28,0),MATCH("Annual Average",FX!$F$2:$G$2,0))</f>
        <v>1.42625625574583</v>
      </c>
      <c r="G100" s="498" t="n">
        <f aca="false">INDEX(fxcurve,MATCH(G$3,FX!$F$2:$F$28,0),MATCH("Annual Average",FX!$F$2:$G$2,0))</f>
        <v>1.41407427747014</v>
      </c>
      <c r="H100" s="498" t="n">
        <f aca="false">INDEX(fxcurve,MATCH(H$3,FX!$F$2:$F$28,0),MATCH("Annual Average",FX!$F$2:$G$2,0))</f>
        <v>1.40018628512148</v>
      </c>
      <c r="I100" s="498" t="n">
        <f aca="false">INDEX(fxcurve,MATCH(I$3,FX!$F$2:$F$28,0),MATCH("Annual Average",FX!$F$2:$G$2,0))</f>
        <v>1.3825442094226</v>
      </c>
      <c r="J100" s="498" t="n">
        <f aca="false">INDEX(fxcurve,MATCH(J$3,FX!$F$2:$F$28,0),MATCH("Annual Average",FX!$F$2:$G$2,0))</f>
        <v>1.36919339352631</v>
      </c>
      <c r="K100" s="498" t="n">
        <f aca="false">INDEX(fxcurve,MATCH(K$3,FX!$F$2:$F$28,0),MATCH("Annual Average",FX!$F$2:$G$2,0))</f>
        <v>1.35672433416726</v>
      </c>
      <c r="L100" s="498" t="n">
        <f aca="false">INDEX(fxcurve,MATCH(L$3,FX!$F$2:$F$28,0),MATCH("Annual Average",FX!$F$2:$G$2,0))</f>
        <v>1.34581191169358</v>
      </c>
      <c r="M100" s="498" t="n">
        <f aca="false">INDEX(fxcurve,MATCH(M$3,FX!$F$2:$F$28,0),MATCH("Annual Average",FX!$F$2:$G$2,0))</f>
        <v>1.33556764320821</v>
      </c>
      <c r="N100" s="498" t="n">
        <f aca="false">INDEX(fxcurve,MATCH(N$3,FX!$F$2:$F$28,0),MATCH("Annual Average",FX!$F$2:$G$2,0))</f>
        <v>1.32561446530123</v>
      </c>
      <c r="O100" s="498" t="n">
        <f aca="false">INDEX(fxcurve,MATCH(O$3,FX!$F$2:$F$28,0),MATCH("Annual Average",FX!$F$2:$G$2,0))</f>
        <v>1.31531097724534</v>
      </c>
      <c r="P100" s="498" t="n">
        <f aca="false">INDEX(fxcurve,MATCH(P$3,FX!$F$2:$F$28,0),MATCH("Annual Average",FX!$F$2:$G$2,0))</f>
        <v>1.30527842366359</v>
      </c>
      <c r="Q100" s="498" t="n">
        <f aca="false">INDEX(fxcurve,MATCH(Q$3,FX!$F$2:$F$28,0),MATCH("Annual Average",FX!$F$2:$G$2,0))</f>
        <v>1.29559980538011</v>
      </c>
      <c r="R100" s="498" t="n">
        <f aca="false">INDEX(fxcurve,MATCH(R$3,FX!$F$2:$F$28,0),MATCH("Annual Average",FX!$F$2:$G$2,0))</f>
        <v>1.28625454928102</v>
      </c>
      <c r="S100" s="498" t="n">
        <f aca="false">INDEX(fxcurve,MATCH(S$3,FX!$F$2:$F$28,0),MATCH("Annual Average",FX!$F$2:$G$2,0))</f>
        <v>1.27749962551242</v>
      </c>
      <c r="T100" s="498" t="n">
        <f aca="false">INDEX(fxcurve,MATCH(T$3,FX!$F$2:$F$28,0),MATCH("Annual Average",FX!$F$2:$G$2,0))</f>
        <v>1.26990342899257</v>
      </c>
      <c r="U100" s="498" t="n">
        <f aca="false">INDEX(fxcurve,MATCH(U$3,FX!$F$2:$F$28,0),MATCH("Annual Average",FX!$F$2:$G$2,0))</f>
        <v>1.26281103438461</v>
      </c>
      <c r="V100" s="498" t="n">
        <f aca="false">INDEX(fxcurve,MATCH(V$3,FX!$F$2:$F$28,0),MATCH("Annual Average",FX!$F$2:$G$2,0))</f>
        <v>1.25615455254258</v>
      </c>
      <c r="W100" s="498" t="n">
        <f aca="false">INDEX(fxcurve,MATCH(W$3,FX!$F$2:$F$28,0),MATCH("Annual Average",FX!$F$2:$G$2,0))</f>
        <v>1.24992408625793</v>
      </c>
      <c r="X100" s="498" t="n">
        <f aca="false">INDEX(fxcurve,MATCH(X$3,FX!$F$2:$F$28,0),MATCH("Annual Average",FX!$F$2:$G$2,0))</f>
        <v>1.24228396737324</v>
      </c>
      <c r="Y100" s="114"/>
      <c r="Z100" s="114"/>
      <c r="AA100" s="114"/>
      <c r="AB100" s="114"/>
    </row>
    <row r="101" customFormat="false" ht="10.5" hidden="false" customHeight="true" outlineLevel="0" collapsed="false">
      <c r="B101" s="505" t="s">
        <v>479</v>
      </c>
      <c r="D101" s="498" t="n">
        <f aca="false">D99*D100</f>
        <v>5.79367902759931</v>
      </c>
      <c r="E101" s="498" t="n">
        <f aca="false">E99*E100</f>
        <v>5.74844495456664</v>
      </c>
      <c r="F101" s="498" t="n">
        <f aca="false">F99*F100</f>
        <v>5.70502502298332</v>
      </c>
      <c r="G101" s="498" t="n">
        <f aca="false">G99*G100</f>
        <v>5.65629710988057</v>
      </c>
      <c r="H101" s="498" t="n">
        <f aca="false">H99*H100</f>
        <v>5.60074514048591</v>
      </c>
      <c r="I101" s="498" t="n">
        <f aca="false">I99*I100</f>
        <v>5.53017683769042</v>
      </c>
      <c r="J101" s="498" t="n">
        <f aca="false">J99*J100</f>
        <v>5.47677357410525</v>
      </c>
      <c r="K101" s="498" t="n">
        <f aca="false">K99*K100</f>
        <v>5.42689733666906</v>
      </c>
      <c r="L101" s="498" t="n">
        <f aca="false">L99*L100</f>
        <v>5.38324764677432</v>
      </c>
      <c r="M101" s="498" t="n">
        <f aca="false">M99*M100</f>
        <v>5.34227057283285</v>
      </c>
      <c r="N101" s="498" t="n">
        <f aca="false">N99*N100</f>
        <v>5.30245786120491</v>
      </c>
      <c r="O101" s="498" t="n">
        <f aca="false">O99*O100</f>
        <v>5.26124390898136</v>
      </c>
      <c r="P101" s="498" t="n">
        <f aca="false">P99*P100</f>
        <v>5.22111369465436</v>
      </c>
      <c r="Q101" s="498" t="n">
        <f aca="false">Q99*Q100</f>
        <v>5.18239922152043</v>
      </c>
      <c r="R101" s="498" t="n">
        <f aca="false">R99*R100</f>
        <v>5.14501819712407</v>
      </c>
      <c r="S101" s="498" t="n">
        <f aca="false">S99*S100</f>
        <v>5.10999850204968</v>
      </c>
      <c r="T101" s="498" t="n">
        <f aca="false">T99*T100</f>
        <v>5.07961371597027</v>
      </c>
      <c r="U101" s="498" t="n">
        <f aca="false">U99*U100</f>
        <v>5.05124413753843</v>
      </c>
      <c r="V101" s="498" t="n">
        <f aca="false">V99*V100</f>
        <v>5.0246182101703</v>
      </c>
      <c r="W101" s="498" t="n">
        <f aca="false">W99*W100</f>
        <v>4.99969634503171</v>
      </c>
      <c r="X101" s="498" t="n">
        <f aca="false">X99*X100</f>
        <v>4.96913586949295</v>
      </c>
      <c r="Y101" s="498"/>
    </row>
    <row r="102" customFormat="false" ht="10.5" hidden="false" customHeight="true" outlineLevel="0" collapsed="false">
      <c r="B102" s="505"/>
      <c r="D102" s="498"/>
      <c r="E102" s="498"/>
      <c r="F102" s="498"/>
      <c r="G102" s="498"/>
      <c r="H102" s="498"/>
      <c r="I102" s="498"/>
      <c r="J102" s="498"/>
      <c r="K102" s="498"/>
      <c r="L102" s="498"/>
      <c r="M102" s="498"/>
      <c r="N102" s="498"/>
      <c r="O102" s="498"/>
      <c r="P102" s="498"/>
      <c r="Q102" s="498"/>
      <c r="R102" s="498"/>
      <c r="S102" s="498"/>
      <c r="T102" s="498"/>
      <c r="U102" s="498"/>
      <c r="V102" s="498"/>
      <c r="W102" s="498"/>
      <c r="X102" s="498"/>
      <c r="Y102" s="498"/>
    </row>
    <row r="103" customFormat="false" ht="10.5" hidden="false" customHeight="true" outlineLevel="0" collapsed="false">
      <c r="B103" s="505" t="s">
        <v>480</v>
      </c>
      <c r="D103" s="202" t="n">
        <f aca="false">(D101*D21)/1000</f>
        <v>0</v>
      </c>
      <c r="E103" s="202" t="n">
        <f aca="false">(E101*E21)/1000</f>
        <v>1225.77741522907</v>
      </c>
      <c r="F103" s="202" t="n">
        <f aca="false">(F101*F21)/1000</f>
        <v>1490.82085458258</v>
      </c>
      <c r="G103" s="202" t="n">
        <f aca="false">(G101*G21)/1000</f>
        <v>1502.81545041312</v>
      </c>
      <c r="H103" s="202" t="n">
        <f aca="false">(H101*H21)/1000</f>
        <v>1198.73296308336</v>
      </c>
      <c r="I103" s="202" t="n">
        <f aca="false">(I101*I21)/1000</f>
        <v>1180.51060763361</v>
      </c>
      <c r="J103" s="202" t="n">
        <f aca="false">(J101*J21)/1000</f>
        <v>1189.87127131622</v>
      </c>
      <c r="K103" s="202" t="n">
        <f aca="false">(K101*K21)/1000</f>
        <v>1161.98693595074</v>
      </c>
      <c r="L103" s="202" t="n">
        <f aca="false">(L101*L21)/1000</f>
        <v>1149.65285145925</v>
      </c>
      <c r="M103" s="202" t="n">
        <f aca="false">(M101*M21)/1000</f>
        <v>1151.63495297879</v>
      </c>
      <c r="N103" s="202" t="n">
        <f aca="false">(N101*N21)/1000</f>
        <v>1140.06237588937</v>
      </c>
      <c r="O103" s="202" t="n">
        <f aca="false">(O101*O21)/1000</f>
        <v>1128.23421529723</v>
      </c>
      <c r="P103" s="202" t="n">
        <f aca="false">(P101*P21)/1000</f>
        <v>970.560525215465</v>
      </c>
      <c r="Q103" s="202" t="n">
        <f aca="false">(Q101*Q21)/1000</f>
        <v>980.543821456654</v>
      </c>
      <c r="R103" s="202" t="n">
        <f aca="false">(R101*R21)/1000</f>
        <v>971.056758186165</v>
      </c>
      <c r="S103" s="202" t="n">
        <f aca="false">(S101*S21)/1000</f>
        <v>975.218296945885</v>
      </c>
      <c r="T103" s="202" t="n">
        <f aca="false">(T101*T21)/1000</f>
        <v>0</v>
      </c>
      <c r="U103" s="202" t="n">
        <f aca="false">(U101*U21)/1000</f>
        <v>0</v>
      </c>
      <c r="V103" s="202" t="n">
        <f aca="false">(V101*V21)/1000</f>
        <v>0</v>
      </c>
      <c r="W103" s="202" t="n">
        <f aca="false">(W101*W21)/1000</f>
        <v>0</v>
      </c>
      <c r="X103" s="202" t="n">
        <f aca="false">(X101*X21)/1000</f>
        <v>0</v>
      </c>
      <c r="Y103" s="498"/>
    </row>
    <row r="104" customFormat="false" ht="10.5" hidden="false" customHeight="true" outlineLevel="0" collapsed="false">
      <c r="B104" s="493"/>
      <c r="C104" s="493"/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  <c r="V104" s="142"/>
      <c r="W104" s="142"/>
      <c r="X104" s="142"/>
      <c r="Y104" s="114"/>
      <c r="Z104" s="114"/>
      <c r="AA104" s="114"/>
      <c r="AB104" s="114"/>
    </row>
    <row r="105" customFormat="false" ht="10.5" hidden="false" customHeight="true" outlineLevel="0" collapsed="false">
      <c r="A105" s="112"/>
      <c r="B105" s="506" t="s">
        <v>481</v>
      </c>
      <c r="C105" s="495"/>
      <c r="D105" s="499"/>
      <c r="E105" s="499" t="n">
        <f aca="false">IF(E21=0,0,((Assumptions!$B$68*Assumptions!$B$69)*(Assumptions!$B$70*Assumptions!$B$71))/Assumptions!$B$72)</f>
        <v>0</v>
      </c>
      <c r="F105" s="499" t="n">
        <f aca="false">IF(F21=0,0,((Assumptions!$B$68*Assumptions!$B$69)*(Assumptions!$B$70*Assumptions!$B$71))/Assumptions!$B$72)</f>
        <v>0</v>
      </c>
      <c r="G105" s="499" t="n">
        <f aca="false">IF(G21=0,0,((Assumptions!$B$68*Assumptions!$B$69)*(Assumptions!$B$70*Assumptions!$B$71))/Assumptions!$B$72)</f>
        <v>0</v>
      </c>
      <c r="H105" s="499" t="n">
        <f aca="false">IF(H21=0,0,((Assumptions!$B$68*Assumptions!$B$69)*(Assumptions!$B$70*Assumptions!$B$71))/Assumptions!$B$72)</f>
        <v>0</v>
      </c>
      <c r="I105" s="499" t="n">
        <f aca="false">IF(I21=0,0,((Assumptions!$B$68*Assumptions!$B$69)*(Assumptions!$B$70*Assumptions!$B$71))/Assumptions!$B$72)</f>
        <v>0</v>
      </c>
      <c r="J105" s="499"/>
      <c r="K105" s="499"/>
      <c r="L105" s="499"/>
      <c r="M105" s="499"/>
      <c r="N105" s="499"/>
      <c r="O105" s="499"/>
      <c r="P105" s="499"/>
      <c r="Q105" s="499"/>
      <c r="R105" s="499"/>
      <c r="S105" s="499"/>
      <c r="T105" s="499"/>
      <c r="U105" s="499"/>
      <c r="V105" s="499"/>
      <c r="W105" s="499"/>
      <c r="X105" s="499"/>
      <c r="Y105" s="202"/>
      <c r="Z105" s="202"/>
      <c r="AA105" s="202"/>
      <c r="AB105" s="202"/>
      <c r="AC105" s="202"/>
      <c r="AD105" s="202"/>
      <c r="AE105" s="202"/>
      <c r="AF105" s="202"/>
      <c r="AG105" s="202"/>
      <c r="AH105" s="202"/>
      <c r="AI105" s="202"/>
      <c r="AJ105" s="202"/>
      <c r="AK105" s="202"/>
      <c r="AL105" s="202"/>
      <c r="AM105" s="202"/>
      <c r="AN105" s="202"/>
      <c r="AO105" s="202"/>
      <c r="AP105" s="202"/>
      <c r="AQ105" s="202"/>
      <c r="AR105" s="202"/>
      <c r="AS105" s="202"/>
      <c r="AT105" s="202"/>
      <c r="AU105" s="202"/>
      <c r="AV105" s="202"/>
      <c r="AW105" s="202"/>
      <c r="AX105" s="202"/>
      <c r="AY105" s="202"/>
      <c r="AZ105" s="202"/>
      <c r="BA105" s="202"/>
      <c r="BB105" s="202"/>
      <c r="BC105" s="202"/>
      <c r="BD105" s="202"/>
      <c r="BE105" s="202"/>
      <c r="BF105" s="202"/>
      <c r="BG105" s="202"/>
      <c r="BH105" s="202"/>
      <c r="BI105" s="202"/>
      <c r="BJ105" s="202"/>
      <c r="BK105" s="202"/>
      <c r="BL105" s="202"/>
      <c r="BM105" s="202"/>
      <c r="BN105" s="202"/>
      <c r="BO105" s="202"/>
      <c r="BP105" s="202"/>
      <c r="BQ105" s="202"/>
      <c r="BR105" s="202"/>
      <c r="BS105" s="202"/>
      <c r="BT105" s="202"/>
      <c r="BU105" s="202"/>
      <c r="BV105" s="202"/>
      <c r="BW105" s="202"/>
      <c r="BX105" s="202"/>
      <c r="BY105" s="202"/>
      <c r="BZ105" s="202"/>
      <c r="CA105" s="202"/>
      <c r="CB105" s="202"/>
      <c r="CC105" s="202"/>
      <c r="CD105" s="202"/>
      <c r="CE105" s="202"/>
      <c r="CF105" s="202"/>
      <c r="CG105" s="202"/>
      <c r="CH105" s="202"/>
      <c r="CI105" s="202"/>
      <c r="CJ105" s="202"/>
      <c r="CK105" s="202"/>
      <c r="CL105" s="202"/>
      <c r="CM105" s="202"/>
      <c r="CN105" s="202"/>
      <c r="CO105" s="202"/>
      <c r="CP105" s="202"/>
      <c r="CQ105" s="202"/>
      <c r="CR105" s="202"/>
      <c r="CS105" s="202"/>
      <c r="CT105" s="202"/>
      <c r="CU105" s="202"/>
      <c r="CV105" s="202"/>
      <c r="CW105" s="202"/>
      <c r="CX105" s="202"/>
      <c r="CY105" s="202"/>
      <c r="CZ105" s="202"/>
      <c r="DA105" s="202"/>
      <c r="DB105" s="202"/>
      <c r="DC105" s="202"/>
      <c r="DD105" s="202"/>
      <c r="DE105" s="202"/>
      <c r="DF105" s="202"/>
      <c r="DG105" s="202"/>
      <c r="DH105" s="202"/>
      <c r="DI105" s="202"/>
      <c r="DJ105" s="202"/>
      <c r="DK105" s="202"/>
      <c r="DL105" s="202"/>
      <c r="DM105" s="202"/>
      <c r="DN105" s="202"/>
      <c r="DO105" s="202"/>
      <c r="DP105" s="202"/>
      <c r="DQ105" s="202"/>
      <c r="DR105" s="202"/>
      <c r="DS105" s="202"/>
      <c r="DT105" s="202"/>
      <c r="DU105" s="202"/>
      <c r="DV105" s="202"/>
      <c r="DW105" s="202"/>
      <c r="DX105" s="202"/>
      <c r="DY105" s="202"/>
      <c r="DZ105" s="202"/>
      <c r="EA105" s="202"/>
      <c r="EB105" s="202"/>
      <c r="EC105" s="202"/>
      <c r="ED105" s="202"/>
      <c r="EE105" s="202"/>
      <c r="EF105" s="202"/>
      <c r="EG105" s="202"/>
      <c r="EH105" s="202"/>
      <c r="EI105" s="202"/>
      <c r="EJ105" s="202"/>
      <c r="EK105" s="202"/>
      <c r="EL105" s="202"/>
      <c r="EM105" s="202"/>
      <c r="EN105" s="202"/>
      <c r="EO105" s="202"/>
      <c r="EP105" s="202"/>
      <c r="EQ105" s="202"/>
      <c r="ER105" s="202"/>
      <c r="ES105" s="202"/>
      <c r="ET105" s="202"/>
      <c r="EU105" s="202"/>
      <c r="EV105" s="202"/>
      <c r="EW105" s="202"/>
      <c r="EX105" s="202"/>
      <c r="EY105" s="202"/>
      <c r="EZ105" s="202"/>
      <c r="FA105" s="202"/>
      <c r="FB105" s="202"/>
      <c r="FC105" s="202"/>
      <c r="FD105" s="202"/>
      <c r="FE105" s="202"/>
      <c r="FF105" s="202"/>
      <c r="FG105" s="202"/>
      <c r="FH105" s="202"/>
      <c r="FI105" s="202"/>
      <c r="FJ105" s="202"/>
      <c r="FK105" s="202"/>
      <c r="FL105" s="202"/>
      <c r="FM105" s="202"/>
      <c r="FN105" s="202"/>
      <c r="FO105" s="202"/>
      <c r="FP105" s="202"/>
      <c r="FQ105" s="202"/>
      <c r="FR105" s="202"/>
      <c r="FS105" s="202"/>
      <c r="FT105" s="202"/>
      <c r="FU105" s="202"/>
      <c r="FV105" s="202"/>
      <c r="FW105" s="202"/>
      <c r="FX105" s="202"/>
      <c r="FY105" s="202"/>
      <c r="FZ105" s="202"/>
      <c r="GA105" s="202"/>
      <c r="GB105" s="202"/>
      <c r="GC105" s="202"/>
      <c r="GD105" s="202"/>
      <c r="GE105" s="202"/>
      <c r="GF105" s="202"/>
      <c r="GG105" s="202"/>
      <c r="GH105" s="202"/>
      <c r="GI105" s="202"/>
      <c r="GJ105" s="202"/>
      <c r="GK105" s="202"/>
      <c r="GL105" s="202"/>
      <c r="GM105" s="202"/>
      <c r="GN105" s="202"/>
      <c r="GO105" s="202"/>
      <c r="GP105" s="202"/>
      <c r="GQ105" s="202"/>
      <c r="GR105" s="202"/>
      <c r="GS105" s="202"/>
      <c r="GT105" s="202"/>
      <c r="GU105" s="202"/>
      <c r="GV105" s="202"/>
      <c r="GW105" s="202"/>
      <c r="GX105" s="202"/>
      <c r="GY105" s="202"/>
      <c r="GZ105" s="202"/>
      <c r="HA105" s="202"/>
      <c r="HB105" s="202"/>
      <c r="HC105" s="202"/>
      <c r="HD105" s="202"/>
      <c r="HE105" s="202"/>
      <c r="HF105" s="202"/>
      <c r="HG105" s="202"/>
      <c r="HH105" s="202"/>
      <c r="HI105" s="202"/>
      <c r="HJ105" s="202"/>
      <c r="HK105" s="202"/>
      <c r="HL105" s="202"/>
      <c r="HM105" s="202"/>
      <c r="HN105" s="202"/>
      <c r="HO105" s="202"/>
      <c r="HP105" s="202"/>
      <c r="HQ105" s="202"/>
      <c r="HR105" s="202"/>
      <c r="HS105" s="202"/>
      <c r="HT105" s="202"/>
      <c r="HU105" s="202"/>
      <c r="HV105" s="202"/>
      <c r="HW105" s="202"/>
      <c r="HX105" s="202"/>
      <c r="HY105" s="202"/>
      <c r="HZ105" s="202"/>
      <c r="IA105" s="202"/>
      <c r="IB105" s="202"/>
      <c r="IC105" s="202"/>
      <c r="ID105" s="202"/>
      <c r="IE105" s="202"/>
      <c r="IF105" s="202"/>
      <c r="IG105" s="202"/>
      <c r="IH105" s="202"/>
      <c r="II105" s="202"/>
      <c r="IJ105" s="202"/>
      <c r="IK105" s="202"/>
      <c r="IL105" s="202"/>
      <c r="IM105" s="202"/>
      <c r="IN105" s="202"/>
      <c r="IO105" s="202"/>
      <c r="IP105" s="202"/>
      <c r="IQ105" s="202"/>
      <c r="IR105" s="202"/>
      <c r="IS105" s="202"/>
      <c r="IT105" s="202"/>
      <c r="IU105" s="202"/>
      <c r="IV105" s="202"/>
    </row>
    <row r="106" customFormat="false" ht="10.5" hidden="false" customHeight="true" outlineLevel="0" collapsed="false">
      <c r="B106" s="493"/>
      <c r="C106" s="493"/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42"/>
      <c r="U106" s="142"/>
      <c r="V106" s="142"/>
      <c r="W106" s="142"/>
      <c r="X106" s="142"/>
      <c r="Y106" s="114"/>
      <c r="Z106" s="114"/>
      <c r="AA106" s="114"/>
      <c r="AB106" s="114"/>
    </row>
    <row r="107" customFormat="false" ht="10.5" hidden="false" customHeight="true" outlineLevel="0" collapsed="false">
      <c r="B107" s="491" t="s">
        <v>482</v>
      </c>
      <c r="C107" s="493"/>
      <c r="D107" s="142"/>
      <c r="E107" s="142"/>
      <c r="F107" s="142"/>
      <c r="G107" s="507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14"/>
      <c r="Z107" s="114"/>
      <c r="AA107" s="114"/>
      <c r="AB107" s="114"/>
    </row>
    <row r="108" customFormat="false" ht="10.5" hidden="false" customHeight="true" outlineLevel="0" collapsed="false">
      <c r="B108" s="493"/>
      <c r="C108" s="493"/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14"/>
      <c r="Z108" s="114"/>
      <c r="AA108" s="114"/>
      <c r="AB108" s="114"/>
    </row>
    <row r="109" customFormat="false" ht="10.5" hidden="false" customHeight="true" outlineLevel="0" collapsed="false">
      <c r="B109" s="493"/>
      <c r="C109" s="493"/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14"/>
      <c r="Z109" s="114"/>
      <c r="AA109" s="114"/>
      <c r="AB109" s="114"/>
    </row>
    <row r="110" customFormat="false" ht="10.5" hidden="false" customHeight="true" outlineLevel="0" collapsed="false">
      <c r="B110" s="492" t="s">
        <v>483</v>
      </c>
      <c r="C110" s="493"/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14"/>
      <c r="Z110" s="114"/>
      <c r="AA110" s="114"/>
      <c r="AB110" s="114"/>
    </row>
    <row r="111" customFormat="false" ht="10.5" hidden="false" customHeight="true" outlineLevel="0" collapsed="false">
      <c r="B111" s="505" t="s">
        <v>484</v>
      </c>
      <c r="C111" s="113"/>
      <c r="D111" s="498" t="n">
        <f aca="false">IF(D21=0,0,SUMIF('Monthly Table'!$CR:$CR,YEAR('Operational Detail'!D$2),'Monthly Table'!$Q:$Q)/COUNTIF('Monthly Table'!$CR:$CR,YEAR(D$2)))</f>
        <v>0</v>
      </c>
      <c r="E111" s="498" t="n">
        <f aca="false">IF(E21=0,0,SUMIF('Monthly Table'!$CR:$CR,YEAR('Operational Detail'!E$2),'Monthly Table'!$Q:$Q)/COUNTIF('Monthly Table'!$CR:$CR,YEAR(E$2)))</f>
        <v>2.864</v>
      </c>
      <c r="F111" s="498" t="n">
        <f aca="false">IF(F21=0,0,SUMIF('Monthly Table'!$CR:$CR,YEAR('Operational Detail'!F$2),'Monthly Table'!$Q:$Q)/COUNTIF('Monthly Table'!$CR:$CR,YEAR(F$2)))</f>
        <v>2.778</v>
      </c>
      <c r="G111" s="498" t="n">
        <f aca="false">IF(G21=0,0,SUMIF('Monthly Table'!$CR:$CR,YEAR('Operational Detail'!G$2),'Monthly Table'!$Q:$Q)/COUNTIF('Monthly Table'!$CR:$CR,YEAR(G$2)))</f>
        <v>2.8105</v>
      </c>
      <c r="H111" s="498" t="n">
        <f aca="false">IF(H21=0,0,SUMIF('Monthly Table'!$CR:$CR,YEAR('Operational Detail'!H$2),'Monthly Table'!$Q:$Q)/COUNTIF('Monthly Table'!$CR:$CR,YEAR(H$2)))</f>
        <v>2.87683333333333</v>
      </c>
      <c r="I111" s="498" t="n">
        <f aca="false">IF(I21=0,0,SUMIF('Monthly Table'!$CR:$CR,YEAR('Operational Detail'!I$2),'Monthly Table'!$Q:$Q)/COUNTIF('Monthly Table'!$CR:$CR,YEAR(I$2)))</f>
        <v>2.92683333333333</v>
      </c>
      <c r="J111" s="498" t="n">
        <f aca="false">IF(J21=0,0,SUMIF('Monthly Table'!$CR:$CR,YEAR('Operational Detail'!J$2),'Monthly Table'!$Q:$Q)/COUNTIF('Monthly Table'!$CR:$CR,YEAR(J$2)))</f>
        <v>2.98183333333333</v>
      </c>
      <c r="K111" s="498" t="n">
        <f aca="false">IF(K21=0,0,SUMIF('Monthly Table'!$CR:$CR,YEAR('Operational Detail'!K$2),'Monthly Table'!$Q:$Q)/COUNTIF('Monthly Table'!$CR:$CR,YEAR(K$2)))</f>
        <v>3.04683333333333</v>
      </c>
      <c r="L111" s="498" t="n">
        <f aca="false">IF(L21=0,0,SUMIF('Monthly Table'!$CR:$CR,YEAR('Operational Detail'!L$2),'Monthly Table'!$Q:$Q)/COUNTIF('Monthly Table'!$CR:$CR,YEAR(L$2)))</f>
        <v>3.11683333333333</v>
      </c>
      <c r="M111" s="498" t="n">
        <f aca="false">IF(M21=0,0,SUMIF('Monthly Table'!$CR:$CR,YEAR('Operational Detail'!M$2),'Monthly Table'!$Q:$Q)/COUNTIF('Monthly Table'!$CR:$CR,YEAR(M$2)))</f>
        <v>3.18683333333333</v>
      </c>
      <c r="N111" s="498" t="n">
        <f aca="false">IF(N21=0,0,SUMIF('Monthly Table'!$CR:$CR,YEAR('Operational Detail'!N$2),'Monthly Table'!$Q:$Q)/COUNTIF('Monthly Table'!$CR:$CR,YEAR(N$2)))</f>
        <v>3.31183333333333</v>
      </c>
      <c r="O111" s="498" t="n">
        <f aca="false">IF(O21=0,0,SUMIF('Monthly Table'!$CR:$CR,YEAR('Operational Detail'!O$2),'Monthly Table'!$Q:$Q)/COUNTIF('Monthly Table'!$CR:$CR,YEAR(O$2)))</f>
        <v>3.39183333333333</v>
      </c>
      <c r="P111" s="498" t="n">
        <f aca="false">IF(P21=0,0,SUMIF('Monthly Table'!$CR:$CR,YEAR('Operational Detail'!P$2),'Monthly Table'!$Q:$Q)/COUNTIF('Monthly Table'!$CR:$CR,YEAR(P$2)))</f>
        <v>3.47683333333333</v>
      </c>
      <c r="Q111" s="498" t="n">
        <f aca="false">IF(Q21=0,0,SUMIF('Monthly Table'!$CR:$CR,YEAR('Operational Detail'!Q$2),'Monthly Table'!$Q:$Q)/COUNTIF('Monthly Table'!$CR:$CR,YEAR(Q$2)))</f>
        <v>3.56683333333333</v>
      </c>
      <c r="R111" s="498" t="n">
        <f aca="false">IF(R21=0,0,SUMIF('Monthly Table'!$CR:$CR,YEAR('Operational Detail'!R$2),'Monthly Table'!$Q:$Q)/COUNTIF('Monthly Table'!$CR:$CR,YEAR(R$2)))</f>
        <v>3.66183333333333</v>
      </c>
      <c r="S111" s="498" t="n">
        <f aca="false">IF(S21=0,0,SUMIF('Monthly Table'!$CR:$CR,YEAR('Operational Detail'!S$2),'Monthly Table'!$Q:$Q)/COUNTIF('Monthly Table'!$CR:$CR,YEAR(S$2)))</f>
        <v>3.76183333333333</v>
      </c>
      <c r="T111" s="498" t="n">
        <f aca="false">IF(T21=0,0,SUMIF('Monthly Table'!$CR:$CR,YEAR('Operational Detail'!T$2),'Monthly Table'!$Q:$Q)/COUNTIF('Monthly Table'!$CR:$CR,YEAR(T$2)))</f>
        <v>0</v>
      </c>
      <c r="U111" s="498" t="n">
        <f aca="false">IF(U21=0,0,SUMIF('Monthly Table'!$CR:$CR,YEAR('Operational Detail'!U$2),'Monthly Table'!$Q:$Q)/COUNTIF('Monthly Table'!$CR:$CR,YEAR(U$2)))</f>
        <v>0</v>
      </c>
      <c r="V111" s="498" t="n">
        <f aca="false">IF(V21=0,0,SUMIF('Monthly Table'!$CR:$CR,YEAR('Operational Detail'!V$2),'Monthly Table'!$Q:$Q)/COUNTIF('Monthly Table'!$CR:$CR,YEAR(V$2)))</f>
        <v>0</v>
      </c>
      <c r="W111" s="498" t="n">
        <f aca="false">IF(W21=0,0,SUMIF('Monthly Table'!$CR:$CR,YEAR('Operational Detail'!W$2),'Monthly Table'!$Q:$Q)/COUNTIF('Monthly Table'!$CR:$CR,YEAR(W$2)))</f>
        <v>0</v>
      </c>
      <c r="X111" s="498" t="n">
        <f aca="false">IF(X21=0,0,SUMIF('Monthly Table'!$CR:$CR,YEAR('Operational Detail'!X$2),'Monthly Table'!$Q:$Q)/COUNTIF('Monthly Table'!$CR:$CR,YEAR(X$2)))</f>
        <v>0</v>
      </c>
      <c r="Y111" s="498"/>
      <c r="Z111" s="498"/>
      <c r="AA111" s="498"/>
      <c r="AB111" s="498"/>
    </row>
    <row r="112" customFormat="false" ht="10.5" hidden="false" customHeight="true" outlineLevel="0" collapsed="false">
      <c r="B112" s="153" t="s">
        <v>443</v>
      </c>
      <c r="C112" s="113"/>
      <c r="D112" s="498" t="n">
        <f aca="false">INDEX(fxcurve,MATCH(D$3,FX!$F$2:$F$28,0),MATCH("Annual Average",FX!$F$2:$G$2,0))</f>
        <v>1.44841975689983</v>
      </c>
      <c r="E112" s="498" t="n">
        <f aca="false">INDEX(fxcurve,MATCH(E3,FX!$F$2:$F$28,0),MATCH("Annual Average",FX!$F$2:$G$2,0))</f>
        <v>1.43711123864166</v>
      </c>
      <c r="F112" s="498" t="n">
        <f aca="false">INDEX(fxcurve,MATCH(F3,FX!$F$2:$F$28,0),MATCH("Annual Average",FX!$F$2:$G$2,0))</f>
        <v>1.42625625574583</v>
      </c>
      <c r="G112" s="498" t="n">
        <f aca="false">INDEX(fxcurve,MATCH(G3,FX!$F$2:$F$28,0),MATCH("Annual Average",FX!$F$2:$G$2,0))</f>
        <v>1.41407427747014</v>
      </c>
      <c r="H112" s="498" t="n">
        <f aca="false">INDEX(fxcurve,MATCH(H3,FX!$F$2:$F$28,0),MATCH("Annual Average",FX!$F$2:$G$2,0))</f>
        <v>1.40018628512148</v>
      </c>
      <c r="I112" s="498" t="n">
        <f aca="false">INDEX(fxcurve,MATCH(I3,FX!$F$2:$F$28,0),MATCH("Annual Average",FX!$F$2:$G$2,0))</f>
        <v>1.3825442094226</v>
      </c>
      <c r="J112" s="498" t="n">
        <f aca="false">INDEX(fxcurve,MATCH(J3,FX!$F$2:$F$28,0),MATCH("Annual Average",FX!$F$2:$G$2,0))</f>
        <v>1.36919339352631</v>
      </c>
      <c r="K112" s="498" t="n">
        <f aca="false">INDEX(fxcurve,MATCH(K3,FX!$F$2:$F$28,0),MATCH("Annual Average",FX!$F$2:$G$2,0))</f>
        <v>1.35672433416726</v>
      </c>
      <c r="L112" s="498" t="n">
        <f aca="false">INDEX(fxcurve,MATCH(L3,FX!$F$2:$F$28,0),MATCH("Annual Average",FX!$F$2:$G$2,0))</f>
        <v>1.34581191169358</v>
      </c>
      <c r="M112" s="498" t="n">
        <f aca="false">INDEX(fxcurve,MATCH(M3,FX!$F$2:$F$28,0),MATCH("Annual Average",FX!$F$2:$G$2,0))</f>
        <v>1.33556764320821</v>
      </c>
      <c r="N112" s="498" t="n">
        <f aca="false">INDEX(fxcurve,MATCH(N3,FX!$F$2:$F$28,0),MATCH("Annual Average",FX!$F$2:$G$2,0))</f>
        <v>1.32561446530123</v>
      </c>
      <c r="O112" s="498" t="n">
        <f aca="false">INDEX(fxcurve,MATCH(O3,FX!$F$2:$F$28,0),MATCH("Annual Average",FX!$F$2:$G$2,0))</f>
        <v>1.31531097724534</v>
      </c>
      <c r="P112" s="498" t="n">
        <f aca="false">INDEX(fxcurve,MATCH(P3,FX!$F$2:$F$28,0),MATCH("Annual Average",FX!$F$2:$G$2,0))</f>
        <v>1.30527842366359</v>
      </c>
      <c r="Q112" s="498" t="n">
        <f aca="false">INDEX(fxcurve,MATCH(Q3,FX!$F$2:$F$28,0),MATCH("Annual Average",FX!$F$2:$G$2,0))</f>
        <v>1.29559980538011</v>
      </c>
      <c r="R112" s="498" t="n">
        <f aca="false">INDEX(fxcurve,MATCH(R3,FX!$F$2:$F$28,0),MATCH("Annual Average",FX!$F$2:$G$2,0))</f>
        <v>1.28625454928102</v>
      </c>
      <c r="S112" s="498" t="n">
        <f aca="false">INDEX(fxcurve,MATCH(S3,FX!$F$2:$F$28,0),MATCH("Annual Average",FX!$F$2:$G$2,0))</f>
        <v>1.27749962551242</v>
      </c>
      <c r="T112" s="498" t="n">
        <f aca="false">INDEX(fxcurve,MATCH(T3,FX!$F$2:$F$28,0),MATCH("Annual Average",FX!$F$2:$G$2,0))</f>
        <v>1.26990342899257</v>
      </c>
      <c r="U112" s="498" t="n">
        <f aca="false">INDEX(fxcurve,MATCH(U3,FX!$F$2:$F$28,0),MATCH("Annual Average",FX!$F$2:$G$2,0))</f>
        <v>1.26281103438461</v>
      </c>
      <c r="V112" s="498" t="n">
        <f aca="false">INDEX(fxcurve,MATCH(V3,FX!$F$2:$F$28,0),MATCH("Annual Average",FX!$F$2:$G$2,0))</f>
        <v>1.25615455254258</v>
      </c>
      <c r="W112" s="498" t="n">
        <f aca="false">INDEX(fxcurve,MATCH(W3,FX!$F$2:$F$28,0),MATCH("Annual Average",FX!$F$2:$G$2,0))</f>
        <v>1.24992408625793</v>
      </c>
      <c r="X112" s="498" t="n">
        <f aca="false">INDEX(fxcurve,MATCH(X3,FX!$F$2:$F$28,0),MATCH("Annual Average",FX!$F$2:$G$2,0))</f>
        <v>1.24228396737324</v>
      </c>
      <c r="Y112" s="498"/>
      <c r="Z112" s="498"/>
      <c r="AA112" s="498"/>
      <c r="AB112" s="498"/>
    </row>
    <row r="113" customFormat="false" ht="10.5" hidden="false" customHeight="true" outlineLevel="0" collapsed="false">
      <c r="B113" s="505" t="s">
        <v>485</v>
      </c>
      <c r="C113" s="113"/>
      <c r="D113" s="393" t="n">
        <f aca="false">D111*D112</f>
        <v>0</v>
      </c>
      <c r="E113" s="393" t="n">
        <f aca="false">E111*E112</f>
        <v>4.11588658746971</v>
      </c>
      <c r="F113" s="393" t="n">
        <f aca="false">F111*F112</f>
        <v>3.96213987846192</v>
      </c>
      <c r="G113" s="393" t="n">
        <f aca="false">G111*G112</f>
        <v>3.97425575682983</v>
      </c>
      <c r="H113" s="393" t="n">
        <f aca="false">H111*H112</f>
        <v>4.02810257791364</v>
      </c>
      <c r="I113" s="393" t="n">
        <f aca="false">I111*I112</f>
        <v>4.04647647694506</v>
      </c>
      <c r="J113" s="393" t="n">
        <f aca="false">J111*J112</f>
        <v>4.08270650059655</v>
      </c>
      <c r="K113" s="393" t="n">
        <f aca="false">K111*K112</f>
        <v>4.13371292548529</v>
      </c>
      <c r="L113" s="393" t="n">
        <f aca="false">L111*L112</f>
        <v>4.19467142676361</v>
      </c>
      <c r="M113" s="393" t="n">
        <f aca="false">M111*M112</f>
        <v>4.25623148429737</v>
      </c>
      <c r="N113" s="393" t="n">
        <f aca="false">N111*N112</f>
        <v>4.39021417333345</v>
      </c>
      <c r="O113" s="393" t="n">
        <f aca="false">O111*O112</f>
        <v>4.46131561631998</v>
      </c>
      <c r="P113" s="393" t="n">
        <f aca="false">P111*P112</f>
        <v>4.53823553267436</v>
      </c>
      <c r="Q113" s="393" t="n">
        <f aca="false">Q111*Q112</f>
        <v>4.62118857248994</v>
      </c>
      <c r="R113" s="393" t="n">
        <f aca="false">R111*R112</f>
        <v>4.71004978370887</v>
      </c>
      <c r="S113" s="393" t="n">
        <f aca="false">S111*S112</f>
        <v>4.80574067457347</v>
      </c>
      <c r="T113" s="393" t="n">
        <f aca="false">T111*T112</f>
        <v>0</v>
      </c>
      <c r="U113" s="393" t="n">
        <f aca="false">U111*U112</f>
        <v>0</v>
      </c>
      <c r="V113" s="393" t="n">
        <f aca="false">V111*V112</f>
        <v>0</v>
      </c>
      <c r="W113" s="393" t="n">
        <f aca="false">W111*W112</f>
        <v>0</v>
      </c>
      <c r="X113" s="393" t="n">
        <f aca="false">X111*X112</f>
        <v>0</v>
      </c>
      <c r="Y113" s="498"/>
      <c r="Z113" s="498"/>
      <c r="AA113" s="498"/>
      <c r="AB113" s="498"/>
    </row>
    <row r="114" customFormat="false" ht="10.5" hidden="false" customHeight="true" outlineLevel="0" collapsed="false">
      <c r="B114" s="505" t="s">
        <v>486</v>
      </c>
      <c r="C114" s="113"/>
      <c r="D114" s="393" t="n">
        <f aca="false">Assumptions!$B$34</f>
        <v>0.312458892307692</v>
      </c>
      <c r="E114" s="393" t="n">
        <f aca="false">Assumptions!$B$34</f>
        <v>0.312458892307692</v>
      </c>
      <c r="F114" s="393" t="n">
        <f aca="false">Assumptions!$B$34</f>
        <v>0.312458892307692</v>
      </c>
      <c r="G114" s="393" t="n">
        <f aca="false">Assumptions!$B$34</f>
        <v>0.312458892307692</v>
      </c>
      <c r="H114" s="393" t="n">
        <f aca="false">Assumptions!$B$34*(1+Assumptions!$E$32)</f>
        <v>0.318708070153846</v>
      </c>
      <c r="I114" s="393" t="n">
        <f aca="false">H114*(1+Assumptions!$E$32)</f>
        <v>0.325082231556923</v>
      </c>
      <c r="J114" s="393" t="n">
        <f aca="false">I114*(1+Assumptions!$E$32)</f>
        <v>0.331583876188062</v>
      </c>
      <c r="K114" s="393" t="n">
        <f aca="false">J114*(1+Assumptions!$E$32)</f>
        <v>0.338215553711823</v>
      </c>
      <c r="L114" s="393" t="n">
        <f aca="false">K114*(1+Assumptions!$E$32)</f>
        <v>0.344979864786059</v>
      </c>
      <c r="M114" s="393" t="n">
        <f aca="false">L114*(1+Assumptions!$E$32)</f>
        <v>0.351879462081781</v>
      </c>
      <c r="N114" s="393" t="n">
        <f aca="false">M114*(1+Assumptions!$E$32)</f>
        <v>0.358917051323416</v>
      </c>
      <c r="O114" s="393" t="n">
        <f aca="false">N114*(1+Assumptions!$E$32)</f>
        <v>0.366095392349884</v>
      </c>
      <c r="P114" s="393" t="n">
        <f aca="false">O114*(1+Assumptions!$E$32)</f>
        <v>0.373417300196882</v>
      </c>
      <c r="Q114" s="393" t="n">
        <f aca="false">P114*(1+Assumptions!$E$32)</f>
        <v>0.38088564620082</v>
      </c>
      <c r="R114" s="393" t="n">
        <f aca="false">Q114*(1+Assumptions!$E$32)</f>
        <v>0.388503359124836</v>
      </c>
      <c r="S114" s="393" t="n">
        <f aca="false">R114*(1+Assumptions!$E$32)</f>
        <v>0.396273426307333</v>
      </c>
      <c r="T114" s="393" t="n">
        <f aca="false">S114*(1+Assumptions!$E$32)</f>
        <v>0.40419889483348</v>
      </c>
      <c r="U114" s="393" t="n">
        <f aca="false">T114*(1+Assumptions!$E$32)</f>
        <v>0.412282872730149</v>
      </c>
      <c r="V114" s="393" t="n">
        <f aca="false">U114*(1+Assumptions!$E$32)</f>
        <v>0.420528530184752</v>
      </c>
      <c r="W114" s="393" t="n">
        <f aca="false">V114*(1+Assumptions!$E$32)</f>
        <v>0.428939100788447</v>
      </c>
      <c r="X114" s="393" t="n">
        <f aca="false">W114*(1+Assumptions!$E$32)</f>
        <v>0.437517882804216</v>
      </c>
      <c r="Y114" s="498"/>
      <c r="Z114" s="498"/>
      <c r="AA114" s="498"/>
      <c r="AB114" s="498"/>
      <c r="AC114" s="498"/>
    </row>
    <row r="115" customFormat="false" ht="10.5" hidden="false" customHeight="true" outlineLevel="0" collapsed="false">
      <c r="A115" s="112"/>
      <c r="B115" s="508" t="s">
        <v>487</v>
      </c>
      <c r="C115" s="295"/>
      <c r="D115" s="393" t="n">
        <f aca="false">D113+D114</f>
        <v>0.312458892307692</v>
      </c>
      <c r="E115" s="393" t="n">
        <f aca="false">E113+E114</f>
        <v>4.42834547977741</v>
      </c>
      <c r="F115" s="393" t="n">
        <f aca="false">F113+F114</f>
        <v>4.27459877076961</v>
      </c>
      <c r="G115" s="393" t="n">
        <f aca="false">G113+G114</f>
        <v>4.28671464913753</v>
      </c>
      <c r="H115" s="393" t="n">
        <f aca="false">H113+H114</f>
        <v>4.34681064806748</v>
      </c>
      <c r="I115" s="393" t="n">
        <f aca="false">I113+I114</f>
        <v>4.37155870850198</v>
      </c>
      <c r="J115" s="393" t="n">
        <f aca="false">J113+J114</f>
        <v>4.41429037678461</v>
      </c>
      <c r="K115" s="393" t="n">
        <f aca="false">K113+K114</f>
        <v>4.47192847919712</v>
      </c>
      <c r="L115" s="393" t="n">
        <f aca="false">L113+L114</f>
        <v>4.53965129154966</v>
      </c>
      <c r="M115" s="393" t="n">
        <f aca="false">M113+M114</f>
        <v>4.60811094637915</v>
      </c>
      <c r="N115" s="393" t="n">
        <f aca="false">N113+N114</f>
        <v>4.74913122465687</v>
      </c>
      <c r="O115" s="393" t="n">
        <f aca="false">O113+O114</f>
        <v>4.82741100866987</v>
      </c>
      <c r="P115" s="393" t="n">
        <f aca="false">P113+P114</f>
        <v>4.91165283287124</v>
      </c>
      <c r="Q115" s="393" t="n">
        <f aca="false">Q113+Q114</f>
        <v>5.00207421869076</v>
      </c>
      <c r="R115" s="393" t="n">
        <f aca="false">R113+R114</f>
        <v>5.09855314283371</v>
      </c>
      <c r="S115" s="393" t="n">
        <f aca="false">S113+S114</f>
        <v>5.2020141008808</v>
      </c>
      <c r="T115" s="393" t="n">
        <f aca="false">T113+T114</f>
        <v>0.40419889483348</v>
      </c>
      <c r="U115" s="393" t="n">
        <f aca="false">U113+U114</f>
        <v>0.412282872730149</v>
      </c>
      <c r="V115" s="393" t="n">
        <f aca="false">V113+V114</f>
        <v>0.420528530184752</v>
      </c>
      <c r="W115" s="393" t="n">
        <f aca="false">W113+W114</f>
        <v>0.428939100788447</v>
      </c>
      <c r="X115" s="393" t="n">
        <f aca="false">X113+X114</f>
        <v>0.437517882804216</v>
      </c>
      <c r="Y115" s="498"/>
      <c r="Z115" s="498"/>
      <c r="AA115" s="498"/>
      <c r="AB115" s="498"/>
      <c r="AC115" s="498"/>
    </row>
    <row r="116" customFormat="false" ht="10.5" hidden="false" customHeight="true" outlineLevel="0" collapsed="false">
      <c r="B116" s="505"/>
      <c r="C116" s="11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393"/>
      <c r="P116" s="393"/>
      <c r="Q116" s="393"/>
      <c r="R116" s="393"/>
      <c r="S116" s="393"/>
      <c r="T116" s="393"/>
      <c r="U116" s="393"/>
      <c r="V116" s="393"/>
      <c r="W116" s="393"/>
      <c r="X116" s="393"/>
      <c r="Y116" s="498"/>
      <c r="Z116" s="498"/>
      <c r="AA116" s="498"/>
      <c r="AB116" s="498"/>
    </row>
    <row r="117" customFormat="false" ht="10.5" hidden="false" customHeight="true" outlineLevel="0" collapsed="false">
      <c r="B117" s="151" t="s">
        <v>488</v>
      </c>
      <c r="C117" s="493"/>
      <c r="D117" s="175" t="n">
        <f aca="false">Assumptions!$B$13</f>
        <v>11960</v>
      </c>
      <c r="E117" s="175" t="n">
        <f aca="false">Assumptions!$B$13</f>
        <v>11960</v>
      </c>
      <c r="F117" s="175" t="n">
        <f aca="false">Assumptions!$B$13</f>
        <v>11960</v>
      </c>
      <c r="G117" s="175" t="n">
        <f aca="false">Assumptions!$B$13</f>
        <v>11960</v>
      </c>
      <c r="H117" s="175" t="n">
        <f aca="false">Tables!$E$36</f>
        <v>11960</v>
      </c>
      <c r="I117" s="175" t="n">
        <f aca="false">Tables!$E$36</f>
        <v>11960</v>
      </c>
      <c r="J117" s="175" t="n">
        <f aca="false">Tables!$E$36</f>
        <v>11960</v>
      </c>
      <c r="K117" s="175" t="n">
        <f aca="false">Tables!$E$36</f>
        <v>11960</v>
      </c>
      <c r="L117" s="175" t="n">
        <f aca="false">Tables!$E$36</f>
        <v>11960</v>
      </c>
      <c r="M117" s="175" t="n">
        <f aca="false">Tables!$E$36</f>
        <v>11960</v>
      </c>
      <c r="N117" s="175" t="n">
        <f aca="false">Tables!$E$36</f>
        <v>11960</v>
      </c>
      <c r="O117" s="175" t="n">
        <f aca="false">Tables!$E$36</f>
        <v>11960</v>
      </c>
      <c r="P117" s="175" t="n">
        <f aca="false">Tables!$E$36</f>
        <v>11960</v>
      </c>
      <c r="Q117" s="175" t="n">
        <f aca="false">Tables!$E$36</f>
        <v>11960</v>
      </c>
      <c r="R117" s="175" t="n">
        <f aca="false">Tables!$E$36</f>
        <v>11960</v>
      </c>
      <c r="S117" s="175" t="n">
        <f aca="false">Tables!$E$36</f>
        <v>11960</v>
      </c>
      <c r="T117" s="175" t="n">
        <f aca="false">Tables!$E$36</f>
        <v>11960</v>
      </c>
      <c r="U117" s="175" t="n">
        <f aca="false">Tables!$E$36</f>
        <v>11960</v>
      </c>
      <c r="V117" s="175" t="n">
        <f aca="false">Tables!$E$36</f>
        <v>11960</v>
      </c>
      <c r="W117" s="175" t="n">
        <f aca="false">Tables!$E$36</f>
        <v>11960</v>
      </c>
      <c r="X117" s="175" t="n">
        <f aca="false">Tables!$E$36</f>
        <v>11960</v>
      </c>
      <c r="Y117" s="501"/>
      <c r="Z117" s="501"/>
      <c r="AA117" s="501"/>
      <c r="AB117" s="501"/>
    </row>
    <row r="118" customFormat="false" ht="10.5" hidden="false" customHeight="true" outlineLevel="0" collapsed="false">
      <c r="A118" s="112"/>
      <c r="B118" s="153" t="s">
        <v>489</v>
      </c>
      <c r="C118" s="495"/>
      <c r="D118" s="509" t="n">
        <f aca="false">Assumptions!$B$16*'Operational Detail'!D19/Assumptions!$B$15</f>
        <v>0.00625</v>
      </c>
      <c r="E118" s="509" t="n">
        <f aca="false">Assumptions!$B$16*'Operational Detail'!E19/Assumptions!$B$15</f>
        <v>0.00883</v>
      </c>
      <c r="F118" s="509" t="n">
        <f aca="false">Assumptions!$B$16*'Operational Detail'!F19/Assumptions!$B$15</f>
        <v>0.0116</v>
      </c>
      <c r="G118" s="509" t="n">
        <f aca="false">Assumptions!$B$16*'Operational Detail'!G19/Assumptions!$B$15</f>
        <v>0.01439</v>
      </c>
      <c r="H118" s="509" t="n">
        <f aca="false">Assumptions!$B$16*'Operational Detail'!H19/Assumptions!$B$15</f>
        <v>0.01698</v>
      </c>
      <c r="I118" s="509" t="n">
        <f aca="false">Assumptions!$B$16*'Operational Detail'!I19/Assumptions!$B$15</f>
        <v>0.01957</v>
      </c>
      <c r="J118" s="509" t="n">
        <f aca="false">Assumptions!$B$16*'Operational Detail'!J19/Assumptions!$B$15</f>
        <v>0.00216</v>
      </c>
      <c r="K118" s="509" t="n">
        <f aca="false">Assumptions!$B$16*'Operational Detail'!K19/Assumptions!$B$15</f>
        <v>0.00474</v>
      </c>
      <c r="L118" s="509" t="n">
        <f aca="false">Assumptions!$B$16*'Operational Detail'!L19/Assumptions!$B$15</f>
        <v>0.00732</v>
      </c>
      <c r="M118" s="509" t="n">
        <f aca="false">Assumptions!$B$16*'Operational Detail'!M19/Assumptions!$B$15</f>
        <v>0.00991</v>
      </c>
      <c r="N118" s="509" t="n">
        <f aca="false">Assumptions!$B$16*'Operational Detail'!N19/Assumptions!$B$15</f>
        <v>0.0125</v>
      </c>
      <c r="O118" s="509" t="n">
        <f aca="false">Assumptions!$B$16*'Operational Detail'!O19/Assumptions!$B$15</f>
        <v>0.01509</v>
      </c>
      <c r="P118" s="509" t="n">
        <f aca="false">Assumptions!$B$16*'Operational Detail'!P19/Assumptions!$B$15</f>
        <v>0.01757</v>
      </c>
      <c r="Q118" s="509" t="n">
        <f aca="false">Assumptions!$B$16*'Operational Detail'!Q19/Assumptions!$B$15</f>
        <v>5E-005</v>
      </c>
      <c r="R118" s="509" t="n">
        <f aca="false">Assumptions!$B$16*'Operational Detail'!R19/Assumptions!$B$15</f>
        <v>0.00253</v>
      </c>
      <c r="S118" s="509" t="n">
        <f aca="false">Assumptions!$B$16*'Operational Detail'!S19/Assumptions!$B$15</f>
        <v>0.00502</v>
      </c>
      <c r="T118" s="509" t="n">
        <f aca="false">Assumptions!$B$16*'Operational Detail'!T19/Assumptions!$B$15</f>
        <v>0</v>
      </c>
      <c r="U118" s="509" t="n">
        <f aca="false">Assumptions!$B$16*'Operational Detail'!U19/Assumptions!$B$15</f>
        <v>0</v>
      </c>
      <c r="V118" s="509" t="n">
        <f aca="false">Assumptions!$B$16*'Operational Detail'!V19/Assumptions!$B$15</f>
        <v>0</v>
      </c>
      <c r="W118" s="509" t="n">
        <f aca="false">Assumptions!$B$16*'Operational Detail'!W19/Assumptions!$B$15</f>
        <v>0</v>
      </c>
      <c r="X118" s="509" t="n">
        <f aca="false">Assumptions!$B$16*'Operational Detail'!X19/Assumptions!$B$15</f>
        <v>0</v>
      </c>
      <c r="Y118" s="509"/>
      <c r="Z118" s="509"/>
      <c r="AA118" s="509"/>
      <c r="AB118" s="509"/>
    </row>
    <row r="119" customFormat="false" ht="10.5" hidden="false" customHeight="true" outlineLevel="0" collapsed="false">
      <c r="A119" s="112"/>
      <c r="B119" s="153" t="s">
        <v>490</v>
      </c>
      <c r="C119" s="495"/>
      <c r="D119" s="352" t="n">
        <f aca="false">((1+D$118)*D$117)</f>
        <v>12034.75</v>
      </c>
      <c r="E119" s="352" t="n">
        <f aca="false">((1+E$118)*E$117)</f>
        <v>12065.6068</v>
      </c>
      <c r="F119" s="352" t="n">
        <f aca="false">((1+F$118)*F$117)</f>
        <v>12098.736</v>
      </c>
      <c r="G119" s="352" t="n">
        <f aca="false">((1+G$118)*G$117)</f>
        <v>12132.1044</v>
      </c>
      <c r="H119" s="352" t="n">
        <f aca="false">((1+H$118)*H$117)</f>
        <v>12163.0808</v>
      </c>
      <c r="I119" s="352" t="n">
        <f aca="false">((1+I$118)*I$117)</f>
        <v>12194.0572</v>
      </c>
      <c r="J119" s="352" t="n">
        <f aca="false">((1+J$118)*J$117)</f>
        <v>11985.8336</v>
      </c>
      <c r="K119" s="352" t="n">
        <f aca="false">((1+K$118)*K$117)</f>
        <v>12016.6904</v>
      </c>
      <c r="L119" s="352" t="n">
        <f aca="false">((1+L$118)*L$117)</f>
        <v>12047.5472</v>
      </c>
      <c r="M119" s="352" t="n">
        <f aca="false">((1+M$118)*M$117)</f>
        <v>12078.5236</v>
      </c>
      <c r="N119" s="352" t="n">
        <f aca="false">((1+N$118)*N$117)</f>
        <v>12109.5</v>
      </c>
      <c r="O119" s="352" t="n">
        <f aca="false">((1+O$118)*O$117)</f>
        <v>12140.4764</v>
      </c>
      <c r="P119" s="352" t="n">
        <f aca="false">((1+P$118)*P$117)</f>
        <v>12170.1372</v>
      </c>
      <c r="Q119" s="352" t="n">
        <f aca="false">((1+Q$118)*Q$117)</f>
        <v>11960.598</v>
      </c>
      <c r="R119" s="352" t="n">
        <f aca="false">((1+R$118)*R$117)</f>
        <v>11990.2588</v>
      </c>
      <c r="S119" s="352" t="n">
        <f aca="false">((1+S$118)*S$117)</f>
        <v>12020.0392</v>
      </c>
      <c r="T119" s="352" t="n">
        <f aca="false">((1+T$118)*T$117)</f>
        <v>11960</v>
      </c>
      <c r="U119" s="352" t="n">
        <f aca="false">((1+U$118)*U$117)</f>
        <v>11960</v>
      </c>
      <c r="V119" s="352" t="n">
        <f aca="false">((1+V$118)*V$117)</f>
        <v>11960</v>
      </c>
      <c r="W119" s="352" t="n">
        <f aca="false">((1+W$118)*W$117)</f>
        <v>11960</v>
      </c>
      <c r="X119" s="352" t="n">
        <f aca="false">((1+X$118)*X$117)</f>
        <v>11960</v>
      </c>
      <c r="Y119" s="509"/>
      <c r="Z119" s="509"/>
      <c r="AA119" s="509"/>
      <c r="AB119" s="509"/>
    </row>
    <row r="120" customFormat="false" ht="10.5" hidden="false" customHeight="true" outlineLevel="0" collapsed="false">
      <c r="A120" s="112"/>
      <c r="B120" s="153"/>
      <c r="C120" s="495"/>
      <c r="D120" s="365"/>
      <c r="E120" s="509"/>
      <c r="F120" s="442"/>
      <c r="G120" s="509"/>
      <c r="H120" s="365"/>
      <c r="I120" s="365"/>
      <c r="J120" s="509"/>
      <c r="K120" s="442"/>
      <c r="L120" s="509"/>
      <c r="M120" s="365"/>
      <c r="N120" s="365"/>
      <c r="O120" s="509"/>
      <c r="P120" s="442"/>
      <c r="Q120" s="509"/>
      <c r="R120" s="365"/>
      <c r="S120" s="365"/>
      <c r="T120" s="509"/>
      <c r="U120" s="442"/>
      <c r="V120" s="509"/>
      <c r="W120" s="509"/>
      <c r="X120" s="365"/>
      <c r="Y120" s="365"/>
      <c r="Z120" s="365"/>
      <c r="AA120" s="365"/>
      <c r="AB120" s="365"/>
    </row>
    <row r="121" customFormat="false" ht="10.5" hidden="false" customHeight="true" outlineLevel="0" collapsed="false">
      <c r="A121" s="112"/>
      <c r="B121" s="153" t="s">
        <v>491</v>
      </c>
      <c r="C121" s="495"/>
      <c r="D121" s="136" t="n">
        <f aca="false">(D119/1000)*(D21/1000)</f>
        <v>0</v>
      </c>
      <c r="E121" s="136" t="n">
        <f aca="false">(E119/1000)*(E21/1000)</f>
        <v>2572.82594394945</v>
      </c>
      <c r="F121" s="136" t="n">
        <f aca="false">(F119/1000)*(F21/1000)</f>
        <v>3161.60715688796</v>
      </c>
      <c r="G121" s="136" t="n">
        <f aca="false">(G119/1000)*(G21/1000)</f>
        <v>3223.36567265824</v>
      </c>
      <c r="H121" s="136" t="n">
        <f aca="false">(H119/1000)*(H21/1000)</f>
        <v>2603.27608592835</v>
      </c>
      <c r="I121" s="136" t="n">
        <f aca="false">(I119/1000)*(I21/1000)</f>
        <v>2603.02957702577</v>
      </c>
      <c r="J121" s="136" t="n">
        <f aca="false">(J119/1000)*(J21/1000)</f>
        <v>2604.01473065219</v>
      </c>
      <c r="K121" s="136" t="n">
        <f aca="false">(K119/1000)*(K21/1000)</f>
        <v>2572.96875026846</v>
      </c>
      <c r="L121" s="136" t="n">
        <f aca="false">(L119/1000)*(L21/1000)</f>
        <v>2572.88869106165</v>
      </c>
      <c r="M121" s="136" t="n">
        <f aca="false">(M119/1000)*(M21/1000)</f>
        <v>2603.77114346777</v>
      </c>
      <c r="N121" s="136" t="n">
        <f aca="false">(N119/1000)*(N21/1000)</f>
        <v>2603.6200008</v>
      </c>
      <c r="O121" s="136" t="n">
        <f aca="false">(O119/1000)*(O21/1000)</f>
        <v>2603.43392198681</v>
      </c>
      <c r="P121" s="136" t="n">
        <f aca="false">(P119/1000)*(P21/1000)</f>
        <v>2262.32475359995</v>
      </c>
      <c r="Q121" s="136" t="n">
        <f aca="false">(Q119/1000)*(Q21/1000)</f>
        <v>2263.02335434244</v>
      </c>
      <c r="R121" s="136" t="n">
        <f aca="false">(R119/1000)*(R21/1000)</f>
        <v>2263.00887461378</v>
      </c>
      <c r="S121" s="136" t="n">
        <f aca="false">(S119/1000)*(S21/1000)</f>
        <v>2293.96586968565</v>
      </c>
      <c r="T121" s="136" t="n">
        <f aca="false">(T119/1000)*(T21/1000)</f>
        <v>0</v>
      </c>
      <c r="U121" s="136" t="n">
        <f aca="false">(U119/1000)*(U21/1000)</f>
        <v>0</v>
      </c>
      <c r="V121" s="136" t="n">
        <f aca="false">(V119/1000)*(V21/1000)</f>
        <v>0</v>
      </c>
      <c r="W121" s="136" t="n">
        <f aca="false">(W119/1000)*(W21/1000)</f>
        <v>0</v>
      </c>
      <c r="X121" s="136" t="n">
        <f aca="false">(X119/1000)*(X21/1000)</f>
        <v>0</v>
      </c>
      <c r="Y121" s="136"/>
      <c r="Z121" s="136"/>
      <c r="AA121" s="136"/>
      <c r="AB121" s="136"/>
    </row>
    <row r="122" customFormat="false" ht="10.5" hidden="false" customHeight="true" outlineLevel="0" collapsed="false">
      <c r="A122" s="112"/>
      <c r="B122" s="495"/>
      <c r="C122" s="495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</row>
    <row r="123" customFormat="false" ht="10.5" hidden="false" customHeight="true" outlineLevel="0" collapsed="false">
      <c r="A123" s="112"/>
      <c r="B123" s="153" t="s">
        <v>492</v>
      </c>
      <c r="C123" s="495"/>
      <c r="D123" s="502" t="n">
        <f aca="false">(D115*D121)</f>
        <v>0</v>
      </c>
      <c r="E123" s="502" t="n">
        <f aca="false">(E115*E121)</f>
        <v>11393.3621391426</v>
      </c>
      <c r="F123" s="502" t="n">
        <f aca="false">(F115*F121)</f>
        <v>13514.6020664897</v>
      </c>
      <c r="G123" s="502" t="n">
        <f aca="false">(G115*G121)</f>
        <v>13817.6488485111</v>
      </c>
      <c r="H123" s="502" t="n">
        <f aca="false">(H115*H121)</f>
        <v>11315.9482101728</v>
      </c>
      <c r="I123" s="502" t="n">
        <f aca="false">(I115*I121)</f>
        <v>11379.2966159352</v>
      </c>
      <c r="J123" s="502" t="n">
        <f aca="false">(J115*J121)</f>
        <v>11494.8771665233</v>
      </c>
      <c r="K123" s="502" t="n">
        <f aca="false">(K115*K121)</f>
        <v>11506.1322304097</v>
      </c>
      <c r="L123" s="502" t="n">
        <f aca="false">(L115*L121)</f>
        <v>11680.0174693916</v>
      </c>
      <c r="M123" s="502" t="n">
        <f aca="false">(M115*M121)</f>
        <v>11998.46630808</v>
      </c>
      <c r="N123" s="502" t="n">
        <f aca="false">(N115*N121)</f>
        <v>12364.9330429404</v>
      </c>
      <c r="O123" s="502" t="n">
        <f aca="false">(O115*O121)</f>
        <v>12567.8455753437</v>
      </c>
      <c r="P123" s="502" t="n">
        <f aca="false">(P115*P121)</f>
        <v>11111.7537848939</v>
      </c>
      <c r="Q123" s="502" t="n">
        <f aca="false">(Q115*Q121)</f>
        <v>11319.8107770514</v>
      </c>
      <c r="R123" s="502" t="n">
        <f aca="false">(R115*R121)</f>
        <v>11538.0710099226</v>
      </c>
      <c r="S123" s="502" t="n">
        <f aca="false">(S115*S121)</f>
        <v>11933.2428010441</v>
      </c>
      <c r="T123" s="502" t="n">
        <f aca="false">(T115*T121)</f>
        <v>0</v>
      </c>
      <c r="U123" s="502" t="n">
        <f aca="false">(U115*U121)</f>
        <v>0</v>
      </c>
      <c r="V123" s="502" t="n">
        <f aca="false">(V115*V121)</f>
        <v>0</v>
      </c>
      <c r="W123" s="502" t="n">
        <f aca="false">(W115*W121)</f>
        <v>0</v>
      </c>
      <c r="X123" s="502" t="n">
        <f aca="false">(X115*X121)</f>
        <v>0</v>
      </c>
      <c r="Y123" s="202"/>
      <c r="Z123" s="202"/>
      <c r="AA123" s="202"/>
      <c r="AB123" s="202"/>
    </row>
    <row r="124" customFormat="false" ht="10.5" hidden="false" customHeight="true" outlineLevel="0" collapsed="false">
      <c r="A124" s="112"/>
      <c r="B124" s="495"/>
      <c r="C124" s="495"/>
      <c r="D124" s="202"/>
      <c r="E124" s="202"/>
      <c r="F124" s="202"/>
      <c r="G124" s="202"/>
      <c r="H124" s="202"/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</row>
    <row r="125" customFormat="false" ht="10.5" hidden="false" customHeight="true" outlineLevel="0" collapsed="false">
      <c r="A125" s="112"/>
      <c r="B125" s="495"/>
      <c r="C125" s="495"/>
      <c r="D125" s="202"/>
      <c r="E125" s="202"/>
      <c r="F125" s="202"/>
      <c r="G125" s="20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</row>
    <row r="126" customFormat="false" ht="10.5" hidden="false" customHeight="true" outlineLevel="0" collapsed="false">
      <c r="A126" s="112"/>
      <c r="B126" s="495" t="s">
        <v>493</v>
      </c>
      <c r="C126" s="495"/>
      <c r="D126" s="499" t="n">
        <f aca="false">D123</f>
        <v>0</v>
      </c>
      <c r="E126" s="499" t="n">
        <f aca="false">E123</f>
        <v>11393.3621391426</v>
      </c>
      <c r="F126" s="499" t="n">
        <f aca="false">F123</f>
        <v>13514.6020664897</v>
      </c>
      <c r="G126" s="499" t="n">
        <f aca="false">G123</f>
        <v>13817.6488485111</v>
      </c>
      <c r="H126" s="499" t="n">
        <f aca="false">H123</f>
        <v>11315.9482101728</v>
      </c>
      <c r="I126" s="499" t="n">
        <f aca="false">I123</f>
        <v>11379.2966159352</v>
      </c>
      <c r="J126" s="499" t="n">
        <f aca="false">J123</f>
        <v>11494.8771665233</v>
      </c>
      <c r="K126" s="499" t="n">
        <f aca="false">K123</f>
        <v>11506.1322304097</v>
      </c>
      <c r="L126" s="499" t="n">
        <f aca="false">L123</f>
        <v>11680.0174693916</v>
      </c>
      <c r="M126" s="499" t="n">
        <f aca="false">M123</f>
        <v>11998.46630808</v>
      </c>
      <c r="N126" s="499" t="n">
        <f aca="false">N123</f>
        <v>12364.9330429404</v>
      </c>
      <c r="O126" s="499" t="n">
        <f aca="false">O123</f>
        <v>12567.8455753437</v>
      </c>
      <c r="P126" s="499" t="n">
        <f aca="false">P123</f>
        <v>11111.7537848939</v>
      </c>
      <c r="Q126" s="499" t="n">
        <f aca="false">Q123</f>
        <v>11319.8107770514</v>
      </c>
      <c r="R126" s="499" t="n">
        <f aca="false">R123</f>
        <v>11538.0710099226</v>
      </c>
      <c r="S126" s="499" t="n">
        <f aca="false">S123</f>
        <v>11933.2428010441</v>
      </c>
      <c r="T126" s="499" t="n">
        <f aca="false">T123</f>
        <v>0</v>
      </c>
      <c r="U126" s="499" t="n">
        <f aca="false">U123</f>
        <v>0</v>
      </c>
      <c r="V126" s="499" t="n">
        <f aca="false">V123</f>
        <v>0</v>
      </c>
      <c r="W126" s="499" t="n">
        <f aca="false">W123</f>
        <v>0</v>
      </c>
      <c r="X126" s="499" t="n">
        <f aca="false">X123</f>
        <v>0</v>
      </c>
      <c r="Y126" s="202"/>
      <c r="Z126" s="202"/>
      <c r="AA126" s="202"/>
      <c r="AB126" s="202"/>
    </row>
    <row r="127" customFormat="false" ht="10.5" hidden="false" customHeight="true" outlineLevel="0" collapsed="false">
      <c r="A127" s="112"/>
      <c r="B127" s="495"/>
      <c r="C127" s="495"/>
      <c r="D127" s="202"/>
      <c r="E127" s="202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</row>
    <row r="128" customFormat="false" ht="10.5" hidden="false" customHeight="true" outlineLevel="0" collapsed="false">
      <c r="A128" s="112"/>
      <c r="B128" s="495"/>
      <c r="C128" s="495"/>
      <c r="D128" s="498"/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</row>
    <row r="129" customFormat="false" ht="10.5" hidden="false" customHeight="true" outlineLevel="0" collapsed="false">
      <c r="A129" s="112"/>
      <c r="B129" s="153" t="s">
        <v>494</v>
      </c>
      <c r="C129" s="495"/>
      <c r="D129" s="498" t="e">
        <f aca="false">SUMIF('Monthly Table'!$CW:$CW,YEAR('Operational Detail'!D$2),'Monthly Table'!$CZ:$CZ)/COUNTIF('Monthly Table'!$CW:$CW,YEAR(D$2))</f>
        <v>#DIV/0!</v>
      </c>
      <c r="E129" s="498" t="n">
        <f aca="false">SUMIF('Monthly Table'!$CW:$CW,YEAR('Operational Detail'!E$2),'Monthly Table'!$CZ:$CZ)/COUNTIF('Monthly Table'!$CW:$CW,YEAR(E$2))</f>
        <v>54.5466532698443</v>
      </c>
      <c r="F129" s="498" t="n">
        <f aca="false">SUMIF('Monthly Table'!$CW:$CW,YEAR('Operational Detail'!F$2),'Monthly Table'!$CZ:$CZ)/COUNTIF('Monthly Table'!$CW:$CW,YEAR(F$2))</f>
        <v>52.8600702889529</v>
      </c>
      <c r="G129" s="498" t="n">
        <f aca="false">SUMIF('Monthly Table'!$CW:$CW,YEAR('Operational Detail'!G$2),'Monthly Table'!$CZ:$CZ)/COUNTIF('Monthly Table'!$CW:$CW,YEAR(G$2))</f>
        <v>51.476823214208</v>
      </c>
      <c r="H129" s="498" t="n">
        <f aca="false">SUMIF('Monthly Table'!$CW:$CW,YEAR('Operational Detail'!H$2),'Monthly Table'!$CZ:$CZ)/COUNTIF('Monthly Table'!$CW:$CW,YEAR(H$2))</f>
        <v>50.7100381905573</v>
      </c>
      <c r="I129" s="498" t="n">
        <f aca="false">SUMIF('Monthly Table'!$CW:$CW,YEAR('Operational Detail'!I$2),'Monthly Table'!$CZ:$CZ)/COUNTIF('Monthly Table'!$CW:$CW,YEAR(I$2))</f>
        <v>50.1718067734307</v>
      </c>
      <c r="J129" s="498" t="n">
        <f aca="false">SUMIF('Monthly Table'!$CW:$CW,YEAR('Operational Detail'!J$2),'Monthly Table'!$CZ:$CZ)/COUNTIF('Monthly Table'!$CW:$CW,YEAR(J$2))</f>
        <v>49.9343724344566</v>
      </c>
      <c r="K129" s="498" t="n">
        <f aca="false">SUMIF('Monthly Table'!$CW:$CW,YEAR('Operational Detail'!K$2),'Monthly Table'!$CZ:$CZ)/COUNTIF('Monthly Table'!$CW:$CW,YEAR(K$2))</f>
        <v>49.8634730084937</v>
      </c>
      <c r="L129" s="498" t="n">
        <f aca="false">SUMIF('Monthly Table'!$CW:$CW,YEAR('Operational Detail'!L$2),'Monthly Table'!$CZ:$CZ)/COUNTIF('Monthly Table'!$CW:$CW,YEAR(L$2))</f>
        <v>49.9842182919409</v>
      </c>
      <c r="M129" s="498" t="n">
        <f aca="false">SUMIF('Monthly Table'!$CW:$CW,YEAR('Operational Detail'!M$2),'Monthly Table'!$CZ:$CZ)/COUNTIF('Monthly Table'!$CW:$CW,YEAR(M$2))</f>
        <v>50.2602444211747</v>
      </c>
      <c r="N129" s="498" t="n">
        <f aca="false">SUMIF('Monthly Table'!$CW:$CW,YEAR('Operational Detail'!N$2),'Monthly Table'!$CZ:$CZ)/COUNTIF('Monthly Table'!$CW:$CW,YEAR(N$2))</f>
        <v>50.7584916284967</v>
      </c>
      <c r="O129" s="498" t="n">
        <f aca="false">SUMIF('Monthly Table'!$CW:$CW,YEAR('Operational Detail'!O$2),'Monthly Table'!$CZ:$CZ)/COUNTIF('Monthly Table'!$CW:$CW,YEAR(O$2))</f>
        <v>51.2293958564887</v>
      </c>
      <c r="P129" s="498" t="n">
        <f aca="false">SUMIF('Monthly Table'!$CW:$CW,YEAR('Operational Detail'!P$2),'Monthly Table'!$CZ:$CZ)/COUNTIF('Monthly Table'!$CW:$CW,YEAR(P$2))</f>
        <v>51.6977817459327</v>
      </c>
      <c r="Q129" s="498" t="n">
        <f aca="false">SUMIF('Monthly Table'!$CW:$CW,YEAR('Operational Detail'!Q$2),'Monthly Table'!$CZ:$CZ)/COUNTIF('Monthly Table'!$CW:$CW,YEAR(Q$2))</f>
        <v>52.1672808112772</v>
      </c>
      <c r="R129" s="498" t="n">
        <f aca="false">SUMIF('Monthly Table'!$CW:$CW,YEAR('Operational Detail'!R$2),'Monthly Table'!$CZ:$CZ)/COUNTIF('Monthly Table'!$CW:$CW,YEAR(R$2))</f>
        <v>52.6376603240566</v>
      </c>
      <c r="S129" s="498" t="n">
        <f aca="false">SUMIF('Monthly Table'!$CW:$CW,YEAR('Operational Detail'!S$2),'Monthly Table'!$CZ:$CZ)/COUNTIF('Monthly Table'!$CW:$CW,YEAR(S$2))</f>
        <v>53.1200876169939</v>
      </c>
      <c r="T129" s="498" t="n">
        <f aca="false">SUMIF('Monthly Table'!$CW:$CW,YEAR('Operational Detail'!T$2),'Monthly Table'!$CZ:$CZ)/COUNTIF('Monthly Table'!$CW:$CW,YEAR(T$2))</f>
        <v>53.6406156325552</v>
      </c>
      <c r="U129" s="498" t="n">
        <f aca="false">SUMIF('Monthly Table'!$CW:$CW,YEAR('Operational Detail'!U$2),'Monthly Table'!$CZ:$CZ)/COUNTIF('Monthly Table'!$CW:$CW,YEAR(U$2))</f>
        <v>54.172387377771</v>
      </c>
      <c r="V129" s="498" t="n">
        <f aca="false">SUMIF('Monthly Table'!$CW:$CW,YEAR('Operational Detail'!V$2),'Monthly Table'!$CZ:$CZ)/COUNTIF('Monthly Table'!$CW:$CW,YEAR(V$2))</f>
        <v>45.5928298302593</v>
      </c>
      <c r="W129" s="498" t="n">
        <f aca="false">SUMIF('Monthly Table'!$CW:$CW,YEAR('Operational Detail'!W$2),'Monthly Table'!$CZ:$CZ)/COUNTIF('Monthly Table'!$CW:$CW,YEAR(W$2))</f>
        <v>0</v>
      </c>
      <c r="X129" s="498" t="n">
        <f aca="false">SUMIF('Monthly Table'!$CW:$CW,YEAR('Operational Detail'!X$2),'Monthly Table'!$CZ:$CZ)/COUNTIF('Monthly Table'!$CW:$CW,YEAR(X$2))</f>
        <v>0</v>
      </c>
      <c r="Y129" s="202"/>
      <c r="Z129" s="202"/>
      <c r="AA129" s="202"/>
      <c r="AB129" s="202"/>
    </row>
    <row r="130" customFormat="false" ht="10.5" hidden="false" customHeight="true" outlineLevel="0" collapsed="false">
      <c r="A130" s="112"/>
      <c r="B130" s="506" t="s">
        <v>495</v>
      </c>
      <c r="C130" s="495"/>
      <c r="D130" s="498" t="n">
        <f aca="false">IF(D49=0,0,(0.003*D$6*('WC '!C5*24)*D129)/1000)</f>
        <v>0</v>
      </c>
      <c r="E130" s="498" t="n">
        <f aca="false">IF(E49=0,0,(0.003*E$6*('WC '!D5*24)*E129)/1000)</f>
        <v>464.449479529808</v>
      </c>
      <c r="F130" s="498" t="n">
        <f aca="false">IF(F49=0,0,(0.003*F$6*('WC '!E5*24)*F129)/1000)</f>
        <v>450.088697690753</v>
      </c>
      <c r="G130" s="498" t="n">
        <f aca="false">IF(G49=0,0,(0.003*G$6*('WC '!F5*24)*G129)/1000)</f>
        <v>438.310736158481</v>
      </c>
      <c r="H130" s="498" t="n">
        <f aca="false">IF(H49=0,0,(0.003*H$6*('WC '!G5*24)*H129)/1000)</f>
        <v>432.964740152811</v>
      </c>
      <c r="I130" s="498" t="n">
        <f aca="false">IF(I49=0,0,(0.003*I$6*('WC '!H5*24)*I129)/1000)</f>
        <v>427.198886569865</v>
      </c>
      <c r="J130" s="498" t="n">
        <f aca="false">IF(J49=0,0,(0.003*J$6*('WC '!I5*24)*J129)/1000)</f>
        <v>425.177199655116</v>
      </c>
      <c r="K130" s="498" t="n">
        <f aca="false">IF(K49=0,0,(0.003*K$6*('WC '!J5*24)*K129)/1000)</f>
        <v>424.573510894882</v>
      </c>
      <c r="L130" s="498" t="n">
        <f aca="false">IF(L49=0,0,(0.003*L$6*('WC '!K5*24)*L129)/1000)</f>
        <v>426.767655019069</v>
      </c>
      <c r="M130" s="498" t="n">
        <f aca="false">IF(M49=0,0,(0.003*M$6*('WC '!L5*24)*M129)/1000)</f>
        <v>427.951908377865</v>
      </c>
      <c r="N130" s="498" t="n">
        <f aca="false">IF(N49=0,0,(0.003*N$6*('WC '!M5*24)*N129)/1000)</f>
        <v>432.194343838993</v>
      </c>
      <c r="O130" s="498" t="n">
        <f aca="false">IF(O49=0,0,(0.003*O$6*('WC '!N5*24)*O129)/1000)</f>
        <v>436.203961487162</v>
      </c>
      <c r="P130" s="498" t="n">
        <f aca="false">IF(P49=0,0,(0.003*P$6*('WC '!O5*24)*P129)/1000)</f>
        <v>441.398142040297</v>
      </c>
      <c r="Q130" s="498" t="n">
        <f aca="false">IF(Q49=0,0,(0.003*Q$6*('WC '!P5*24)*Q129)/1000)</f>
        <v>444.189789269398</v>
      </c>
      <c r="R130" s="498" t="n">
        <f aca="false">IF(R49=0,0,(0.003*R$6*('WC '!Q5*24)*R129)/1000)</f>
        <v>448.194939114451</v>
      </c>
      <c r="S130" s="498" t="n">
        <f aca="false">IF(S49=0,0,(0.003*S$6*('WC '!R5*24)*S129)/1000)</f>
        <v>224.292558111191</v>
      </c>
      <c r="T130" s="498" t="n">
        <f aca="false">IF(T49=0,0,(0.003*T$6*('WC '!S5*24)*T129)/1000)</f>
        <v>0</v>
      </c>
      <c r="U130" s="498" t="n">
        <f aca="false">IF(U49=0,0,(0.003*U$6*('WC '!T5*24)*U129)/1000)</f>
        <v>0</v>
      </c>
      <c r="V130" s="498" t="n">
        <f aca="false">IF(V49=0,0,(0.003*V$6*('WC '!U5*24)*V129)/1000)</f>
        <v>0</v>
      </c>
      <c r="W130" s="498" t="n">
        <f aca="false">IF(W49=0,0,(0.003*W$6*('WC '!V5*24)*W129)/1000)</f>
        <v>0</v>
      </c>
      <c r="X130" s="498" t="n">
        <f aca="false">IF(X49=0,0,(0.003*X$6*('WC '!W5*24)*X129)/1000)</f>
        <v>0</v>
      </c>
      <c r="Y130" s="202"/>
      <c r="Z130" s="202"/>
      <c r="AA130" s="202"/>
      <c r="AB130" s="202"/>
    </row>
    <row r="131" customFormat="false" ht="10.5" hidden="false" customHeight="true" outlineLevel="0" collapsed="false">
      <c r="B131" s="493"/>
      <c r="C131" s="493"/>
      <c r="E131" s="152"/>
      <c r="F131" s="152"/>
      <c r="G131" s="152"/>
      <c r="H131" s="152"/>
      <c r="I131" s="152"/>
      <c r="J131" s="152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  <c r="U131" s="152"/>
      <c r="V131" s="152"/>
      <c r="W131" s="152"/>
      <c r="X131" s="152"/>
      <c r="Y131" s="136"/>
      <c r="Z131" s="136"/>
      <c r="AA131" s="136"/>
      <c r="AB131" s="136"/>
    </row>
    <row r="132" customFormat="false" ht="10.5" hidden="false" customHeight="true" outlineLevel="0" collapsed="false">
      <c r="B132" s="493"/>
      <c r="C132" s="493"/>
      <c r="D132" s="510"/>
      <c r="E132" s="510"/>
      <c r="F132" s="510"/>
      <c r="G132" s="510"/>
      <c r="H132" s="510"/>
      <c r="I132" s="510"/>
      <c r="J132" s="510"/>
      <c r="K132" s="510"/>
      <c r="L132" s="510"/>
      <c r="M132" s="510"/>
      <c r="N132" s="510"/>
      <c r="O132" s="510"/>
      <c r="P132" s="510"/>
      <c r="Q132" s="510"/>
      <c r="R132" s="510"/>
      <c r="S132" s="510"/>
      <c r="T132" s="510"/>
      <c r="U132" s="510"/>
      <c r="V132" s="510"/>
      <c r="W132" s="510"/>
      <c r="X132" s="510"/>
      <c r="Y132" s="498"/>
      <c r="Z132" s="498"/>
      <c r="AA132" s="498"/>
      <c r="AB132" s="498"/>
    </row>
    <row r="133" customFormat="false" ht="10.5" hidden="false" customHeight="true" outlineLevel="0" collapsed="false">
      <c r="B133" s="511"/>
      <c r="C133" s="511"/>
      <c r="D133" s="152"/>
      <c r="E133" s="152"/>
      <c r="F133" s="152"/>
      <c r="G133" s="152"/>
      <c r="H133" s="152"/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52"/>
      <c r="X133" s="152"/>
      <c r="Y133" s="136"/>
      <c r="Z133" s="136"/>
      <c r="AA133" s="136"/>
      <c r="AB133" s="136"/>
    </row>
    <row r="134" customFormat="false" ht="10.5" hidden="false" customHeight="true" outlineLevel="0" collapsed="false">
      <c r="B134" s="492"/>
      <c r="C134" s="492"/>
      <c r="D134" s="372"/>
      <c r="E134" s="372"/>
      <c r="F134" s="372"/>
      <c r="G134" s="372"/>
      <c r="H134" s="372"/>
      <c r="I134" s="372"/>
      <c r="J134" s="372"/>
      <c r="K134" s="372"/>
      <c r="L134" s="372"/>
      <c r="M134" s="372"/>
      <c r="N134" s="372"/>
      <c r="O134" s="372"/>
      <c r="P134" s="372"/>
      <c r="Q134" s="372"/>
      <c r="R134" s="372"/>
      <c r="S134" s="372"/>
      <c r="T134" s="372"/>
      <c r="U134" s="372"/>
      <c r="V134" s="372"/>
      <c r="W134" s="372"/>
      <c r="X134" s="372"/>
      <c r="Y134" s="202"/>
      <c r="Z134" s="202"/>
      <c r="AA134" s="202"/>
      <c r="AB134" s="202"/>
    </row>
    <row r="135" customFormat="false" ht="10.5" hidden="false" customHeight="true" outlineLevel="0" collapsed="false">
      <c r="B135" s="493"/>
      <c r="C135" s="493"/>
      <c r="D135" s="512"/>
      <c r="E135" s="512"/>
      <c r="F135" s="512"/>
      <c r="G135" s="512"/>
      <c r="H135" s="512"/>
      <c r="I135" s="512"/>
      <c r="J135" s="512"/>
      <c r="K135" s="512"/>
      <c r="L135" s="512"/>
      <c r="M135" s="512"/>
      <c r="N135" s="512"/>
      <c r="O135" s="512"/>
      <c r="P135" s="512"/>
      <c r="Q135" s="512"/>
      <c r="R135" s="512"/>
      <c r="S135" s="512"/>
      <c r="T135" s="512"/>
      <c r="U135" s="512"/>
      <c r="V135" s="512"/>
      <c r="W135" s="512"/>
      <c r="X135" s="512"/>
      <c r="Y135" s="513"/>
      <c r="Z135" s="513"/>
      <c r="AA135" s="513"/>
      <c r="AB135" s="513"/>
    </row>
    <row r="136" customFormat="false" ht="10.5" hidden="false" customHeight="true" outlineLevel="0" collapsed="false">
      <c r="B136" s="511"/>
      <c r="C136" s="511"/>
      <c r="D136" s="512"/>
      <c r="E136" s="512"/>
      <c r="F136" s="512"/>
      <c r="G136" s="512"/>
      <c r="H136" s="512"/>
      <c r="I136" s="512"/>
      <c r="J136" s="512"/>
      <c r="K136" s="512"/>
      <c r="L136" s="512"/>
      <c r="M136" s="512"/>
      <c r="N136" s="512"/>
      <c r="O136" s="512"/>
      <c r="P136" s="512"/>
      <c r="Q136" s="512"/>
      <c r="R136" s="512"/>
      <c r="S136" s="512"/>
      <c r="T136" s="512"/>
      <c r="U136" s="512"/>
      <c r="V136" s="512"/>
      <c r="W136" s="512"/>
      <c r="X136" s="512"/>
      <c r="Y136" s="513"/>
      <c r="Z136" s="513"/>
      <c r="AA136" s="513"/>
      <c r="AB136" s="513"/>
    </row>
    <row r="137" customFormat="false" ht="10.5" hidden="false" customHeight="true" outlineLevel="0" collapsed="false">
      <c r="B137" s="511"/>
      <c r="C137" s="511"/>
      <c r="D137" s="512"/>
      <c r="E137" s="512"/>
      <c r="F137" s="512"/>
      <c r="G137" s="512"/>
      <c r="H137" s="512"/>
      <c r="I137" s="512"/>
      <c r="J137" s="512"/>
      <c r="K137" s="512"/>
      <c r="L137" s="512"/>
      <c r="M137" s="512"/>
      <c r="N137" s="512"/>
      <c r="O137" s="512"/>
      <c r="P137" s="512"/>
      <c r="Q137" s="512"/>
      <c r="R137" s="512"/>
      <c r="S137" s="512"/>
      <c r="T137" s="512"/>
      <c r="U137" s="512"/>
      <c r="V137" s="512"/>
      <c r="W137" s="512"/>
      <c r="X137" s="512"/>
      <c r="Y137" s="513"/>
      <c r="Z137" s="513"/>
      <c r="AA137" s="513"/>
      <c r="AB137" s="513"/>
    </row>
    <row r="138" customFormat="false" ht="10.5" hidden="false" customHeight="true" outlineLevel="0" collapsed="false">
      <c r="B138" s="493" t="s">
        <v>496</v>
      </c>
      <c r="C138" s="493"/>
      <c r="D138" s="512" t="e">
        <f aca="false">IF(Cashflow!F1&lt;Assumptions!$E$21,Cashflow!F43/(Cashflow!F48+Cashflow!F52),0)</f>
        <v>#VALUE!</v>
      </c>
      <c r="E138" s="512" t="e">
        <f aca="false">IF(Cashflow!G1&lt;Assumptions!$E$21,Cashflow!G43/(Cashflow!G48+Cashflow!G52),0)</f>
        <v>#VALUE!</v>
      </c>
      <c r="F138" s="512" t="e">
        <f aca="false">IF(Cashflow!H1&lt;Assumptions!$E$21,Cashflow!H43/(Cashflow!H48+Cashflow!H52),0)</f>
        <v>#VALUE!</v>
      </c>
      <c r="G138" s="512" t="e">
        <f aca="false">IF(Cashflow!I1&lt;Assumptions!$E$21,Cashflow!I43/(Cashflow!I48+Cashflow!I52),0)</f>
        <v>#VALUE!</v>
      </c>
      <c r="H138" s="512" t="e">
        <f aca="false">IF(Cashflow!J1&lt;Assumptions!$E$21,Cashflow!J43/(Cashflow!J48+Cashflow!J52),0)</f>
        <v>#VALUE!</v>
      </c>
      <c r="I138" s="512" t="e">
        <f aca="false">IF(Cashflow!K1&lt;Assumptions!$E$21,Cashflow!K43/(Cashflow!K48+Cashflow!K52),0)</f>
        <v>#VALUE!</v>
      </c>
      <c r="J138" s="512" t="e">
        <f aca="false">IF(Cashflow!L1&lt;Assumptions!$E$21,Cashflow!L43/(Cashflow!L48+Cashflow!L52),0)</f>
        <v>#VALUE!</v>
      </c>
      <c r="K138" s="512" t="e">
        <f aca="false">IF(Cashflow!M1&lt;Assumptions!$E$21,Cashflow!M43/(Cashflow!M48+Cashflow!M52),0)</f>
        <v>#VALUE!</v>
      </c>
      <c r="L138" s="512" t="e">
        <f aca="false">IF(Cashflow!N1&lt;Assumptions!$E$21,Cashflow!N43/(Cashflow!N48+Cashflow!N52),0)</f>
        <v>#VALUE!</v>
      </c>
      <c r="M138" s="512" t="e">
        <f aca="false">IF(Cashflow!O1&lt;Assumptions!$E$21,Cashflow!O43/(Cashflow!O48+Cashflow!O52),0)</f>
        <v>#VALUE!</v>
      </c>
      <c r="N138" s="512" t="e">
        <f aca="false">IF(Cashflow!P1&lt;Assumptions!$E$21,Cashflow!P43/(Cashflow!P48+Cashflow!P52),0)</f>
        <v>#VALUE!</v>
      </c>
      <c r="O138" s="512" t="e">
        <f aca="false">IF(Cashflow!Q1&lt;Assumptions!$E$21,Cashflow!Q43/(Cashflow!Q48+Cashflow!Q52),0)</f>
        <v>#VALUE!</v>
      </c>
      <c r="P138" s="512" t="e">
        <f aca="false">IF(Cashflow!R1&lt;Assumptions!$E$21,Cashflow!R43/(Cashflow!R48+Cashflow!R52),0)</f>
        <v>#VALUE!</v>
      </c>
      <c r="Q138" s="512" t="e">
        <f aca="false">IF(Cashflow!S1&lt;Assumptions!$E$21,Cashflow!S43/(Cashflow!S48+Cashflow!S52),0)</f>
        <v>#VALUE!</v>
      </c>
      <c r="R138" s="512" t="e">
        <f aca="false">IF(Cashflow!T1&lt;Assumptions!$E$21,Cashflow!T43/(Cashflow!T48+Cashflow!T52),0)</f>
        <v>#VALUE!</v>
      </c>
      <c r="S138" s="512" t="e">
        <f aca="false">IF(Cashflow!U1&lt;Assumptions!$E$21,Cashflow!U43/(Cashflow!U48+Cashflow!U52),0)</f>
        <v>#VALUE!</v>
      </c>
      <c r="T138" s="512" t="e">
        <f aca="false">IF(Cashflow!V1&lt;Assumptions!$E$21,Cashflow!V43/(Cashflow!V48+Cashflow!V52),0)</f>
        <v>#VALUE!</v>
      </c>
      <c r="U138" s="512" t="e">
        <f aca="false">IF(Cashflow!W1&lt;Assumptions!$E$21,Cashflow!W43/(Cashflow!W48+Cashflow!W52),0)</f>
        <v>#DIV/0!</v>
      </c>
      <c r="V138" s="512" t="e">
        <f aca="false">IF(Cashflow!X1&lt;Assumptions!$E$21,Cashflow!X43/(Cashflow!X48+Cashflow!X52),0)</f>
        <v>#DIV/0!</v>
      </c>
      <c r="W138" s="512" t="e">
        <f aca="false">IF(Cashflow!Y1&lt;Assumptions!$E$21,Cashflow!Y43/(Cashflow!Y48+Cashflow!Y52),0)</f>
        <v>#DIV/0!</v>
      </c>
      <c r="X138" s="512" t="e">
        <f aca="false">IF(Cashflow!Z1&lt;Assumptions!$E$21,Cashflow!Z43/(Cashflow!Z48+Cashflow!Z52),0)</f>
        <v>#DIV/0!</v>
      </c>
      <c r="Y138" s="513"/>
      <c r="Z138" s="513"/>
      <c r="AA138" s="513"/>
      <c r="AB138" s="513"/>
    </row>
    <row r="139" customFormat="false" ht="10.5" hidden="false" customHeight="true" outlineLevel="0" collapsed="false">
      <c r="B139" s="493" t="s">
        <v>497</v>
      </c>
      <c r="C139" s="493"/>
      <c r="D139" s="512" t="e">
        <f aca="false">IF(Cashflow!F48=0,0,(Cashflow!F43/Cashflow!F48))</f>
        <v>#VALUE!</v>
      </c>
      <c r="E139" s="512" t="e">
        <f aca="false">IF(Cashflow!G48=0,0,(Cashflow!G43/Cashflow!G48))</f>
        <v>#VALUE!</v>
      </c>
      <c r="F139" s="512" t="e">
        <f aca="false">IF(Cashflow!H48=0,0,(Cashflow!H43/Cashflow!H48))</f>
        <v>#VALUE!</v>
      </c>
      <c r="G139" s="512" t="e">
        <f aca="false">IF(Cashflow!I48=0,0,(Cashflow!I43/Cashflow!I48))</f>
        <v>#VALUE!</v>
      </c>
      <c r="H139" s="512" t="e">
        <f aca="false">IF(Cashflow!J48=0,0,(Cashflow!J43/Cashflow!J48))</f>
        <v>#VALUE!</v>
      </c>
      <c r="I139" s="512" t="e">
        <f aca="false">IF(Cashflow!K48=0,0,(Cashflow!K43/Cashflow!K48))</f>
        <v>#VALUE!</v>
      </c>
      <c r="J139" s="512" t="e">
        <f aca="false">IF(Cashflow!L48=0,0,(Cashflow!L43/Cashflow!L48))</f>
        <v>#VALUE!</v>
      </c>
      <c r="K139" s="512" t="e">
        <f aca="false">IF(Cashflow!M48=0,0,(Cashflow!M43/Cashflow!M48))</f>
        <v>#VALUE!</v>
      </c>
      <c r="L139" s="512" t="e">
        <f aca="false">IF(Cashflow!N48=0,0,(Cashflow!N43/Cashflow!N48))</f>
        <v>#VALUE!</v>
      </c>
      <c r="M139" s="512" t="e">
        <f aca="false">IF(Cashflow!O48=0,0,(Cashflow!O43/Cashflow!O48))</f>
        <v>#VALUE!</v>
      </c>
      <c r="N139" s="512" t="e">
        <f aca="false">IF(Cashflow!P48=0,0,(Cashflow!P43/Cashflow!P48))</f>
        <v>#VALUE!</v>
      </c>
      <c r="O139" s="512" t="e">
        <f aca="false">IF(Cashflow!Q48=0,0,(Cashflow!Q43/Cashflow!Q48))</f>
        <v>#VALUE!</v>
      </c>
      <c r="P139" s="512" t="e">
        <f aca="false">IF(Cashflow!R48=0,0,(Cashflow!R43/Cashflow!R48))</f>
        <v>#VALUE!</v>
      </c>
      <c r="Q139" s="512" t="e">
        <f aca="false">IF(Cashflow!S48=0,0,(Cashflow!S43/Cashflow!S48))</f>
        <v>#VALUE!</v>
      </c>
      <c r="R139" s="512" t="e">
        <f aca="false">IF(Cashflow!T48=0,0,(Cashflow!T43/Cashflow!T48))</f>
        <v>#VALUE!</v>
      </c>
      <c r="S139" s="512" t="n">
        <v>0</v>
      </c>
      <c r="T139" s="512" t="n">
        <v>0</v>
      </c>
      <c r="U139" s="512" t="n">
        <v>0</v>
      </c>
      <c r="V139" s="512" t="n">
        <v>0</v>
      </c>
      <c r="W139" s="512" t="n">
        <v>0</v>
      </c>
      <c r="X139" s="512" t="n">
        <v>0</v>
      </c>
      <c r="Y139" s="513"/>
      <c r="Z139" s="513"/>
      <c r="AA139" s="513"/>
      <c r="AB139" s="513"/>
    </row>
    <row r="140" customFormat="false" ht="10.5" hidden="false" customHeight="true" outlineLevel="0" collapsed="false">
      <c r="B140" s="493" t="s">
        <v>498</v>
      </c>
      <c r="C140" s="493"/>
      <c r="D140" s="512" t="n">
        <f aca="false">'Debt Amort'!C32/Cashflow!F43</f>
        <v>0</v>
      </c>
      <c r="E140" s="512" t="e">
        <f aca="false">'Debt Amort'!D32/Cashflow!G43</f>
        <v>#VALUE!</v>
      </c>
      <c r="F140" s="512" t="e">
        <f aca="false">'Debt Amort'!E32/Cashflow!H43</f>
        <v>#VALUE!</v>
      </c>
      <c r="G140" s="512" t="e">
        <f aca="false">'Debt Amort'!F32/Cashflow!I43</f>
        <v>#VALUE!</v>
      </c>
      <c r="H140" s="512" t="e">
        <f aca="false">'Debt Amort'!G32/Cashflow!J43</f>
        <v>#VALUE!</v>
      </c>
      <c r="I140" s="512" t="e">
        <f aca="false">'Debt Amort'!H32/Cashflow!K43</f>
        <v>#VALUE!</v>
      </c>
      <c r="J140" s="512" t="e">
        <f aca="false">'Debt Amort'!I32/Cashflow!L43</f>
        <v>#VALUE!</v>
      </c>
      <c r="K140" s="512" t="e">
        <f aca="false">'Debt Amort'!J32/Cashflow!M43</f>
        <v>#VALUE!</v>
      </c>
      <c r="L140" s="512" t="e">
        <f aca="false">'Debt Amort'!K32/Cashflow!N43</f>
        <v>#VALUE!</v>
      </c>
      <c r="M140" s="512" t="e">
        <f aca="false">'Debt Amort'!L32/Cashflow!O43</f>
        <v>#VALUE!</v>
      </c>
      <c r="N140" s="512" t="e">
        <f aca="false">'Debt Amort'!M32/Cashflow!P43</f>
        <v>#VALUE!</v>
      </c>
      <c r="O140" s="512" t="e">
        <f aca="false">'Debt Amort'!N32/Cashflow!Q43</f>
        <v>#VALUE!</v>
      </c>
      <c r="P140" s="512" t="e">
        <f aca="false">'Debt Amort'!O32/Cashflow!R43</f>
        <v>#VALUE!</v>
      </c>
      <c r="Q140" s="512" t="e">
        <f aca="false">'Debt Amort'!P32/Cashflow!S43</f>
        <v>#VALUE!</v>
      </c>
      <c r="R140" s="512" t="e">
        <f aca="false">'Debt Amort'!Q32/Cashflow!T43</f>
        <v>#VALUE!</v>
      </c>
      <c r="S140" s="512" t="e">
        <f aca="false">'Debt Amort'!R32/Cashflow!U43</f>
        <v>#VALUE!</v>
      </c>
      <c r="T140" s="512" t="e">
        <f aca="false">'Debt Amort'!S32/Cashflow!V43</f>
        <v>#VALUE!</v>
      </c>
      <c r="U140" s="512" t="e">
        <f aca="false">'Debt Amort'!T32/Cashflow!W43</f>
        <v>#DIV/0!</v>
      </c>
      <c r="V140" s="512" t="e">
        <f aca="false">'Debt Amort'!U32/Cashflow!X43</f>
        <v>#DIV/0!</v>
      </c>
      <c r="W140" s="512" t="e">
        <f aca="false">'Debt Amort'!V32/Cashflow!Y43</f>
        <v>#VALUE!</v>
      </c>
      <c r="X140" s="512" t="e">
        <f aca="false">'Debt Amort'!W32/Cashflow!Z43</f>
        <v>#VALUE!</v>
      </c>
      <c r="Y140" s="513"/>
      <c r="Z140" s="513"/>
      <c r="AA140" s="513"/>
      <c r="AB140" s="513"/>
    </row>
    <row r="141" customFormat="false" ht="10.5" hidden="false" customHeight="true" outlineLevel="0" collapsed="false">
      <c r="B141" s="493"/>
      <c r="C141" s="493"/>
      <c r="D141" s="512"/>
      <c r="E141" s="512"/>
      <c r="F141" s="512"/>
      <c r="G141" s="512"/>
      <c r="H141" s="512"/>
      <c r="I141" s="512"/>
      <c r="J141" s="512"/>
      <c r="K141" s="512"/>
      <c r="L141" s="512"/>
      <c r="M141" s="512"/>
      <c r="N141" s="512"/>
      <c r="O141" s="512"/>
      <c r="P141" s="512"/>
      <c r="Q141" s="512"/>
      <c r="R141" s="512"/>
      <c r="S141" s="512"/>
      <c r="T141" s="512"/>
      <c r="U141" s="512"/>
      <c r="V141" s="512"/>
      <c r="W141" s="512"/>
      <c r="X141" s="512"/>
      <c r="Y141" s="513"/>
      <c r="Z141" s="513"/>
      <c r="AA141" s="513"/>
      <c r="AB141" s="513"/>
    </row>
    <row r="142" customFormat="false" ht="10.5" hidden="false" customHeight="true" outlineLevel="0" collapsed="false">
      <c r="B142" s="493"/>
      <c r="C142" s="493"/>
      <c r="D142" s="512"/>
      <c r="E142" s="512"/>
      <c r="F142" s="512"/>
      <c r="G142" s="512"/>
      <c r="H142" s="512"/>
      <c r="I142" s="512"/>
      <c r="J142" s="512"/>
      <c r="K142" s="512"/>
      <c r="L142" s="512"/>
      <c r="M142" s="512"/>
      <c r="N142" s="512"/>
      <c r="O142" s="512"/>
      <c r="P142" s="512"/>
      <c r="Q142" s="512"/>
      <c r="R142" s="512"/>
      <c r="S142" s="512"/>
      <c r="T142" s="512"/>
      <c r="U142" s="512"/>
      <c r="V142" s="512"/>
      <c r="W142" s="512"/>
      <c r="X142" s="512"/>
      <c r="Y142" s="513"/>
      <c r="Z142" s="513"/>
      <c r="AA142" s="513"/>
      <c r="AB142" s="513"/>
    </row>
    <row r="143" customFormat="false" ht="36" hidden="false" customHeight="true" outlineLevel="0" collapsed="false">
      <c r="B143" s="514"/>
      <c r="C143" s="515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14"/>
      <c r="AA143" s="114"/>
      <c r="AB143" s="114"/>
    </row>
    <row r="144" customFormat="false" ht="10.5" hidden="false" customHeight="true" outlineLevel="0" collapsed="false">
      <c r="B144" s="515"/>
      <c r="C144" s="515"/>
      <c r="D144" s="202"/>
      <c r="E144" s="202"/>
      <c r="F144" s="202"/>
      <c r="G144" s="202"/>
      <c r="H144" s="202"/>
      <c r="I144" s="202"/>
      <c r="J144" s="202"/>
      <c r="K144" s="202"/>
      <c r="L144" s="202"/>
      <c r="M144" s="202"/>
      <c r="N144" s="202"/>
      <c r="O144" s="202"/>
      <c r="P144" s="202"/>
      <c r="Q144" s="202"/>
      <c r="R144" s="202"/>
      <c r="S144" s="202"/>
      <c r="T144" s="114"/>
      <c r="U144" s="114"/>
      <c r="V144" s="114"/>
      <c r="W144" s="114"/>
      <c r="X144" s="114"/>
      <c r="Y144" s="114"/>
      <c r="Z144" s="114"/>
      <c r="AA144" s="114"/>
      <c r="AB144" s="114"/>
    </row>
    <row r="145" customFormat="false" ht="10.5" hidden="false" customHeight="true" outlineLevel="0" collapsed="false">
      <c r="B145" s="516"/>
      <c r="C145" s="515"/>
      <c r="D145" s="202"/>
      <c r="E145" s="202"/>
      <c r="F145" s="202"/>
      <c r="G145" s="202"/>
      <c r="H145" s="202"/>
      <c r="I145" s="202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114"/>
      <c r="U145" s="114"/>
      <c r="V145" s="114"/>
      <c r="W145" s="114"/>
      <c r="X145" s="114"/>
      <c r="Y145" s="114"/>
      <c r="Z145" s="114"/>
      <c r="AA145" s="114"/>
      <c r="AB145" s="114"/>
    </row>
    <row r="146" customFormat="false" ht="10.5" hidden="false" customHeight="true" outlineLevel="0" collapsed="false">
      <c r="A146" s="112"/>
      <c r="B146" s="515"/>
      <c r="C146" s="114"/>
      <c r="D146" s="114"/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  <c r="Q146" s="202"/>
      <c r="R146" s="202"/>
      <c r="S146" s="202"/>
      <c r="T146" s="114"/>
      <c r="U146" s="114"/>
      <c r="V146" s="114"/>
      <c r="W146" s="114"/>
      <c r="X146" s="114"/>
      <c r="Y146" s="114"/>
      <c r="Z146" s="114"/>
      <c r="AA146" s="114"/>
      <c r="AB146" s="114"/>
    </row>
    <row r="147" customFormat="false" ht="10.5" hidden="false" customHeight="true" outlineLevel="0" collapsed="false">
      <c r="A147" s="112"/>
      <c r="B147" s="516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  <c r="R147" s="114"/>
      <c r="S147" s="114"/>
      <c r="T147" s="114"/>
      <c r="U147" s="114"/>
      <c r="V147" s="114"/>
      <c r="W147" s="114"/>
      <c r="X147" s="114"/>
      <c r="Y147" s="114"/>
      <c r="Z147" s="114"/>
      <c r="AA147" s="114"/>
      <c r="AB147" s="114"/>
    </row>
    <row r="148" customFormat="false" ht="10.5" hidden="false" customHeight="true" outlineLevel="0" collapsed="false">
      <c r="A148" s="112"/>
      <c r="B148" s="517"/>
      <c r="C148" s="517"/>
      <c r="D148" s="518"/>
      <c r="E148" s="518"/>
      <c r="F148" s="518"/>
      <c r="G148" s="518"/>
      <c r="H148" s="518"/>
      <c r="I148" s="518"/>
      <c r="J148" s="518"/>
      <c r="K148" s="518"/>
      <c r="L148" s="518"/>
      <c r="M148" s="518"/>
      <c r="N148" s="518"/>
      <c r="O148" s="518"/>
      <c r="P148" s="518"/>
      <c r="Q148" s="518"/>
      <c r="R148" s="518"/>
      <c r="S148" s="518"/>
      <c r="T148" s="518"/>
      <c r="U148" s="518"/>
      <c r="V148" s="518"/>
      <c r="W148" s="518"/>
      <c r="X148" s="518"/>
      <c r="Y148" s="518"/>
      <c r="Z148" s="518"/>
      <c r="AA148" s="518"/>
      <c r="AB148" s="518"/>
    </row>
    <row r="149" customFormat="false" ht="10.5" hidden="false" customHeight="true" outlineLevel="0" collapsed="false">
      <c r="A149" s="112"/>
      <c r="B149" s="446"/>
      <c r="C149" s="446"/>
      <c r="D149" s="519"/>
      <c r="E149" s="519"/>
      <c r="F149" s="519"/>
      <c r="G149" s="519"/>
      <c r="H149" s="519"/>
      <c r="I149" s="519"/>
      <c r="J149" s="519"/>
      <c r="K149" s="519"/>
      <c r="L149" s="519"/>
      <c r="M149" s="519"/>
      <c r="N149" s="519"/>
      <c r="O149" s="519"/>
      <c r="P149" s="519"/>
      <c r="Q149" s="519"/>
      <c r="R149" s="519"/>
      <c r="S149" s="519"/>
      <c r="T149" s="519"/>
      <c r="U149" s="519"/>
      <c r="V149" s="519"/>
      <c r="W149" s="519"/>
      <c r="X149" s="519"/>
      <c r="Y149" s="519"/>
      <c r="Z149" s="519"/>
      <c r="AA149" s="519"/>
      <c r="AB149" s="519"/>
    </row>
    <row r="150" customFormat="false" ht="10.5" hidden="false" customHeight="true" outlineLevel="0" collapsed="false">
      <c r="A150" s="112"/>
      <c r="B150" s="520"/>
      <c r="C150" s="446"/>
      <c r="D150" s="521"/>
      <c r="E150" s="521"/>
      <c r="F150" s="521"/>
      <c r="G150" s="521"/>
      <c r="H150" s="521"/>
      <c r="I150" s="521"/>
      <c r="J150" s="521"/>
      <c r="K150" s="521"/>
      <c r="L150" s="521"/>
      <c r="M150" s="521"/>
      <c r="N150" s="521"/>
      <c r="O150" s="521"/>
      <c r="P150" s="521"/>
      <c r="Q150" s="521"/>
      <c r="R150" s="521"/>
      <c r="S150" s="521"/>
      <c r="T150" s="521"/>
      <c r="U150" s="521"/>
      <c r="V150" s="521"/>
      <c r="W150" s="521"/>
      <c r="X150" s="521"/>
      <c r="Y150" s="521"/>
      <c r="Z150" s="521"/>
      <c r="AA150" s="521"/>
      <c r="AB150" s="521"/>
    </row>
    <row r="151" customFormat="false" ht="10.5" hidden="false" customHeight="true" outlineLevel="0" collapsed="false">
      <c r="A151" s="112"/>
      <c r="B151" s="522"/>
      <c r="C151" s="522"/>
      <c r="D151" s="498"/>
      <c r="E151" s="498"/>
      <c r="F151" s="498"/>
      <c r="G151" s="498"/>
      <c r="H151" s="498"/>
      <c r="I151" s="498"/>
      <c r="J151" s="498"/>
      <c r="K151" s="498"/>
      <c r="L151" s="498"/>
      <c r="M151" s="498"/>
      <c r="N151" s="498"/>
      <c r="O151" s="498"/>
      <c r="P151" s="498"/>
      <c r="Q151" s="498"/>
      <c r="R151" s="498"/>
      <c r="S151" s="498"/>
      <c r="T151" s="498"/>
      <c r="U151" s="498"/>
      <c r="V151" s="498"/>
      <c r="W151" s="498"/>
      <c r="X151" s="498"/>
      <c r="Y151" s="498"/>
      <c r="Z151" s="498"/>
      <c r="AA151" s="498"/>
      <c r="AB151" s="498"/>
    </row>
    <row r="152" customFormat="false" ht="10.5" hidden="false" customHeight="true" outlineLevel="0" collapsed="false">
      <c r="A152" s="112"/>
      <c r="B152" s="523"/>
      <c r="C152" s="114"/>
      <c r="D152" s="498"/>
      <c r="E152" s="498"/>
      <c r="F152" s="498"/>
      <c r="G152" s="498"/>
      <c r="H152" s="498"/>
      <c r="I152" s="498"/>
      <c r="J152" s="498"/>
      <c r="K152" s="498"/>
      <c r="L152" s="498"/>
      <c r="M152" s="498"/>
      <c r="N152" s="498"/>
      <c r="O152" s="498"/>
      <c r="P152" s="498"/>
      <c r="Q152" s="498"/>
      <c r="R152" s="498"/>
      <c r="S152" s="498"/>
      <c r="T152" s="498"/>
      <c r="U152" s="498"/>
      <c r="V152" s="498"/>
      <c r="W152" s="498"/>
      <c r="X152" s="498"/>
      <c r="Y152" s="498"/>
      <c r="Z152" s="498"/>
      <c r="AA152" s="498"/>
      <c r="AB152" s="498"/>
    </row>
    <row r="153" customFormat="false" ht="10.5" hidden="false" customHeight="true" outlineLevel="0" collapsed="false">
      <c r="A153" s="112"/>
      <c r="B153" s="114"/>
      <c r="C153" s="114"/>
      <c r="D153" s="114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498"/>
      <c r="U153" s="498"/>
      <c r="V153" s="498"/>
      <c r="W153" s="498"/>
      <c r="X153" s="498"/>
      <c r="Y153" s="498"/>
      <c r="Z153" s="498"/>
      <c r="AA153" s="498"/>
      <c r="AB153" s="498"/>
    </row>
    <row r="154" customFormat="false" ht="10.5" hidden="false" customHeight="true" outlineLevel="0" collapsed="false">
      <c r="A154" s="112"/>
      <c r="B154" s="523"/>
      <c r="C154" s="114"/>
      <c r="D154" s="114"/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  <c r="AA154" s="202"/>
      <c r="AB154" s="202"/>
    </row>
    <row r="155" customFormat="false" ht="10.5" hidden="false" customHeight="true" outlineLevel="0" collapsed="false">
      <c r="A155" s="112"/>
      <c r="B155" s="522"/>
      <c r="C155" s="522"/>
      <c r="D155" s="202"/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2"/>
    </row>
    <row r="156" customFormat="false" ht="10.5" hidden="false" customHeight="true" outlineLevel="0" collapsed="false">
      <c r="A156" s="112"/>
      <c r="B156" s="524"/>
      <c r="C156" s="524"/>
      <c r="D156" s="498"/>
      <c r="E156" s="498"/>
      <c r="F156" s="498"/>
      <c r="G156" s="498"/>
      <c r="H156" s="498"/>
      <c r="I156" s="498"/>
      <c r="J156" s="498"/>
      <c r="K156" s="498"/>
      <c r="L156" s="498"/>
      <c r="M156" s="498"/>
      <c r="N156" s="498"/>
      <c r="O156" s="498"/>
      <c r="P156" s="498"/>
      <c r="Q156" s="498"/>
      <c r="R156" s="498"/>
      <c r="S156" s="498"/>
      <c r="T156" s="498"/>
      <c r="U156" s="498"/>
      <c r="V156" s="498"/>
      <c r="W156" s="498"/>
      <c r="X156" s="498"/>
      <c r="Y156" s="498"/>
      <c r="Z156" s="498"/>
      <c r="AA156" s="498"/>
      <c r="AB156" s="498"/>
    </row>
    <row r="157" customFormat="false" ht="10.5" hidden="false" customHeight="true" outlineLevel="0" collapsed="false">
      <c r="A157" s="112"/>
      <c r="B157" s="524"/>
      <c r="C157" s="524"/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2"/>
    </row>
    <row r="158" customFormat="false" ht="10.5" hidden="false" customHeight="true" outlineLevel="0" collapsed="false">
      <c r="A158" s="112"/>
      <c r="B158" s="525"/>
      <c r="C158" s="525"/>
      <c r="D158" s="202"/>
      <c r="E158" s="526"/>
      <c r="F158" s="526"/>
      <c r="G158" s="526"/>
      <c r="H158" s="526"/>
      <c r="I158" s="526"/>
      <c r="J158" s="526"/>
      <c r="K158" s="526"/>
      <c r="L158" s="526"/>
      <c r="M158" s="526"/>
      <c r="N158" s="526"/>
      <c r="O158" s="526"/>
      <c r="P158" s="526"/>
      <c r="Q158" s="526"/>
      <c r="R158" s="526"/>
      <c r="S158" s="526"/>
      <c r="T158" s="527"/>
      <c r="U158" s="527"/>
      <c r="V158" s="527"/>
      <c r="W158" s="527"/>
      <c r="X158" s="527"/>
      <c r="Y158" s="527"/>
      <c r="Z158" s="527"/>
      <c r="AA158" s="527"/>
      <c r="AB158" s="527"/>
    </row>
    <row r="159" customFormat="false" ht="10.5" hidden="false" customHeight="true" outlineLevel="0" collapsed="false">
      <c r="A159" s="112"/>
      <c r="B159" s="523"/>
      <c r="C159" s="524"/>
      <c r="D159" s="202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  <c r="Q159" s="202"/>
      <c r="R159" s="202"/>
      <c r="S159" s="202"/>
      <c r="T159" s="202"/>
      <c r="U159" s="202"/>
      <c r="V159" s="202"/>
      <c r="W159" s="202"/>
      <c r="X159" s="202"/>
      <c r="Y159" s="202"/>
      <c r="Z159" s="202"/>
      <c r="AA159" s="202"/>
      <c r="AB159" s="202"/>
    </row>
    <row r="160" customFormat="false" ht="10.5" hidden="false" customHeight="true" outlineLevel="0" collapsed="false">
      <c r="A160" s="112"/>
      <c r="B160" s="522"/>
      <c r="C160" s="522"/>
      <c r="D160" s="202"/>
      <c r="E160" s="527"/>
      <c r="F160" s="527"/>
      <c r="G160" s="527"/>
      <c r="H160" s="527"/>
      <c r="I160" s="527"/>
      <c r="J160" s="527"/>
      <c r="K160" s="527"/>
      <c r="L160" s="527"/>
      <c r="M160" s="527"/>
      <c r="N160" s="527"/>
      <c r="O160" s="527"/>
      <c r="P160" s="527"/>
      <c r="Q160" s="527"/>
      <c r="R160" s="527"/>
      <c r="S160" s="527"/>
      <c r="T160" s="527"/>
      <c r="U160" s="527"/>
      <c r="V160" s="527"/>
      <c r="W160" s="527"/>
      <c r="X160" s="527"/>
      <c r="Y160" s="527"/>
      <c r="Z160" s="527"/>
      <c r="AA160" s="527"/>
      <c r="AB160" s="527"/>
    </row>
    <row r="161" customFormat="false" ht="10.5" hidden="false" customHeight="true" outlineLevel="0" collapsed="false">
      <c r="A161" s="112"/>
      <c r="B161" s="523"/>
      <c r="C161" s="148"/>
      <c r="D161" s="114"/>
      <c r="E161" s="528"/>
      <c r="F161" s="528"/>
      <c r="G161" s="528"/>
      <c r="H161" s="528"/>
      <c r="I161" s="528"/>
      <c r="J161" s="528"/>
      <c r="K161" s="528"/>
      <c r="L161" s="528"/>
      <c r="M161" s="528"/>
      <c r="N161" s="528"/>
      <c r="O161" s="528"/>
      <c r="P161" s="528"/>
      <c r="Q161" s="528"/>
      <c r="R161" s="528"/>
      <c r="S161" s="528"/>
      <c r="T161" s="528"/>
      <c r="U161" s="528"/>
      <c r="V161" s="528"/>
      <c r="W161" s="528"/>
      <c r="X161" s="528"/>
      <c r="Y161" s="528"/>
      <c r="Z161" s="528"/>
      <c r="AA161" s="528"/>
      <c r="AB161" s="528"/>
    </row>
    <row r="162" customFormat="false" ht="10.5" hidden="false" customHeight="true" outlineLevel="0" collapsed="false">
      <c r="A162" s="112"/>
      <c r="B162" s="529"/>
      <c r="C162" s="529"/>
      <c r="D162" s="530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530"/>
      <c r="U162" s="530"/>
      <c r="V162" s="530"/>
      <c r="W162" s="530"/>
      <c r="X162" s="530"/>
      <c r="Y162" s="530"/>
      <c r="Z162" s="530"/>
      <c r="AA162" s="530"/>
      <c r="AB162" s="530"/>
    </row>
    <row r="163" customFormat="false" ht="10.5" hidden="false" customHeight="true" outlineLevel="0" collapsed="false">
      <c r="A163" s="112"/>
      <c r="B163" s="288"/>
      <c r="C163" s="529"/>
      <c r="D163" s="528"/>
      <c r="E163" s="498"/>
      <c r="F163" s="498"/>
      <c r="G163" s="498"/>
      <c r="H163" s="498"/>
      <c r="I163" s="498"/>
      <c r="J163" s="498"/>
      <c r="K163" s="498"/>
      <c r="L163" s="498"/>
      <c r="M163" s="498"/>
      <c r="N163" s="498"/>
      <c r="O163" s="498"/>
      <c r="P163" s="498"/>
      <c r="Q163" s="498"/>
      <c r="R163" s="498"/>
      <c r="S163" s="498"/>
      <c r="T163" s="528"/>
      <c r="U163" s="528"/>
      <c r="V163" s="528"/>
      <c r="W163" s="528"/>
      <c r="X163" s="528"/>
      <c r="Y163" s="528"/>
      <c r="Z163" s="528"/>
      <c r="AA163" s="528"/>
      <c r="AB163" s="528"/>
    </row>
    <row r="164" customFormat="false" ht="10.5" hidden="false" customHeight="true" outlineLevel="0" collapsed="false">
      <c r="A164" s="112"/>
      <c r="B164" s="531"/>
      <c r="C164" s="529"/>
      <c r="D164" s="528"/>
      <c r="E164" s="202"/>
      <c r="F164" s="202"/>
      <c r="G164" s="202"/>
      <c r="H164" s="202"/>
      <c r="I164" s="202"/>
      <c r="J164" s="202"/>
      <c r="K164" s="202"/>
      <c r="L164" s="202"/>
      <c r="M164" s="202"/>
      <c r="N164" s="202"/>
      <c r="O164" s="202"/>
      <c r="P164" s="202"/>
      <c r="Q164" s="202"/>
      <c r="R164" s="202"/>
      <c r="S164" s="202"/>
      <c r="T164" s="528"/>
      <c r="U164" s="528"/>
      <c r="V164" s="528"/>
      <c r="W164" s="528"/>
      <c r="X164" s="528"/>
      <c r="Y164" s="528"/>
      <c r="Z164" s="528"/>
      <c r="AA164" s="528"/>
      <c r="AB164" s="528"/>
    </row>
    <row r="165" customFormat="false" ht="10.5" hidden="false" customHeight="true" outlineLevel="0" collapsed="false">
      <c r="A165" s="112"/>
      <c r="B165" s="525"/>
      <c r="C165" s="529"/>
      <c r="D165" s="528"/>
      <c r="E165" s="528"/>
      <c r="F165" s="528"/>
      <c r="G165" s="528"/>
      <c r="H165" s="528"/>
      <c r="I165" s="528"/>
      <c r="J165" s="528"/>
      <c r="K165" s="528"/>
      <c r="L165" s="528"/>
      <c r="M165" s="528"/>
      <c r="N165" s="528"/>
      <c r="O165" s="528"/>
      <c r="P165" s="528"/>
      <c r="Q165" s="528"/>
      <c r="R165" s="528"/>
      <c r="S165" s="528"/>
      <c r="T165" s="528"/>
      <c r="U165" s="528"/>
      <c r="V165" s="528"/>
      <c r="W165" s="528"/>
      <c r="X165" s="528"/>
      <c r="Y165" s="528"/>
      <c r="Z165" s="528"/>
      <c r="AA165" s="528"/>
      <c r="AB165" s="528"/>
    </row>
    <row r="166" customFormat="false" ht="10.5" hidden="false" customHeight="true" outlineLevel="0" collapsed="false">
      <c r="A166" s="112"/>
      <c r="B166" s="523"/>
      <c r="C166" s="529"/>
      <c r="D166" s="528"/>
      <c r="E166" s="528"/>
      <c r="F166" s="528"/>
      <c r="G166" s="528"/>
      <c r="H166" s="528"/>
      <c r="I166" s="528"/>
      <c r="J166" s="528"/>
      <c r="K166" s="528"/>
      <c r="L166" s="528"/>
      <c r="M166" s="528"/>
      <c r="N166" s="528"/>
      <c r="O166" s="528"/>
      <c r="P166" s="528"/>
      <c r="Q166" s="528"/>
      <c r="R166" s="528"/>
      <c r="S166" s="528"/>
      <c r="T166" s="528"/>
      <c r="U166" s="528"/>
      <c r="V166" s="528"/>
      <c r="W166" s="528"/>
      <c r="X166" s="528"/>
      <c r="Y166" s="528"/>
      <c r="Z166" s="528"/>
      <c r="AA166" s="528"/>
      <c r="AB166" s="528"/>
    </row>
    <row r="167" customFormat="false" ht="10.5" hidden="false" customHeight="true" outlineLevel="0" collapsed="false">
      <c r="A167" s="112"/>
      <c r="B167" s="522"/>
      <c r="C167" s="529"/>
      <c r="D167" s="528"/>
      <c r="E167" s="528"/>
      <c r="F167" s="528"/>
      <c r="G167" s="528"/>
      <c r="H167" s="528"/>
      <c r="I167" s="528"/>
      <c r="J167" s="528"/>
      <c r="K167" s="528"/>
      <c r="L167" s="528"/>
      <c r="M167" s="528"/>
      <c r="N167" s="528"/>
      <c r="O167" s="528"/>
      <c r="P167" s="528"/>
      <c r="Q167" s="528"/>
      <c r="R167" s="528"/>
      <c r="S167" s="528"/>
      <c r="T167" s="528"/>
      <c r="U167" s="528"/>
      <c r="V167" s="528"/>
      <c r="W167" s="528"/>
      <c r="X167" s="528"/>
      <c r="Y167" s="528"/>
      <c r="Z167" s="528"/>
      <c r="AA167" s="528"/>
      <c r="AB167" s="528"/>
    </row>
    <row r="168" customFormat="false" ht="10.5" hidden="false" customHeight="true" outlineLevel="0" collapsed="false">
      <c r="A168" s="112"/>
      <c r="B168" s="523"/>
      <c r="C168" s="529"/>
      <c r="D168" s="528"/>
      <c r="E168" s="528"/>
      <c r="F168" s="528"/>
      <c r="G168" s="528"/>
      <c r="H168" s="528"/>
      <c r="I168" s="528"/>
      <c r="J168" s="528"/>
      <c r="K168" s="528"/>
      <c r="L168" s="528"/>
      <c r="M168" s="528"/>
      <c r="N168" s="528"/>
      <c r="O168" s="528"/>
      <c r="P168" s="528"/>
      <c r="Q168" s="528"/>
      <c r="R168" s="528"/>
      <c r="S168" s="528"/>
      <c r="T168" s="528"/>
      <c r="U168" s="528"/>
      <c r="V168" s="528"/>
      <c r="W168" s="528"/>
      <c r="X168" s="528"/>
      <c r="Y168" s="528"/>
      <c r="Z168" s="528"/>
      <c r="AA168" s="528"/>
      <c r="AB168" s="528"/>
    </row>
    <row r="169" customFormat="false" ht="10.5" hidden="false" customHeight="true" outlineLevel="0" collapsed="false">
      <c r="A169" s="112"/>
      <c r="B169" s="523"/>
      <c r="C169" s="529"/>
      <c r="D169" s="528"/>
      <c r="E169" s="528"/>
      <c r="F169" s="528"/>
      <c r="G169" s="528"/>
      <c r="H169" s="528"/>
      <c r="I169" s="528"/>
      <c r="J169" s="528"/>
      <c r="K169" s="528"/>
      <c r="L169" s="528"/>
      <c r="M169" s="528"/>
      <c r="N169" s="528"/>
      <c r="O169" s="528"/>
      <c r="P169" s="528"/>
      <c r="Q169" s="528"/>
      <c r="R169" s="528"/>
      <c r="S169" s="528"/>
      <c r="T169" s="528"/>
      <c r="U169" s="528"/>
      <c r="V169" s="528"/>
      <c r="W169" s="528"/>
      <c r="X169" s="528"/>
      <c r="Y169" s="528"/>
      <c r="Z169" s="528"/>
      <c r="AA169" s="528"/>
      <c r="AB169" s="528"/>
    </row>
    <row r="170" customFormat="false" ht="10.5" hidden="false" customHeight="true" outlineLevel="0" collapsed="false">
      <c r="A170" s="112"/>
      <c r="B170" s="532"/>
      <c r="C170" s="532"/>
      <c r="D170" s="532"/>
      <c r="E170" s="532"/>
      <c r="F170" s="532"/>
      <c r="G170" s="532"/>
      <c r="H170" s="532"/>
      <c r="I170" s="532"/>
      <c r="J170" s="532"/>
      <c r="K170" s="532"/>
      <c r="L170" s="532"/>
      <c r="M170" s="532"/>
      <c r="N170" s="532"/>
      <c r="O170" s="532"/>
      <c r="P170" s="532"/>
      <c r="Q170" s="532"/>
      <c r="R170" s="532"/>
      <c r="S170" s="532"/>
      <c r="T170" s="532"/>
      <c r="U170" s="532"/>
      <c r="V170" s="532"/>
      <c r="W170" s="532"/>
      <c r="X170" s="532"/>
      <c r="Y170" s="532"/>
      <c r="Z170" s="532"/>
      <c r="AA170" s="532"/>
      <c r="AB170" s="532"/>
    </row>
    <row r="171" customFormat="false" ht="10.5" hidden="false" customHeight="true" outlineLevel="0" collapsed="false">
      <c r="A171" s="112"/>
      <c r="B171" s="524"/>
      <c r="C171" s="524"/>
      <c r="D171" s="202"/>
      <c r="E171" s="202"/>
      <c r="F171" s="202"/>
      <c r="G171" s="202"/>
      <c r="H171" s="202"/>
      <c r="I171" s="202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  <c r="AA171" s="202"/>
      <c r="AB171" s="202"/>
    </row>
    <row r="172" customFormat="false" ht="10.5" hidden="false" customHeight="true" outlineLevel="0" collapsed="false">
      <c r="A172" s="112"/>
      <c r="B172" s="525"/>
      <c r="C172" s="525"/>
      <c r="D172" s="202"/>
      <c r="E172" s="526"/>
      <c r="F172" s="526"/>
      <c r="G172" s="526"/>
      <c r="H172" s="526"/>
      <c r="I172" s="526"/>
      <c r="J172" s="526"/>
      <c r="K172" s="526"/>
      <c r="L172" s="526"/>
      <c r="M172" s="526"/>
      <c r="N172" s="526"/>
      <c r="O172" s="526"/>
      <c r="P172" s="526"/>
      <c r="Q172" s="526"/>
      <c r="R172" s="526"/>
      <c r="S172" s="526"/>
      <c r="T172" s="527"/>
      <c r="U172" s="527"/>
      <c r="V172" s="527"/>
      <c r="W172" s="527"/>
      <c r="X172" s="527"/>
      <c r="Y172" s="527"/>
      <c r="Z172" s="527"/>
      <c r="AA172" s="527"/>
      <c r="AB172" s="527"/>
    </row>
    <row r="173" customFormat="false" ht="10.5" hidden="false" customHeight="true" outlineLevel="0" collapsed="false">
      <c r="A173" s="112"/>
      <c r="B173" s="523"/>
      <c r="C173" s="524"/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  <c r="AA173" s="202"/>
      <c r="AB173" s="202"/>
    </row>
    <row r="174" customFormat="false" ht="10.5" hidden="false" customHeight="true" outlineLevel="0" collapsed="false">
      <c r="A174" s="112"/>
      <c r="B174" s="522"/>
      <c r="C174" s="522"/>
      <c r="D174" s="202"/>
      <c r="E174" s="527"/>
      <c r="F174" s="527"/>
      <c r="G174" s="527"/>
      <c r="H174" s="527"/>
      <c r="I174" s="527"/>
      <c r="J174" s="527"/>
      <c r="K174" s="527"/>
      <c r="L174" s="527"/>
      <c r="M174" s="527"/>
      <c r="N174" s="527"/>
      <c r="O174" s="527"/>
      <c r="P174" s="527"/>
      <c r="Q174" s="527"/>
      <c r="R174" s="527"/>
      <c r="S174" s="527"/>
      <c r="T174" s="527"/>
      <c r="U174" s="527"/>
      <c r="V174" s="527"/>
      <c r="W174" s="527"/>
      <c r="X174" s="527"/>
      <c r="Y174" s="527"/>
      <c r="Z174" s="527"/>
      <c r="AA174" s="527"/>
      <c r="AB174" s="527"/>
    </row>
    <row r="175" customFormat="false" ht="10.5" hidden="false" customHeight="true" outlineLevel="0" collapsed="false">
      <c r="A175" s="112"/>
      <c r="B175" s="523"/>
      <c r="C175" s="148"/>
      <c r="D175" s="114"/>
      <c r="E175" s="528"/>
      <c r="F175" s="528"/>
      <c r="G175" s="528"/>
      <c r="H175" s="528"/>
      <c r="I175" s="528"/>
      <c r="J175" s="528"/>
      <c r="K175" s="528"/>
      <c r="L175" s="528"/>
      <c r="M175" s="528"/>
      <c r="N175" s="528"/>
      <c r="O175" s="528"/>
      <c r="P175" s="528"/>
      <c r="Q175" s="528"/>
      <c r="R175" s="528"/>
      <c r="S175" s="528"/>
      <c r="T175" s="528"/>
      <c r="U175" s="528"/>
      <c r="V175" s="528"/>
      <c r="W175" s="528"/>
      <c r="X175" s="528"/>
      <c r="Y175" s="528"/>
      <c r="Z175" s="528"/>
      <c r="AA175" s="528"/>
      <c r="AB175" s="528"/>
    </row>
    <row r="176" customFormat="false" ht="10.5" hidden="false" customHeight="true" outlineLevel="0" collapsed="false">
      <c r="A176" s="112"/>
      <c r="B176" s="523"/>
      <c r="C176" s="148"/>
      <c r="D176" s="114"/>
      <c r="E176" s="202"/>
      <c r="F176" s="202"/>
      <c r="G176" s="202"/>
      <c r="H176" s="202"/>
      <c r="I176" s="202"/>
      <c r="J176" s="202"/>
      <c r="K176" s="202"/>
      <c r="L176" s="202"/>
      <c r="M176" s="202"/>
      <c r="N176" s="202"/>
      <c r="O176" s="202"/>
      <c r="P176" s="202"/>
      <c r="Q176" s="202"/>
      <c r="R176" s="202"/>
      <c r="S176" s="202"/>
      <c r="T176" s="528"/>
      <c r="U176" s="528"/>
      <c r="V176" s="528"/>
      <c r="W176" s="528"/>
      <c r="X176" s="528"/>
      <c r="Y176" s="528"/>
      <c r="Z176" s="528"/>
      <c r="AA176" s="528"/>
      <c r="AB176" s="528"/>
    </row>
    <row r="177" customFormat="false" ht="10.5" hidden="false" customHeight="true" outlineLevel="0" collapsed="false">
      <c r="A177" s="112"/>
      <c r="B177" s="523"/>
      <c r="C177" s="148"/>
      <c r="D177" s="114"/>
      <c r="E177" s="498"/>
      <c r="F177" s="498"/>
      <c r="G177" s="498"/>
      <c r="H177" s="498"/>
      <c r="I177" s="498"/>
      <c r="J177" s="498"/>
      <c r="K177" s="498"/>
      <c r="L177" s="498"/>
      <c r="M177" s="498"/>
      <c r="N177" s="498"/>
      <c r="O177" s="498"/>
      <c r="P177" s="498"/>
      <c r="Q177" s="498"/>
      <c r="R177" s="498"/>
      <c r="S177" s="498"/>
      <c r="T177" s="528"/>
      <c r="U177" s="528"/>
      <c r="V177" s="528"/>
      <c r="W177" s="528"/>
      <c r="X177" s="528"/>
      <c r="Y177" s="528"/>
      <c r="Z177" s="528"/>
      <c r="AA177" s="528"/>
      <c r="AB177" s="528"/>
    </row>
    <row r="178" customFormat="false" ht="10.5" hidden="false" customHeight="true" outlineLevel="0" collapsed="false">
      <c r="A178" s="112"/>
      <c r="B178" s="533"/>
      <c r="C178" s="533"/>
      <c r="D178" s="534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  <c r="Q178" s="202"/>
      <c r="R178" s="202"/>
      <c r="S178" s="202"/>
      <c r="T178" s="534"/>
      <c r="U178" s="534"/>
      <c r="V178" s="534"/>
      <c r="W178" s="534"/>
      <c r="X178" s="534"/>
      <c r="Y178" s="534"/>
      <c r="Z178" s="534"/>
      <c r="AA178" s="534"/>
      <c r="AB178" s="534"/>
    </row>
    <row r="179" customFormat="false" ht="10.5" hidden="false" customHeight="true" outlineLevel="0" collapsed="false">
      <c r="A179" s="112"/>
      <c r="B179" s="531"/>
      <c r="C179" s="529"/>
      <c r="D179" s="528"/>
      <c r="E179" s="528"/>
      <c r="F179" s="528"/>
      <c r="G179" s="528"/>
      <c r="H179" s="528"/>
      <c r="I179" s="528"/>
      <c r="J179" s="528"/>
      <c r="K179" s="528"/>
      <c r="L179" s="528"/>
      <c r="M179" s="528"/>
      <c r="N179" s="528"/>
      <c r="O179" s="528"/>
      <c r="P179" s="528"/>
      <c r="Q179" s="528"/>
      <c r="R179" s="528"/>
      <c r="S179" s="528"/>
      <c r="T179" s="528"/>
      <c r="U179" s="528"/>
      <c r="V179" s="528"/>
      <c r="W179" s="528"/>
      <c r="X179" s="528"/>
      <c r="Y179" s="528"/>
      <c r="Z179" s="528"/>
      <c r="AA179" s="528"/>
      <c r="AB179" s="528"/>
    </row>
    <row r="180" customFormat="false" ht="10.5" hidden="false" customHeight="true" outlineLevel="0" collapsed="false">
      <c r="A180" s="112"/>
      <c r="B180" s="525"/>
      <c r="C180" s="529"/>
      <c r="D180" s="528"/>
      <c r="E180" s="528"/>
      <c r="F180" s="528"/>
      <c r="G180" s="528"/>
      <c r="H180" s="528"/>
      <c r="I180" s="528"/>
      <c r="J180" s="528"/>
      <c r="K180" s="528"/>
      <c r="L180" s="528"/>
      <c r="M180" s="528"/>
      <c r="N180" s="528"/>
      <c r="O180" s="528"/>
      <c r="P180" s="528"/>
      <c r="Q180" s="528"/>
      <c r="R180" s="528"/>
      <c r="S180" s="528"/>
      <c r="T180" s="528"/>
      <c r="U180" s="528"/>
      <c r="V180" s="528"/>
      <c r="W180" s="528"/>
      <c r="X180" s="528"/>
      <c r="Y180" s="528"/>
      <c r="Z180" s="528"/>
      <c r="AA180" s="528"/>
      <c r="AB180" s="528"/>
    </row>
    <row r="181" customFormat="false" ht="10.5" hidden="false" customHeight="true" outlineLevel="0" collapsed="false">
      <c r="A181" s="112"/>
      <c r="B181" s="523"/>
      <c r="C181" s="529"/>
      <c r="D181" s="528"/>
      <c r="E181" s="528"/>
      <c r="F181" s="528"/>
      <c r="G181" s="528"/>
      <c r="H181" s="528"/>
      <c r="I181" s="528"/>
      <c r="J181" s="528"/>
      <c r="K181" s="528"/>
      <c r="L181" s="528"/>
      <c r="M181" s="528"/>
      <c r="N181" s="528"/>
      <c r="O181" s="528"/>
      <c r="P181" s="528"/>
      <c r="Q181" s="528"/>
      <c r="R181" s="528"/>
      <c r="S181" s="528"/>
      <c r="T181" s="528"/>
      <c r="U181" s="528"/>
      <c r="V181" s="528"/>
      <c r="W181" s="528"/>
      <c r="X181" s="528"/>
      <c r="Y181" s="528"/>
      <c r="Z181" s="528"/>
      <c r="AA181" s="528"/>
      <c r="AB181" s="528"/>
    </row>
    <row r="182" customFormat="false" ht="10.5" hidden="false" customHeight="true" outlineLevel="0" collapsed="false">
      <c r="A182" s="112"/>
      <c r="B182" s="522"/>
      <c r="C182" s="529"/>
      <c r="D182" s="528"/>
      <c r="E182" s="528"/>
      <c r="F182" s="528"/>
      <c r="G182" s="528"/>
      <c r="H182" s="528"/>
      <c r="I182" s="528"/>
      <c r="J182" s="528"/>
      <c r="K182" s="528"/>
      <c r="L182" s="528"/>
      <c r="M182" s="528"/>
      <c r="N182" s="528"/>
      <c r="O182" s="528"/>
      <c r="P182" s="528"/>
      <c r="Q182" s="528"/>
      <c r="R182" s="528"/>
      <c r="S182" s="528"/>
      <c r="T182" s="528"/>
      <c r="U182" s="528"/>
      <c r="V182" s="528"/>
      <c r="W182" s="528"/>
      <c r="X182" s="528"/>
      <c r="Y182" s="528"/>
      <c r="Z182" s="528"/>
      <c r="AA182" s="528"/>
      <c r="AB182" s="528"/>
    </row>
    <row r="183" customFormat="false" ht="10.5" hidden="false" customHeight="true" outlineLevel="0" collapsed="false">
      <c r="A183" s="112"/>
      <c r="B183" s="523"/>
      <c r="C183" s="529"/>
      <c r="D183" s="528"/>
      <c r="E183" s="528"/>
      <c r="F183" s="528"/>
      <c r="G183" s="528"/>
      <c r="H183" s="528"/>
      <c r="I183" s="528"/>
      <c r="J183" s="528"/>
      <c r="K183" s="528"/>
      <c r="L183" s="528"/>
      <c r="M183" s="528"/>
      <c r="N183" s="528"/>
      <c r="O183" s="528"/>
      <c r="P183" s="528"/>
      <c r="Q183" s="528"/>
      <c r="R183" s="528"/>
      <c r="S183" s="528"/>
      <c r="T183" s="528"/>
      <c r="U183" s="528"/>
      <c r="V183" s="528"/>
      <c r="W183" s="528"/>
      <c r="X183" s="528"/>
      <c r="Y183" s="528"/>
      <c r="Z183" s="528"/>
      <c r="AA183" s="528"/>
      <c r="AB183" s="528"/>
    </row>
    <row r="184" customFormat="false" ht="10.5" hidden="false" customHeight="true" outlineLevel="0" collapsed="false">
      <c r="A184" s="112"/>
      <c r="B184" s="533"/>
      <c r="C184" s="533"/>
      <c r="D184" s="534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  <c r="AA184" s="202"/>
      <c r="AB184" s="202"/>
    </row>
    <row r="185" customFormat="false" ht="10.5" hidden="false" customHeight="true" outlineLevel="0" collapsed="false">
      <c r="A185" s="112"/>
      <c r="B185" s="148"/>
      <c r="C185" s="533"/>
      <c r="D185" s="534"/>
      <c r="E185" s="534"/>
      <c r="F185" s="534"/>
      <c r="G185" s="534"/>
      <c r="H185" s="534"/>
      <c r="I185" s="534"/>
      <c r="J185" s="534"/>
      <c r="K185" s="534"/>
      <c r="L185" s="534"/>
      <c r="M185" s="534"/>
      <c r="N185" s="534"/>
      <c r="O185" s="534"/>
      <c r="P185" s="534"/>
      <c r="Q185" s="534"/>
      <c r="R185" s="534"/>
      <c r="S185" s="534"/>
      <c r="T185" s="534"/>
      <c r="U185" s="534"/>
      <c r="V185" s="534"/>
      <c r="W185" s="534"/>
      <c r="X185" s="534"/>
      <c r="Y185" s="534"/>
      <c r="Z185" s="534"/>
      <c r="AA185" s="534"/>
      <c r="AB185" s="534"/>
    </row>
    <row r="186" customFormat="false" ht="10.5" hidden="false" customHeight="true" outlineLevel="0" collapsed="false">
      <c r="A186" s="112"/>
      <c r="B186" s="495"/>
      <c r="C186" s="515"/>
      <c r="D186" s="202"/>
      <c r="E186" s="202"/>
      <c r="F186" s="202"/>
      <c r="G186" s="202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88"/>
      <c r="U186" s="288"/>
      <c r="V186" s="288"/>
      <c r="W186" s="288"/>
      <c r="X186" s="288"/>
    </row>
    <row r="187" customFormat="false" ht="10.5" hidden="false" customHeight="true" outlineLevel="0" collapsed="false">
      <c r="A187" s="112"/>
      <c r="B187" s="523"/>
      <c r="C187" s="515"/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88"/>
      <c r="U187" s="288"/>
      <c r="V187" s="288"/>
      <c r="W187" s="288"/>
      <c r="X187" s="288"/>
    </row>
    <row r="188" customFormat="false" ht="10.5" hidden="false" customHeight="true" outlineLevel="0" collapsed="false">
      <c r="A188" s="112"/>
      <c r="B188" s="495"/>
      <c r="C188" s="114"/>
      <c r="D188" s="114"/>
      <c r="E188" s="202"/>
      <c r="F188" s="202"/>
      <c r="G188" s="202"/>
      <c r="H188" s="202"/>
      <c r="I188" s="202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88"/>
      <c r="U188" s="288"/>
      <c r="V188" s="288"/>
      <c r="W188" s="288"/>
      <c r="X188" s="288"/>
    </row>
    <row r="189" customFormat="false" ht="10.5" hidden="false" customHeight="true" outlineLevel="0" collapsed="false">
      <c r="A189" s="112"/>
      <c r="B189" s="523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  <c r="R189" s="114"/>
      <c r="S189" s="114"/>
      <c r="T189" s="288"/>
      <c r="U189" s="288"/>
      <c r="V189" s="288"/>
      <c r="W189" s="288"/>
      <c r="X189" s="288"/>
    </row>
    <row r="190" customFormat="false" ht="10.5" hidden="false" customHeight="true" outlineLevel="0" collapsed="false">
      <c r="A190" s="112"/>
      <c r="B190" s="516"/>
      <c r="C190" s="114"/>
      <c r="D190" s="114"/>
      <c r="E190" s="202"/>
      <c r="F190" s="202"/>
      <c r="G190" s="202"/>
      <c r="H190" s="202"/>
      <c r="I190" s="202"/>
      <c r="J190" s="202"/>
      <c r="K190" s="202"/>
      <c r="L190" s="202"/>
      <c r="M190" s="202"/>
      <c r="N190" s="202"/>
      <c r="O190" s="202"/>
      <c r="P190" s="202"/>
      <c r="Q190" s="202"/>
      <c r="R190" s="202"/>
      <c r="S190" s="202"/>
      <c r="T190" s="288"/>
      <c r="U190" s="288"/>
      <c r="V190" s="288"/>
      <c r="W190" s="288"/>
      <c r="X190" s="288"/>
    </row>
    <row r="191" customFormat="false" ht="10.5" hidden="false" customHeight="true" outlineLevel="0" collapsed="false">
      <c r="A191" s="112"/>
      <c r="B191" s="516"/>
      <c r="C191" s="114"/>
      <c r="D191" s="114"/>
      <c r="E191" s="498"/>
      <c r="F191" s="498"/>
      <c r="G191" s="498"/>
      <c r="H191" s="498"/>
      <c r="I191" s="498"/>
      <c r="J191" s="498"/>
      <c r="K191" s="498"/>
      <c r="L191" s="498"/>
      <c r="M191" s="498"/>
      <c r="N191" s="498"/>
      <c r="O191" s="498"/>
      <c r="P191" s="498"/>
      <c r="Q191" s="498"/>
      <c r="R191" s="498"/>
      <c r="S191" s="498"/>
      <c r="T191" s="288"/>
      <c r="U191" s="288"/>
      <c r="V191" s="288"/>
      <c r="W191" s="288"/>
      <c r="X191" s="288"/>
    </row>
    <row r="192" customFormat="false" ht="10.5" hidden="false" customHeight="true" outlineLevel="0" collapsed="false">
      <c r="A192" s="112"/>
      <c r="B192" s="288"/>
      <c r="C192" s="288"/>
      <c r="D192" s="288"/>
      <c r="E192" s="202"/>
      <c r="F192" s="202"/>
      <c r="G192" s="202"/>
      <c r="H192" s="202"/>
      <c r="I192" s="202"/>
      <c r="J192" s="202"/>
      <c r="K192" s="202"/>
      <c r="L192" s="202"/>
      <c r="M192" s="202"/>
      <c r="N192" s="202"/>
      <c r="O192" s="202"/>
      <c r="P192" s="202"/>
      <c r="Q192" s="202"/>
      <c r="R192" s="202"/>
      <c r="S192" s="202"/>
      <c r="T192" s="288"/>
      <c r="U192" s="288"/>
      <c r="V192" s="288"/>
      <c r="W192" s="288"/>
      <c r="X192" s="288"/>
    </row>
    <row r="193" customFormat="false" ht="10.5" hidden="false" customHeight="true" outlineLevel="0" collapsed="false">
      <c r="A193" s="112"/>
      <c r="B193" s="531"/>
      <c r="C193" s="529"/>
      <c r="D193" s="528"/>
      <c r="E193" s="528"/>
      <c r="F193" s="528"/>
      <c r="G193" s="528"/>
      <c r="H193" s="528"/>
      <c r="I193" s="528"/>
      <c r="J193" s="528"/>
      <c r="K193" s="528"/>
      <c r="L193" s="528"/>
      <c r="M193" s="528"/>
      <c r="N193" s="528"/>
      <c r="O193" s="528"/>
      <c r="P193" s="528"/>
      <c r="Q193" s="528"/>
      <c r="R193" s="528"/>
      <c r="S193" s="528"/>
      <c r="T193" s="288"/>
      <c r="U193" s="288"/>
      <c r="V193" s="288"/>
      <c r="W193" s="288"/>
      <c r="X193" s="288"/>
    </row>
    <row r="194" customFormat="false" ht="10.5" hidden="false" customHeight="true" outlineLevel="0" collapsed="false">
      <c r="A194" s="112"/>
      <c r="B194" s="525"/>
      <c r="C194" s="529"/>
      <c r="D194" s="528"/>
      <c r="E194" s="528"/>
      <c r="F194" s="528"/>
      <c r="G194" s="528"/>
      <c r="H194" s="528"/>
      <c r="I194" s="528"/>
      <c r="J194" s="528"/>
      <c r="K194" s="528"/>
      <c r="L194" s="528"/>
      <c r="M194" s="528"/>
      <c r="N194" s="528"/>
      <c r="O194" s="528"/>
      <c r="P194" s="528"/>
      <c r="Q194" s="528"/>
      <c r="R194" s="528"/>
      <c r="S194" s="528"/>
      <c r="T194" s="288"/>
      <c r="U194" s="288"/>
      <c r="V194" s="288"/>
      <c r="W194" s="288"/>
      <c r="X194" s="288"/>
    </row>
    <row r="195" customFormat="false" ht="10.5" hidden="false" customHeight="true" outlineLevel="0" collapsed="false">
      <c r="A195" s="112"/>
      <c r="B195" s="523"/>
      <c r="C195" s="529"/>
      <c r="D195" s="528"/>
      <c r="E195" s="528"/>
      <c r="F195" s="528"/>
      <c r="G195" s="528"/>
      <c r="H195" s="528"/>
      <c r="I195" s="528"/>
      <c r="J195" s="528"/>
      <c r="K195" s="528"/>
      <c r="L195" s="528"/>
      <c r="M195" s="528"/>
      <c r="N195" s="528"/>
      <c r="O195" s="528"/>
      <c r="P195" s="528"/>
      <c r="Q195" s="528"/>
      <c r="R195" s="528"/>
      <c r="S195" s="528"/>
      <c r="T195" s="288"/>
      <c r="U195" s="288"/>
      <c r="V195" s="288"/>
      <c r="W195" s="288"/>
      <c r="X195" s="288"/>
    </row>
    <row r="196" customFormat="false" ht="10.5" hidden="false" customHeight="true" outlineLevel="0" collapsed="false">
      <c r="A196" s="112"/>
      <c r="B196" s="522"/>
      <c r="C196" s="529"/>
      <c r="D196" s="528"/>
      <c r="E196" s="528"/>
      <c r="F196" s="528"/>
      <c r="G196" s="528"/>
      <c r="H196" s="528"/>
      <c r="I196" s="528"/>
      <c r="J196" s="528"/>
      <c r="K196" s="528"/>
      <c r="L196" s="528"/>
      <c r="M196" s="528"/>
      <c r="N196" s="528"/>
      <c r="O196" s="528"/>
      <c r="P196" s="528"/>
      <c r="Q196" s="528"/>
      <c r="R196" s="528"/>
      <c r="S196" s="528"/>
      <c r="T196" s="288"/>
      <c r="U196" s="288"/>
      <c r="V196" s="288"/>
      <c r="W196" s="288"/>
      <c r="X196" s="288"/>
    </row>
    <row r="197" customFormat="false" ht="10.5" hidden="false" customHeight="true" outlineLevel="0" collapsed="false">
      <c r="A197" s="112"/>
      <c r="B197" s="523"/>
      <c r="C197" s="529"/>
      <c r="D197" s="528"/>
      <c r="E197" s="528"/>
      <c r="F197" s="528"/>
      <c r="G197" s="528"/>
      <c r="H197" s="528"/>
      <c r="I197" s="528"/>
      <c r="J197" s="528"/>
      <c r="K197" s="528"/>
      <c r="L197" s="528"/>
      <c r="M197" s="528"/>
      <c r="N197" s="528"/>
      <c r="O197" s="528"/>
      <c r="P197" s="528"/>
      <c r="Q197" s="528"/>
      <c r="R197" s="528"/>
      <c r="S197" s="528"/>
      <c r="T197" s="288"/>
      <c r="U197" s="288"/>
      <c r="V197" s="288"/>
      <c r="W197" s="288"/>
      <c r="X197" s="288"/>
    </row>
    <row r="198" customFormat="false" ht="10.5" hidden="false" customHeight="true" outlineLevel="0" collapsed="false">
      <c r="A198" s="112"/>
      <c r="B198" s="535"/>
      <c r="C198" s="536"/>
      <c r="D198" s="537"/>
      <c r="E198" s="537"/>
      <c r="F198" s="537"/>
      <c r="G198" s="537"/>
      <c r="H198" s="537"/>
      <c r="I198" s="537"/>
      <c r="J198" s="537"/>
      <c r="K198" s="537"/>
      <c r="L198" s="537"/>
      <c r="M198" s="537"/>
      <c r="N198" s="537"/>
      <c r="O198" s="537"/>
      <c r="P198" s="537"/>
      <c r="Q198" s="537"/>
      <c r="R198" s="537"/>
      <c r="S198" s="538"/>
      <c r="T198" s="112"/>
      <c r="U198" s="112"/>
      <c r="V198" s="112"/>
      <c r="W198" s="112"/>
      <c r="X198" s="112"/>
    </row>
    <row r="199" customFormat="false" ht="10.5" hidden="false" customHeight="true" outlineLevel="0" collapsed="false">
      <c r="A199" s="112"/>
      <c r="B199" s="539" t="s">
        <v>499</v>
      </c>
      <c r="C199" s="536"/>
      <c r="D199" s="537"/>
      <c r="E199" s="537"/>
      <c r="F199" s="537"/>
      <c r="G199" s="537"/>
      <c r="H199" s="537"/>
      <c r="I199" s="537"/>
      <c r="J199" s="537"/>
      <c r="K199" s="537"/>
      <c r="L199" s="537"/>
      <c r="M199" s="537"/>
      <c r="N199" s="537"/>
      <c r="O199" s="537"/>
      <c r="P199" s="537"/>
      <c r="Q199" s="537"/>
      <c r="R199" s="537"/>
      <c r="S199" s="538"/>
      <c r="T199" s="112"/>
      <c r="U199" s="112"/>
      <c r="V199" s="112"/>
      <c r="W199" s="112"/>
      <c r="X199" s="112"/>
    </row>
    <row r="200" customFormat="false" ht="10.5" hidden="false" customHeight="true" outlineLevel="0" collapsed="false">
      <c r="A200" s="112"/>
      <c r="B200" s="540" t="s">
        <v>500</v>
      </c>
      <c r="C200" s="536"/>
      <c r="D200" s="537" t="n">
        <v>0</v>
      </c>
      <c r="E200" s="537" t="n">
        <v>4277.25787736681</v>
      </c>
      <c r="F200" s="537" t="n">
        <v>3889.26699325413</v>
      </c>
      <c r="G200" s="537" t="n">
        <v>3555.69324870734</v>
      </c>
      <c r="H200" s="537" t="n">
        <v>2854.77454909555</v>
      </c>
      <c r="I200" s="537" t="n">
        <v>2750.08309220267</v>
      </c>
      <c r="J200" s="537" t="n">
        <v>2787.85891575945</v>
      </c>
      <c r="K200" s="537" t="n">
        <v>2725.62933931603</v>
      </c>
      <c r="L200" s="537" t="n">
        <v>2758.82684740983</v>
      </c>
      <c r="M200" s="537" t="n">
        <v>2748.6961080446</v>
      </c>
      <c r="N200" s="537" t="n">
        <v>2691.63665378786</v>
      </c>
      <c r="O200" s="537" t="n">
        <v>2774.26140807997</v>
      </c>
      <c r="P200" s="537" t="n">
        <v>2777.51060373017</v>
      </c>
      <c r="Q200" s="537" t="n">
        <v>2811.13521573042</v>
      </c>
      <c r="R200" s="537" t="n">
        <v>2832.3266127835</v>
      </c>
      <c r="S200" s="538" t="n">
        <v>2950.04023346542</v>
      </c>
      <c r="T200" s="112"/>
      <c r="U200" s="112"/>
      <c r="V200" s="112"/>
      <c r="W200" s="112"/>
      <c r="X200" s="112"/>
    </row>
    <row r="201" customFormat="false" ht="10.5" hidden="false" customHeight="true" outlineLevel="0" collapsed="false">
      <c r="A201" s="112"/>
      <c r="B201" s="535" t="n">
        <f aca="false">SUM(D200:S200)</f>
        <v>45184.9976987337</v>
      </c>
      <c r="C201" s="536"/>
      <c r="D201" s="537"/>
      <c r="E201" s="537"/>
      <c r="F201" s="537"/>
      <c r="G201" s="537"/>
      <c r="H201" s="537"/>
      <c r="I201" s="537"/>
      <c r="J201" s="537"/>
      <c r="K201" s="537"/>
      <c r="L201" s="537"/>
      <c r="M201" s="537"/>
      <c r="N201" s="537"/>
      <c r="O201" s="537"/>
      <c r="P201" s="537"/>
      <c r="Q201" s="537"/>
      <c r="R201" s="537"/>
      <c r="S201" s="538"/>
      <c r="T201" s="112"/>
      <c r="U201" s="112"/>
      <c r="V201" s="112"/>
      <c r="W201" s="112"/>
      <c r="X201" s="112"/>
    </row>
    <row r="202" customFormat="false" ht="10.5" hidden="false" customHeight="true" outlineLevel="0" collapsed="false">
      <c r="A202" s="112"/>
      <c r="B202" s="540" t="s">
        <v>501</v>
      </c>
      <c r="C202" s="536"/>
      <c r="D202" s="537" t="n">
        <v>0</v>
      </c>
      <c r="E202" s="537" t="n">
        <v>2977.70763570314</v>
      </c>
      <c r="F202" s="537" t="n">
        <v>2731.50931505631</v>
      </c>
      <c r="G202" s="537" t="n">
        <v>2518.66818029904</v>
      </c>
      <c r="H202" s="537" t="n">
        <v>2040.61951862848</v>
      </c>
      <c r="I202" s="537" t="n">
        <v>1983.7668204354</v>
      </c>
      <c r="J202" s="537" t="n">
        <v>2029.88968308197</v>
      </c>
      <c r="K202" s="537" t="n">
        <v>2003.02514734173</v>
      </c>
      <c r="L202" s="537" t="n">
        <v>2045.35014475968</v>
      </c>
      <c r="M202" s="537" t="n">
        <v>2055.65080162843</v>
      </c>
      <c r="N202" s="537" t="n">
        <v>2030.20331582303</v>
      </c>
      <c r="O202" s="537" t="n">
        <v>2109.69167560866</v>
      </c>
      <c r="P202" s="537" t="n">
        <v>2129.21773134914</v>
      </c>
      <c r="Q202" s="537" t="n">
        <v>2172.0628322779</v>
      </c>
      <c r="R202" s="537" t="n">
        <v>2205.45747072465</v>
      </c>
      <c r="S202" s="538" t="n">
        <v>2315.61607589916</v>
      </c>
      <c r="T202" s="112"/>
      <c r="U202" s="112"/>
      <c r="V202" s="112"/>
      <c r="W202" s="112"/>
      <c r="X202" s="112"/>
    </row>
    <row r="203" customFormat="false" ht="10.5" hidden="false" customHeight="true" outlineLevel="0" collapsed="false">
      <c r="A203" s="112"/>
      <c r="B203" s="535" t="n">
        <f aca="false">SUM(D202:S202)</f>
        <v>33348.4363486167</v>
      </c>
      <c r="C203" s="536"/>
      <c r="D203" s="537"/>
      <c r="E203" s="537"/>
      <c r="F203" s="537"/>
      <c r="G203" s="537"/>
      <c r="H203" s="537"/>
      <c r="I203" s="537"/>
      <c r="J203" s="537"/>
      <c r="K203" s="537"/>
      <c r="L203" s="537"/>
      <c r="M203" s="537"/>
      <c r="N203" s="537"/>
      <c r="O203" s="537"/>
      <c r="P203" s="537"/>
      <c r="Q203" s="537"/>
      <c r="R203" s="537"/>
      <c r="S203" s="538"/>
      <c r="T203" s="112"/>
      <c r="U203" s="112"/>
      <c r="V203" s="112"/>
      <c r="W203" s="112"/>
      <c r="X203" s="112"/>
    </row>
    <row r="204" customFormat="false" ht="10.5" hidden="false" customHeight="true" outlineLevel="0" collapsed="false">
      <c r="A204" s="112"/>
      <c r="B204" s="535"/>
      <c r="C204" s="536"/>
      <c r="D204" s="537"/>
      <c r="E204" s="537"/>
      <c r="F204" s="537"/>
      <c r="G204" s="537"/>
      <c r="H204" s="537"/>
      <c r="I204" s="537"/>
      <c r="J204" s="537"/>
      <c r="K204" s="537"/>
      <c r="L204" s="537"/>
      <c r="M204" s="537"/>
      <c r="N204" s="537"/>
      <c r="O204" s="537"/>
      <c r="P204" s="537"/>
      <c r="Q204" s="537"/>
      <c r="R204" s="537"/>
      <c r="S204" s="538"/>
      <c r="T204" s="112"/>
      <c r="U204" s="112"/>
      <c r="V204" s="112"/>
      <c r="W204" s="112"/>
      <c r="X204" s="112"/>
    </row>
    <row r="205" customFormat="false" ht="10.5" hidden="false" customHeight="true" outlineLevel="0" collapsed="false">
      <c r="A205" s="112"/>
      <c r="B205" s="541" t="s">
        <v>502</v>
      </c>
      <c r="C205" s="536"/>
      <c r="D205" s="537"/>
      <c r="E205" s="537"/>
      <c r="F205" s="537"/>
      <c r="G205" s="537"/>
      <c r="H205" s="537"/>
      <c r="I205" s="537"/>
      <c r="J205" s="537"/>
      <c r="K205" s="537"/>
      <c r="L205" s="537"/>
      <c r="M205" s="537"/>
      <c r="N205" s="537"/>
      <c r="O205" s="537"/>
      <c r="P205" s="537"/>
      <c r="Q205" s="537"/>
      <c r="R205" s="537"/>
      <c r="S205" s="538"/>
      <c r="T205" s="112"/>
      <c r="U205" s="112"/>
      <c r="V205" s="112"/>
      <c r="W205" s="112"/>
      <c r="X205" s="112"/>
    </row>
    <row r="206" customFormat="false" ht="10.5" hidden="false" customHeight="true" outlineLevel="0" collapsed="false">
      <c r="A206" s="112"/>
      <c r="B206" s="542" t="s">
        <v>500</v>
      </c>
      <c r="C206" s="536"/>
      <c r="D206" s="537" t="n">
        <f aca="false">+D200-D186</f>
        <v>0</v>
      </c>
      <c r="E206" s="537" t="n">
        <f aca="false">+E200-E186</f>
        <v>4277.25787736681</v>
      </c>
      <c r="F206" s="537" t="n">
        <f aca="false">+F200-F186</f>
        <v>3889.26699325413</v>
      </c>
      <c r="G206" s="537" t="n">
        <f aca="false">+G200-G186</f>
        <v>3555.69324870734</v>
      </c>
      <c r="H206" s="537" t="n">
        <f aca="false">+H200-H186</f>
        <v>2854.77454909555</v>
      </c>
      <c r="I206" s="537" t="n">
        <f aca="false">+I200-I186</f>
        <v>2750.08309220267</v>
      </c>
      <c r="J206" s="537" t="n">
        <f aca="false">+J200-J186</f>
        <v>2787.85891575945</v>
      </c>
      <c r="K206" s="537" t="n">
        <f aca="false">+K200-K186</f>
        <v>2725.62933931603</v>
      </c>
      <c r="L206" s="537" t="n">
        <f aca="false">+L200-L186</f>
        <v>2758.82684740983</v>
      </c>
      <c r="M206" s="537" t="n">
        <f aca="false">+M200-M186</f>
        <v>2748.6961080446</v>
      </c>
      <c r="N206" s="537" t="n">
        <f aca="false">+N200-N186</f>
        <v>2691.63665378786</v>
      </c>
      <c r="O206" s="537" t="n">
        <f aca="false">+O200-O186</f>
        <v>2774.26140807997</v>
      </c>
      <c r="P206" s="537" t="n">
        <f aca="false">+P200-P186</f>
        <v>2777.51060373017</v>
      </c>
      <c r="Q206" s="537" t="n">
        <f aca="false">+Q200-Q186</f>
        <v>2811.13521573042</v>
      </c>
      <c r="R206" s="537" t="n">
        <f aca="false">+R200-R186</f>
        <v>2832.3266127835</v>
      </c>
      <c r="S206" s="538" t="n">
        <f aca="false">+S200-S186</f>
        <v>2950.04023346542</v>
      </c>
      <c r="T206" s="112"/>
      <c r="U206" s="112"/>
      <c r="V206" s="112"/>
      <c r="W206" s="112"/>
      <c r="X206" s="112"/>
    </row>
    <row r="207" customFormat="false" ht="10.5" hidden="false" customHeight="true" outlineLevel="0" collapsed="false">
      <c r="A207" s="112"/>
      <c r="B207" s="535" t="n">
        <f aca="false">SUM(D206:S206)</f>
        <v>45184.9976987337</v>
      </c>
      <c r="C207" s="536"/>
      <c r="D207" s="537"/>
      <c r="E207" s="537"/>
      <c r="F207" s="537"/>
      <c r="G207" s="537"/>
      <c r="H207" s="537"/>
      <c r="I207" s="537"/>
      <c r="J207" s="537"/>
      <c r="K207" s="537"/>
      <c r="L207" s="537"/>
      <c r="M207" s="537"/>
      <c r="N207" s="537"/>
      <c r="O207" s="537"/>
      <c r="P207" s="537"/>
      <c r="Q207" s="537"/>
      <c r="R207" s="537"/>
      <c r="S207" s="538"/>
      <c r="T207" s="112"/>
      <c r="U207" s="112"/>
      <c r="V207" s="112"/>
      <c r="W207" s="112"/>
      <c r="X207" s="112"/>
    </row>
    <row r="208" customFormat="false" ht="10.5" hidden="false" customHeight="true" outlineLevel="0" collapsed="false">
      <c r="A208" s="112"/>
      <c r="B208" s="543" t="s">
        <v>501</v>
      </c>
      <c r="C208" s="536"/>
      <c r="D208" s="537" t="n">
        <f aca="false">+D202-D188</f>
        <v>0</v>
      </c>
      <c r="E208" s="537" t="n">
        <f aca="false">+E202-E188</f>
        <v>2977.70763570314</v>
      </c>
      <c r="F208" s="537" t="n">
        <f aca="false">+F202-F188</f>
        <v>2731.50931505631</v>
      </c>
      <c r="G208" s="537" t="n">
        <f aca="false">+G202-G188</f>
        <v>2518.66818029904</v>
      </c>
      <c r="H208" s="537" t="n">
        <f aca="false">+H202-H188</f>
        <v>2040.61951862848</v>
      </c>
      <c r="I208" s="537" t="n">
        <f aca="false">+I202-I188</f>
        <v>1983.7668204354</v>
      </c>
      <c r="J208" s="537" t="n">
        <f aca="false">+J202-J188</f>
        <v>2029.88968308197</v>
      </c>
      <c r="K208" s="537" t="n">
        <f aca="false">+K202-K188</f>
        <v>2003.02514734173</v>
      </c>
      <c r="L208" s="537" t="n">
        <f aca="false">+L202-L188</f>
        <v>2045.35014475968</v>
      </c>
      <c r="M208" s="537" t="n">
        <f aca="false">+M202-M188</f>
        <v>2055.65080162843</v>
      </c>
      <c r="N208" s="537" t="n">
        <f aca="false">+N202-N188</f>
        <v>2030.20331582303</v>
      </c>
      <c r="O208" s="537" t="n">
        <f aca="false">+O202-O188</f>
        <v>2109.69167560866</v>
      </c>
      <c r="P208" s="537" t="n">
        <f aca="false">+P202-P188</f>
        <v>2129.21773134914</v>
      </c>
      <c r="Q208" s="537" t="n">
        <f aca="false">+Q202-Q188</f>
        <v>2172.0628322779</v>
      </c>
      <c r="R208" s="537" t="n">
        <f aca="false">+R202-R188</f>
        <v>2205.45747072465</v>
      </c>
      <c r="S208" s="538" t="n">
        <f aca="false">+S202-S188</f>
        <v>2315.61607589916</v>
      </c>
      <c r="T208" s="112"/>
      <c r="U208" s="112"/>
      <c r="V208" s="112"/>
      <c r="W208" s="112"/>
      <c r="X208" s="112"/>
    </row>
    <row r="209" customFormat="false" ht="10.5" hidden="false" customHeight="true" outlineLevel="0" collapsed="false">
      <c r="A209" s="112"/>
      <c r="B209" s="535" t="n">
        <f aca="false">SUM(D208:S208)</f>
        <v>33348.4363486167</v>
      </c>
      <c r="C209" s="536"/>
      <c r="D209" s="537"/>
      <c r="E209" s="537"/>
      <c r="F209" s="537"/>
      <c r="G209" s="537"/>
      <c r="H209" s="537"/>
      <c r="I209" s="537"/>
      <c r="J209" s="537"/>
      <c r="K209" s="537"/>
      <c r="L209" s="537"/>
      <c r="M209" s="537"/>
      <c r="N209" s="537"/>
      <c r="O209" s="537"/>
      <c r="P209" s="537"/>
      <c r="Q209" s="537"/>
      <c r="R209" s="537"/>
      <c r="S209" s="538"/>
      <c r="T209" s="112"/>
      <c r="U209" s="112"/>
      <c r="V209" s="112"/>
      <c r="W209" s="112"/>
      <c r="X209" s="112"/>
    </row>
    <row r="210" customFormat="false" ht="10.5" hidden="false" customHeight="true" outlineLevel="0" collapsed="false">
      <c r="A210" s="112"/>
      <c r="B210" s="544"/>
      <c r="C210" s="545"/>
      <c r="D210" s="545"/>
      <c r="E210" s="545"/>
      <c r="F210" s="545"/>
      <c r="G210" s="545"/>
      <c r="H210" s="545"/>
      <c r="I210" s="545"/>
      <c r="J210" s="545"/>
      <c r="K210" s="545"/>
      <c r="L210" s="545"/>
      <c r="M210" s="545"/>
      <c r="N210" s="545"/>
      <c r="O210" s="545"/>
      <c r="P210" s="545"/>
      <c r="Q210" s="545"/>
      <c r="R210" s="545"/>
      <c r="S210" s="546"/>
      <c r="T210" s="112"/>
      <c r="U210" s="112"/>
      <c r="V210" s="112"/>
      <c r="W210" s="112"/>
      <c r="X210" s="112"/>
    </row>
    <row r="211" customFormat="false" ht="12.75" hidden="false" customHeight="true" outlineLevel="0" collapsed="false">
      <c r="A211" s="112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</row>
    <row r="212" customFormat="false" ht="14.25" hidden="false" customHeight="true" outlineLevel="0" collapsed="false">
      <c r="A212" s="112"/>
      <c r="B212" s="471" t="s">
        <v>503</v>
      </c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</row>
    <row r="213" customFormat="false" ht="14.25" hidden="false" customHeight="true" outlineLevel="0" collapsed="false">
      <c r="A213" s="112"/>
      <c r="B213" s="547" t="s">
        <v>504</v>
      </c>
      <c r="C213" s="112"/>
      <c r="D213" s="548" t="s">
        <v>505</v>
      </c>
      <c r="E213" s="548" t="s">
        <v>506</v>
      </c>
      <c r="F213" s="295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</row>
    <row r="214" customFormat="false" ht="10.5" hidden="false" customHeight="true" outlineLevel="0" collapsed="false">
      <c r="A214" s="112"/>
      <c r="B214" s="295" t="s">
        <v>507</v>
      </c>
      <c r="C214" s="112"/>
      <c r="D214" s="549" t="n">
        <f aca="false">+B152</f>
        <v>0</v>
      </c>
      <c r="E214" s="549" t="n">
        <f aca="false">+B154</f>
        <v>0</v>
      </c>
      <c r="F214" s="295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</row>
    <row r="215" customFormat="false" ht="10.5" hidden="false" customHeight="true" outlineLevel="0" collapsed="false">
      <c r="A215" s="112"/>
      <c r="B215" s="295" t="s">
        <v>508</v>
      </c>
      <c r="C215" s="112"/>
      <c r="D215" s="550" t="e">
        <f aca="false">+(D214/E214)*E215</f>
        <v>#DIV/0!</v>
      </c>
      <c r="E215" s="550" t="n">
        <v>41486</v>
      </c>
      <c r="F215" s="295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</row>
    <row r="216" customFormat="false" ht="10.5" hidden="false" customHeight="true" outlineLevel="0" collapsed="false">
      <c r="A216" s="112"/>
      <c r="B216" s="295" t="s">
        <v>174</v>
      </c>
      <c r="C216" s="112"/>
      <c r="D216" s="551" t="e">
        <f aca="false">+D215-D214</f>
        <v>#DIV/0!</v>
      </c>
      <c r="E216" s="551" t="n">
        <f aca="false">+E215-E214</f>
        <v>41486</v>
      </c>
      <c r="F216" s="295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</row>
    <row r="217" customFormat="false" ht="10.5" hidden="false" customHeight="true" outlineLevel="0" collapsed="false">
      <c r="A217" s="112"/>
      <c r="B217" s="295"/>
      <c r="C217" s="112"/>
      <c r="D217" s="295"/>
      <c r="E217" s="295"/>
      <c r="F217" s="295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</row>
    <row r="218" customFormat="false" ht="10.5" hidden="false" customHeight="true" outlineLevel="0" collapsed="false">
      <c r="A218" s="112"/>
      <c r="B218" s="552" t="s">
        <v>509</v>
      </c>
      <c r="C218" s="112"/>
      <c r="D218" s="295"/>
      <c r="E218" s="295"/>
      <c r="F218" s="295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</row>
    <row r="219" customFormat="false" ht="10.5" hidden="false" customHeight="true" outlineLevel="0" collapsed="false">
      <c r="A219" s="112"/>
      <c r="B219" s="522" t="s">
        <v>510</v>
      </c>
      <c r="C219" s="112"/>
      <c r="D219" s="305" t="n">
        <f aca="false">+B166</f>
        <v>0</v>
      </c>
      <c r="E219" s="305" t="n">
        <f aca="false">+B168</f>
        <v>0</v>
      </c>
      <c r="F219" s="295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</row>
    <row r="220" customFormat="false" ht="10.5" hidden="false" customHeight="true" outlineLevel="0" collapsed="false">
      <c r="A220" s="112"/>
      <c r="B220" s="522" t="s">
        <v>511</v>
      </c>
      <c r="C220" s="112"/>
      <c r="D220" s="305" t="n">
        <f aca="false">+B181</f>
        <v>0</v>
      </c>
      <c r="E220" s="305" t="n">
        <f aca="false">+B183</f>
        <v>0</v>
      </c>
      <c r="F220" s="295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</row>
    <row r="221" customFormat="false" ht="10.5" hidden="false" customHeight="true" outlineLevel="0" collapsed="false">
      <c r="A221" s="112"/>
      <c r="B221" s="114" t="s">
        <v>512</v>
      </c>
      <c r="C221" s="112"/>
      <c r="D221" s="305" t="n">
        <f aca="false">+B195</f>
        <v>0</v>
      </c>
      <c r="E221" s="305" t="n">
        <f aca="false">+B197</f>
        <v>0</v>
      </c>
      <c r="F221" s="295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</row>
    <row r="222" customFormat="false" ht="10.5" hidden="false" customHeight="true" outlineLevel="0" collapsed="false">
      <c r="A222" s="112"/>
      <c r="B222" s="295" t="s">
        <v>513</v>
      </c>
      <c r="C222" s="112"/>
      <c r="D222" s="305" t="n">
        <v>7041</v>
      </c>
      <c r="E222" s="305" t="n">
        <v>5215</v>
      </c>
      <c r="F222" s="295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</row>
    <row r="223" customFormat="false" ht="10.5" hidden="false" customHeight="true" outlineLevel="0" collapsed="false">
      <c r="A223" s="112"/>
      <c r="B223" s="114" t="s">
        <v>499</v>
      </c>
      <c r="C223" s="112"/>
      <c r="D223" s="305" t="n">
        <f aca="false">+B207</f>
        <v>45184.9976987337</v>
      </c>
      <c r="E223" s="305" t="n">
        <f aca="false">+B209</f>
        <v>33348.4363486167</v>
      </c>
      <c r="F223" s="295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</row>
    <row r="224" customFormat="false" ht="10.5" hidden="false" customHeight="true" outlineLevel="0" collapsed="false">
      <c r="A224" s="112"/>
      <c r="B224" s="295"/>
      <c r="C224" s="112"/>
      <c r="D224" s="305"/>
      <c r="E224" s="305"/>
      <c r="F224" s="295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</row>
    <row r="225" customFormat="false" ht="10.5" hidden="false" customHeight="true" outlineLevel="0" collapsed="false">
      <c r="A225" s="112"/>
      <c r="B225" s="295" t="s">
        <v>346</v>
      </c>
      <c r="C225" s="112"/>
      <c r="D225" s="309" t="n">
        <f aca="false">SUM(D219:D224)</f>
        <v>52225.9976987337</v>
      </c>
      <c r="E225" s="309" t="n">
        <f aca="false">SUM(E219:E224)</f>
        <v>38563.4363486167</v>
      </c>
      <c r="F225" s="295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</row>
    <row r="226" customFormat="false" ht="10.5" hidden="false" customHeight="true" outlineLevel="0" collapsed="false">
      <c r="A226" s="112"/>
      <c r="B226" s="295"/>
      <c r="C226" s="112"/>
      <c r="D226" s="295"/>
      <c r="E226" s="295"/>
      <c r="F226" s="295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</row>
    <row r="227" customFormat="false" ht="10.5" hidden="false" customHeight="true" outlineLevel="0" collapsed="false">
      <c r="A227" s="112"/>
      <c r="B227" s="295" t="s">
        <v>514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</row>
    <row r="228" customFormat="false" ht="10.5" hidden="false" customHeight="true" outlineLevel="0" collapsed="false">
      <c r="A228" s="112"/>
      <c r="B228" s="295" t="s">
        <v>515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</row>
    <row r="229" customFormat="false" ht="10.5" hidden="false" customHeight="true" outlineLevel="0" collapsed="false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</row>
    <row r="230" customFormat="false" ht="10.5" hidden="false" customHeight="true" outlineLevel="0" collapsed="false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</row>
    <row r="231" customFormat="false" ht="10.5" hidden="false" customHeight="true" outlineLevel="0" collapsed="false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</row>
    <row r="232" customFormat="false" ht="10.5" hidden="false" customHeight="true" outlineLevel="0" collapsed="false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</row>
    <row r="233" customFormat="false" ht="10.5" hidden="false" customHeight="true" outlineLevel="0" collapsed="false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</row>
    <row r="234" customFormat="false" ht="10.5" hidden="false" customHeight="true" outlineLevel="0" collapsed="false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</row>
    <row r="235" customFormat="false" ht="10.5" hidden="false" customHeight="true" outlineLevel="0" collapsed="false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</row>
    <row r="236" customFormat="false" ht="10.5" hidden="false" customHeight="true" outlineLevel="0" collapsed="false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</row>
    <row r="237" customFormat="false" ht="10.5" hidden="false" customHeight="true" outlineLevel="0" collapsed="false">
      <c r="A237" s="112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</row>
    <row r="238" customFormat="false" ht="10.5" hidden="false" customHeight="true" outlineLevel="0" collapsed="false">
      <c r="A238" s="112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</row>
    <row r="239" customFormat="false" ht="10.5" hidden="false" customHeight="true" outlineLevel="0" collapsed="false">
      <c r="A239" s="112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</row>
    <row r="240" customFormat="false" ht="10.5" hidden="false" customHeight="true" outlineLevel="0" collapsed="false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</row>
    <row r="241" customFormat="false" ht="10.5" hidden="false" customHeight="true" outlineLevel="0" collapsed="false">
      <c r="A241" s="112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</row>
    <row r="242" customFormat="false" ht="10.5" hidden="false" customHeight="true" outlineLevel="0" collapsed="false">
      <c r="A242" s="112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</row>
    <row r="243" customFormat="false" ht="10.5" hidden="false" customHeight="true" outlineLevel="0" collapsed="false">
      <c r="A243" s="112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</row>
    <row r="244" customFormat="false" ht="10.5" hidden="false" customHeight="true" outlineLevel="0" collapsed="false">
      <c r="A244" s="112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</row>
    <row r="245" customFormat="false" ht="10.5" hidden="false" customHeight="true" outlineLevel="0" collapsed="false">
      <c r="A245" s="112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</row>
    <row r="246" customFormat="false" ht="10.5" hidden="false" customHeight="true" outlineLevel="0" collapsed="false">
      <c r="A246" s="112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</row>
    <row r="247" customFormat="false" ht="10.5" hidden="false" customHeight="true" outlineLevel="0" collapsed="false">
      <c r="A247" s="112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</row>
    <row r="248" customFormat="false" ht="10.5" hidden="false" customHeight="true" outlineLevel="0" collapsed="false">
      <c r="A248" s="112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  <c r="T248" s="112"/>
      <c r="U248" s="112"/>
      <c r="V248" s="112"/>
      <c r="W248" s="112"/>
      <c r="X248" s="112"/>
    </row>
    <row r="249" customFormat="false" ht="10.5" hidden="false" customHeight="true" outlineLevel="0" collapsed="false">
      <c r="A249" s="112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  <c r="T249" s="112"/>
      <c r="U249" s="112"/>
      <c r="V249" s="112"/>
      <c r="W249" s="112"/>
      <c r="X249" s="112"/>
    </row>
    <row r="250" customFormat="false" ht="10.5" hidden="false" customHeight="true" outlineLevel="0" collapsed="false">
      <c r="A250" s="112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</row>
    <row r="251" customFormat="false" ht="10.5" hidden="false" customHeight="true" outlineLevel="0" collapsed="false">
      <c r="A251" s="112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  <c r="T251" s="112"/>
      <c r="U251" s="112"/>
      <c r="V251" s="112"/>
      <c r="W251" s="112"/>
      <c r="X251" s="112"/>
    </row>
    <row r="252" customFormat="false" ht="10.5" hidden="false" customHeight="true" outlineLevel="0" collapsed="false">
      <c r="A252" s="112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12"/>
      <c r="W252" s="112"/>
      <c r="X252" s="112"/>
    </row>
    <row r="253" customFormat="false" ht="10.5" hidden="false" customHeight="true" outlineLevel="0" collapsed="false">
      <c r="A253" s="112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  <c r="T253" s="112"/>
      <c r="U253" s="112"/>
      <c r="V253" s="112"/>
      <c r="W253" s="112"/>
      <c r="X253" s="112"/>
    </row>
    <row r="254" customFormat="false" ht="10.5" hidden="false" customHeight="true" outlineLevel="0" collapsed="false">
      <c r="A254" s="112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  <c r="T254" s="112"/>
      <c r="U254" s="112"/>
      <c r="V254" s="112"/>
      <c r="W254" s="112"/>
      <c r="X254" s="112"/>
    </row>
    <row r="255" customFormat="false" ht="10.5" hidden="false" customHeight="true" outlineLevel="0" collapsed="false">
      <c r="A255" s="112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</row>
    <row r="256" customFormat="false" ht="10.5" hidden="false" customHeight="true" outlineLevel="0" collapsed="false">
      <c r="A256" s="112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</row>
    <row r="257" customFormat="false" ht="10.5" hidden="false" customHeight="true" outlineLevel="0" collapsed="false">
      <c r="A257" s="112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</row>
    <row r="258" customFormat="false" ht="10.5" hidden="false" customHeight="true" outlineLevel="0" collapsed="false">
      <c r="A258" s="112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</row>
    <row r="259" customFormat="false" ht="10.5" hidden="false" customHeight="true" outlineLevel="0" collapsed="false">
      <c r="A259" s="112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</row>
    <row r="260" customFormat="false" ht="10.5" hidden="false" customHeight="true" outlineLevel="0" collapsed="false">
      <c r="A260" s="112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</row>
    <row r="261" customFormat="false" ht="10.5" hidden="false" customHeight="true" outlineLevel="0" collapsed="false">
      <c r="A261" s="112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</row>
    <row r="262" customFormat="false" ht="10.5" hidden="false" customHeight="true" outlineLevel="0" collapsed="false">
      <c r="A262" s="112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</row>
    <row r="263" customFormat="false" ht="10.5" hidden="false" customHeight="true" outlineLevel="0" collapsed="false">
      <c r="A263" s="112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2"/>
      <c r="W263" s="112"/>
      <c r="X263" s="112"/>
    </row>
    <row r="264" customFormat="false" ht="10.5" hidden="false" customHeight="true" outlineLevel="0" collapsed="false">
      <c r="A264" s="112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112"/>
      <c r="W264" s="112"/>
      <c r="X264" s="112"/>
    </row>
    <row r="265" customFormat="false" ht="10.5" hidden="false" customHeight="true" outlineLevel="0" collapsed="false">
      <c r="A265" s="112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12"/>
      <c r="W265" s="112"/>
      <c r="X265" s="112"/>
    </row>
    <row r="266" customFormat="false" ht="10.5" hidden="false" customHeight="true" outlineLevel="0" collapsed="false">
      <c r="A266" s="112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</row>
    <row r="267" customFormat="false" ht="10.5" hidden="false" customHeight="true" outlineLevel="0" collapsed="false">
      <c r="A267" s="112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</row>
    <row r="268" customFormat="false" ht="10.5" hidden="false" customHeight="true" outlineLevel="0" collapsed="false">
      <c r="A268" s="112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  <c r="T268" s="112"/>
      <c r="U268" s="112"/>
      <c r="V268" s="112"/>
      <c r="W268" s="112"/>
      <c r="X268" s="112"/>
    </row>
    <row r="269" customFormat="false" ht="10.5" hidden="false" customHeight="true" outlineLevel="0" collapsed="false">
      <c r="A269" s="112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112"/>
    </row>
    <row r="270" customFormat="false" ht="10.5" hidden="false" customHeight="true" outlineLevel="0" collapsed="false">
      <c r="A270" s="112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2"/>
      <c r="V270" s="112"/>
      <c r="W270" s="112"/>
      <c r="X270" s="112"/>
    </row>
    <row r="271" customFormat="false" ht="10.5" hidden="false" customHeight="true" outlineLevel="0" collapsed="false">
      <c r="A271" s="112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  <c r="T271" s="112"/>
      <c r="U271" s="112"/>
      <c r="V271" s="112"/>
      <c r="W271" s="112"/>
      <c r="X271" s="112"/>
    </row>
    <row r="272" customFormat="false" ht="10.5" hidden="false" customHeight="true" outlineLevel="0" collapsed="false">
      <c r="A272" s="112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2"/>
      <c r="R272" s="112"/>
      <c r="S272" s="112"/>
      <c r="T272" s="112"/>
      <c r="U272" s="112"/>
      <c r="V272" s="112"/>
      <c r="W272" s="112"/>
      <c r="X272" s="112"/>
    </row>
    <row r="273" customFormat="false" ht="10.5" hidden="false" customHeight="true" outlineLevel="0" collapsed="false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  <c r="S273" s="112"/>
      <c r="T273" s="112"/>
      <c r="U273" s="112"/>
      <c r="V273" s="112"/>
      <c r="W273" s="112"/>
      <c r="X273" s="112"/>
    </row>
    <row r="274" customFormat="false" ht="10.5" hidden="false" customHeight="true" outlineLevel="0" collapsed="false">
      <c r="A274" s="112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  <c r="T274" s="112"/>
      <c r="U274" s="112"/>
      <c r="V274" s="112"/>
      <c r="W274" s="112"/>
      <c r="X274" s="112"/>
    </row>
    <row r="275" customFormat="false" ht="10.5" hidden="false" customHeight="true" outlineLevel="0" collapsed="false">
      <c r="A275" s="112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12"/>
      <c r="S275" s="112"/>
      <c r="T275" s="112"/>
      <c r="U275" s="112"/>
      <c r="V275" s="112"/>
      <c r="W275" s="112"/>
      <c r="X275" s="112"/>
    </row>
    <row r="276" customFormat="false" ht="10.5" hidden="false" customHeight="true" outlineLevel="0" collapsed="false">
      <c r="A276" s="112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2"/>
      <c r="R276" s="112"/>
      <c r="S276" s="112"/>
      <c r="T276" s="112"/>
      <c r="U276" s="112"/>
      <c r="V276" s="112"/>
      <c r="W276" s="112"/>
      <c r="X276" s="112"/>
    </row>
    <row r="277" customFormat="false" ht="10.5" hidden="false" customHeight="true" outlineLevel="0" collapsed="false">
      <c r="A277" s="112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  <c r="T277" s="112"/>
      <c r="U277" s="112"/>
      <c r="V277" s="112"/>
      <c r="W277" s="112"/>
      <c r="X277" s="112"/>
    </row>
    <row r="278" customFormat="false" ht="10.5" hidden="false" customHeight="true" outlineLevel="0" collapsed="false">
      <c r="A278" s="112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  <c r="T278" s="112"/>
      <c r="U278" s="112"/>
      <c r="V278" s="112"/>
      <c r="W278" s="112"/>
      <c r="X278" s="112"/>
    </row>
    <row r="279" customFormat="false" ht="10.5" hidden="false" customHeight="true" outlineLevel="0" collapsed="false">
      <c r="A279" s="112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  <c r="T279" s="112"/>
      <c r="U279" s="112"/>
      <c r="V279" s="112"/>
      <c r="W279" s="112"/>
      <c r="X279" s="112"/>
    </row>
    <row r="280" customFormat="false" ht="10.5" hidden="false" customHeight="true" outlineLevel="0" collapsed="false">
      <c r="A280" s="112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  <c r="T280" s="112"/>
      <c r="U280" s="112"/>
      <c r="V280" s="112"/>
      <c r="W280" s="112"/>
      <c r="X280" s="112"/>
    </row>
    <row r="281" customFormat="false" ht="10.5" hidden="false" customHeight="true" outlineLevel="0" collapsed="false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112"/>
    </row>
    <row r="282" customFormat="false" ht="10.5" hidden="false" customHeight="true" outlineLevel="0" collapsed="false">
      <c r="A282" s="112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  <c r="T282" s="112"/>
      <c r="U282" s="112"/>
      <c r="V282" s="112"/>
      <c r="W282" s="112"/>
      <c r="X282" s="112"/>
    </row>
    <row r="283" customFormat="false" ht="10.5" hidden="false" customHeight="true" outlineLevel="0" collapsed="false">
      <c r="A283" s="112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2"/>
      <c r="R283" s="112"/>
      <c r="S283" s="112"/>
      <c r="T283" s="112"/>
      <c r="U283" s="112"/>
      <c r="V283" s="112"/>
      <c r="W283" s="112"/>
      <c r="X283" s="112"/>
    </row>
    <row r="284" customFormat="false" ht="10.5" hidden="false" customHeight="true" outlineLevel="0" collapsed="false">
      <c r="A284" s="112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2"/>
      <c r="R284" s="112"/>
      <c r="S284" s="112"/>
      <c r="T284" s="112"/>
      <c r="U284" s="112"/>
      <c r="V284" s="112"/>
      <c r="W284" s="112"/>
      <c r="X284" s="112"/>
    </row>
    <row r="285" customFormat="false" ht="10.5" hidden="false" customHeight="true" outlineLevel="0" collapsed="false">
      <c r="A285" s="112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2"/>
      <c r="R285" s="112"/>
      <c r="S285" s="112"/>
      <c r="T285" s="112"/>
      <c r="U285" s="112"/>
      <c r="V285" s="112"/>
      <c r="W285" s="112"/>
      <c r="X285" s="112"/>
    </row>
    <row r="286" customFormat="false" ht="10.5" hidden="false" customHeight="true" outlineLevel="0" collapsed="false">
      <c r="A286" s="112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12"/>
      <c r="S286" s="112"/>
      <c r="T286" s="112"/>
      <c r="U286" s="112"/>
      <c r="V286" s="112"/>
      <c r="W286" s="112"/>
      <c r="X286" s="112"/>
    </row>
    <row r="287" customFormat="false" ht="10.5" hidden="false" customHeight="true" outlineLevel="0" collapsed="false">
      <c r="A287" s="112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12"/>
      <c r="S287" s="112"/>
      <c r="T287" s="112"/>
      <c r="U287" s="112"/>
      <c r="V287" s="112"/>
      <c r="W287" s="112"/>
      <c r="X287" s="112"/>
    </row>
    <row r="288" customFormat="false" ht="10.5" hidden="false" customHeight="true" outlineLevel="0" collapsed="false">
      <c r="A288" s="112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</row>
    <row r="289" customFormat="false" ht="10.5" hidden="false" customHeight="true" outlineLevel="0" collapsed="false">
      <c r="A289" s="112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  <c r="T289" s="112"/>
      <c r="U289" s="112"/>
      <c r="V289" s="112"/>
      <c r="W289" s="112"/>
      <c r="X289" s="112"/>
    </row>
    <row r="290" customFormat="false" ht="10.5" hidden="false" customHeight="true" outlineLevel="0" collapsed="false">
      <c r="A290" s="112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2"/>
      <c r="R290" s="112"/>
      <c r="S290" s="112"/>
      <c r="T290" s="112"/>
      <c r="U290" s="112"/>
      <c r="V290" s="112"/>
      <c r="W290" s="112"/>
      <c r="X290" s="112"/>
    </row>
    <row r="291" customFormat="false" ht="10.5" hidden="false" customHeight="true" outlineLevel="0" collapsed="false">
      <c r="A291" s="112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2"/>
      <c r="R291" s="112"/>
      <c r="S291" s="112"/>
      <c r="T291" s="112"/>
      <c r="U291" s="112"/>
      <c r="V291" s="112"/>
      <c r="W291" s="112"/>
      <c r="X291" s="112"/>
    </row>
    <row r="292" customFormat="false" ht="10.5" hidden="false" customHeight="true" outlineLevel="0" collapsed="false">
      <c r="A292" s="112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  <c r="T292" s="112"/>
      <c r="U292" s="112"/>
      <c r="V292" s="112"/>
      <c r="W292" s="112"/>
      <c r="X292" s="112"/>
    </row>
    <row r="293" customFormat="false" ht="10.5" hidden="false" customHeight="true" outlineLevel="0" collapsed="false">
      <c r="A293" s="112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2"/>
      <c r="R293" s="112"/>
      <c r="S293" s="112"/>
      <c r="T293" s="112"/>
      <c r="U293" s="112"/>
      <c r="V293" s="112"/>
      <c r="W293" s="112"/>
      <c r="X293" s="112"/>
    </row>
    <row r="294" customFormat="false" ht="10.5" hidden="false" customHeight="true" outlineLevel="0" collapsed="false">
      <c r="A294" s="112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  <c r="R294" s="112"/>
      <c r="S294" s="112"/>
      <c r="T294" s="112"/>
      <c r="U294" s="112"/>
      <c r="V294" s="112"/>
      <c r="W294" s="112"/>
      <c r="X294" s="112"/>
    </row>
    <row r="295" customFormat="false" ht="10.5" hidden="false" customHeight="true" outlineLevel="0" collapsed="false">
      <c r="A295" s="112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2"/>
      <c r="R295" s="112"/>
      <c r="S295" s="112"/>
      <c r="T295" s="112"/>
      <c r="U295" s="112"/>
      <c r="V295" s="112"/>
      <c r="W295" s="112"/>
      <c r="X295" s="112"/>
    </row>
    <row r="296" customFormat="false" ht="10.5" hidden="false" customHeight="true" outlineLevel="0" collapsed="false">
      <c r="A296" s="112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  <c r="T296" s="112"/>
      <c r="U296" s="112"/>
      <c r="V296" s="112"/>
      <c r="W296" s="112"/>
      <c r="X296" s="112"/>
    </row>
    <row r="297" customFormat="false" ht="10.5" hidden="false" customHeight="true" outlineLevel="0" collapsed="false">
      <c r="A297" s="112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2"/>
      <c r="T297" s="112"/>
      <c r="U297" s="112"/>
      <c r="V297" s="112"/>
      <c r="W297" s="112"/>
      <c r="X297" s="112"/>
    </row>
    <row r="298" customFormat="false" ht="10.5" hidden="false" customHeight="true" outlineLevel="0" collapsed="false">
      <c r="A298" s="112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12"/>
      <c r="W298" s="112"/>
      <c r="X298" s="112"/>
    </row>
    <row r="299" customFormat="false" ht="10.5" hidden="false" customHeight="true" outlineLevel="0" collapsed="false">
      <c r="A299" s="112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</row>
    <row r="300" customFormat="false" ht="10.5" hidden="false" customHeight="true" outlineLevel="0" collapsed="false">
      <c r="A300" s="112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</row>
    <row r="301" customFormat="false" ht="10.5" hidden="false" customHeight="true" outlineLevel="0" collapsed="false">
      <c r="A301" s="112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  <c r="T301" s="112"/>
      <c r="U301" s="112"/>
      <c r="V301" s="112"/>
      <c r="W301" s="112"/>
      <c r="X301" s="112"/>
    </row>
    <row r="302" customFormat="false" ht="10.5" hidden="false" customHeight="true" outlineLevel="0" collapsed="false">
      <c r="A302" s="112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  <c r="T302" s="112"/>
      <c r="U302" s="112"/>
      <c r="V302" s="112"/>
      <c r="W302" s="112"/>
      <c r="X302" s="112"/>
    </row>
    <row r="303" customFormat="false" ht="10.5" hidden="false" customHeight="true" outlineLevel="0" collapsed="false">
      <c r="A303" s="112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  <c r="T303" s="112"/>
      <c r="U303" s="112"/>
      <c r="V303" s="112"/>
      <c r="W303" s="112"/>
      <c r="X303" s="112"/>
    </row>
    <row r="304" customFormat="false" ht="10.5" hidden="false" customHeight="true" outlineLevel="0" collapsed="false">
      <c r="A304" s="112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12"/>
      <c r="W304" s="112"/>
      <c r="X304" s="112"/>
    </row>
    <row r="305" customFormat="false" ht="10.5" hidden="false" customHeight="true" outlineLevel="0" collapsed="false">
      <c r="A305" s="112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</row>
    <row r="306" customFormat="false" ht="10.5" hidden="false" customHeight="true" outlineLevel="0" collapsed="false">
      <c r="A306" s="112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  <c r="T306" s="112"/>
      <c r="U306" s="112"/>
      <c r="V306" s="112"/>
      <c r="W306" s="112"/>
      <c r="X306" s="112"/>
    </row>
    <row r="307" customFormat="false" ht="10.5" hidden="false" customHeight="true" outlineLevel="0" collapsed="false">
      <c r="A307" s="112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  <c r="T307" s="112"/>
      <c r="U307" s="112"/>
      <c r="V307" s="112"/>
      <c r="W307" s="112"/>
      <c r="X307" s="112"/>
    </row>
    <row r="308" customFormat="false" ht="10.5" hidden="false" customHeight="true" outlineLevel="0" collapsed="false">
      <c r="A308" s="112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2"/>
      <c r="T308" s="112"/>
      <c r="U308" s="112"/>
      <c r="V308" s="112"/>
      <c r="W308" s="112"/>
      <c r="X308" s="112"/>
    </row>
    <row r="309" customFormat="false" ht="10.5" hidden="false" customHeight="true" outlineLevel="0" collapsed="false">
      <c r="A309" s="112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2"/>
      <c r="T309" s="112"/>
      <c r="U309" s="112"/>
      <c r="V309" s="112"/>
      <c r="W309" s="112"/>
      <c r="X309" s="112"/>
    </row>
    <row r="310" customFormat="false" ht="10.5" hidden="false" customHeight="true" outlineLevel="0" collapsed="false">
      <c r="A310" s="112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  <c r="T310" s="112"/>
      <c r="U310" s="112"/>
      <c r="V310" s="112"/>
      <c r="W310" s="112"/>
      <c r="X310" s="112"/>
    </row>
    <row r="311" customFormat="false" ht="10.5" hidden="false" customHeight="true" outlineLevel="0" collapsed="false">
      <c r="A311" s="112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  <c r="T311" s="112"/>
      <c r="U311" s="112"/>
      <c r="V311" s="112"/>
      <c r="W311" s="112"/>
      <c r="X311" s="112"/>
    </row>
    <row r="312" customFormat="false" ht="10.5" hidden="false" customHeight="true" outlineLevel="0" collapsed="false">
      <c r="A312" s="112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2"/>
      <c r="R312" s="112"/>
      <c r="S312" s="112"/>
      <c r="T312" s="112"/>
      <c r="U312" s="112"/>
      <c r="V312" s="112"/>
      <c r="W312" s="112"/>
      <c r="X312" s="112"/>
    </row>
    <row r="313" customFormat="false" ht="10.5" hidden="false" customHeight="true" outlineLevel="0" collapsed="false">
      <c r="A313" s="112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12"/>
      <c r="S313" s="112"/>
      <c r="T313" s="112"/>
      <c r="U313" s="112"/>
      <c r="V313" s="112"/>
      <c r="W313" s="112"/>
      <c r="X313" s="112"/>
    </row>
    <row r="314" customFormat="false" ht="10.5" hidden="false" customHeight="true" outlineLevel="0" collapsed="false">
      <c r="A314" s="112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  <c r="T314" s="112"/>
      <c r="U314" s="112"/>
      <c r="V314" s="112"/>
      <c r="W314" s="112"/>
      <c r="X314" s="112"/>
    </row>
    <row r="315" customFormat="false" ht="10.5" hidden="false" customHeight="true" outlineLevel="0" collapsed="false">
      <c r="A315" s="112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2"/>
      <c r="R315" s="112"/>
      <c r="S315" s="112"/>
      <c r="T315" s="112"/>
      <c r="U315" s="112"/>
      <c r="V315" s="112"/>
      <c r="W315" s="112"/>
      <c r="X315" s="112"/>
    </row>
    <row r="316" customFormat="false" ht="10.5" hidden="false" customHeight="true" outlineLevel="0" collapsed="false">
      <c r="A316" s="112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  <c r="T316" s="112"/>
      <c r="U316" s="112"/>
      <c r="V316" s="112"/>
      <c r="W316" s="112"/>
      <c r="X316" s="112"/>
    </row>
    <row r="317" customFormat="false" ht="10.5" hidden="false" customHeight="true" outlineLevel="0" collapsed="false">
      <c r="A317" s="112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</row>
    <row r="318" customFormat="false" ht="10.5" hidden="false" customHeight="true" outlineLevel="0" collapsed="false">
      <c r="A318" s="112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2"/>
      <c r="R318" s="112"/>
      <c r="S318" s="112"/>
      <c r="T318" s="112"/>
      <c r="U318" s="112"/>
      <c r="V318" s="112"/>
      <c r="W318" s="112"/>
      <c r="X318" s="112"/>
    </row>
    <row r="319" customFormat="false" ht="10.5" hidden="false" customHeight="true" outlineLevel="0" collapsed="false">
      <c r="A319" s="112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2"/>
      <c r="R319" s="112"/>
      <c r="S319" s="112"/>
      <c r="T319" s="112"/>
      <c r="U319" s="112"/>
      <c r="V319" s="112"/>
      <c r="W319" s="112"/>
      <c r="X319" s="112"/>
    </row>
    <row r="320" customFormat="false" ht="10.5" hidden="false" customHeight="true" outlineLevel="0" collapsed="false">
      <c r="A320" s="112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</row>
    <row r="321" customFormat="false" ht="10.5" hidden="false" customHeight="true" outlineLevel="0" collapsed="false">
      <c r="A321" s="112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</row>
    <row r="322" customFormat="false" ht="10.5" hidden="false" customHeight="true" outlineLevel="0" collapsed="false">
      <c r="A322" s="112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</row>
    <row r="323" customFormat="false" ht="10.5" hidden="false" customHeight="true" outlineLevel="0" collapsed="false">
      <c r="A323" s="112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</row>
    <row r="324" customFormat="false" ht="10.5" hidden="false" customHeight="true" outlineLevel="0" collapsed="false">
      <c r="A324" s="112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</row>
    <row r="325" customFormat="false" ht="10.5" hidden="false" customHeight="true" outlineLevel="0" collapsed="false">
      <c r="A325" s="112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</row>
    <row r="326" customFormat="false" ht="10.5" hidden="false" customHeight="true" outlineLevel="0" collapsed="false">
      <c r="A326" s="112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</row>
    <row r="327" customFormat="false" ht="10.5" hidden="false" customHeight="true" outlineLevel="0" collapsed="false">
      <c r="A327" s="112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</row>
    <row r="328" customFormat="false" ht="10.5" hidden="false" customHeight="true" outlineLevel="0" collapsed="false">
      <c r="A328" s="112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</row>
    <row r="329" customFormat="false" ht="10.5" hidden="false" customHeight="true" outlineLevel="0" collapsed="false">
      <c r="A329" s="112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</row>
    <row r="330" customFormat="false" ht="10.5" hidden="false" customHeight="true" outlineLevel="0" collapsed="false">
      <c r="A330" s="112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</row>
    <row r="331" customFormat="false" ht="10.5" hidden="false" customHeight="true" outlineLevel="0" collapsed="false">
      <c r="A331" s="112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</row>
    <row r="332" customFormat="false" ht="10.5" hidden="false" customHeight="true" outlineLevel="0" collapsed="false">
      <c r="A332" s="112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</row>
    <row r="333" customFormat="false" ht="10.5" hidden="false" customHeight="true" outlineLevel="0" collapsed="false">
      <c r="A333" s="112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</row>
    <row r="334" customFormat="false" ht="10.5" hidden="false" customHeight="true" outlineLevel="0" collapsed="false">
      <c r="A334" s="112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2"/>
      <c r="R334" s="112"/>
      <c r="S334" s="112"/>
      <c r="T334" s="112"/>
      <c r="U334" s="112"/>
      <c r="V334" s="112"/>
      <c r="W334" s="112"/>
      <c r="X334" s="112"/>
    </row>
    <row r="335" customFormat="false" ht="10.5" hidden="false" customHeight="true" outlineLevel="0" collapsed="false">
      <c r="A335" s="112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12"/>
      <c r="S335" s="112"/>
      <c r="T335" s="112"/>
      <c r="U335" s="112"/>
      <c r="V335" s="112"/>
      <c r="W335" s="112"/>
      <c r="X335" s="112"/>
    </row>
    <row r="336" customFormat="false" ht="10.5" hidden="false" customHeight="true" outlineLevel="0" collapsed="false">
      <c r="A336" s="112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2"/>
      <c r="R336" s="112"/>
      <c r="S336" s="112"/>
      <c r="T336" s="112"/>
      <c r="U336" s="112"/>
      <c r="V336" s="112"/>
      <c r="W336" s="112"/>
      <c r="X336" s="112"/>
    </row>
    <row r="337" customFormat="false" ht="10.5" hidden="false" customHeight="true" outlineLevel="0" collapsed="false">
      <c r="A337" s="112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2"/>
      <c r="R337" s="112"/>
      <c r="S337" s="112"/>
      <c r="T337" s="112"/>
      <c r="U337" s="112"/>
      <c r="V337" s="112"/>
      <c r="W337" s="112"/>
      <c r="X337" s="112"/>
    </row>
    <row r="338" customFormat="false" ht="10.5" hidden="false" customHeight="true" outlineLevel="0" collapsed="false">
      <c r="A338" s="112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2"/>
      <c r="R338" s="112"/>
      <c r="S338" s="112"/>
      <c r="T338" s="112"/>
      <c r="U338" s="112"/>
      <c r="V338" s="112"/>
      <c r="W338" s="112"/>
      <c r="X338" s="112"/>
    </row>
    <row r="339" customFormat="false" ht="10.5" hidden="false" customHeight="true" outlineLevel="0" collapsed="false">
      <c r="A339" s="112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2"/>
      <c r="R339" s="112"/>
      <c r="S339" s="112"/>
      <c r="T339" s="112"/>
      <c r="U339" s="112"/>
      <c r="V339" s="112"/>
      <c r="W339" s="112"/>
      <c r="X339" s="112"/>
    </row>
    <row r="340" customFormat="false" ht="10.5" hidden="false" customHeight="true" outlineLevel="0" collapsed="false">
      <c r="A340" s="112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  <c r="T340" s="112"/>
      <c r="U340" s="112"/>
      <c r="V340" s="112"/>
      <c r="W340" s="112"/>
      <c r="X340" s="112"/>
    </row>
    <row r="341" customFormat="false" ht="10.5" hidden="false" customHeight="true" outlineLevel="0" collapsed="false">
      <c r="A341" s="112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  <c r="T341" s="112"/>
      <c r="U341" s="112"/>
      <c r="V341" s="112"/>
      <c r="W341" s="112"/>
      <c r="X341" s="112"/>
    </row>
    <row r="342" customFormat="false" ht="10.5" hidden="false" customHeight="true" outlineLevel="0" collapsed="false">
      <c r="A342" s="112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</row>
    <row r="343" customFormat="false" ht="10.5" hidden="false" customHeight="true" outlineLevel="0" collapsed="false">
      <c r="A343" s="112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</row>
    <row r="344" customFormat="false" ht="10.5" hidden="false" customHeight="true" outlineLevel="0" collapsed="false">
      <c r="A344" s="112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</row>
    <row r="345" customFormat="false" ht="10.5" hidden="false" customHeight="true" outlineLevel="0" collapsed="false">
      <c r="A345" s="112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</row>
    <row r="346" customFormat="false" ht="10.5" hidden="false" customHeight="true" outlineLevel="0" collapsed="false">
      <c r="A346" s="112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</row>
    <row r="347" customFormat="false" ht="10.5" hidden="false" customHeight="true" outlineLevel="0" collapsed="false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</row>
    <row r="348" customFormat="false" ht="10.5" hidden="false" customHeight="true" outlineLevel="0" collapsed="false">
      <c r="A348" s="112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</row>
    <row r="349" customFormat="false" ht="10.5" hidden="false" customHeight="true" outlineLevel="0" collapsed="false">
      <c r="A349" s="112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</row>
    <row r="350" customFormat="false" ht="10.5" hidden="false" customHeight="true" outlineLevel="0" collapsed="false">
      <c r="A350" s="112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  <c r="T350" s="112"/>
      <c r="U350" s="112"/>
      <c r="V350" s="112"/>
      <c r="W350" s="112"/>
      <c r="X350" s="112"/>
    </row>
    <row r="351" customFormat="false" ht="10.5" hidden="false" customHeight="true" outlineLevel="0" collapsed="false">
      <c r="A351" s="112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  <c r="T351" s="112"/>
      <c r="U351" s="112"/>
      <c r="V351" s="112"/>
      <c r="W351" s="112"/>
      <c r="X351" s="112"/>
    </row>
    <row r="352" customFormat="false" ht="10.5" hidden="false" customHeight="true" outlineLevel="0" collapsed="false">
      <c r="A352" s="112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2"/>
      <c r="R352" s="112"/>
      <c r="S352" s="112"/>
      <c r="T352" s="112"/>
      <c r="U352" s="112"/>
      <c r="V352" s="112"/>
      <c r="W352" s="112"/>
      <c r="X352" s="112"/>
    </row>
    <row r="353" customFormat="false" ht="10.5" hidden="false" customHeight="true" outlineLevel="0" collapsed="false">
      <c r="A353" s="112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112"/>
      <c r="S353" s="112"/>
      <c r="T353" s="112"/>
      <c r="U353" s="112"/>
      <c r="V353" s="112"/>
      <c r="W353" s="112"/>
      <c r="X353" s="112"/>
    </row>
    <row r="354" customFormat="false" ht="10.5" hidden="false" customHeight="true" outlineLevel="0" collapsed="false">
      <c r="A354" s="112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  <c r="T354" s="112"/>
      <c r="U354" s="112"/>
      <c r="V354" s="112"/>
      <c r="W354" s="112"/>
      <c r="X354" s="112"/>
    </row>
    <row r="355" customFormat="false" ht="10.5" hidden="false" customHeight="true" outlineLevel="0" collapsed="false">
      <c r="A355" s="112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12"/>
      <c r="W355" s="112"/>
      <c r="X355" s="112"/>
    </row>
    <row r="356" customFormat="false" ht="10.5" hidden="false" customHeight="true" outlineLevel="0" collapsed="false">
      <c r="A356" s="112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  <c r="T356" s="112"/>
      <c r="U356" s="112"/>
      <c r="V356" s="112"/>
      <c r="W356" s="112"/>
      <c r="X356" s="112"/>
    </row>
    <row r="357" customFormat="false" ht="10.5" hidden="false" customHeight="true" outlineLevel="0" collapsed="false">
      <c r="A357" s="112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  <c r="T357" s="112"/>
      <c r="U357" s="112"/>
      <c r="V357" s="112"/>
      <c r="W357" s="112"/>
      <c r="X357" s="112"/>
    </row>
    <row r="358" customFormat="false" ht="10.5" hidden="false" customHeight="true" outlineLevel="0" collapsed="false">
      <c r="A358" s="112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12"/>
      <c r="S358" s="112"/>
      <c r="T358" s="112"/>
      <c r="U358" s="112"/>
      <c r="V358" s="112"/>
      <c r="W358" s="112"/>
      <c r="X358" s="112"/>
    </row>
    <row r="359" customFormat="false" ht="10.5" hidden="false" customHeight="true" outlineLevel="0" collapsed="false">
      <c r="A359" s="112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  <c r="T359" s="112"/>
      <c r="U359" s="112"/>
      <c r="V359" s="112"/>
      <c r="W359" s="112"/>
      <c r="X359" s="112"/>
    </row>
    <row r="360" customFormat="false" ht="10.5" hidden="false" customHeight="true" outlineLevel="0" collapsed="false">
      <c r="A360" s="112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12"/>
      <c r="S360" s="112"/>
      <c r="T360" s="112"/>
      <c r="U360" s="112"/>
      <c r="V360" s="112"/>
      <c r="W360" s="112"/>
      <c r="X360" s="112"/>
    </row>
    <row r="361" customFormat="false" ht="10.5" hidden="false" customHeight="true" outlineLevel="0" collapsed="false">
      <c r="A361" s="112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  <c r="T361" s="112"/>
      <c r="U361" s="112"/>
      <c r="V361" s="112"/>
      <c r="W361" s="112"/>
      <c r="X361" s="112"/>
    </row>
    <row r="362" customFormat="false" ht="10.5" hidden="false" customHeight="true" outlineLevel="0" collapsed="false">
      <c r="A362" s="112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  <c r="T362" s="112"/>
      <c r="U362" s="112"/>
      <c r="V362" s="112"/>
      <c r="W362" s="112"/>
      <c r="X362" s="112"/>
    </row>
    <row r="363" customFormat="false" ht="10.5" hidden="false" customHeight="true" outlineLevel="0" collapsed="false">
      <c r="A363" s="112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  <c r="T363" s="112"/>
      <c r="U363" s="112"/>
      <c r="V363" s="112"/>
      <c r="W363" s="112"/>
      <c r="X363" s="112"/>
    </row>
    <row r="364" customFormat="false" ht="10.5" hidden="false" customHeight="true" outlineLevel="0" collapsed="false">
      <c r="A364" s="112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  <c r="T364" s="112"/>
      <c r="U364" s="112"/>
      <c r="V364" s="112"/>
      <c r="W364" s="112"/>
      <c r="X364" s="112"/>
    </row>
    <row r="365" customFormat="false" ht="10.5" hidden="false" customHeight="true" outlineLevel="0" collapsed="false">
      <c r="A365" s="112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  <c r="T365" s="112"/>
      <c r="U365" s="112"/>
      <c r="V365" s="112"/>
      <c r="W365" s="112"/>
      <c r="X365" s="112"/>
    </row>
    <row r="366" customFormat="false" ht="10.5" hidden="false" customHeight="true" outlineLevel="0" collapsed="false">
      <c r="A366" s="112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12"/>
      <c r="W366" s="112"/>
      <c r="X366" s="112"/>
    </row>
    <row r="367" customFormat="false" ht="10.5" hidden="false" customHeight="true" outlineLevel="0" collapsed="false">
      <c r="A367" s="112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  <c r="T367" s="112"/>
      <c r="U367" s="112"/>
      <c r="V367" s="112"/>
      <c r="W367" s="112"/>
      <c r="X367" s="112"/>
    </row>
    <row r="368" customFormat="false" ht="10.5" hidden="false" customHeight="true" outlineLevel="0" collapsed="false">
      <c r="A368" s="112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  <c r="T368" s="112"/>
      <c r="U368" s="112"/>
      <c r="V368" s="112"/>
      <c r="W368" s="112"/>
      <c r="X368" s="112"/>
    </row>
    <row r="369" customFormat="false" ht="10.5" hidden="false" customHeight="true" outlineLevel="0" collapsed="false">
      <c r="A369" s="112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  <c r="T369" s="112"/>
      <c r="U369" s="112"/>
      <c r="V369" s="112"/>
      <c r="W369" s="112"/>
      <c r="X369" s="112"/>
    </row>
    <row r="370" customFormat="false" ht="10.5" hidden="false" customHeight="true" outlineLevel="0" collapsed="false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12"/>
      <c r="S370" s="112"/>
      <c r="T370" s="112"/>
      <c r="U370" s="112"/>
      <c r="V370" s="112"/>
      <c r="W370" s="112"/>
      <c r="X370" s="112"/>
    </row>
    <row r="371" customFormat="false" ht="10.5" hidden="false" customHeight="true" outlineLevel="0" collapsed="false">
      <c r="A371" s="112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  <c r="T371" s="112"/>
      <c r="U371" s="112"/>
      <c r="V371" s="112"/>
      <c r="W371" s="112"/>
      <c r="X371" s="112"/>
    </row>
    <row r="372" customFormat="false" ht="10.5" hidden="false" customHeight="true" outlineLevel="0" collapsed="false">
      <c r="A372" s="112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12"/>
      <c r="S372" s="112"/>
      <c r="T372" s="112"/>
      <c r="U372" s="112"/>
      <c r="V372" s="112"/>
      <c r="W372" s="112"/>
      <c r="X372" s="112"/>
    </row>
    <row r="373" customFormat="false" ht="10.5" hidden="false" customHeight="true" outlineLevel="0" collapsed="false">
      <c r="A373" s="112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12"/>
      <c r="T373" s="112"/>
      <c r="U373" s="112"/>
      <c r="V373" s="112"/>
      <c r="W373" s="112"/>
      <c r="X373" s="112"/>
    </row>
    <row r="374" customFormat="false" ht="10.5" hidden="false" customHeight="true" outlineLevel="0" collapsed="false">
      <c r="A374" s="112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  <c r="T374" s="112"/>
      <c r="U374" s="112"/>
      <c r="V374" s="112"/>
      <c r="W374" s="112"/>
      <c r="X374" s="112"/>
    </row>
    <row r="375" customFormat="false" ht="10.5" hidden="false" customHeight="true" outlineLevel="0" collapsed="false">
      <c r="A375" s="112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  <c r="R375" s="112"/>
      <c r="S375" s="112"/>
      <c r="T375" s="112"/>
      <c r="U375" s="112"/>
      <c r="V375" s="112"/>
      <c r="W375" s="112"/>
      <c r="X375" s="112"/>
    </row>
    <row r="376" customFormat="false" ht="10.5" hidden="false" customHeight="true" outlineLevel="0" collapsed="false">
      <c r="A376" s="112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12"/>
      <c r="S376" s="112"/>
      <c r="T376" s="112"/>
      <c r="U376" s="112"/>
      <c r="V376" s="112"/>
      <c r="W376" s="112"/>
      <c r="X376" s="112"/>
    </row>
    <row r="377" customFormat="false" ht="10.5" hidden="false" customHeight="true" outlineLevel="0" collapsed="false">
      <c r="A377" s="112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  <c r="T377" s="112"/>
      <c r="U377" s="112"/>
      <c r="V377" s="112"/>
      <c r="W377" s="112"/>
      <c r="X377" s="112"/>
    </row>
    <row r="378" customFormat="false" ht="10.5" hidden="false" customHeight="true" outlineLevel="0" collapsed="false">
      <c r="A378" s="112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12"/>
      <c r="W378" s="112"/>
      <c r="X378" s="112"/>
    </row>
    <row r="379" customFormat="false" ht="10.5" hidden="false" customHeight="true" outlineLevel="0" collapsed="false">
      <c r="A379" s="112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  <c r="T379" s="112"/>
      <c r="U379" s="112"/>
      <c r="V379" s="112"/>
      <c r="W379" s="112"/>
      <c r="X379" s="112"/>
    </row>
    <row r="380" customFormat="false" ht="10.5" hidden="false" customHeight="true" outlineLevel="0" collapsed="false">
      <c r="A380" s="112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  <c r="T380" s="112"/>
      <c r="U380" s="112"/>
      <c r="V380" s="112"/>
      <c r="W380" s="112"/>
      <c r="X380" s="112"/>
    </row>
    <row r="381" customFormat="false" ht="10.5" hidden="false" customHeight="true" outlineLevel="0" collapsed="false">
      <c r="A381" s="112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</row>
    <row r="382" customFormat="false" ht="10.5" hidden="false" customHeight="true" outlineLevel="0" collapsed="false">
      <c r="A382" s="112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12"/>
      <c r="W382" s="112"/>
      <c r="X382" s="112"/>
    </row>
    <row r="383" customFormat="false" ht="10.5" hidden="false" customHeight="true" outlineLevel="0" collapsed="false">
      <c r="A383" s="112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</row>
    <row r="384" customFormat="false" ht="10.5" hidden="false" customHeight="true" outlineLevel="0" collapsed="false">
      <c r="A384" s="112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  <c r="T384" s="112"/>
      <c r="U384" s="112"/>
      <c r="V384" s="112"/>
      <c r="W384" s="112"/>
      <c r="X384" s="112"/>
    </row>
    <row r="385" customFormat="false" ht="10.5" hidden="false" customHeight="true" outlineLevel="0" collapsed="false">
      <c r="A385" s="112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</row>
    <row r="386" customFormat="false" ht="10.5" hidden="false" customHeight="true" outlineLevel="0" collapsed="false">
      <c r="A386" s="112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12"/>
      <c r="S386" s="112"/>
      <c r="T386" s="112"/>
      <c r="U386" s="112"/>
      <c r="V386" s="112"/>
      <c r="W386" s="112"/>
      <c r="X386" s="112"/>
    </row>
    <row r="387" customFormat="false" ht="10.5" hidden="false" customHeight="true" outlineLevel="0" collapsed="false">
      <c r="A387" s="112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  <c r="T387" s="112"/>
      <c r="U387" s="112"/>
      <c r="V387" s="112"/>
      <c r="W387" s="112"/>
      <c r="X387" s="112"/>
    </row>
    <row r="388" customFormat="false" ht="10.5" hidden="false" customHeight="true" outlineLevel="0" collapsed="false">
      <c r="A388" s="112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</row>
    <row r="389" customFormat="false" ht="10.5" hidden="false" customHeight="true" outlineLevel="0" collapsed="false">
      <c r="A389" s="112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  <c r="T389" s="112"/>
      <c r="U389" s="112"/>
      <c r="V389" s="112"/>
      <c r="W389" s="112"/>
      <c r="X389" s="112"/>
    </row>
    <row r="390" customFormat="false" ht="10.5" hidden="false" customHeight="true" outlineLevel="0" collapsed="false">
      <c r="A390" s="112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  <c r="T390" s="112"/>
      <c r="U390" s="112"/>
      <c r="V390" s="112"/>
      <c r="W390" s="112"/>
      <c r="X390" s="112"/>
    </row>
    <row r="391" customFormat="false" ht="10.5" hidden="false" customHeight="true" outlineLevel="0" collapsed="false">
      <c r="A391" s="112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2"/>
      <c r="R391" s="112"/>
      <c r="S391" s="112"/>
      <c r="T391" s="112"/>
      <c r="U391" s="112"/>
      <c r="V391" s="112"/>
      <c r="W391" s="112"/>
      <c r="X391" s="112"/>
    </row>
    <row r="392" customFormat="false" ht="10.5" hidden="false" customHeight="true" outlineLevel="0" collapsed="false">
      <c r="A392" s="112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  <c r="T392" s="112"/>
      <c r="U392" s="112"/>
      <c r="V392" s="112"/>
      <c r="W392" s="112"/>
      <c r="X392" s="112"/>
    </row>
    <row r="393" customFormat="false" ht="10.5" hidden="false" customHeight="true" outlineLevel="0" collapsed="false">
      <c r="A393" s="112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12"/>
      <c r="S393" s="112"/>
      <c r="T393" s="112"/>
      <c r="U393" s="112"/>
      <c r="V393" s="112"/>
      <c r="W393" s="112"/>
      <c r="X393" s="112"/>
    </row>
    <row r="394" customFormat="false" ht="10.5" hidden="false" customHeight="true" outlineLevel="0" collapsed="false">
      <c r="A394" s="112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  <c r="T394" s="112"/>
      <c r="U394" s="112"/>
      <c r="V394" s="112"/>
      <c r="W394" s="112"/>
      <c r="X394" s="112"/>
    </row>
    <row r="395" customFormat="false" ht="10.5" hidden="false" customHeight="true" outlineLevel="0" collapsed="false">
      <c r="A395" s="112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  <c r="T395" s="112"/>
      <c r="U395" s="112"/>
      <c r="V395" s="112"/>
      <c r="W395" s="112"/>
      <c r="X395" s="112"/>
    </row>
    <row r="396" customFormat="false" ht="10.5" hidden="false" customHeight="true" outlineLevel="0" collapsed="false">
      <c r="A396" s="112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12"/>
      <c r="S396" s="112"/>
      <c r="T396" s="112"/>
      <c r="U396" s="112"/>
      <c r="V396" s="112"/>
      <c r="W396" s="112"/>
      <c r="X396" s="112"/>
    </row>
    <row r="397" customFormat="false" ht="10.5" hidden="false" customHeight="true" outlineLevel="0" collapsed="false">
      <c r="A397" s="112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12"/>
      <c r="S397" s="112"/>
      <c r="T397" s="112"/>
      <c r="U397" s="112"/>
      <c r="V397" s="112"/>
      <c r="W397" s="112"/>
      <c r="X397" s="112"/>
    </row>
    <row r="398" customFormat="false" ht="10.5" hidden="false" customHeight="true" outlineLevel="0" collapsed="false">
      <c r="A398" s="112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2"/>
      <c r="R398" s="112"/>
      <c r="S398" s="112"/>
      <c r="T398" s="112"/>
      <c r="U398" s="112"/>
      <c r="V398" s="112"/>
      <c r="W398" s="112"/>
      <c r="X398" s="112"/>
    </row>
    <row r="399" customFormat="false" ht="10.5" hidden="false" customHeight="true" outlineLevel="0" collapsed="false">
      <c r="A399" s="112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  <c r="T399" s="112"/>
      <c r="U399" s="112"/>
      <c r="V399" s="112"/>
      <c r="W399" s="112"/>
      <c r="X399" s="112"/>
    </row>
    <row r="400" customFormat="false" ht="10.5" hidden="false" customHeight="true" outlineLevel="0" collapsed="false">
      <c r="A400" s="112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2"/>
      <c r="R400" s="112"/>
      <c r="S400" s="112"/>
      <c r="T400" s="112"/>
      <c r="U400" s="112"/>
      <c r="V400" s="112"/>
      <c r="W400" s="112"/>
      <c r="X400" s="112"/>
    </row>
    <row r="401" customFormat="false" ht="10.5" hidden="false" customHeight="true" outlineLevel="0" collapsed="false">
      <c r="A401" s="112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2"/>
      <c r="R401" s="112"/>
      <c r="S401" s="112"/>
      <c r="T401" s="112"/>
      <c r="U401" s="112"/>
      <c r="V401" s="112"/>
      <c r="W401" s="112"/>
      <c r="X401" s="112"/>
    </row>
    <row r="402" customFormat="false" ht="10.5" hidden="false" customHeight="true" outlineLevel="0" collapsed="false">
      <c r="A402" s="112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12"/>
      <c r="S402" s="112"/>
      <c r="T402" s="112"/>
      <c r="U402" s="112"/>
      <c r="V402" s="112"/>
      <c r="W402" s="112"/>
      <c r="X402" s="112"/>
    </row>
    <row r="403" customFormat="false" ht="10.5" hidden="false" customHeight="true" outlineLevel="0" collapsed="false">
      <c r="A403" s="112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2"/>
      <c r="R403" s="112"/>
      <c r="S403" s="112"/>
      <c r="T403" s="112"/>
      <c r="U403" s="112"/>
      <c r="V403" s="112"/>
      <c r="W403" s="112"/>
      <c r="X403" s="112"/>
    </row>
    <row r="404" customFormat="false" ht="10.5" hidden="false" customHeight="true" outlineLevel="0" collapsed="false">
      <c r="A404" s="112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2"/>
      <c r="R404" s="112"/>
      <c r="S404" s="112"/>
      <c r="T404" s="112"/>
      <c r="U404" s="112"/>
      <c r="V404" s="112"/>
      <c r="W404" s="112"/>
      <c r="X404" s="112"/>
    </row>
    <row r="405" customFormat="false" ht="10.5" hidden="false" customHeight="true" outlineLevel="0" collapsed="false">
      <c r="A405" s="112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  <c r="T405" s="112"/>
      <c r="U405" s="112"/>
      <c r="V405" s="112"/>
      <c r="W405" s="112"/>
      <c r="X405" s="112"/>
    </row>
    <row r="406" customFormat="false" ht="10.5" hidden="false" customHeight="true" outlineLevel="0" collapsed="false">
      <c r="A406" s="112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  <c r="T406" s="112"/>
      <c r="U406" s="112"/>
      <c r="V406" s="112"/>
      <c r="W406" s="112"/>
      <c r="X406" s="112"/>
    </row>
    <row r="407" customFormat="false" ht="10.5" hidden="false" customHeight="true" outlineLevel="0" collapsed="false">
      <c r="A407" s="112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2"/>
      <c r="R407" s="112"/>
      <c r="S407" s="112"/>
      <c r="T407" s="112"/>
      <c r="U407" s="112"/>
      <c r="V407" s="112"/>
      <c r="W407" s="112"/>
      <c r="X407" s="112"/>
    </row>
    <row r="408" customFormat="false" ht="10.5" hidden="false" customHeight="true" outlineLevel="0" collapsed="false">
      <c r="A408" s="112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12"/>
      <c r="S408" s="112"/>
      <c r="T408" s="112"/>
      <c r="U408" s="112"/>
      <c r="V408" s="112"/>
      <c r="W408" s="112"/>
      <c r="X408" s="112"/>
    </row>
    <row r="409" customFormat="false" ht="10.5" hidden="false" customHeight="true" outlineLevel="0" collapsed="false">
      <c r="A409" s="112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2"/>
      <c r="R409" s="112"/>
      <c r="S409" s="112"/>
      <c r="T409" s="112"/>
      <c r="U409" s="112"/>
      <c r="V409" s="112"/>
      <c r="W409" s="112"/>
      <c r="X409" s="112"/>
    </row>
    <row r="410" customFormat="false" ht="10.5" hidden="false" customHeight="true" outlineLevel="0" collapsed="false">
      <c r="A410" s="112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  <c r="T410" s="112"/>
      <c r="U410" s="112"/>
      <c r="V410" s="112"/>
      <c r="W410" s="112"/>
      <c r="X410" s="112"/>
    </row>
    <row r="411" customFormat="false" ht="10.5" hidden="false" customHeight="true" outlineLevel="0" collapsed="false">
      <c r="A411" s="112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  <c r="T411" s="112"/>
      <c r="U411" s="112"/>
      <c r="V411" s="112"/>
      <c r="W411" s="112"/>
      <c r="X411" s="112"/>
    </row>
    <row r="412" customFormat="false" ht="10.5" hidden="false" customHeight="true" outlineLevel="0" collapsed="false">
      <c r="A412" s="112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12"/>
      <c r="S412" s="112"/>
      <c r="T412" s="112"/>
      <c r="U412" s="112"/>
      <c r="V412" s="112"/>
      <c r="W412" s="112"/>
      <c r="X412" s="112"/>
    </row>
    <row r="413" customFormat="false" ht="10.5" hidden="false" customHeight="true" outlineLevel="0" collapsed="false">
      <c r="A413" s="112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2"/>
      <c r="R413" s="112"/>
      <c r="S413" s="112"/>
      <c r="T413" s="112"/>
      <c r="U413" s="112"/>
      <c r="V413" s="112"/>
      <c r="W413" s="112"/>
      <c r="X413" s="112"/>
    </row>
    <row r="414" customFormat="false" ht="10.5" hidden="false" customHeight="true" outlineLevel="0" collapsed="false">
      <c r="A414" s="112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2"/>
      <c r="R414" s="112"/>
      <c r="S414" s="112"/>
      <c r="T414" s="112"/>
      <c r="U414" s="112"/>
      <c r="V414" s="112"/>
      <c r="W414" s="112"/>
      <c r="X414" s="112"/>
    </row>
    <row r="415" customFormat="false" ht="10.5" hidden="false" customHeight="true" outlineLevel="0" collapsed="false">
      <c r="A415" s="112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2"/>
      <c r="R415" s="112"/>
      <c r="S415" s="112"/>
      <c r="T415" s="112"/>
      <c r="U415" s="112"/>
      <c r="V415" s="112"/>
      <c r="W415" s="112"/>
      <c r="X415" s="112"/>
    </row>
    <row r="416" customFormat="false" ht="10.5" hidden="false" customHeight="true" outlineLevel="0" collapsed="false">
      <c r="A416" s="112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  <c r="T416" s="112"/>
      <c r="U416" s="112"/>
      <c r="V416" s="112"/>
      <c r="W416" s="112"/>
      <c r="X416" s="112"/>
    </row>
    <row r="417" customFormat="false" ht="10.5" hidden="false" customHeight="true" outlineLevel="0" collapsed="false">
      <c r="A417" s="112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  <c r="T417" s="112"/>
      <c r="U417" s="112"/>
      <c r="V417" s="112"/>
      <c r="W417" s="112"/>
      <c r="X417" s="112"/>
    </row>
    <row r="418" customFormat="false" ht="10.5" hidden="false" customHeight="true" outlineLevel="0" collapsed="false">
      <c r="A418" s="112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2"/>
      <c r="R418" s="112"/>
      <c r="S418" s="112"/>
      <c r="T418" s="112"/>
      <c r="U418" s="112"/>
      <c r="V418" s="112"/>
      <c r="W418" s="112"/>
      <c r="X418" s="112"/>
    </row>
    <row r="419" customFormat="false" ht="10.5" hidden="false" customHeight="true" outlineLevel="0" collapsed="false">
      <c r="A419" s="112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12"/>
      <c r="S419" s="112"/>
      <c r="T419" s="112"/>
      <c r="U419" s="112"/>
      <c r="V419" s="112"/>
      <c r="W419" s="112"/>
      <c r="X419" s="112"/>
    </row>
    <row r="420" customFormat="false" ht="10.5" hidden="false" customHeight="true" outlineLevel="0" collapsed="false">
      <c r="A420" s="112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2"/>
      <c r="R420" s="112"/>
      <c r="S420" s="112"/>
      <c r="T420" s="112"/>
      <c r="U420" s="112"/>
      <c r="V420" s="112"/>
      <c r="W420" s="112"/>
      <c r="X420" s="112"/>
    </row>
    <row r="421" customFormat="false" ht="10.5" hidden="false" customHeight="true" outlineLevel="0" collapsed="false">
      <c r="A421" s="112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2"/>
      <c r="R421" s="112"/>
      <c r="S421" s="112"/>
      <c r="T421" s="112"/>
      <c r="U421" s="112"/>
      <c r="V421" s="112"/>
      <c r="W421" s="112"/>
      <c r="X421" s="112"/>
    </row>
    <row r="422" customFormat="false" ht="10.5" hidden="false" customHeight="true" outlineLevel="0" collapsed="false">
      <c r="A422" s="112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</row>
    <row r="423" customFormat="false" ht="10.5" hidden="false" customHeight="true" outlineLevel="0" collapsed="false">
      <c r="A423" s="112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12"/>
      <c r="S423" s="112"/>
      <c r="T423" s="112"/>
      <c r="U423" s="112"/>
      <c r="V423" s="112"/>
      <c r="W423" s="112"/>
      <c r="X423" s="112"/>
    </row>
    <row r="424" customFormat="false" ht="10.5" hidden="false" customHeight="true" outlineLevel="0" collapsed="false">
      <c r="A424" s="112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</row>
    <row r="425" customFormat="false" ht="10.5" hidden="false" customHeight="true" outlineLevel="0" collapsed="false">
      <c r="A425" s="112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</row>
    <row r="426" customFormat="false" ht="10.5" hidden="false" customHeight="true" outlineLevel="0" collapsed="false">
      <c r="A426" s="112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</row>
    <row r="427" customFormat="false" ht="10.5" hidden="false" customHeight="true" outlineLevel="0" collapsed="false">
      <c r="A427" s="112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</row>
    <row r="428" customFormat="false" ht="10.5" hidden="false" customHeight="true" outlineLevel="0" collapsed="false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</row>
    <row r="429" customFormat="false" ht="10.5" hidden="false" customHeight="true" outlineLevel="0" collapsed="false">
      <c r="A429" s="112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</row>
    <row r="430" customFormat="false" ht="10.5" hidden="false" customHeight="true" outlineLevel="0" collapsed="false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</row>
    <row r="431" customFormat="false" ht="10.5" hidden="false" customHeight="true" outlineLevel="0" collapsed="false">
      <c r="A431" s="112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</row>
    <row r="432" customFormat="false" ht="10.5" hidden="false" customHeight="true" outlineLevel="0" collapsed="false">
      <c r="A432" s="112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  <c r="T432" s="112"/>
      <c r="U432" s="112"/>
      <c r="V432" s="112"/>
      <c r="W432" s="112"/>
      <c r="X432" s="112"/>
    </row>
    <row r="433" customFormat="false" ht="10.5" hidden="false" customHeight="true" outlineLevel="0" collapsed="false">
      <c r="A433" s="112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  <c r="T433" s="112"/>
      <c r="U433" s="112"/>
      <c r="V433" s="112"/>
      <c r="W433" s="112"/>
      <c r="X433" s="112"/>
    </row>
    <row r="434" customFormat="false" ht="10.5" hidden="false" customHeight="true" outlineLevel="0" collapsed="false">
      <c r="A434" s="112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112"/>
      <c r="W434" s="112"/>
      <c r="X434" s="112"/>
    </row>
    <row r="435" customFormat="false" ht="10.5" hidden="false" customHeight="true" outlineLevel="0" collapsed="false">
      <c r="A435" s="112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112"/>
      <c r="W435" s="112"/>
      <c r="X435" s="112"/>
    </row>
    <row r="436" customFormat="false" ht="10.5" hidden="false" customHeight="true" outlineLevel="0" collapsed="false">
      <c r="A436" s="112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112"/>
      <c r="W436" s="112"/>
      <c r="X436" s="112"/>
    </row>
    <row r="437" customFormat="false" ht="10.5" hidden="false" customHeight="true" outlineLevel="0" collapsed="false">
      <c r="A437" s="112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  <c r="T437" s="112"/>
      <c r="U437" s="112"/>
      <c r="V437" s="112"/>
      <c r="W437" s="112"/>
      <c r="X437" s="112"/>
    </row>
    <row r="438" customFormat="false" ht="10.5" hidden="false" customHeight="true" outlineLevel="0" collapsed="false">
      <c r="A438" s="112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  <c r="T438" s="112"/>
      <c r="U438" s="112"/>
      <c r="V438" s="112"/>
      <c r="W438" s="112"/>
      <c r="X438" s="112"/>
    </row>
    <row r="439" customFormat="false" ht="10.5" hidden="false" customHeight="true" outlineLevel="0" collapsed="false">
      <c r="A439" s="112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2"/>
      <c r="R439" s="112"/>
      <c r="S439" s="112"/>
      <c r="T439" s="112"/>
      <c r="U439" s="112"/>
      <c r="V439" s="112"/>
      <c r="W439" s="112"/>
      <c r="X439" s="112"/>
    </row>
    <row r="440" customFormat="false" ht="10.5" hidden="false" customHeight="true" outlineLevel="0" collapsed="false">
      <c r="A440" s="112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  <c r="R440" s="112"/>
      <c r="S440" s="112"/>
      <c r="T440" s="112"/>
      <c r="U440" s="112"/>
      <c r="V440" s="112"/>
      <c r="W440" s="112"/>
      <c r="X440" s="112"/>
    </row>
    <row r="441" customFormat="false" ht="10.5" hidden="false" customHeight="true" outlineLevel="0" collapsed="false">
      <c r="A441" s="112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2"/>
      <c r="R441" s="112"/>
      <c r="S441" s="112"/>
      <c r="T441" s="112"/>
      <c r="U441" s="112"/>
      <c r="V441" s="112"/>
      <c r="W441" s="112"/>
      <c r="X441" s="112"/>
    </row>
    <row r="442" customFormat="false" ht="10.5" hidden="false" customHeight="true" outlineLevel="0" collapsed="false">
      <c r="A442" s="112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  <c r="T442" s="112"/>
      <c r="U442" s="112"/>
      <c r="V442" s="112"/>
      <c r="W442" s="112"/>
      <c r="X442" s="112"/>
    </row>
    <row r="443" customFormat="false" ht="10.5" hidden="false" customHeight="true" outlineLevel="0" collapsed="false">
      <c r="A443" s="112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2"/>
      <c r="R443" s="112"/>
      <c r="S443" s="112"/>
      <c r="T443" s="112"/>
      <c r="U443" s="112"/>
      <c r="V443" s="112"/>
      <c r="W443" s="112"/>
      <c r="X443" s="112"/>
    </row>
    <row r="444" customFormat="false" ht="10.5" hidden="false" customHeight="true" outlineLevel="0" collapsed="false">
      <c r="A444" s="112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2"/>
      <c r="R444" s="112"/>
      <c r="S444" s="112"/>
      <c r="T444" s="112"/>
      <c r="U444" s="112"/>
      <c r="V444" s="112"/>
      <c r="W444" s="112"/>
      <c r="X444" s="112"/>
    </row>
    <row r="445" customFormat="false" ht="10.5" hidden="false" customHeight="true" outlineLevel="0" collapsed="false">
      <c r="A445" s="112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2"/>
      <c r="R445" s="112"/>
      <c r="S445" s="112"/>
      <c r="T445" s="112"/>
      <c r="U445" s="112"/>
      <c r="V445" s="112"/>
      <c r="W445" s="112"/>
      <c r="X445" s="112"/>
    </row>
    <row r="446" customFormat="false" ht="10.5" hidden="false" customHeight="true" outlineLevel="0" collapsed="false">
      <c r="A446" s="112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2"/>
      <c r="R446" s="112"/>
      <c r="S446" s="112"/>
      <c r="T446" s="112"/>
      <c r="U446" s="112"/>
      <c r="V446" s="112"/>
      <c r="W446" s="112"/>
      <c r="X446" s="112"/>
    </row>
    <row r="447" customFormat="false" ht="10.5" hidden="false" customHeight="true" outlineLevel="0" collapsed="false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2"/>
      <c r="R447" s="112"/>
      <c r="S447" s="112"/>
      <c r="T447" s="112"/>
      <c r="U447" s="112"/>
      <c r="V447" s="112"/>
      <c r="W447" s="112"/>
      <c r="X447" s="112"/>
    </row>
    <row r="448" customFormat="false" ht="10.5" hidden="false" customHeight="true" outlineLevel="0" collapsed="false">
      <c r="A448" s="112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2"/>
      <c r="R448" s="112"/>
      <c r="S448" s="112"/>
      <c r="T448" s="112"/>
      <c r="U448" s="112"/>
      <c r="V448" s="112"/>
      <c r="W448" s="112"/>
      <c r="X448" s="112"/>
    </row>
    <row r="449" customFormat="false" ht="10.5" hidden="false" customHeight="true" outlineLevel="0" collapsed="false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2"/>
      <c r="R449" s="112"/>
      <c r="S449" s="112"/>
      <c r="T449" s="112"/>
      <c r="U449" s="112"/>
      <c r="V449" s="112"/>
      <c r="W449" s="112"/>
      <c r="X449" s="112"/>
    </row>
    <row r="450" customFormat="false" ht="10.5" hidden="false" customHeight="true" outlineLevel="0" collapsed="false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2"/>
      <c r="R450" s="112"/>
      <c r="S450" s="112"/>
      <c r="T450" s="112"/>
      <c r="U450" s="112"/>
      <c r="V450" s="112"/>
      <c r="W450" s="112"/>
      <c r="X450" s="112"/>
    </row>
    <row r="451" customFormat="false" ht="10.5" hidden="false" customHeight="true" outlineLevel="0" collapsed="false">
      <c r="A451" s="112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2"/>
      <c r="R451" s="112"/>
      <c r="S451" s="112"/>
      <c r="T451" s="112"/>
      <c r="U451" s="112"/>
      <c r="V451" s="112"/>
      <c r="W451" s="112"/>
      <c r="X451" s="112"/>
    </row>
    <row r="452" customFormat="false" ht="10.5" hidden="false" customHeight="true" outlineLevel="0" collapsed="false">
      <c r="A452" s="112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2"/>
      <c r="R452" s="112"/>
      <c r="S452" s="112"/>
      <c r="T452" s="112"/>
      <c r="U452" s="112"/>
      <c r="V452" s="112"/>
      <c r="W452" s="112"/>
      <c r="X452" s="112"/>
    </row>
    <row r="453" customFormat="false" ht="10.5" hidden="false" customHeight="true" outlineLevel="0" collapsed="false">
      <c r="A453" s="112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2"/>
      <c r="R453" s="112"/>
      <c r="S453" s="112"/>
      <c r="T453" s="112"/>
      <c r="U453" s="112"/>
      <c r="V453" s="112"/>
      <c r="W453" s="112"/>
      <c r="X453" s="112"/>
    </row>
    <row r="454" customFormat="false" ht="10.5" hidden="false" customHeight="true" outlineLevel="0" collapsed="false">
      <c r="A454" s="112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2"/>
      <c r="R454" s="112"/>
      <c r="S454" s="112"/>
      <c r="T454" s="112"/>
      <c r="U454" s="112"/>
      <c r="V454" s="112"/>
      <c r="W454" s="112"/>
      <c r="X454" s="112"/>
    </row>
    <row r="455" customFormat="false" ht="10.5" hidden="false" customHeight="true" outlineLevel="0" collapsed="false">
      <c r="A455" s="112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2"/>
      <c r="R455" s="112"/>
      <c r="S455" s="112"/>
      <c r="T455" s="112"/>
      <c r="U455" s="112"/>
      <c r="V455" s="112"/>
      <c r="W455" s="112"/>
      <c r="X455" s="112"/>
    </row>
    <row r="456" customFormat="false" ht="10.5" hidden="false" customHeight="true" outlineLevel="0" collapsed="false">
      <c r="A456" s="112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  <c r="R456" s="112"/>
      <c r="S456" s="112"/>
      <c r="T456" s="112"/>
      <c r="U456" s="112"/>
      <c r="V456" s="112"/>
      <c r="W456" s="112"/>
      <c r="X456" s="112"/>
    </row>
    <row r="457" customFormat="false" ht="10.5" hidden="false" customHeight="true" outlineLevel="0" collapsed="false">
      <c r="A457" s="112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2"/>
      <c r="R457" s="112"/>
      <c r="S457" s="112"/>
      <c r="T457" s="112"/>
      <c r="U457" s="112"/>
      <c r="V457" s="112"/>
      <c r="W457" s="112"/>
      <c r="X457" s="112"/>
    </row>
    <row r="458" customFormat="false" ht="10.5" hidden="false" customHeight="true" outlineLevel="0" collapsed="false">
      <c r="A458" s="112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2"/>
      <c r="R458" s="112"/>
      <c r="S458" s="112"/>
      <c r="T458" s="112"/>
      <c r="U458" s="112"/>
      <c r="V458" s="112"/>
      <c r="W458" s="112"/>
      <c r="X458" s="112"/>
    </row>
    <row r="459" customFormat="false" ht="10.5" hidden="false" customHeight="true" outlineLevel="0" collapsed="false">
      <c r="A459" s="112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2"/>
      <c r="R459" s="112"/>
      <c r="S459" s="112"/>
      <c r="T459" s="112"/>
      <c r="U459" s="112"/>
      <c r="V459" s="112"/>
      <c r="W459" s="112"/>
      <c r="X459" s="112"/>
    </row>
    <row r="460" customFormat="false" ht="10.5" hidden="false" customHeight="true" outlineLevel="0" collapsed="false">
      <c r="A460" s="112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2"/>
      <c r="R460" s="112"/>
      <c r="S460" s="112"/>
      <c r="T460" s="112"/>
      <c r="U460" s="112"/>
      <c r="V460" s="112"/>
      <c r="W460" s="112"/>
      <c r="X460" s="112"/>
    </row>
    <row r="461" customFormat="false" ht="10.5" hidden="false" customHeight="true" outlineLevel="0" collapsed="false">
      <c r="A461" s="112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2"/>
      <c r="R461" s="112"/>
      <c r="S461" s="112"/>
      <c r="T461" s="112"/>
      <c r="U461" s="112"/>
      <c r="V461" s="112"/>
      <c r="W461" s="112"/>
      <c r="X461" s="112"/>
    </row>
    <row r="462" customFormat="false" ht="10.5" hidden="false" customHeight="true" outlineLevel="0" collapsed="false">
      <c r="A462" s="112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2"/>
      <c r="R462" s="112"/>
      <c r="S462" s="112"/>
      <c r="T462" s="112"/>
      <c r="U462" s="112"/>
      <c r="V462" s="112"/>
      <c r="W462" s="112"/>
      <c r="X462" s="112"/>
    </row>
    <row r="463" customFormat="false" ht="10.5" hidden="false" customHeight="true" outlineLevel="0" collapsed="false">
      <c r="A463" s="112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2"/>
      <c r="R463" s="112"/>
      <c r="S463" s="112"/>
      <c r="T463" s="112"/>
      <c r="U463" s="112"/>
      <c r="V463" s="112"/>
      <c r="W463" s="112"/>
      <c r="X463" s="112"/>
    </row>
    <row r="464" customFormat="false" ht="10.5" hidden="false" customHeight="true" outlineLevel="0" collapsed="false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  <c r="T464" s="112"/>
      <c r="U464" s="112"/>
      <c r="V464" s="112"/>
      <c r="W464" s="112"/>
      <c r="X464" s="112"/>
    </row>
    <row r="465" customFormat="false" ht="10.5" hidden="false" customHeight="true" outlineLevel="0" collapsed="false">
      <c r="A465" s="112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2"/>
      <c r="R465" s="112"/>
      <c r="S465" s="112"/>
      <c r="T465" s="112"/>
      <c r="U465" s="112"/>
      <c r="V465" s="112"/>
      <c r="W465" s="112"/>
      <c r="X465" s="112"/>
    </row>
    <row r="466" customFormat="false" ht="10.5" hidden="false" customHeight="true" outlineLevel="0" collapsed="false">
      <c r="A466" s="112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12"/>
      <c r="T466" s="112"/>
      <c r="U466" s="112"/>
      <c r="V466" s="112"/>
      <c r="W466" s="112"/>
      <c r="X466" s="112"/>
    </row>
    <row r="467" customFormat="false" ht="10.5" hidden="false" customHeight="true" outlineLevel="0" collapsed="false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12"/>
      <c r="T467" s="112"/>
      <c r="U467" s="112"/>
      <c r="V467" s="112"/>
      <c r="W467" s="112"/>
      <c r="X467" s="112"/>
    </row>
    <row r="468" customFormat="false" ht="10.5" hidden="false" customHeight="true" outlineLevel="0" collapsed="false">
      <c r="A468" s="112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2"/>
      <c r="R468" s="112"/>
      <c r="S468" s="112"/>
      <c r="T468" s="112"/>
      <c r="U468" s="112"/>
      <c r="V468" s="112"/>
      <c r="W468" s="112"/>
      <c r="X468" s="112"/>
    </row>
    <row r="469" customFormat="false" ht="10.5" hidden="false" customHeight="true" outlineLevel="0" collapsed="false">
      <c r="A469" s="112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2"/>
      <c r="R469" s="112"/>
      <c r="S469" s="112"/>
      <c r="T469" s="112"/>
      <c r="U469" s="112"/>
      <c r="V469" s="112"/>
      <c r="W469" s="112"/>
      <c r="X469" s="112"/>
    </row>
    <row r="470" customFormat="false" ht="10.5" hidden="false" customHeight="true" outlineLevel="0" collapsed="false">
      <c r="A470" s="112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2"/>
      <c r="R470" s="112"/>
      <c r="S470" s="112"/>
      <c r="T470" s="112"/>
      <c r="U470" s="112"/>
      <c r="V470" s="112"/>
      <c r="W470" s="112"/>
      <c r="X470" s="112"/>
    </row>
    <row r="471" customFormat="false" ht="10.5" hidden="false" customHeight="true" outlineLevel="0" collapsed="false">
      <c r="A471" s="112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2"/>
      <c r="R471" s="112"/>
      <c r="S471" s="112"/>
      <c r="T471" s="112"/>
      <c r="U471" s="112"/>
      <c r="V471" s="112"/>
      <c r="W471" s="112"/>
      <c r="X471" s="112"/>
    </row>
    <row r="472" customFormat="false" ht="10.5" hidden="false" customHeight="true" outlineLevel="0" collapsed="false">
      <c r="A472" s="112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  <c r="R472" s="112"/>
      <c r="S472" s="112"/>
      <c r="T472" s="112"/>
      <c r="U472" s="112"/>
      <c r="V472" s="112"/>
      <c r="W472" s="112"/>
      <c r="X472" s="112"/>
    </row>
    <row r="473" customFormat="false" ht="10.5" hidden="false" customHeight="true" outlineLevel="0" collapsed="false">
      <c r="A473" s="112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2"/>
      <c r="R473" s="112"/>
      <c r="S473" s="112"/>
      <c r="T473" s="112"/>
      <c r="U473" s="112"/>
      <c r="V473" s="112"/>
      <c r="W473" s="112"/>
      <c r="X473" s="112"/>
    </row>
    <row r="474" customFormat="false" ht="10.5" hidden="false" customHeight="true" outlineLevel="0" collapsed="false">
      <c r="A474" s="112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2"/>
      <c r="R474" s="112"/>
      <c r="S474" s="112"/>
      <c r="T474" s="112"/>
      <c r="U474" s="112"/>
      <c r="V474" s="112"/>
      <c r="W474" s="112"/>
      <c r="X474" s="112"/>
    </row>
    <row r="475" customFormat="false" ht="10.5" hidden="false" customHeight="true" outlineLevel="0" collapsed="false">
      <c r="A475" s="112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2"/>
      <c r="R475" s="112"/>
      <c r="S475" s="112"/>
      <c r="T475" s="112"/>
      <c r="U475" s="112"/>
      <c r="V475" s="112"/>
      <c r="W475" s="112"/>
      <c r="X475" s="112"/>
    </row>
    <row r="476" customFormat="false" ht="10.5" hidden="false" customHeight="true" outlineLevel="0" collapsed="false">
      <c r="A476" s="112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2"/>
      <c r="R476" s="112"/>
      <c r="S476" s="112"/>
      <c r="T476" s="112"/>
      <c r="U476" s="112"/>
      <c r="V476" s="112"/>
      <c r="W476" s="112"/>
      <c r="X476" s="112"/>
    </row>
    <row r="477" customFormat="false" ht="10.5" hidden="false" customHeight="true" outlineLevel="0" collapsed="false">
      <c r="A477" s="112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2"/>
      <c r="R477" s="112"/>
      <c r="S477" s="112"/>
      <c r="T477" s="112"/>
      <c r="U477" s="112"/>
      <c r="V477" s="112"/>
      <c r="W477" s="112"/>
      <c r="X477" s="112"/>
    </row>
    <row r="478" customFormat="false" ht="10.5" hidden="false" customHeight="true" outlineLevel="0" collapsed="false">
      <c r="A478" s="112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2"/>
      <c r="R478" s="112"/>
      <c r="S478" s="112"/>
      <c r="T478" s="112"/>
      <c r="U478" s="112"/>
      <c r="V478" s="112"/>
      <c r="W478" s="112"/>
      <c r="X478" s="112"/>
    </row>
    <row r="479" customFormat="false" ht="10.5" hidden="false" customHeight="true" outlineLevel="0" collapsed="false">
      <c r="A479" s="112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2"/>
      <c r="R479" s="112"/>
      <c r="S479" s="112"/>
      <c r="T479" s="112"/>
      <c r="U479" s="112"/>
      <c r="V479" s="112"/>
      <c r="W479" s="112"/>
      <c r="X479" s="112"/>
    </row>
    <row r="480" customFormat="false" ht="10.5" hidden="false" customHeight="true" outlineLevel="0" collapsed="false">
      <c r="A480" s="112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2"/>
      <c r="R480" s="112"/>
      <c r="S480" s="112"/>
      <c r="T480" s="112"/>
      <c r="U480" s="112"/>
      <c r="V480" s="112"/>
      <c r="W480" s="112"/>
      <c r="X480" s="112"/>
    </row>
    <row r="481" customFormat="false" ht="10.5" hidden="false" customHeight="true" outlineLevel="0" collapsed="false">
      <c r="A481" s="112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</row>
    <row r="482" customFormat="false" ht="10.5" hidden="false" customHeight="true" outlineLevel="0" collapsed="false">
      <c r="A482" s="112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2"/>
      <c r="R482" s="112"/>
      <c r="S482" s="112"/>
      <c r="T482" s="112"/>
      <c r="U482" s="112"/>
      <c r="V482" s="112"/>
      <c r="W482" s="112"/>
      <c r="X482" s="112"/>
    </row>
    <row r="483" customFormat="false" ht="10.5" hidden="false" customHeight="true" outlineLevel="0" collapsed="false">
      <c r="A483" s="112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2"/>
      <c r="R483" s="112"/>
      <c r="S483" s="112"/>
      <c r="T483" s="112"/>
      <c r="U483" s="112"/>
      <c r="V483" s="112"/>
      <c r="W483" s="112"/>
      <c r="X483" s="112"/>
    </row>
    <row r="484" customFormat="false" ht="10.5" hidden="false" customHeight="true" outlineLevel="0" collapsed="false">
      <c r="A484" s="112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2"/>
      <c r="R484" s="112"/>
      <c r="S484" s="112"/>
      <c r="T484" s="112"/>
      <c r="U484" s="112"/>
      <c r="V484" s="112"/>
      <c r="W484" s="112"/>
      <c r="X484" s="112"/>
    </row>
    <row r="485" customFormat="false" ht="10.5" hidden="false" customHeight="true" outlineLevel="0" collapsed="false">
      <c r="A485" s="112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2"/>
      <c r="R485" s="112"/>
      <c r="S485" s="112"/>
      <c r="T485" s="112"/>
      <c r="U485" s="112"/>
      <c r="V485" s="112"/>
      <c r="W485" s="112"/>
      <c r="X485" s="112"/>
    </row>
    <row r="486" customFormat="false" ht="10.5" hidden="false" customHeight="true" outlineLevel="0" collapsed="false">
      <c r="A486" s="112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2"/>
      <c r="R486" s="112"/>
      <c r="S486" s="112"/>
      <c r="T486" s="112"/>
      <c r="U486" s="112"/>
      <c r="V486" s="112"/>
      <c r="W486" s="112"/>
      <c r="X486" s="112"/>
    </row>
    <row r="487" customFormat="false" ht="10.5" hidden="false" customHeight="true" outlineLevel="0" collapsed="false">
      <c r="A487" s="112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</row>
    <row r="488" customFormat="false" ht="10.5" hidden="false" customHeight="true" outlineLevel="0" collapsed="false">
      <c r="A488" s="112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  <c r="R488" s="112"/>
      <c r="S488" s="112"/>
      <c r="T488" s="112"/>
      <c r="U488" s="112"/>
      <c r="V488" s="112"/>
      <c r="W488" s="112"/>
      <c r="X488" s="112"/>
    </row>
    <row r="489" customFormat="false" ht="10.5" hidden="false" customHeight="true" outlineLevel="0" collapsed="false">
      <c r="A489" s="112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2"/>
      <c r="R489" s="112"/>
      <c r="S489" s="112"/>
      <c r="T489" s="112"/>
      <c r="U489" s="112"/>
      <c r="V489" s="112"/>
      <c r="W489" s="112"/>
      <c r="X489" s="112"/>
    </row>
    <row r="490" customFormat="false" ht="10.5" hidden="false" customHeight="true" outlineLevel="0" collapsed="false">
      <c r="A490" s="112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2"/>
      <c r="R490" s="112"/>
      <c r="S490" s="112"/>
      <c r="T490" s="112"/>
      <c r="U490" s="112"/>
      <c r="V490" s="112"/>
      <c r="W490" s="112"/>
      <c r="X490" s="112"/>
    </row>
    <row r="491" customFormat="false" ht="10.5" hidden="false" customHeight="true" outlineLevel="0" collapsed="false">
      <c r="A491" s="112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2"/>
      <c r="R491" s="112"/>
      <c r="S491" s="112"/>
      <c r="T491" s="112"/>
      <c r="U491" s="112"/>
      <c r="V491" s="112"/>
      <c r="W491" s="112"/>
      <c r="X491" s="112"/>
    </row>
    <row r="492" customFormat="false" ht="10.5" hidden="false" customHeight="true" outlineLevel="0" collapsed="false">
      <c r="A492" s="112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2"/>
      <c r="R492" s="112"/>
      <c r="S492" s="112"/>
      <c r="T492" s="112"/>
      <c r="U492" s="112"/>
      <c r="V492" s="112"/>
      <c r="W492" s="112"/>
      <c r="X492" s="112"/>
    </row>
    <row r="493" customFormat="false" ht="10.5" hidden="false" customHeight="true" outlineLevel="0" collapsed="false">
      <c r="A493" s="112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2"/>
      <c r="R493" s="112"/>
      <c r="S493" s="112"/>
      <c r="T493" s="112"/>
      <c r="U493" s="112"/>
      <c r="V493" s="112"/>
      <c r="W493" s="112"/>
      <c r="X493" s="112"/>
    </row>
    <row r="494" customFormat="false" ht="10.5" hidden="false" customHeight="true" outlineLevel="0" collapsed="false">
      <c r="A494" s="112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2"/>
      <c r="R494" s="112"/>
      <c r="S494" s="112"/>
      <c r="T494" s="112"/>
      <c r="U494" s="112"/>
      <c r="V494" s="112"/>
      <c r="W494" s="112"/>
      <c r="X494" s="112"/>
    </row>
    <row r="495" customFormat="false" ht="10.5" hidden="false" customHeight="true" outlineLevel="0" collapsed="false">
      <c r="A495" s="112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2"/>
      <c r="R495" s="112"/>
      <c r="S495" s="112"/>
      <c r="T495" s="112"/>
      <c r="U495" s="112"/>
      <c r="V495" s="112"/>
      <c r="W495" s="112"/>
      <c r="X495" s="112"/>
    </row>
    <row r="496" customFormat="false" ht="10.5" hidden="false" customHeight="true" outlineLevel="0" collapsed="false">
      <c r="A496" s="112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2"/>
      <c r="R496" s="112"/>
      <c r="S496" s="112"/>
      <c r="T496" s="112"/>
      <c r="U496" s="112"/>
      <c r="V496" s="112"/>
      <c r="W496" s="112"/>
      <c r="X496" s="112"/>
    </row>
    <row r="497" customFormat="false" ht="10.5" hidden="false" customHeight="true" outlineLevel="0" collapsed="false">
      <c r="A497" s="112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2"/>
      <c r="R497" s="112"/>
      <c r="S497" s="112"/>
      <c r="T497" s="112"/>
      <c r="U497" s="112"/>
      <c r="V497" s="112"/>
      <c r="W497" s="112"/>
      <c r="X497" s="112"/>
    </row>
    <row r="498" customFormat="false" ht="10.5" hidden="false" customHeight="true" outlineLevel="0" collapsed="false">
      <c r="A498" s="112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2"/>
      <c r="R498" s="112"/>
      <c r="S498" s="112"/>
      <c r="T498" s="112"/>
      <c r="U498" s="112"/>
      <c r="V498" s="112"/>
      <c r="W498" s="112"/>
      <c r="X498" s="112"/>
    </row>
    <row r="499" customFormat="false" ht="10.5" hidden="false" customHeight="true" outlineLevel="0" collapsed="false">
      <c r="A499" s="112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2"/>
      <c r="R499" s="112"/>
      <c r="S499" s="112"/>
      <c r="T499" s="112"/>
      <c r="U499" s="112"/>
      <c r="V499" s="112"/>
      <c r="W499" s="112"/>
      <c r="X499" s="112"/>
    </row>
    <row r="500" customFormat="false" ht="10.5" hidden="false" customHeight="true" outlineLevel="0" collapsed="false">
      <c r="A500" s="112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</row>
    <row r="501" customFormat="false" ht="10.5" hidden="false" customHeight="true" outlineLevel="0" collapsed="false">
      <c r="A501" s="112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2"/>
      <c r="R501" s="112"/>
      <c r="S501" s="112"/>
      <c r="T501" s="112"/>
      <c r="U501" s="112"/>
      <c r="V501" s="112"/>
      <c r="W501" s="112"/>
      <c r="X501" s="112"/>
    </row>
    <row r="502" customFormat="false" ht="10.5" hidden="false" customHeight="true" outlineLevel="0" collapsed="false">
      <c r="A502" s="112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2"/>
      <c r="R502" s="112"/>
      <c r="S502" s="112"/>
      <c r="T502" s="112"/>
      <c r="U502" s="112"/>
      <c r="V502" s="112"/>
      <c r="W502" s="112"/>
      <c r="X502" s="112"/>
    </row>
    <row r="503" customFormat="false" ht="10.5" hidden="false" customHeight="true" outlineLevel="0" collapsed="false">
      <c r="A503" s="112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2"/>
      <c r="R503" s="112"/>
      <c r="S503" s="112"/>
      <c r="T503" s="112"/>
      <c r="U503" s="112"/>
      <c r="V503" s="112"/>
      <c r="W503" s="112"/>
      <c r="X503" s="112"/>
    </row>
    <row r="504" customFormat="false" ht="10.5" hidden="false" customHeight="true" outlineLevel="0" collapsed="false">
      <c r="A504" s="112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2"/>
      <c r="R504" s="112"/>
      <c r="S504" s="112"/>
      <c r="T504" s="112"/>
      <c r="U504" s="112"/>
      <c r="V504" s="112"/>
      <c r="W504" s="112"/>
      <c r="X504" s="112"/>
    </row>
    <row r="505" customFormat="false" ht="10.5" hidden="false" customHeight="true" outlineLevel="0" collapsed="false">
      <c r="A505" s="112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  <c r="R505" s="112"/>
      <c r="S505" s="112"/>
      <c r="T505" s="112"/>
      <c r="U505" s="112"/>
      <c r="V505" s="112"/>
      <c r="W505" s="112"/>
      <c r="X505" s="112"/>
    </row>
    <row r="506" customFormat="false" ht="10.5" hidden="false" customHeight="true" outlineLevel="0" collapsed="false">
      <c r="A506" s="112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2"/>
      <c r="R506" s="112"/>
      <c r="S506" s="112"/>
      <c r="T506" s="112"/>
      <c r="U506" s="112"/>
      <c r="V506" s="112"/>
      <c r="W506" s="112"/>
      <c r="X506" s="112"/>
    </row>
    <row r="507" customFormat="false" ht="10.5" hidden="false" customHeight="true" outlineLevel="0" collapsed="false">
      <c r="A507" s="112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2"/>
      <c r="R507" s="112"/>
      <c r="S507" s="112"/>
      <c r="T507" s="112"/>
      <c r="U507" s="112"/>
      <c r="V507" s="112"/>
      <c r="W507" s="112"/>
      <c r="X507" s="112"/>
    </row>
    <row r="508" customFormat="false" ht="10.5" hidden="false" customHeight="true" outlineLevel="0" collapsed="false">
      <c r="A508" s="112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/>
      <c r="X508" s="112"/>
    </row>
    <row r="509" customFormat="false" ht="10.5" hidden="false" customHeight="true" outlineLevel="0" collapsed="false">
      <c r="A509" s="112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2"/>
      <c r="R509" s="112"/>
      <c r="S509" s="112"/>
      <c r="T509" s="112"/>
      <c r="U509" s="112"/>
      <c r="V509" s="112"/>
      <c r="W509" s="112"/>
      <c r="X509" s="112"/>
    </row>
    <row r="510" customFormat="false" ht="10.5" hidden="false" customHeight="true" outlineLevel="0" collapsed="false">
      <c r="A510" s="112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2"/>
      <c r="R510" s="112"/>
      <c r="S510" s="112"/>
      <c r="T510" s="112"/>
      <c r="U510" s="112"/>
      <c r="V510" s="112"/>
      <c r="W510" s="112"/>
      <c r="X510" s="112"/>
    </row>
    <row r="511" customFormat="false" ht="10.5" hidden="false" customHeight="true" outlineLevel="0" collapsed="false">
      <c r="A511" s="112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2"/>
      <c r="R511" s="112"/>
      <c r="S511" s="112"/>
      <c r="T511" s="112"/>
      <c r="U511" s="112"/>
      <c r="V511" s="112"/>
      <c r="W511" s="112"/>
      <c r="X511" s="112"/>
    </row>
    <row r="512" customFormat="false" ht="10.5" hidden="false" customHeight="true" outlineLevel="0" collapsed="false">
      <c r="A512" s="112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/>
    </row>
    <row r="513" customFormat="false" ht="10.5" hidden="false" customHeight="true" outlineLevel="0" collapsed="false">
      <c r="A513" s="112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/>
    </row>
    <row r="514" customFormat="false" ht="10.5" hidden="false" customHeight="true" outlineLevel="0" collapsed="false">
      <c r="A514" s="112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/>
    </row>
    <row r="515" customFormat="false" ht="10.5" hidden="false" customHeight="true" outlineLevel="0" collapsed="false">
      <c r="A515" s="112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2"/>
      <c r="R515" s="112"/>
      <c r="S515" s="112"/>
      <c r="T515" s="112"/>
      <c r="U515" s="112"/>
      <c r="V515" s="112"/>
      <c r="W515" s="112"/>
      <c r="X515" s="112"/>
    </row>
    <row r="516" customFormat="false" ht="10.5" hidden="false" customHeight="true" outlineLevel="0" collapsed="false">
      <c r="A516" s="112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/>
    </row>
    <row r="517" customFormat="false" ht="10.5" hidden="false" customHeight="true" outlineLevel="0" collapsed="false">
      <c r="A517" s="112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/>
      <c r="X517" s="112"/>
    </row>
    <row r="518" customFormat="false" ht="10.5" hidden="false" customHeight="true" outlineLevel="0" collapsed="false">
      <c r="A518" s="112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2"/>
      <c r="R518" s="112"/>
      <c r="S518" s="112"/>
      <c r="T518" s="112"/>
      <c r="U518" s="112"/>
      <c r="V518" s="112"/>
      <c r="W518" s="112"/>
      <c r="X518" s="112"/>
    </row>
    <row r="519" customFormat="false" ht="10.5" hidden="false" customHeight="true" outlineLevel="0" collapsed="false">
      <c r="A519" s="112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/>
    </row>
    <row r="520" customFormat="false" ht="10.5" hidden="false" customHeight="true" outlineLevel="0" collapsed="false">
      <c r="A520" s="112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/>
    </row>
    <row r="521" customFormat="false" ht="10.5" hidden="false" customHeight="true" outlineLevel="0" collapsed="false">
      <c r="A521" s="112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/>
    </row>
    <row r="522" customFormat="false" ht="10.5" hidden="false" customHeight="true" outlineLevel="0" collapsed="false">
      <c r="A522" s="112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12"/>
      <c r="V522" s="112"/>
      <c r="W522" s="112"/>
      <c r="X522" s="112"/>
    </row>
    <row r="523" customFormat="false" ht="10.5" hidden="false" customHeight="true" outlineLevel="0" collapsed="false">
      <c r="A523" s="112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2"/>
      <c r="R523" s="112"/>
      <c r="S523" s="112"/>
      <c r="T523" s="112"/>
      <c r="U523" s="112"/>
      <c r="V523" s="112"/>
      <c r="W523" s="112"/>
      <c r="X523" s="112"/>
    </row>
    <row r="524" customFormat="false" ht="10.5" hidden="false" customHeight="true" outlineLevel="0" collapsed="false">
      <c r="A524" s="112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2"/>
      <c r="R524" s="112"/>
      <c r="S524" s="112"/>
      <c r="T524" s="112"/>
      <c r="U524" s="112"/>
      <c r="V524" s="112"/>
      <c r="W524" s="112"/>
      <c r="X524" s="112"/>
    </row>
    <row r="525" customFormat="false" ht="10.5" hidden="false" customHeight="true" outlineLevel="0" collapsed="false">
      <c r="A525" s="112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2"/>
      <c r="R525" s="112"/>
      <c r="S525" s="112"/>
      <c r="T525" s="112"/>
      <c r="U525" s="112"/>
      <c r="V525" s="112"/>
      <c r="W525" s="112"/>
      <c r="X525" s="112"/>
    </row>
    <row r="526" customFormat="false" ht="10.5" hidden="false" customHeight="true" outlineLevel="0" collapsed="false">
      <c r="A526" s="112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2"/>
      <c r="R526" s="112"/>
      <c r="S526" s="112"/>
      <c r="T526" s="112"/>
      <c r="U526" s="112"/>
      <c r="V526" s="112"/>
      <c r="W526" s="112"/>
      <c r="X526" s="112"/>
    </row>
    <row r="527" customFormat="false" ht="10.5" hidden="false" customHeight="true" outlineLevel="0" collapsed="false">
      <c r="A527" s="112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/>
      <c r="X527" s="112"/>
    </row>
    <row r="528" customFormat="false" ht="10.5" hidden="false" customHeight="true" outlineLevel="0" collapsed="false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2"/>
      <c r="R528" s="112"/>
      <c r="S528" s="112"/>
      <c r="T528" s="112"/>
      <c r="U528" s="112"/>
      <c r="V528" s="112"/>
      <c r="W528" s="112"/>
      <c r="X528" s="112"/>
    </row>
    <row r="529" customFormat="false" ht="10.5" hidden="false" customHeight="true" outlineLevel="0" collapsed="false">
      <c r="A529" s="112"/>
      <c r="B529" s="112"/>
      <c r="C529" s="112"/>
      <c r="D529" s="112"/>
      <c r="E529" s="112"/>
      <c r="F529" s="112"/>
      <c r="G529" s="112"/>
      <c r="H529" s="112"/>
      <c r="I529" s="112"/>
      <c r="J529" s="112"/>
      <c r="K529" s="112"/>
      <c r="L529" s="112"/>
      <c r="M529" s="112"/>
      <c r="N529" s="112"/>
      <c r="O529" s="112"/>
      <c r="P529" s="112"/>
      <c r="Q529" s="112"/>
      <c r="R529" s="112"/>
      <c r="S529" s="112"/>
      <c r="T529" s="112"/>
      <c r="U529" s="112"/>
      <c r="V529" s="112"/>
      <c r="W529" s="112"/>
      <c r="X529" s="112"/>
    </row>
    <row r="530" customFormat="false" ht="10.5" hidden="false" customHeight="true" outlineLevel="0" collapsed="false">
      <c r="A530" s="112"/>
      <c r="B530" s="112"/>
      <c r="C530" s="112"/>
      <c r="D530" s="112"/>
      <c r="E530" s="112"/>
      <c r="F530" s="112"/>
      <c r="G530" s="112"/>
      <c r="H530" s="112"/>
      <c r="I530" s="112"/>
      <c r="J530" s="112"/>
      <c r="K530" s="112"/>
      <c r="L530" s="112"/>
      <c r="M530" s="112"/>
      <c r="N530" s="112"/>
      <c r="O530" s="112"/>
      <c r="P530" s="112"/>
      <c r="Q530" s="112"/>
      <c r="R530" s="112"/>
      <c r="S530" s="112"/>
      <c r="T530" s="112"/>
      <c r="U530" s="112"/>
      <c r="V530" s="112"/>
      <c r="W530" s="112"/>
      <c r="X530" s="112"/>
    </row>
    <row r="531" customFormat="false" ht="10.5" hidden="false" customHeight="true" outlineLevel="0" collapsed="false">
      <c r="A531" s="112"/>
      <c r="B531" s="112"/>
      <c r="C531" s="112"/>
      <c r="D531" s="112"/>
      <c r="E531" s="112"/>
      <c r="F531" s="112"/>
      <c r="G531" s="112"/>
      <c r="H531" s="112"/>
      <c r="I531" s="112"/>
      <c r="J531" s="112"/>
      <c r="K531" s="112"/>
      <c r="L531" s="112"/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/>
    </row>
    <row r="532" customFormat="false" ht="10.5" hidden="false" customHeight="true" outlineLevel="0" collapsed="false">
      <c r="A532" s="112"/>
      <c r="B532" s="112"/>
      <c r="C532" s="112"/>
      <c r="D532" s="112"/>
      <c r="E532" s="112"/>
      <c r="F532" s="112"/>
      <c r="G532" s="112"/>
      <c r="H532" s="112"/>
      <c r="I532" s="112"/>
      <c r="J532" s="112"/>
      <c r="K532" s="112"/>
      <c r="L532" s="112"/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</row>
    <row r="533" customFormat="false" ht="10.5" hidden="false" customHeight="true" outlineLevel="0" collapsed="false">
      <c r="A533" s="112"/>
      <c r="B533" s="112"/>
      <c r="C533" s="112"/>
      <c r="D533" s="112"/>
      <c r="E533" s="112"/>
      <c r="F533" s="112"/>
      <c r="G533" s="112"/>
      <c r="H533" s="112"/>
      <c r="I533" s="112"/>
      <c r="J533" s="112"/>
      <c r="K533" s="112"/>
      <c r="L533" s="112"/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</row>
    <row r="534" customFormat="false" ht="10.5" hidden="false" customHeight="true" outlineLevel="0" collapsed="false">
      <c r="A534" s="112"/>
      <c r="B534" s="112"/>
      <c r="C534" s="112"/>
      <c r="D534" s="112"/>
      <c r="E534" s="112"/>
      <c r="F534" s="112"/>
      <c r="G534" s="112"/>
      <c r="H534" s="112"/>
      <c r="I534" s="112"/>
      <c r="J534" s="112"/>
      <c r="K534" s="112"/>
      <c r="L534" s="112"/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/>
    </row>
    <row r="535" customFormat="false" ht="10.5" hidden="false" customHeight="true" outlineLevel="0" collapsed="false">
      <c r="A535" s="112"/>
      <c r="B535" s="112"/>
      <c r="C535" s="112"/>
      <c r="D535" s="112"/>
      <c r="E535" s="112"/>
      <c r="F535" s="112"/>
      <c r="G535" s="112"/>
      <c r="H535" s="112"/>
      <c r="I535" s="112"/>
      <c r="J535" s="112"/>
      <c r="K535" s="112"/>
      <c r="L535" s="112"/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/>
      <c r="X535" s="112"/>
    </row>
    <row r="536" customFormat="false" ht="10.5" hidden="false" customHeight="true" outlineLevel="0" collapsed="false">
      <c r="A536" s="112"/>
      <c r="B536" s="112"/>
      <c r="C536" s="112"/>
      <c r="D536" s="112"/>
      <c r="E536" s="112"/>
      <c r="F536" s="112"/>
      <c r="G536" s="112"/>
      <c r="H536" s="112"/>
      <c r="I536" s="112"/>
      <c r="J536" s="112"/>
      <c r="K536" s="112"/>
      <c r="L536" s="112"/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/>
    </row>
    <row r="537" customFormat="false" ht="10.5" hidden="false" customHeight="true" outlineLevel="0" collapsed="false">
      <c r="A537" s="112"/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12"/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/>
    </row>
    <row r="538" customFormat="false" ht="10.5" hidden="false" customHeight="true" outlineLevel="0" collapsed="false">
      <c r="A538" s="112"/>
      <c r="B538" s="112"/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  <c r="R538" s="112"/>
      <c r="S538" s="112"/>
      <c r="T538" s="112"/>
      <c r="U538" s="112"/>
      <c r="V538" s="112"/>
      <c r="W538" s="112"/>
      <c r="X538" s="112"/>
    </row>
    <row r="539" customFormat="false" ht="10.5" hidden="false" customHeight="true" outlineLevel="0" collapsed="false">
      <c r="A539" s="112"/>
      <c r="B539" s="112"/>
      <c r="C539" s="112"/>
      <c r="D539" s="112"/>
      <c r="E539" s="112"/>
      <c r="F539" s="112"/>
      <c r="G539" s="112"/>
      <c r="H539" s="112"/>
      <c r="I539" s="112"/>
      <c r="J539" s="112"/>
      <c r="K539" s="112"/>
      <c r="L539" s="112"/>
      <c r="M539" s="112"/>
      <c r="N539" s="112"/>
      <c r="O539" s="112"/>
      <c r="P539" s="112"/>
      <c r="Q539" s="112"/>
      <c r="R539" s="112"/>
      <c r="S539" s="112"/>
      <c r="T539" s="112"/>
      <c r="U539" s="112"/>
      <c r="V539" s="112"/>
      <c r="W539" s="112"/>
      <c r="X539" s="112"/>
    </row>
    <row r="540" customFormat="false" ht="10.5" hidden="false" customHeight="true" outlineLevel="0" collapsed="false">
      <c r="A540" s="112"/>
      <c r="B540" s="112"/>
      <c r="C540" s="112"/>
      <c r="D540" s="112"/>
      <c r="E540" s="112"/>
      <c r="F540" s="112"/>
      <c r="G540" s="112"/>
      <c r="H540" s="112"/>
      <c r="I540" s="112"/>
      <c r="J540" s="112"/>
      <c r="K540" s="112"/>
      <c r="L540" s="112"/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/>
    </row>
    <row r="541" customFormat="false" ht="10.5" hidden="false" customHeight="true" outlineLevel="0" collapsed="false">
      <c r="A541" s="112"/>
      <c r="B541" s="112"/>
      <c r="C541" s="112"/>
      <c r="D541" s="112"/>
      <c r="E541" s="112"/>
      <c r="F541" s="112"/>
      <c r="G541" s="112"/>
      <c r="H541" s="112"/>
      <c r="I541" s="112"/>
      <c r="J541" s="112"/>
      <c r="K541" s="112"/>
      <c r="L541" s="112"/>
      <c r="M541" s="112"/>
      <c r="N541" s="112"/>
      <c r="O541" s="112"/>
      <c r="P541" s="112"/>
      <c r="Q541" s="112"/>
      <c r="R541" s="112"/>
      <c r="S541" s="112"/>
      <c r="T541" s="112"/>
      <c r="U541" s="112"/>
      <c r="V541" s="112"/>
      <c r="W541" s="112"/>
      <c r="X541" s="112"/>
    </row>
    <row r="542" customFormat="false" ht="10.5" hidden="false" customHeight="true" outlineLevel="0" collapsed="false">
      <c r="A542" s="112"/>
      <c r="B542" s="112"/>
      <c r="C542" s="112"/>
      <c r="D542" s="112"/>
      <c r="E542" s="112"/>
      <c r="F542" s="112"/>
      <c r="G542" s="112"/>
      <c r="H542" s="112"/>
      <c r="I542" s="112"/>
      <c r="J542" s="112"/>
      <c r="K542" s="112"/>
      <c r="L542" s="112"/>
      <c r="M542" s="112"/>
      <c r="N542" s="112"/>
      <c r="O542" s="112"/>
      <c r="P542" s="112"/>
      <c r="Q542" s="112"/>
      <c r="R542" s="112"/>
      <c r="S542" s="112"/>
      <c r="T542" s="112"/>
      <c r="U542" s="112"/>
      <c r="V542" s="112"/>
      <c r="W542" s="112"/>
      <c r="X542" s="112"/>
    </row>
    <row r="543" customFormat="false" ht="10.5" hidden="false" customHeight="true" outlineLevel="0" collapsed="false">
      <c r="A543" s="112"/>
      <c r="B543" s="112"/>
      <c r="C543" s="112"/>
      <c r="D543" s="112"/>
      <c r="E543" s="112"/>
      <c r="F543" s="112"/>
      <c r="G543" s="112"/>
      <c r="H543" s="112"/>
      <c r="I543" s="112"/>
      <c r="J543" s="112"/>
      <c r="K543" s="112"/>
      <c r="L543" s="112"/>
      <c r="M543" s="112"/>
      <c r="N543" s="112"/>
      <c r="O543" s="112"/>
      <c r="P543" s="112"/>
      <c r="Q543" s="112"/>
      <c r="R543" s="112"/>
      <c r="S543" s="112"/>
      <c r="T543" s="112"/>
      <c r="U543" s="112"/>
      <c r="V543" s="112"/>
      <c r="W543" s="112"/>
      <c r="X543" s="112"/>
    </row>
    <row r="544" customFormat="false" ht="10.5" hidden="false" customHeight="true" outlineLevel="0" collapsed="false">
      <c r="A544" s="112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</row>
    <row r="545" customFormat="false" ht="10.5" hidden="false" customHeight="true" outlineLevel="0" collapsed="false">
      <c r="A545" s="112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</row>
    <row r="546" customFormat="false" ht="10.5" hidden="false" customHeight="true" outlineLevel="0" collapsed="false">
      <c r="A546" s="112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</row>
    <row r="547" customFormat="false" ht="10.5" hidden="false" customHeight="true" outlineLevel="0" collapsed="false">
      <c r="A547" s="112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</row>
    <row r="548" customFormat="false" ht="10.5" hidden="false" customHeight="true" outlineLevel="0" collapsed="false">
      <c r="A548" s="112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</row>
    <row r="549" customFormat="false" ht="10.5" hidden="false" customHeight="true" outlineLevel="0" collapsed="false">
      <c r="A549" s="112"/>
      <c r="B549" s="112"/>
      <c r="C549" s="112"/>
      <c r="D549" s="112"/>
      <c r="E549" s="112"/>
      <c r="F549" s="112"/>
      <c r="G549" s="112"/>
      <c r="H549" s="112"/>
      <c r="I549" s="112"/>
      <c r="J549" s="112"/>
      <c r="K549" s="112"/>
      <c r="L549" s="112"/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/>
    </row>
    <row r="550" customFormat="false" ht="10.5" hidden="false" customHeight="true" outlineLevel="0" collapsed="false">
      <c r="A550" s="112"/>
      <c r="B550" s="112"/>
      <c r="C550" s="112"/>
      <c r="D550" s="112"/>
      <c r="E550" s="112"/>
      <c r="F550" s="112"/>
      <c r="G550" s="112"/>
      <c r="H550" s="112"/>
      <c r="I550" s="112"/>
      <c r="J550" s="112"/>
      <c r="K550" s="112"/>
      <c r="L550" s="112"/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/>
    </row>
    <row r="551" customFormat="false" ht="10.5" hidden="false" customHeight="true" outlineLevel="0" collapsed="false">
      <c r="A551" s="112"/>
      <c r="B551" s="112"/>
      <c r="C551" s="112"/>
      <c r="D551" s="112"/>
      <c r="E551" s="112"/>
      <c r="F551" s="112"/>
      <c r="G551" s="112"/>
      <c r="H551" s="112"/>
      <c r="I551" s="112"/>
      <c r="J551" s="112"/>
      <c r="K551" s="112"/>
      <c r="L551" s="112"/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/>
    </row>
    <row r="552" customFormat="false" ht="10.5" hidden="false" customHeight="true" outlineLevel="0" collapsed="false">
      <c r="A552" s="112"/>
      <c r="B552" s="112"/>
      <c r="C552" s="112"/>
      <c r="D552" s="112"/>
      <c r="E552" s="112"/>
      <c r="F552" s="112"/>
      <c r="G552" s="112"/>
      <c r="H552" s="112"/>
      <c r="I552" s="112"/>
      <c r="J552" s="112"/>
      <c r="K552" s="112"/>
      <c r="L552" s="112"/>
      <c r="M552" s="112"/>
      <c r="N552" s="112"/>
      <c r="O552" s="112"/>
      <c r="P552" s="112"/>
      <c r="Q552" s="112"/>
      <c r="R552" s="112"/>
      <c r="S552" s="112"/>
      <c r="T552" s="112"/>
      <c r="U552" s="112"/>
      <c r="V552" s="112"/>
      <c r="W552" s="112"/>
      <c r="X552" s="112"/>
    </row>
    <row r="553" customFormat="false" ht="10.5" hidden="false" customHeight="true" outlineLevel="0" collapsed="false">
      <c r="A553" s="112"/>
      <c r="B553" s="112"/>
      <c r="C553" s="112"/>
      <c r="D553" s="112"/>
      <c r="E553" s="112"/>
      <c r="F553" s="112"/>
      <c r="G553" s="112"/>
      <c r="H553" s="112"/>
      <c r="I553" s="112"/>
      <c r="J553" s="112"/>
      <c r="K553" s="112"/>
      <c r="L553" s="112"/>
      <c r="M553" s="112"/>
      <c r="N553" s="112"/>
      <c r="O553" s="112"/>
      <c r="P553" s="112"/>
      <c r="Q553" s="112"/>
      <c r="R553" s="112"/>
      <c r="S553" s="112"/>
      <c r="T553" s="112"/>
      <c r="U553" s="112"/>
      <c r="V553" s="112"/>
      <c r="W553" s="112"/>
      <c r="X553" s="112"/>
    </row>
    <row r="554" customFormat="false" ht="10.5" hidden="false" customHeight="true" outlineLevel="0" collapsed="false">
      <c r="A554" s="112"/>
      <c r="B554" s="112"/>
      <c r="C554" s="112"/>
      <c r="D554" s="112"/>
      <c r="E554" s="112"/>
      <c r="F554" s="112"/>
      <c r="G554" s="112"/>
      <c r="H554" s="112"/>
      <c r="I554" s="112"/>
      <c r="J554" s="112"/>
      <c r="K554" s="112"/>
      <c r="L554" s="112"/>
      <c r="M554" s="112"/>
      <c r="N554" s="112"/>
      <c r="O554" s="112"/>
      <c r="P554" s="112"/>
      <c r="Q554" s="112"/>
      <c r="R554" s="112"/>
      <c r="S554" s="112"/>
      <c r="T554" s="112"/>
      <c r="U554" s="112"/>
      <c r="V554" s="112"/>
      <c r="W554" s="112"/>
      <c r="X554" s="112"/>
    </row>
    <row r="555" customFormat="false" ht="10.5" hidden="false" customHeight="true" outlineLevel="0" collapsed="false">
      <c r="A555" s="112"/>
      <c r="B555" s="112"/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  <c r="R555" s="112"/>
      <c r="S555" s="112"/>
      <c r="T555" s="112"/>
      <c r="U555" s="112"/>
      <c r="V555" s="112"/>
      <c r="W555" s="112"/>
      <c r="X555" s="112"/>
    </row>
    <row r="556" customFormat="false" ht="10.5" hidden="false" customHeight="true" outlineLevel="0" collapsed="false">
      <c r="A556" s="112"/>
      <c r="B556" s="112"/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</row>
    <row r="557" customFormat="false" ht="10.5" hidden="false" customHeight="true" outlineLevel="0" collapsed="false">
      <c r="A557" s="112"/>
      <c r="B557" s="112"/>
      <c r="C557" s="112"/>
      <c r="D557" s="112"/>
      <c r="E557" s="112"/>
      <c r="F557" s="112"/>
      <c r="G557" s="112"/>
      <c r="H557" s="112"/>
      <c r="I557" s="112"/>
      <c r="J557" s="112"/>
      <c r="K557" s="112"/>
      <c r="L557" s="112"/>
      <c r="M557" s="112"/>
      <c r="N557" s="112"/>
      <c r="O557" s="112"/>
      <c r="P557" s="112"/>
      <c r="Q557" s="112"/>
      <c r="R557" s="112"/>
      <c r="S557" s="112"/>
      <c r="T557" s="112"/>
      <c r="U557" s="112"/>
      <c r="V557" s="112"/>
      <c r="W557" s="112"/>
      <c r="X557" s="112"/>
    </row>
    <row r="558" customFormat="false" ht="10.5" hidden="false" customHeight="true" outlineLevel="0" collapsed="false">
      <c r="A558" s="112"/>
      <c r="B558" s="112"/>
      <c r="C558" s="112"/>
      <c r="D558" s="112"/>
      <c r="E558" s="112"/>
      <c r="F558" s="112"/>
      <c r="G558" s="112"/>
      <c r="H558" s="112"/>
      <c r="I558" s="112"/>
      <c r="J558" s="112"/>
      <c r="K558" s="112"/>
      <c r="L558" s="112"/>
      <c r="M558" s="112"/>
      <c r="N558" s="112"/>
      <c r="O558" s="112"/>
      <c r="P558" s="112"/>
      <c r="Q558" s="112"/>
      <c r="R558" s="112"/>
      <c r="S558" s="112"/>
      <c r="T558" s="112"/>
      <c r="U558" s="112"/>
      <c r="V558" s="112"/>
      <c r="W558" s="112"/>
      <c r="X558" s="112"/>
    </row>
    <row r="559" customFormat="false" ht="10.5" hidden="false" customHeight="true" outlineLevel="0" collapsed="false">
      <c r="A559" s="112"/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/>
    </row>
    <row r="560" customFormat="false" ht="10.5" hidden="false" customHeight="true" outlineLevel="0" collapsed="false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12"/>
      <c r="T560" s="112"/>
      <c r="U560" s="112"/>
      <c r="V560" s="112"/>
      <c r="W560" s="112"/>
      <c r="X560" s="112"/>
    </row>
    <row r="561" customFormat="false" ht="10.5" hidden="false" customHeight="true" outlineLevel="0" collapsed="false">
      <c r="A561" s="112"/>
      <c r="B561" s="112"/>
      <c r="C561" s="112"/>
      <c r="D561" s="112"/>
      <c r="E561" s="112"/>
      <c r="F561" s="112"/>
      <c r="G561" s="112"/>
      <c r="H561" s="112"/>
      <c r="I561" s="112"/>
      <c r="J561" s="112"/>
      <c r="K561" s="112"/>
      <c r="L561" s="112"/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/>
    </row>
    <row r="562" customFormat="false" ht="10.5" hidden="false" customHeight="true" outlineLevel="0" collapsed="false">
      <c r="A562" s="112"/>
      <c r="B562" s="112"/>
      <c r="C562" s="112"/>
      <c r="D562" s="112"/>
      <c r="E562" s="112"/>
      <c r="F562" s="112"/>
      <c r="G562" s="112"/>
      <c r="H562" s="112"/>
      <c r="I562" s="112"/>
      <c r="J562" s="112"/>
      <c r="K562" s="112"/>
      <c r="L562" s="112"/>
      <c r="M562" s="112"/>
      <c r="N562" s="112"/>
      <c r="O562" s="112"/>
      <c r="P562" s="112"/>
      <c r="Q562" s="112"/>
      <c r="R562" s="112"/>
      <c r="S562" s="112"/>
      <c r="T562" s="112"/>
      <c r="U562" s="112"/>
      <c r="V562" s="112"/>
      <c r="W562" s="112"/>
      <c r="X562" s="112"/>
    </row>
    <row r="563" customFormat="false" ht="10.5" hidden="false" customHeight="true" outlineLevel="0" collapsed="false">
      <c r="A563" s="112"/>
      <c r="B563" s="112"/>
      <c r="C563" s="112"/>
      <c r="D563" s="112"/>
      <c r="E563" s="112"/>
      <c r="F563" s="112"/>
      <c r="G563" s="112"/>
      <c r="H563" s="112"/>
      <c r="I563" s="112"/>
      <c r="J563" s="112"/>
      <c r="K563" s="112"/>
      <c r="L563" s="112"/>
      <c r="M563" s="112"/>
      <c r="N563" s="112"/>
      <c r="O563" s="112"/>
      <c r="P563" s="112"/>
      <c r="Q563" s="112"/>
      <c r="R563" s="112"/>
      <c r="S563" s="112"/>
      <c r="T563" s="112"/>
      <c r="U563" s="112"/>
      <c r="V563" s="112"/>
      <c r="W563" s="112"/>
      <c r="X563" s="112"/>
    </row>
    <row r="564" customFormat="false" ht="10.5" hidden="false" customHeight="true" outlineLevel="0" collapsed="false">
      <c r="A564" s="112"/>
      <c r="B564" s="112"/>
      <c r="C564" s="112"/>
      <c r="D564" s="112"/>
      <c r="E564" s="112"/>
      <c r="F564" s="112"/>
      <c r="G564" s="112"/>
      <c r="H564" s="112"/>
      <c r="I564" s="112"/>
      <c r="J564" s="112"/>
      <c r="K564" s="112"/>
      <c r="L564" s="112"/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/>
      <c r="X564" s="112"/>
    </row>
    <row r="565" customFormat="false" ht="10.5" hidden="false" customHeight="true" outlineLevel="0" collapsed="false">
      <c r="A565" s="112"/>
      <c r="B565" s="112"/>
      <c r="C565" s="112"/>
      <c r="D565" s="112"/>
      <c r="E565" s="112"/>
      <c r="F565" s="112"/>
      <c r="G565" s="112"/>
      <c r="H565" s="112"/>
      <c r="I565" s="112"/>
      <c r="J565" s="112"/>
      <c r="K565" s="112"/>
      <c r="L565" s="112"/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/>
    </row>
    <row r="566" customFormat="false" ht="10.5" hidden="false" customHeight="true" outlineLevel="0" collapsed="false">
      <c r="A566" s="112"/>
      <c r="B566" s="112"/>
      <c r="C566" s="112"/>
      <c r="D566" s="112"/>
      <c r="E566" s="112"/>
      <c r="F566" s="112"/>
      <c r="G566" s="112"/>
      <c r="H566" s="112"/>
      <c r="I566" s="112"/>
      <c r="J566" s="112"/>
      <c r="K566" s="112"/>
      <c r="L566" s="112"/>
      <c r="M566" s="112"/>
      <c r="N566" s="112"/>
      <c r="O566" s="112"/>
      <c r="P566" s="112"/>
      <c r="Q566" s="112"/>
      <c r="R566" s="112"/>
      <c r="S566" s="112"/>
      <c r="T566" s="112"/>
      <c r="U566" s="112"/>
      <c r="V566" s="112"/>
      <c r="W566" s="112"/>
      <c r="X566" s="112"/>
    </row>
    <row r="567" customFormat="false" ht="10.5" hidden="false" customHeight="true" outlineLevel="0" collapsed="false">
      <c r="A567" s="112"/>
      <c r="B567" s="112"/>
      <c r="C567" s="112"/>
      <c r="D567" s="112"/>
      <c r="E567" s="112"/>
      <c r="F567" s="112"/>
      <c r="G567" s="112"/>
      <c r="H567" s="112"/>
      <c r="I567" s="112"/>
      <c r="J567" s="112"/>
      <c r="K567" s="112"/>
      <c r="L567" s="112"/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/>
      <c r="X567" s="112"/>
    </row>
    <row r="568" customFormat="false" ht="10.5" hidden="false" customHeight="true" outlineLevel="0" collapsed="false">
      <c r="A568" s="112"/>
      <c r="B568" s="112"/>
      <c r="C568" s="112"/>
      <c r="D568" s="112"/>
      <c r="E568" s="112"/>
      <c r="F568" s="112"/>
      <c r="G568" s="112"/>
      <c r="H568" s="112"/>
      <c r="I568" s="112"/>
      <c r="J568" s="112"/>
      <c r="K568" s="112"/>
      <c r="L568" s="112"/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/>
      <c r="X568" s="112"/>
    </row>
    <row r="569" customFormat="false" ht="10.5" hidden="false" customHeight="true" outlineLevel="0" collapsed="false">
      <c r="A569" s="112"/>
      <c r="B569" s="112"/>
      <c r="C569" s="112"/>
      <c r="D569" s="112"/>
      <c r="E569" s="112"/>
      <c r="F569" s="112"/>
      <c r="G569" s="112"/>
      <c r="H569" s="112"/>
      <c r="I569" s="112"/>
      <c r="J569" s="112"/>
      <c r="K569" s="112"/>
      <c r="L569" s="112"/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/>
    </row>
    <row r="570" customFormat="false" ht="10.5" hidden="false" customHeight="true" outlineLevel="0" collapsed="false">
      <c r="A570" s="112"/>
      <c r="B570" s="112"/>
      <c r="C570" s="112"/>
      <c r="D570" s="112"/>
      <c r="E570" s="112"/>
      <c r="F570" s="112"/>
      <c r="G570" s="112"/>
      <c r="H570" s="112"/>
      <c r="I570" s="112"/>
      <c r="J570" s="112"/>
      <c r="K570" s="112"/>
      <c r="L570" s="112"/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/>
    </row>
    <row r="571" customFormat="false" ht="10.5" hidden="false" customHeight="true" outlineLevel="0" collapsed="false">
      <c r="A571" s="112"/>
      <c r="B571" s="112"/>
      <c r="C571" s="112"/>
      <c r="D571" s="112"/>
      <c r="E571" s="112"/>
      <c r="F571" s="112"/>
      <c r="G571" s="112"/>
      <c r="H571" s="112"/>
      <c r="I571" s="112"/>
      <c r="J571" s="112"/>
      <c r="K571" s="112"/>
      <c r="L571" s="112"/>
      <c r="M571" s="112"/>
      <c r="N571" s="112"/>
      <c r="O571" s="112"/>
      <c r="P571" s="112"/>
      <c r="Q571" s="112"/>
      <c r="R571" s="112"/>
      <c r="S571" s="112"/>
      <c r="T571" s="112"/>
      <c r="U571" s="112"/>
      <c r="V571" s="112"/>
      <c r="W571" s="112"/>
      <c r="X571" s="112"/>
    </row>
    <row r="572" customFormat="false" ht="10.5" hidden="false" customHeight="true" outlineLevel="0" collapsed="false">
      <c r="A572" s="112"/>
      <c r="B572" s="112"/>
      <c r="C572" s="112"/>
      <c r="D572" s="112"/>
      <c r="E572" s="112"/>
      <c r="F572" s="112"/>
      <c r="G572" s="112"/>
      <c r="H572" s="112"/>
      <c r="I572" s="112"/>
      <c r="J572" s="112"/>
      <c r="K572" s="112"/>
      <c r="L572" s="112"/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/>
    </row>
    <row r="573" customFormat="false" ht="10.5" hidden="false" customHeight="true" outlineLevel="0" collapsed="false">
      <c r="A573" s="112"/>
      <c r="B573" s="112"/>
      <c r="C573" s="112"/>
      <c r="D573" s="112"/>
      <c r="E573" s="112"/>
      <c r="F573" s="112"/>
      <c r="G573" s="112"/>
      <c r="H573" s="112"/>
      <c r="I573" s="112"/>
      <c r="J573" s="112"/>
      <c r="K573" s="112"/>
      <c r="L573" s="112"/>
      <c r="M573" s="112"/>
      <c r="N573" s="112"/>
      <c r="O573" s="112"/>
      <c r="P573" s="112"/>
      <c r="Q573" s="112"/>
      <c r="R573" s="112"/>
      <c r="S573" s="112"/>
      <c r="T573" s="112"/>
      <c r="U573" s="112"/>
      <c r="V573" s="112"/>
      <c r="W573" s="112"/>
      <c r="X573" s="112"/>
    </row>
    <row r="574" customFormat="false" ht="10.5" hidden="false" customHeight="true" outlineLevel="0" collapsed="false">
      <c r="A574" s="112"/>
      <c r="B574" s="112"/>
      <c r="C574" s="112"/>
      <c r="D574" s="112"/>
      <c r="E574" s="112"/>
      <c r="F574" s="112"/>
      <c r="G574" s="112"/>
      <c r="H574" s="112"/>
      <c r="I574" s="112"/>
      <c r="J574" s="112"/>
      <c r="K574" s="112"/>
      <c r="L574" s="112"/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/>
      <c r="X574" s="112"/>
    </row>
    <row r="575" customFormat="false" ht="10.5" hidden="false" customHeight="true" outlineLevel="0" collapsed="false">
      <c r="A575" s="112"/>
      <c r="B575" s="112"/>
      <c r="C575" s="112"/>
      <c r="D575" s="112"/>
      <c r="E575" s="112"/>
      <c r="F575" s="112"/>
      <c r="G575" s="112"/>
      <c r="H575" s="112"/>
      <c r="I575" s="112"/>
      <c r="J575" s="112"/>
      <c r="K575" s="112"/>
      <c r="L575" s="112"/>
      <c r="M575" s="112"/>
      <c r="N575" s="112"/>
      <c r="O575" s="112"/>
      <c r="P575" s="112"/>
      <c r="Q575" s="112"/>
      <c r="R575" s="112"/>
      <c r="S575" s="112"/>
      <c r="T575" s="112"/>
      <c r="U575" s="112"/>
      <c r="V575" s="112"/>
      <c r="W575" s="112"/>
      <c r="X575" s="112"/>
    </row>
    <row r="576" customFormat="false" ht="10.5" hidden="false" customHeight="true" outlineLevel="0" collapsed="false">
      <c r="A576" s="112"/>
      <c r="B576" s="112"/>
      <c r="C576" s="112"/>
      <c r="D576" s="112"/>
      <c r="E576" s="112"/>
      <c r="F576" s="112"/>
      <c r="G576" s="112"/>
      <c r="H576" s="112"/>
      <c r="I576" s="112"/>
      <c r="J576" s="112"/>
      <c r="K576" s="112"/>
      <c r="L576" s="112"/>
      <c r="M576" s="112"/>
      <c r="N576" s="112"/>
      <c r="O576" s="112"/>
      <c r="P576" s="112"/>
      <c r="Q576" s="112"/>
      <c r="R576" s="112"/>
      <c r="S576" s="112"/>
      <c r="T576" s="112"/>
      <c r="U576" s="112"/>
      <c r="V576" s="112"/>
      <c r="W576" s="112"/>
      <c r="X576" s="112"/>
    </row>
    <row r="577" customFormat="false" ht="10.5" hidden="false" customHeight="true" outlineLevel="0" collapsed="false">
      <c r="A577" s="112"/>
      <c r="B577" s="112"/>
      <c r="C577" s="112"/>
      <c r="D577" s="112"/>
      <c r="E577" s="112"/>
      <c r="F577" s="112"/>
      <c r="G577" s="112"/>
      <c r="H577" s="112"/>
      <c r="I577" s="112"/>
      <c r="J577" s="112"/>
      <c r="K577" s="112"/>
      <c r="L577" s="112"/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/>
      <c r="X577" s="112"/>
    </row>
    <row r="578" customFormat="false" ht="10.5" hidden="false" customHeight="true" outlineLevel="0" collapsed="false">
      <c r="A578" s="112"/>
      <c r="B578" s="112"/>
      <c r="C578" s="112"/>
      <c r="D578" s="112"/>
      <c r="E578" s="112"/>
      <c r="F578" s="112"/>
      <c r="G578" s="112"/>
      <c r="H578" s="112"/>
      <c r="I578" s="112"/>
      <c r="J578" s="112"/>
      <c r="K578" s="112"/>
      <c r="L578" s="112"/>
      <c r="M578" s="112"/>
      <c r="N578" s="112"/>
      <c r="O578" s="112"/>
      <c r="P578" s="112"/>
      <c r="Q578" s="112"/>
      <c r="R578" s="112"/>
      <c r="S578" s="112"/>
      <c r="T578" s="112"/>
      <c r="U578" s="112"/>
      <c r="V578" s="112"/>
      <c r="W578" s="112"/>
      <c r="X578" s="112"/>
    </row>
    <row r="579" customFormat="false" ht="10.5" hidden="false" customHeight="true" outlineLevel="0" collapsed="false">
      <c r="A579" s="112"/>
      <c r="B579" s="112"/>
      <c r="C579" s="112"/>
      <c r="D579" s="112"/>
      <c r="E579" s="112"/>
      <c r="F579" s="112"/>
      <c r="G579" s="112"/>
      <c r="H579" s="112"/>
      <c r="I579" s="112"/>
      <c r="J579" s="112"/>
      <c r="K579" s="112"/>
      <c r="L579" s="112"/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/>
      <c r="X579" s="112"/>
    </row>
    <row r="580" customFormat="false" ht="10.5" hidden="false" customHeight="true" outlineLevel="0" collapsed="false">
      <c r="A580" s="112"/>
      <c r="B580" s="112"/>
      <c r="C580" s="112"/>
      <c r="D580" s="112"/>
      <c r="E580" s="112"/>
      <c r="F580" s="112"/>
      <c r="G580" s="112"/>
      <c r="H580" s="112"/>
      <c r="I580" s="112"/>
      <c r="J580" s="112"/>
      <c r="K580" s="112"/>
      <c r="L580" s="112"/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/>
      <c r="X580" s="112"/>
    </row>
    <row r="581" customFormat="false" ht="10.5" hidden="false" customHeight="true" outlineLevel="0" collapsed="false">
      <c r="A581" s="112"/>
      <c r="B581" s="112"/>
      <c r="C581" s="112"/>
      <c r="D581" s="112"/>
      <c r="E581" s="112"/>
      <c r="F581" s="112"/>
      <c r="G581" s="112"/>
      <c r="H581" s="112"/>
      <c r="I581" s="112"/>
      <c r="J581" s="112"/>
      <c r="K581" s="112"/>
      <c r="L581" s="112"/>
      <c r="M581" s="112"/>
      <c r="N581" s="112"/>
      <c r="O581" s="112"/>
      <c r="P581" s="112"/>
      <c r="Q581" s="112"/>
      <c r="R581" s="112"/>
      <c r="S581" s="112"/>
      <c r="T581" s="112"/>
      <c r="U581" s="112"/>
      <c r="V581" s="112"/>
      <c r="W581" s="112"/>
      <c r="X581" s="112"/>
    </row>
    <row r="582" customFormat="false" ht="10.5" hidden="false" customHeight="true" outlineLevel="0" collapsed="false">
      <c r="A582" s="112"/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12"/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/>
    </row>
    <row r="583" customFormat="false" ht="10.5" hidden="false" customHeight="true" outlineLevel="0" collapsed="false">
      <c r="A583" s="112"/>
      <c r="B583" s="112"/>
      <c r="C583" s="112"/>
      <c r="D583" s="112"/>
      <c r="E583" s="112"/>
      <c r="F583" s="112"/>
      <c r="G583" s="112"/>
      <c r="H583" s="112"/>
      <c r="I583" s="112"/>
      <c r="J583" s="112"/>
      <c r="K583" s="112"/>
      <c r="L583" s="112"/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/>
    </row>
    <row r="584" customFormat="false" ht="10.5" hidden="false" customHeight="true" outlineLevel="0" collapsed="false">
      <c r="A584" s="112"/>
      <c r="B584" s="112"/>
      <c r="C584" s="112"/>
      <c r="D584" s="112"/>
      <c r="E584" s="112"/>
      <c r="F584" s="112"/>
      <c r="G584" s="112"/>
      <c r="H584" s="112"/>
      <c r="I584" s="112"/>
      <c r="J584" s="112"/>
      <c r="K584" s="112"/>
      <c r="L584" s="112"/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/>
    </row>
    <row r="585" customFormat="false" ht="10.5" hidden="false" customHeight="true" outlineLevel="0" collapsed="false">
      <c r="A585" s="112"/>
      <c r="B585" s="112"/>
      <c r="C585" s="112"/>
      <c r="D585" s="112"/>
      <c r="E585" s="112"/>
      <c r="F585" s="112"/>
      <c r="G585" s="112"/>
      <c r="H585" s="112"/>
      <c r="I585" s="112"/>
      <c r="J585" s="112"/>
      <c r="K585" s="112"/>
      <c r="L585" s="112"/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/>
    </row>
    <row r="586" customFormat="false" ht="10.5" hidden="false" customHeight="true" outlineLevel="0" collapsed="false">
      <c r="A586" s="112"/>
      <c r="B586" s="112"/>
      <c r="C586" s="112"/>
      <c r="D586" s="112"/>
      <c r="E586" s="112"/>
      <c r="F586" s="112"/>
      <c r="G586" s="112"/>
      <c r="H586" s="112"/>
      <c r="I586" s="112"/>
      <c r="J586" s="112"/>
      <c r="K586" s="112"/>
      <c r="L586" s="112"/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/>
    </row>
    <row r="587" customFormat="false" ht="10.5" hidden="false" customHeight="true" outlineLevel="0" collapsed="false">
      <c r="A587" s="112"/>
      <c r="B587" s="112"/>
      <c r="C587" s="112"/>
      <c r="D587" s="112"/>
      <c r="E587" s="112"/>
      <c r="F587" s="112"/>
      <c r="G587" s="112"/>
      <c r="H587" s="112"/>
      <c r="I587" s="112"/>
      <c r="J587" s="112"/>
      <c r="K587" s="112"/>
      <c r="L587" s="112"/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/>
    </row>
    <row r="588" customFormat="false" ht="10.5" hidden="false" customHeight="true" outlineLevel="0" collapsed="false">
      <c r="A588" s="112"/>
      <c r="B588" s="112"/>
      <c r="C588" s="112"/>
      <c r="D588" s="112"/>
      <c r="E588" s="112"/>
      <c r="F588" s="112"/>
      <c r="G588" s="112"/>
      <c r="H588" s="112"/>
      <c r="I588" s="112"/>
      <c r="J588" s="112"/>
      <c r="K588" s="112"/>
      <c r="L588" s="112"/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/>
    </row>
    <row r="589" customFormat="false" ht="10.5" hidden="false" customHeight="true" outlineLevel="0" collapsed="false">
      <c r="A589" s="112"/>
      <c r="B589" s="112"/>
      <c r="C589" s="112"/>
      <c r="D589" s="112"/>
      <c r="E589" s="112"/>
      <c r="F589" s="112"/>
      <c r="G589" s="112"/>
      <c r="H589" s="112"/>
      <c r="I589" s="112"/>
      <c r="J589" s="112"/>
      <c r="K589" s="112"/>
      <c r="L589" s="112"/>
      <c r="M589" s="112"/>
      <c r="N589" s="112"/>
      <c r="O589" s="112"/>
      <c r="P589" s="112"/>
      <c r="Q589" s="112"/>
      <c r="R589" s="112"/>
      <c r="S589" s="112"/>
      <c r="T589" s="112"/>
      <c r="U589" s="112"/>
      <c r="V589" s="112"/>
      <c r="W589" s="112"/>
      <c r="X589" s="112"/>
    </row>
    <row r="590" customFormat="false" ht="10.5" hidden="false" customHeight="true" outlineLevel="0" collapsed="false">
      <c r="A590" s="112"/>
      <c r="B590" s="112"/>
      <c r="C590" s="112"/>
      <c r="D590" s="112"/>
      <c r="E590" s="112"/>
      <c r="F590" s="112"/>
      <c r="G590" s="112"/>
      <c r="H590" s="112"/>
      <c r="I590" s="112"/>
      <c r="J590" s="112"/>
      <c r="K590" s="112"/>
      <c r="L590" s="112"/>
      <c r="M590" s="112"/>
      <c r="N590" s="112"/>
      <c r="O590" s="112"/>
      <c r="P590" s="112"/>
      <c r="Q590" s="112"/>
      <c r="R590" s="112"/>
      <c r="S590" s="112"/>
      <c r="T590" s="112"/>
      <c r="U590" s="112"/>
      <c r="V590" s="112"/>
      <c r="W590" s="112"/>
      <c r="X590" s="112"/>
    </row>
    <row r="591" customFormat="false" ht="10.5" hidden="false" customHeight="true" outlineLevel="0" collapsed="false">
      <c r="A591" s="112"/>
      <c r="B591" s="112"/>
      <c r="C591" s="112"/>
      <c r="D591" s="112"/>
      <c r="E591" s="112"/>
      <c r="F591" s="112"/>
      <c r="G591" s="112"/>
      <c r="H591" s="112"/>
      <c r="I591" s="112"/>
      <c r="J591" s="112"/>
      <c r="K591" s="112"/>
      <c r="L591" s="112"/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/>
    </row>
    <row r="592" customFormat="false" ht="10.5" hidden="false" customHeight="true" outlineLevel="0" collapsed="false">
      <c r="A592" s="112"/>
      <c r="B592" s="112"/>
      <c r="C592" s="112"/>
      <c r="D592" s="112"/>
      <c r="E592" s="112"/>
      <c r="F592" s="112"/>
      <c r="G592" s="112"/>
      <c r="H592" s="112"/>
      <c r="I592" s="112"/>
      <c r="J592" s="112"/>
      <c r="K592" s="112"/>
      <c r="L592" s="112"/>
      <c r="M592" s="112"/>
      <c r="N592" s="112"/>
      <c r="O592" s="112"/>
      <c r="P592" s="112"/>
      <c r="Q592" s="112"/>
      <c r="R592" s="112"/>
      <c r="S592" s="112"/>
      <c r="T592" s="112"/>
      <c r="U592" s="112"/>
      <c r="V592" s="112"/>
      <c r="W592" s="112"/>
      <c r="X592" s="112"/>
    </row>
    <row r="593" customFormat="false" ht="10.5" hidden="false" customHeight="true" outlineLevel="0" collapsed="false">
      <c r="A593" s="112"/>
      <c r="B593" s="112"/>
      <c r="C593" s="112"/>
      <c r="D593" s="112"/>
      <c r="E593" s="112"/>
      <c r="F593" s="112"/>
      <c r="G593" s="112"/>
      <c r="H593" s="112"/>
      <c r="I593" s="112"/>
      <c r="J593" s="112"/>
      <c r="K593" s="112"/>
      <c r="L593" s="112"/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/>
      <c r="X593" s="112"/>
    </row>
    <row r="594" customFormat="false" ht="10.5" hidden="false" customHeight="true" outlineLevel="0" collapsed="false">
      <c r="A594" s="112"/>
      <c r="B594" s="112"/>
      <c r="C594" s="112"/>
      <c r="D594" s="112"/>
      <c r="E594" s="112"/>
      <c r="F594" s="112"/>
      <c r="G594" s="112"/>
      <c r="H594" s="112"/>
      <c r="I594" s="112"/>
      <c r="J594" s="112"/>
      <c r="K594" s="112"/>
      <c r="L594" s="112"/>
      <c r="M594" s="112"/>
      <c r="N594" s="112"/>
      <c r="O594" s="112"/>
      <c r="P594" s="112"/>
      <c r="Q594" s="112"/>
      <c r="R594" s="112"/>
      <c r="S594" s="112"/>
      <c r="T594" s="112"/>
      <c r="U594" s="112"/>
      <c r="V594" s="112"/>
      <c r="W594" s="112"/>
      <c r="X594" s="112"/>
    </row>
    <row r="595" customFormat="false" ht="10.5" hidden="false" customHeight="true" outlineLevel="0" collapsed="false">
      <c r="A595" s="112"/>
      <c r="B595" s="112"/>
      <c r="C595" s="112"/>
      <c r="D595" s="112"/>
      <c r="E595" s="112"/>
      <c r="F595" s="112"/>
      <c r="G595" s="112"/>
      <c r="H595" s="112"/>
      <c r="I595" s="112"/>
      <c r="J595" s="112"/>
      <c r="K595" s="112"/>
      <c r="L595" s="112"/>
      <c r="M595" s="112"/>
      <c r="N595" s="112"/>
      <c r="O595" s="112"/>
      <c r="P595" s="112"/>
      <c r="Q595" s="112"/>
      <c r="R595" s="112"/>
      <c r="S595" s="112"/>
      <c r="T595" s="112"/>
      <c r="U595" s="112"/>
      <c r="V595" s="112"/>
      <c r="W595" s="112"/>
      <c r="X595" s="112"/>
    </row>
    <row r="596" customFormat="false" ht="10.5" hidden="false" customHeight="true" outlineLevel="0" collapsed="false">
      <c r="A596" s="112"/>
      <c r="B596" s="112"/>
      <c r="C596" s="112"/>
      <c r="D596" s="112"/>
      <c r="E596" s="112"/>
      <c r="F596" s="112"/>
      <c r="G596" s="112"/>
      <c r="H596" s="112"/>
      <c r="I596" s="112"/>
      <c r="J596" s="112"/>
      <c r="K596" s="112"/>
      <c r="L596" s="112"/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/>
      <c r="X596" s="112"/>
    </row>
    <row r="597" customFormat="false" ht="10.5" hidden="false" customHeight="true" outlineLevel="0" collapsed="false">
      <c r="A597" s="112"/>
      <c r="B597" s="112"/>
      <c r="C597" s="112"/>
      <c r="D597" s="112"/>
      <c r="E597" s="112"/>
      <c r="F597" s="112"/>
      <c r="G597" s="112"/>
      <c r="H597" s="112"/>
      <c r="I597" s="112"/>
      <c r="J597" s="112"/>
      <c r="K597" s="112"/>
      <c r="L597" s="112"/>
      <c r="M597" s="112"/>
      <c r="N597" s="112"/>
      <c r="O597" s="112"/>
      <c r="P597" s="112"/>
      <c r="Q597" s="112"/>
      <c r="R597" s="112"/>
      <c r="S597" s="112"/>
      <c r="T597" s="112"/>
      <c r="U597" s="112"/>
      <c r="V597" s="112"/>
      <c r="W597" s="112"/>
      <c r="X597" s="112"/>
    </row>
    <row r="598" customFormat="false" ht="10.5" hidden="false" customHeight="true" outlineLevel="0" collapsed="false">
      <c r="A598" s="112"/>
      <c r="B598" s="112"/>
      <c r="C598" s="112"/>
      <c r="D598" s="112"/>
      <c r="E598" s="112"/>
      <c r="F598" s="112"/>
      <c r="G598" s="112"/>
      <c r="H598" s="112"/>
      <c r="I598" s="112"/>
      <c r="J598" s="112"/>
      <c r="K598" s="112"/>
      <c r="L598" s="112"/>
      <c r="M598" s="112"/>
      <c r="N598" s="112"/>
      <c r="O598" s="112"/>
      <c r="P598" s="112"/>
      <c r="Q598" s="112"/>
      <c r="R598" s="112"/>
      <c r="S598" s="112"/>
      <c r="T598" s="112"/>
      <c r="U598" s="112"/>
      <c r="V598" s="112"/>
      <c r="W598" s="112"/>
      <c r="X598" s="112"/>
    </row>
    <row r="599" customFormat="false" ht="10.5" hidden="false" customHeight="true" outlineLevel="0" collapsed="false">
      <c r="A599" s="112"/>
      <c r="B599" s="112"/>
      <c r="C599" s="112"/>
      <c r="D599" s="112"/>
      <c r="E599" s="112"/>
      <c r="F599" s="112"/>
      <c r="G599" s="112"/>
      <c r="H599" s="112"/>
      <c r="I599" s="112"/>
      <c r="J599" s="112"/>
      <c r="K599" s="112"/>
      <c r="L599" s="112"/>
      <c r="M599" s="112"/>
      <c r="N599" s="112"/>
      <c r="O599" s="112"/>
      <c r="P599" s="112"/>
      <c r="Q599" s="112"/>
      <c r="R599" s="112"/>
      <c r="S599" s="112"/>
      <c r="T599" s="112"/>
      <c r="U599" s="112"/>
      <c r="V599" s="112"/>
      <c r="W599" s="112"/>
      <c r="X599" s="112"/>
    </row>
    <row r="600" customFormat="false" ht="10.5" hidden="false" customHeight="true" outlineLevel="0" collapsed="false">
      <c r="A600" s="112"/>
      <c r="B600" s="112"/>
      <c r="C600" s="112"/>
      <c r="D600" s="112"/>
      <c r="E600" s="112"/>
      <c r="F600" s="112"/>
      <c r="G600" s="112"/>
      <c r="H600" s="112"/>
      <c r="I600" s="112"/>
      <c r="J600" s="112"/>
      <c r="K600" s="112"/>
      <c r="L600" s="112"/>
      <c r="M600" s="112"/>
      <c r="N600" s="112"/>
      <c r="O600" s="112"/>
      <c r="P600" s="112"/>
      <c r="Q600" s="112"/>
      <c r="R600" s="112"/>
      <c r="S600" s="112"/>
      <c r="T600" s="112"/>
      <c r="U600" s="112"/>
      <c r="V600" s="112"/>
      <c r="W600" s="112"/>
      <c r="X600" s="112"/>
    </row>
    <row r="601" customFormat="false" ht="10.5" hidden="false" customHeight="true" outlineLevel="0" collapsed="false">
      <c r="A601" s="112"/>
      <c r="B601" s="112"/>
      <c r="C601" s="112"/>
      <c r="D601" s="112"/>
      <c r="E601" s="112"/>
      <c r="F601" s="112"/>
      <c r="G601" s="112"/>
      <c r="H601" s="112"/>
      <c r="I601" s="112"/>
      <c r="J601" s="112"/>
      <c r="K601" s="112"/>
      <c r="L601" s="112"/>
      <c r="M601" s="112"/>
      <c r="N601" s="112"/>
      <c r="O601" s="112"/>
      <c r="P601" s="112"/>
      <c r="Q601" s="112"/>
      <c r="R601" s="112"/>
      <c r="S601" s="112"/>
      <c r="T601" s="112"/>
      <c r="U601" s="112"/>
      <c r="V601" s="112"/>
      <c r="W601" s="112"/>
      <c r="X601" s="112"/>
    </row>
    <row r="602" customFormat="false" ht="10.5" hidden="false" customHeight="true" outlineLevel="0" collapsed="false">
      <c r="A602" s="112"/>
      <c r="B602" s="112"/>
      <c r="C602" s="112"/>
      <c r="D602" s="112"/>
      <c r="E602" s="112"/>
      <c r="F602" s="112"/>
      <c r="G602" s="112"/>
      <c r="H602" s="112"/>
      <c r="I602" s="112"/>
      <c r="J602" s="112"/>
      <c r="K602" s="112"/>
      <c r="L602" s="112"/>
      <c r="M602" s="112"/>
      <c r="N602" s="112"/>
      <c r="O602" s="112"/>
      <c r="P602" s="112"/>
      <c r="Q602" s="112"/>
      <c r="R602" s="112"/>
      <c r="S602" s="112"/>
      <c r="T602" s="112"/>
      <c r="U602" s="112"/>
      <c r="V602" s="112"/>
      <c r="W602" s="112"/>
      <c r="X602" s="112"/>
    </row>
    <row r="603" customFormat="false" ht="10.5" hidden="false" customHeight="true" outlineLevel="0" collapsed="false">
      <c r="A603" s="112"/>
      <c r="B603" s="112"/>
      <c r="C603" s="112"/>
      <c r="D603" s="112"/>
      <c r="E603" s="112"/>
      <c r="F603" s="112"/>
      <c r="G603" s="112"/>
      <c r="H603" s="112"/>
      <c r="I603" s="112"/>
      <c r="J603" s="112"/>
      <c r="K603" s="112"/>
      <c r="L603" s="112"/>
      <c r="M603" s="112"/>
      <c r="N603" s="112"/>
      <c r="O603" s="112"/>
      <c r="P603" s="112"/>
      <c r="Q603" s="112"/>
      <c r="R603" s="112"/>
      <c r="S603" s="112"/>
      <c r="T603" s="112"/>
      <c r="U603" s="112"/>
      <c r="V603" s="112"/>
      <c r="W603" s="112"/>
      <c r="X603" s="112"/>
    </row>
    <row r="604" customFormat="false" ht="10.5" hidden="false" customHeight="true" outlineLevel="0" collapsed="false">
      <c r="A604" s="112"/>
      <c r="B604" s="112"/>
      <c r="C604" s="112"/>
      <c r="D604" s="112"/>
      <c r="E604" s="112"/>
      <c r="F604" s="112"/>
      <c r="G604" s="112"/>
      <c r="H604" s="112"/>
      <c r="I604" s="112"/>
      <c r="J604" s="112"/>
      <c r="K604" s="112"/>
      <c r="L604" s="112"/>
      <c r="M604" s="112"/>
      <c r="N604" s="112"/>
      <c r="O604" s="112"/>
      <c r="P604" s="112"/>
      <c r="Q604" s="112"/>
      <c r="R604" s="112"/>
      <c r="S604" s="112"/>
      <c r="T604" s="112"/>
      <c r="U604" s="112"/>
      <c r="V604" s="112"/>
      <c r="W604" s="112"/>
      <c r="X604" s="112"/>
    </row>
    <row r="605" customFormat="false" ht="10.5" hidden="false" customHeight="true" outlineLevel="0" collapsed="false">
      <c r="A605" s="112"/>
      <c r="B605" s="112"/>
      <c r="C605" s="112"/>
      <c r="D605" s="112"/>
      <c r="E605" s="112"/>
      <c r="F605" s="112"/>
      <c r="G605" s="112"/>
      <c r="H605" s="112"/>
      <c r="I605" s="112"/>
      <c r="J605" s="112"/>
      <c r="K605" s="112"/>
      <c r="L605" s="112"/>
      <c r="M605" s="112"/>
      <c r="N605" s="112"/>
      <c r="O605" s="112"/>
      <c r="P605" s="112"/>
      <c r="Q605" s="112"/>
      <c r="R605" s="112"/>
      <c r="S605" s="112"/>
      <c r="T605" s="112"/>
      <c r="U605" s="112"/>
      <c r="V605" s="112"/>
      <c r="W605" s="112"/>
      <c r="X605" s="112"/>
    </row>
    <row r="606" customFormat="false" ht="10.5" hidden="false" customHeight="true" outlineLevel="0" collapsed="false">
      <c r="A606" s="112"/>
      <c r="B606" s="112"/>
      <c r="C606" s="112"/>
      <c r="D606" s="112"/>
      <c r="E606" s="112"/>
      <c r="F606" s="112"/>
      <c r="G606" s="112"/>
      <c r="H606" s="112"/>
      <c r="I606" s="112"/>
      <c r="J606" s="112"/>
      <c r="K606" s="112"/>
      <c r="L606" s="112"/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/>
      <c r="X606" s="112"/>
    </row>
    <row r="607" customFormat="false" ht="10.5" hidden="false" customHeight="true" outlineLevel="0" collapsed="false">
      <c r="A607" s="112"/>
      <c r="B607" s="112"/>
      <c r="C607" s="112"/>
      <c r="D607" s="112"/>
      <c r="E607" s="112"/>
      <c r="F607" s="112"/>
      <c r="G607" s="112"/>
      <c r="H607" s="112"/>
      <c r="I607" s="112"/>
      <c r="J607" s="112"/>
      <c r="K607" s="112"/>
      <c r="L607" s="112"/>
      <c r="M607" s="112"/>
      <c r="N607" s="112"/>
      <c r="O607" s="112"/>
      <c r="P607" s="112"/>
      <c r="Q607" s="112"/>
      <c r="R607" s="112"/>
      <c r="S607" s="112"/>
      <c r="T607" s="112"/>
      <c r="U607" s="112"/>
      <c r="V607" s="112"/>
      <c r="W607" s="112"/>
      <c r="X607" s="112"/>
    </row>
    <row r="608" customFormat="false" ht="10.5" hidden="false" customHeight="true" outlineLevel="0" collapsed="false">
      <c r="A608" s="112"/>
      <c r="B608" s="112"/>
      <c r="C608" s="112"/>
      <c r="D608" s="112"/>
      <c r="E608" s="112"/>
      <c r="F608" s="112"/>
      <c r="G608" s="112"/>
      <c r="H608" s="112"/>
      <c r="I608" s="112"/>
      <c r="J608" s="112"/>
      <c r="K608" s="112"/>
      <c r="L608" s="112"/>
      <c r="M608" s="112"/>
      <c r="N608" s="112"/>
      <c r="O608" s="112"/>
      <c r="P608" s="112"/>
      <c r="Q608" s="112"/>
      <c r="R608" s="112"/>
      <c r="S608" s="112"/>
      <c r="T608" s="112"/>
      <c r="U608" s="112"/>
      <c r="V608" s="112"/>
      <c r="W608" s="112"/>
      <c r="X608" s="112"/>
    </row>
    <row r="609" customFormat="false" ht="10.5" hidden="false" customHeight="true" outlineLevel="0" collapsed="false">
      <c r="A609" s="112"/>
      <c r="B609" s="112"/>
      <c r="C609" s="112"/>
      <c r="D609" s="112"/>
      <c r="E609" s="112"/>
      <c r="F609" s="112"/>
      <c r="G609" s="112"/>
      <c r="H609" s="112"/>
      <c r="I609" s="112"/>
      <c r="J609" s="112"/>
      <c r="K609" s="112"/>
      <c r="L609" s="112"/>
      <c r="M609" s="112"/>
      <c r="N609" s="112"/>
      <c r="O609" s="112"/>
      <c r="P609" s="112"/>
      <c r="Q609" s="112"/>
      <c r="R609" s="112"/>
      <c r="S609" s="112"/>
      <c r="T609" s="112"/>
      <c r="U609" s="112"/>
      <c r="V609" s="112"/>
      <c r="W609" s="112"/>
      <c r="X609" s="112"/>
    </row>
    <row r="610" customFormat="false" ht="10.5" hidden="false" customHeight="true" outlineLevel="0" collapsed="false">
      <c r="A610" s="112"/>
      <c r="B610" s="112"/>
      <c r="C610" s="112"/>
      <c r="D610" s="112"/>
      <c r="E610" s="112"/>
      <c r="F610" s="112"/>
      <c r="G610" s="112"/>
      <c r="H610" s="112"/>
      <c r="I610" s="112"/>
      <c r="J610" s="112"/>
      <c r="K610" s="112"/>
      <c r="L610" s="112"/>
      <c r="M610" s="112"/>
      <c r="N610" s="112"/>
      <c r="O610" s="112"/>
      <c r="P610" s="112"/>
      <c r="Q610" s="112"/>
      <c r="R610" s="112"/>
      <c r="S610" s="112"/>
      <c r="T610" s="112"/>
      <c r="U610" s="112"/>
      <c r="V610" s="112"/>
      <c r="W610" s="112"/>
      <c r="X610" s="112"/>
    </row>
    <row r="611" customFormat="false" ht="10.5" hidden="false" customHeight="true" outlineLevel="0" collapsed="false">
      <c r="A611" s="112"/>
      <c r="B611" s="112"/>
      <c r="C611" s="112"/>
      <c r="D611" s="112"/>
      <c r="E611" s="112"/>
      <c r="F611" s="112"/>
      <c r="G611" s="112"/>
      <c r="H611" s="112"/>
      <c r="I611" s="112"/>
      <c r="J611" s="112"/>
      <c r="K611" s="112"/>
      <c r="L611" s="112"/>
      <c r="M611" s="112"/>
      <c r="N611" s="112"/>
      <c r="O611" s="112"/>
      <c r="P611" s="112"/>
      <c r="Q611" s="112"/>
      <c r="R611" s="112"/>
      <c r="S611" s="112"/>
      <c r="T611" s="112"/>
      <c r="U611" s="112"/>
      <c r="V611" s="112"/>
      <c r="W611" s="112"/>
      <c r="X611" s="112"/>
    </row>
    <row r="612" customFormat="false" ht="10.5" hidden="false" customHeight="true" outlineLevel="0" collapsed="false">
      <c r="A612" s="112"/>
      <c r="B612" s="112"/>
      <c r="C612" s="112"/>
      <c r="D612" s="112"/>
      <c r="E612" s="112"/>
      <c r="F612" s="112"/>
      <c r="G612" s="112"/>
      <c r="H612" s="112"/>
      <c r="I612" s="112"/>
      <c r="J612" s="112"/>
      <c r="K612" s="112"/>
      <c r="L612" s="112"/>
      <c r="M612" s="112"/>
      <c r="N612" s="112"/>
      <c r="O612" s="112"/>
      <c r="P612" s="112"/>
      <c r="Q612" s="112"/>
      <c r="R612" s="112"/>
      <c r="S612" s="112"/>
      <c r="T612" s="112"/>
      <c r="U612" s="112"/>
      <c r="V612" s="112"/>
      <c r="W612" s="112"/>
      <c r="X612" s="112"/>
    </row>
    <row r="613" customFormat="false" ht="10.5" hidden="false" customHeight="true" outlineLevel="0" collapsed="false">
      <c r="A613" s="112"/>
      <c r="B613" s="112"/>
      <c r="C613" s="112"/>
      <c r="D613" s="112"/>
      <c r="E613" s="112"/>
      <c r="F613" s="112"/>
      <c r="G613" s="112"/>
      <c r="H613" s="112"/>
      <c r="I613" s="112"/>
      <c r="J613" s="112"/>
      <c r="K613" s="112"/>
      <c r="L613" s="112"/>
      <c r="M613" s="112"/>
      <c r="N613" s="112"/>
      <c r="O613" s="112"/>
      <c r="P613" s="112"/>
      <c r="Q613" s="112"/>
      <c r="R613" s="112"/>
      <c r="S613" s="112"/>
      <c r="T613" s="112"/>
      <c r="U613" s="112"/>
      <c r="V613" s="112"/>
      <c r="W613" s="112"/>
      <c r="X613" s="112"/>
    </row>
    <row r="614" customFormat="false" ht="10.5" hidden="false" customHeight="true" outlineLevel="0" collapsed="false">
      <c r="A614" s="112"/>
      <c r="B614" s="112"/>
      <c r="C614" s="112"/>
      <c r="D614" s="112"/>
      <c r="E614" s="112"/>
      <c r="F614" s="112"/>
      <c r="G614" s="112"/>
      <c r="H614" s="112"/>
      <c r="I614" s="112"/>
      <c r="J614" s="112"/>
      <c r="K614" s="112"/>
      <c r="L614" s="112"/>
      <c r="M614" s="112"/>
      <c r="N614" s="112"/>
      <c r="O614" s="112"/>
      <c r="P614" s="112"/>
      <c r="Q614" s="112"/>
      <c r="R614" s="112"/>
      <c r="S614" s="112"/>
      <c r="T614" s="112"/>
      <c r="U614" s="112"/>
      <c r="V614" s="112"/>
      <c r="W614" s="112"/>
      <c r="X614" s="112"/>
    </row>
    <row r="615" customFormat="false" ht="10.5" hidden="false" customHeight="true" outlineLevel="0" collapsed="false">
      <c r="A615" s="112"/>
      <c r="B615" s="112"/>
      <c r="C615" s="112"/>
      <c r="D615" s="112"/>
      <c r="E615" s="112"/>
      <c r="F615" s="112"/>
      <c r="G615" s="112"/>
      <c r="H615" s="112"/>
      <c r="I615" s="112"/>
      <c r="J615" s="112"/>
      <c r="K615" s="112"/>
      <c r="L615" s="112"/>
      <c r="M615" s="112"/>
      <c r="N615" s="112"/>
      <c r="O615" s="112"/>
      <c r="P615" s="112"/>
      <c r="Q615" s="112"/>
      <c r="R615" s="112"/>
      <c r="S615" s="112"/>
      <c r="T615" s="112"/>
      <c r="U615" s="112"/>
      <c r="V615" s="112"/>
      <c r="W615" s="112"/>
      <c r="X615" s="112"/>
    </row>
    <row r="616" customFormat="false" ht="10.5" hidden="false" customHeight="true" outlineLevel="0" collapsed="false">
      <c r="A616" s="112"/>
      <c r="B616" s="112"/>
      <c r="C616" s="112"/>
      <c r="D616" s="112"/>
      <c r="E616" s="112"/>
      <c r="F616" s="112"/>
      <c r="G616" s="112"/>
      <c r="H616" s="112"/>
      <c r="I616" s="112"/>
      <c r="J616" s="112"/>
      <c r="K616" s="112"/>
      <c r="L616" s="112"/>
      <c r="M616" s="112"/>
      <c r="N616" s="112"/>
      <c r="O616" s="112"/>
      <c r="P616" s="112"/>
      <c r="Q616" s="112"/>
      <c r="R616" s="112"/>
      <c r="S616" s="112"/>
      <c r="T616" s="112"/>
      <c r="U616" s="112"/>
      <c r="V616" s="112"/>
      <c r="W616" s="112"/>
      <c r="X616" s="112"/>
    </row>
    <row r="617" customFormat="false" ht="10.5" hidden="false" customHeight="true" outlineLevel="0" collapsed="false">
      <c r="A617" s="112"/>
      <c r="B617" s="112"/>
      <c r="C617" s="112"/>
      <c r="D617" s="112"/>
      <c r="E617" s="112"/>
      <c r="F617" s="112"/>
      <c r="G617" s="112"/>
      <c r="H617" s="112"/>
      <c r="I617" s="112"/>
      <c r="J617" s="112"/>
      <c r="K617" s="112"/>
      <c r="L617" s="112"/>
      <c r="M617" s="112"/>
      <c r="N617" s="112"/>
      <c r="O617" s="112"/>
      <c r="P617" s="112"/>
      <c r="Q617" s="112"/>
      <c r="R617" s="112"/>
      <c r="S617" s="112"/>
      <c r="T617" s="112"/>
      <c r="U617" s="112"/>
      <c r="V617" s="112"/>
      <c r="W617" s="112"/>
      <c r="X617" s="112"/>
    </row>
    <row r="618" customFormat="false" ht="10.5" hidden="false" customHeight="true" outlineLevel="0" collapsed="false">
      <c r="A618" s="112"/>
      <c r="B618" s="112"/>
      <c r="C618" s="112"/>
      <c r="D618" s="112"/>
      <c r="E618" s="112"/>
      <c r="F618" s="112"/>
      <c r="G618" s="112"/>
      <c r="H618" s="112"/>
      <c r="I618" s="112"/>
      <c r="J618" s="112"/>
      <c r="K618" s="112"/>
      <c r="L618" s="112"/>
      <c r="M618" s="112"/>
      <c r="N618" s="112"/>
      <c r="O618" s="112"/>
      <c r="P618" s="112"/>
      <c r="Q618" s="112"/>
      <c r="R618" s="112"/>
      <c r="S618" s="112"/>
      <c r="T618" s="112"/>
      <c r="U618" s="112"/>
      <c r="V618" s="112"/>
      <c r="W618" s="112"/>
      <c r="X618" s="112"/>
    </row>
    <row r="619" customFormat="false" ht="10.5" hidden="false" customHeight="true" outlineLevel="0" collapsed="false">
      <c r="A619" s="112"/>
      <c r="B619" s="112"/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</row>
    <row r="620" customFormat="false" ht="10.5" hidden="false" customHeight="true" outlineLevel="0" collapsed="false">
      <c r="A620" s="112"/>
      <c r="B620" s="112"/>
      <c r="C620" s="112"/>
      <c r="D620" s="112"/>
      <c r="E620" s="112"/>
      <c r="F620" s="112"/>
      <c r="G620" s="112"/>
      <c r="H620" s="112"/>
      <c r="I620" s="112"/>
      <c r="J620" s="112"/>
      <c r="K620" s="112"/>
      <c r="L620" s="112"/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</row>
    <row r="621" customFormat="false" ht="10.5" hidden="false" customHeight="true" outlineLevel="0" collapsed="false">
      <c r="A621" s="112"/>
      <c r="B621" s="112"/>
      <c r="C621" s="112"/>
      <c r="D621" s="112"/>
      <c r="E621" s="112"/>
      <c r="F621" s="112"/>
      <c r="G621" s="112"/>
      <c r="H621" s="112"/>
      <c r="I621" s="112"/>
      <c r="J621" s="112"/>
      <c r="K621" s="112"/>
      <c r="L621" s="112"/>
      <c r="M621" s="112"/>
      <c r="N621" s="112"/>
      <c r="O621" s="112"/>
      <c r="P621" s="112"/>
      <c r="Q621" s="112"/>
      <c r="R621" s="112"/>
      <c r="S621" s="112"/>
      <c r="T621" s="112"/>
      <c r="U621" s="112"/>
      <c r="V621" s="112"/>
      <c r="W621" s="112"/>
      <c r="X621" s="112"/>
    </row>
    <row r="622" customFormat="false" ht="10.5" hidden="false" customHeight="true" outlineLevel="0" collapsed="false">
      <c r="A622" s="112"/>
      <c r="B622" s="112"/>
      <c r="C622" s="112"/>
      <c r="D622" s="112"/>
      <c r="E622" s="112"/>
      <c r="F622" s="112"/>
      <c r="G622" s="112"/>
      <c r="H622" s="112"/>
      <c r="I622" s="112"/>
      <c r="J622" s="112"/>
      <c r="K622" s="112"/>
      <c r="L622" s="112"/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/>
    </row>
    <row r="623" customFormat="false" ht="10.5" hidden="false" customHeight="true" outlineLevel="0" collapsed="false">
      <c r="A623" s="112"/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</row>
    <row r="624" customFormat="false" ht="10.5" hidden="false" customHeight="true" outlineLevel="0" collapsed="false">
      <c r="A624" s="112"/>
      <c r="B624" s="112"/>
      <c r="C624" s="112"/>
      <c r="D624" s="112"/>
      <c r="E624" s="112"/>
      <c r="F624" s="112"/>
      <c r="G624" s="112"/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</row>
    <row r="625" customFormat="false" ht="10.5" hidden="false" customHeight="true" outlineLevel="0" collapsed="false">
      <c r="A625" s="112"/>
      <c r="B625" s="112"/>
      <c r="C625" s="112"/>
      <c r="D625" s="112"/>
      <c r="E625" s="112"/>
      <c r="F625" s="112"/>
      <c r="G625" s="112"/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</row>
    <row r="626" customFormat="false" ht="10.5" hidden="false" customHeight="true" outlineLevel="0" collapsed="false">
      <c r="A626" s="112"/>
      <c r="B626" s="112"/>
      <c r="C626" s="112"/>
      <c r="D626" s="112"/>
      <c r="E626" s="112"/>
      <c r="F626" s="112"/>
      <c r="G626" s="112"/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</row>
    <row r="627" customFormat="false" ht="10.5" hidden="false" customHeight="true" outlineLevel="0" collapsed="false">
      <c r="A627" s="112"/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</row>
    <row r="628" customFormat="false" ht="10.5" hidden="false" customHeight="true" outlineLevel="0" collapsed="false">
      <c r="A628" s="112"/>
      <c r="B628" s="112"/>
      <c r="C628" s="112"/>
      <c r="D628" s="112"/>
      <c r="E628" s="112"/>
      <c r="F628" s="112"/>
      <c r="G628" s="112"/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</row>
    <row r="629" customFormat="false" ht="10.5" hidden="false" customHeight="true" outlineLevel="0" collapsed="false">
      <c r="A629" s="112"/>
      <c r="B629" s="112"/>
      <c r="C629" s="112"/>
      <c r="D629" s="112"/>
      <c r="E629" s="112"/>
      <c r="F629" s="112"/>
      <c r="G629" s="112"/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</row>
    <row r="630" customFormat="false" ht="10.5" hidden="false" customHeight="true" outlineLevel="0" collapsed="false">
      <c r="A630" s="112"/>
      <c r="B630" s="112"/>
      <c r="C630" s="112"/>
      <c r="D630" s="112"/>
      <c r="E630" s="112"/>
      <c r="F630" s="112"/>
      <c r="G630" s="112"/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</row>
    <row r="631" customFormat="false" ht="10.5" hidden="false" customHeight="true" outlineLevel="0" collapsed="false">
      <c r="A631" s="112"/>
      <c r="B631" s="112"/>
      <c r="C631" s="112"/>
      <c r="D631" s="112"/>
      <c r="E631" s="112"/>
      <c r="F631" s="112"/>
      <c r="G631" s="112"/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</row>
    <row r="632" customFormat="false" ht="10.5" hidden="false" customHeight="true" outlineLevel="0" collapsed="false">
      <c r="A632" s="112"/>
      <c r="B632" s="112"/>
      <c r="C632" s="112"/>
      <c r="D632" s="112"/>
      <c r="E632" s="112"/>
      <c r="F632" s="112"/>
      <c r="G632" s="112"/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</row>
    <row r="633" customFormat="false" ht="10.5" hidden="false" customHeight="true" outlineLevel="0" collapsed="false">
      <c r="A633" s="112"/>
      <c r="B633" s="112"/>
      <c r="C633" s="112"/>
      <c r="D633" s="112"/>
      <c r="E633" s="112"/>
      <c r="F633" s="112"/>
      <c r="G633" s="112"/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</row>
    <row r="634" customFormat="false" ht="10.5" hidden="false" customHeight="true" outlineLevel="0" collapsed="false">
      <c r="A634" s="112"/>
      <c r="B634" s="112"/>
      <c r="C634" s="112"/>
      <c r="D634" s="112"/>
      <c r="E634" s="112"/>
      <c r="F634" s="112"/>
      <c r="G634" s="112"/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</row>
    <row r="635" customFormat="false" ht="10.5" hidden="false" customHeight="true" outlineLevel="0" collapsed="false">
      <c r="A635" s="112"/>
      <c r="B635" s="112"/>
      <c r="C635" s="112"/>
      <c r="D635" s="112"/>
      <c r="E635" s="112"/>
      <c r="F635" s="112"/>
      <c r="G635" s="112"/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</row>
    <row r="636" customFormat="false" ht="10.5" hidden="false" customHeight="true" outlineLevel="0" collapsed="false">
      <c r="A636" s="112"/>
      <c r="B636" s="112"/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</row>
    <row r="637" customFormat="false" ht="10.5" hidden="false" customHeight="true" outlineLevel="0" collapsed="false">
      <c r="A637" s="112"/>
      <c r="B637" s="112"/>
      <c r="C637" s="112"/>
      <c r="D637" s="112"/>
      <c r="E637" s="112"/>
      <c r="F637" s="112"/>
      <c r="G637" s="112"/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</row>
    <row r="638" customFormat="false" ht="10.5" hidden="false" customHeight="true" outlineLevel="0" collapsed="false">
      <c r="A638" s="112"/>
      <c r="B638" s="112"/>
      <c r="C638" s="112"/>
      <c r="D638" s="112"/>
      <c r="E638" s="112"/>
      <c r="F638" s="112"/>
      <c r="G638" s="112"/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</row>
    <row r="639" customFormat="false" ht="10.5" hidden="false" customHeight="true" outlineLevel="0" collapsed="false">
      <c r="A639" s="112"/>
      <c r="B639" s="112"/>
      <c r="C639" s="112"/>
      <c r="D639" s="112"/>
      <c r="E639" s="112"/>
      <c r="F639" s="112"/>
      <c r="G639" s="112"/>
      <c r="H639" s="112"/>
      <c r="I639" s="112"/>
      <c r="J639" s="112"/>
      <c r="K639" s="112"/>
      <c r="L639" s="112"/>
      <c r="M639" s="112"/>
      <c r="N639" s="112"/>
      <c r="O639" s="112"/>
      <c r="P639" s="112"/>
      <c r="Q639" s="112"/>
      <c r="R639" s="112"/>
      <c r="S639" s="112"/>
      <c r="T639" s="112"/>
      <c r="U639" s="112"/>
      <c r="V639" s="112"/>
      <c r="W639" s="112"/>
      <c r="X639" s="112"/>
    </row>
    <row r="640" customFormat="false" ht="10.5" hidden="false" customHeight="true" outlineLevel="0" collapsed="false">
      <c r="A640" s="112"/>
      <c r="B640" s="112"/>
      <c r="C640" s="112"/>
      <c r="D640" s="112"/>
      <c r="E640" s="112"/>
      <c r="F640" s="112"/>
      <c r="G640" s="112"/>
      <c r="H640" s="112"/>
      <c r="I640" s="112"/>
      <c r="J640" s="112"/>
      <c r="K640" s="112"/>
      <c r="L640" s="112"/>
      <c r="M640" s="112"/>
      <c r="N640" s="112"/>
      <c r="O640" s="112"/>
      <c r="P640" s="112"/>
      <c r="Q640" s="112"/>
      <c r="R640" s="112"/>
      <c r="S640" s="112"/>
      <c r="T640" s="112"/>
      <c r="U640" s="112"/>
      <c r="V640" s="112"/>
      <c r="W640" s="112"/>
      <c r="X640" s="112"/>
    </row>
    <row r="641" customFormat="false" ht="10.5" hidden="false" customHeight="true" outlineLevel="0" collapsed="false">
      <c r="A641" s="112"/>
      <c r="B641" s="112"/>
      <c r="C641" s="112"/>
      <c r="D641" s="112"/>
      <c r="E641" s="112"/>
      <c r="F641" s="112"/>
      <c r="G641" s="112"/>
      <c r="H641" s="112"/>
      <c r="I641" s="112"/>
      <c r="J641" s="112"/>
      <c r="K641" s="112"/>
      <c r="L641" s="112"/>
      <c r="M641" s="112"/>
      <c r="N641" s="112"/>
      <c r="O641" s="112"/>
      <c r="P641" s="112"/>
      <c r="Q641" s="112"/>
      <c r="R641" s="112"/>
      <c r="S641" s="112"/>
      <c r="T641" s="112"/>
      <c r="U641" s="112"/>
      <c r="V641" s="112"/>
      <c r="W641" s="112"/>
      <c r="X641" s="112"/>
    </row>
    <row r="642" customFormat="false" ht="10.5" hidden="false" customHeight="true" outlineLevel="0" collapsed="false">
      <c r="A642" s="112"/>
      <c r="B642" s="112"/>
      <c r="C642" s="112"/>
      <c r="D642" s="112"/>
      <c r="E642" s="112"/>
      <c r="F642" s="112"/>
      <c r="G642" s="112"/>
      <c r="H642" s="112"/>
      <c r="I642" s="112"/>
      <c r="J642" s="112"/>
      <c r="K642" s="112"/>
      <c r="L642" s="112"/>
      <c r="M642" s="112"/>
      <c r="N642" s="112"/>
      <c r="O642" s="112"/>
      <c r="P642" s="112"/>
      <c r="Q642" s="112"/>
      <c r="R642" s="112"/>
      <c r="S642" s="112"/>
      <c r="T642" s="112"/>
      <c r="U642" s="112"/>
      <c r="V642" s="112"/>
      <c r="W642" s="112"/>
      <c r="X642" s="112"/>
    </row>
    <row r="643" customFormat="false" ht="10.5" hidden="false" customHeight="true" outlineLevel="0" collapsed="false">
      <c r="A643" s="112"/>
      <c r="B643" s="112"/>
      <c r="C643" s="112"/>
      <c r="D643" s="112"/>
      <c r="E643" s="112"/>
      <c r="F643" s="112"/>
      <c r="G643" s="112"/>
      <c r="H643" s="112"/>
      <c r="I643" s="112"/>
      <c r="J643" s="112"/>
      <c r="K643" s="112"/>
      <c r="L643" s="112"/>
      <c r="M643" s="112"/>
      <c r="N643" s="112"/>
      <c r="O643" s="112"/>
      <c r="P643" s="112"/>
      <c r="Q643" s="112"/>
      <c r="R643" s="112"/>
      <c r="S643" s="112"/>
      <c r="T643" s="112"/>
      <c r="U643" s="112"/>
      <c r="V643" s="112"/>
      <c r="W643" s="112"/>
      <c r="X643" s="112"/>
    </row>
    <row r="644" customFormat="false" ht="10.5" hidden="false" customHeight="true" outlineLevel="0" collapsed="false">
      <c r="A644" s="112"/>
      <c r="B644" s="112"/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</row>
    <row r="645" customFormat="false" ht="10.5" hidden="false" customHeight="true" outlineLevel="0" collapsed="false">
      <c r="A645" s="112"/>
      <c r="B645" s="112"/>
      <c r="C645" s="112"/>
      <c r="D645" s="112"/>
      <c r="E645" s="112"/>
      <c r="F645" s="112"/>
      <c r="G645" s="112"/>
      <c r="H645" s="112"/>
      <c r="I645" s="112"/>
      <c r="J645" s="112"/>
      <c r="K645" s="112"/>
      <c r="L645" s="112"/>
      <c r="M645" s="112"/>
      <c r="N645" s="112"/>
      <c r="O645" s="112"/>
      <c r="P645" s="112"/>
      <c r="Q645" s="112"/>
      <c r="R645" s="112"/>
      <c r="S645" s="112"/>
      <c r="T645" s="112"/>
      <c r="U645" s="112"/>
      <c r="V645" s="112"/>
      <c r="W645" s="112"/>
      <c r="X645" s="112"/>
    </row>
    <row r="646" customFormat="false" ht="10.5" hidden="false" customHeight="true" outlineLevel="0" collapsed="false">
      <c r="A646" s="112"/>
      <c r="B646" s="112"/>
      <c r="C646" s="112"/>
      <c r="D646" s="112"/>
      <c r="E646" s="112"/>
      <c r="F646" s="112"/>
      <c r="G646" s="112"/>
      <c r="H646" s="112"/>
      <c r="I646" s="112"/>
      <c r="J646" s="112"/>
      <c r="K646" s="112"/>
      <c r="L646" s="112"/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/>
      <c r="X646" s="112"/>
    </row>
    <row r="647" customFormat="false" ht="10.5" hidden="false" customHeight="true" outlineLevel="0" collapsed="false">
      <c r="A647" s="112"/>
      <c r="B647" s="112"/>
      <c r="C647" s="112"/>
      <c r="D647" s="112"/>
      <c r="E647" s="112"/>
      <c r="F647" s="112"/>
      <c r="G647" s="112"/>
      <c r="H647" s="112"/>
      <c r="I647" s="112"/>
      <c r="J647" s="112"/>
      <c r="K647" s="112"/>
      <c r="L647" s="112"/>
      <c r="M647" s="112"/>
      <c r="N647" s="112"/>
      <c r="O647" s="112"/>
      <c r="P647" s="112"/>
      <c r="Q647" s="112"/>
      <c r="R647" s="112"/>
      <c r="S647" s="112"/>
      <c r="T647" s="112"/>
      <c r="U647" s="112"/>
      <c r="V647" s="112"/>
      <c r="W647" s="112"/>
      <c r="X647" s="112"/>
    </row>
    <row r="648" customFormat="false" ht="10.5" hidden="false" customHeight="true" outlineLevel="0" collapsed="false">
      <c r="A648" s="112"/>
      <c r="B648" s="112"/>
      <c r="C648" s="112"/>
      <c r="D648" s="112"/>
      <c r="E648" s="112"/>
      <c r="F648" s="112"/>
      <c r="G648" s="112"/>
      <c r="H648" s="112"/>
      <c r="I648" s="112"/>
      <c r="J648" s="112"/>
      <c r="K648" s="112"/>
      <c r="L648" s="112"/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/>
      <c r="X648" s="112"/>
    </row>
    <row r="649" customFormat="false" ht="10.5" hidden="false" customHeight="true" outlineLevel="0" collapsed="false">
      <c r="A649" s="112"/>
      <c r="B649" s="112"/>
      <c r="C649" s="112"/>
      <c r="D649" s="112"/>
      <c r="E649" s="112"/>
      <c r="F649" s="112"/>
      <c r="G649" s="112"/>
      <c r="H649" s="112"/>
      <c r="I649" s="112"/>
      <c r="J649" s="112"/>
      <c r="K649" s="112"/>
      <c r="L649" s="112"/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/>
    </row>
    <row r="650" customFormat="false" ht="10.5" hidden="false" customHeight="true" outlineLevel="0" collapsed="false">
      <c r="A650" s="112"/>
      <c r="B650" s="112"/>
      <c r="C650" s="112"/>
      <c r="D650" s="112"/>
      <c r="E650" s="112"/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12"/>
      <c r="Q650" s="112"/>
      <c r="R650" s="112"/>
      <c r="S650" s="112"/>
      <c r="T650" s="112"/>
      <c r="U650" s="112"/>
      <c r="V650" s="112"/>
      <c r="W650" s="112"/>
      <c r="X650" s="112"/>
    </row>
    <row r="651" customFormat="false" ht="10.5" hidden="false" customHeight="true" outlineLevel="0" collapsed="false">
      <c r="A651" s="112"/>
      <c r="B651" s="112"/>
      <c r="C651" s="112"/>
      <c r="D651" s="112"/>
      <c r="E651" s="112"/>
      <c r="F651" s="112"/>
      <c r="G651" s="112"/>
      <c r="H651" s="112"/>
      <c r="I651" s="112"/>
      <c r="J651" s="112"/>
      <c r="K651" s="112"/>
      <c r="L651" s="112"/>
      <c r="M651" s="112"/>
      <c r="N651" s="112"/>
      <c r="O651" s="112"/>
      <c r="P651" s="112"/>
      <c r="Q651" s="112"/>
      <c r="R651" s="112"/>
      <c r="S651" s="112"/>
      <c r="T651" s="112"/>
      <c r="U651" s="112"/>
      <c r="V651" s="112"/>
      <c r="W651" s="112"/>
      <c r="X651" s="112"/>
    </row>
    <row r="652" customFormat="false" ht="10.5" hidden="false" customHeight="true" outlineLevel="0" collapsed="false">
      <c r="A652" s="112"/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12"/>
      <c r="T652" s="112"/>
      <c r="U652" s="112"/>
      <c r="V652" s="112"/>
      <c r="W652" s="112"/>
      <c r="X652" s="112"/>
    </row>
    <row r="653" customFormat="false" ht="10.5" hidden="false" customHeight="true" outlineLevel="0" collapsed="false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12"/>
      <c r="T653" s="112"/>
      <c r="U653" s="112"/>
      <c r="V653" s="112"/>
      <c r="W653" s="112"/>
      <c r="X653" s="112"/>
    </row>
    <row r="654" customFormat="false" ht="10.5" hidden="false" customHeight="true" outlineLevel="0" collapsed="false">
      <c r="A654" s="112"/>
      <c r="B654" s="112"/>
      <c r="C654" s="112"/>
      <c r="D654" s="112"/>
      <c r="E654" s="112"/>
      <c r="F654" s="112"/>
      <c r="G654" s="112"/>
      <c r="H654" s="112"/>
      <c r="I654" s="112"/>
      <c r="J654" s="112"/>
      <c r="K654" s="112"/>
      <c r="L654" s="112"/>
      <c r="M654" s="112"/>
      <c r="N654" s="112"/>
      <c r="O654" s="112"/>
      <c r="P654" s="112"/>
      <c r="Q654" s="112"/>
      <c r="R654" s="112"/>
      <c r="S654" s="112"/>
      <c r="T654" s="112"/>
      <c r="U654" s="112"/>
      <c r="V654" s="112"/>
      <c r="W654" s="112"/>
      <c r="X654" s="112"/>
    </row>
    <row r="655" customFormat="false" ht="10.5" hidden="false" customHeight="true" outlineLevel="0" collapsed="false">
      <c r="A655" s="112"/>
      <c r="B655" s="112"/>
      <c r="C655" s="112"/>
      <c r="D655" s="112"/>
      <c r="E655" s="112"/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12"/>
      <c r="Q655" s="112"/>
      <c r="R655" s="112"/>
      <c r="S655" s="112"/>
      <c r="T655" s="112"/>
      <c r="U655" s="112"/>
      <c r="V655" s="112"/>
      <c r="W655" s="112"/>
      <c r="X655" s="112"/>
    </row>
    <row r="656" customFormat="false" ht="10.5" hidden="false" customHeight="true" outlineLevel="0" collapsed="false">
      <c r="A656" s="112"/>
      <c r="B656" s="112"/>
      <c r="C656" s="112"/>
      <c r="D656" s="112"/>
      <c r="E656" s="112"/>
      <c r="F656" s="112"/>
      <c r="G656" s="112"/>
      <c r="H656" s="112"/>
      <c r="I656" s="112"/>
      <c r="J656" s="112"/>
      <c r="K656" s="112"/>
      <c r="L656" s="112"/>
      <c r="M656" s="112"/>
      <c r="N656" s="112"/>
      <c r="O656" s="112"/>
      <c r="P656" s="112"/>
      <c r="Q656" s="112"/>
      <c r="R656" s="112"/>
      <c r="S656" s="112"/>
      <c r="T656" s="112"/>
      <c r="U656" s="112"/>
      <c r="V656" s="112"/>
      <c r="W656" s="112"/>
      <c r="X656" s="112"/>
    </row>
    <row r="657" customFormat="false" ht="10.5" hidden="false" customHeight="true" outlineLevel="0" collapsed="false">
      <c r="A657" s="112"/>
      <c r="B657" s="112"/>
      <c r="C657" s="112"/>
      <c r="D657" s="112"/>
      <c r="E657" s="112"/>
      <c r="F657" s="112"/>
      <c r="G657" s="112"/>
      <c r="H657" s="112"/>
      <c r="I657" s="112"/>
      <c r="J657" s="112"/>
      <c r="K657" s="112"/>
      <c r="L657" s="112"/>
      <c r="M657" s="112"/>
      <c r="N657" s="112"/>
      <c r="O657" s="112"/>
      <c r="P657" s="112"/>
      <c r="Q657" s="112"/>
      <c r="R657" s="112"/>
      <c r="S657" s="112"/>
      <c r="T657" s="112"/>
      <c r="U657" s="112"/>
      <c r="V657" s="112"/>
      <c r="W657" s="112"/>
      <c r="X657" s="112"/>
    </row>
    <row r="658" customFormat="false" ht="10.5" hidden="false" customHeight="true" outlineLevel="0" collapsed="false">
      <c r="A658" s="112"/>
      <c r="B658" s="112"/>
      <c r="C658" s="112"/>
      <c r="D658" s="112"/>
      <c r="E658" s="112"/>
      <c r="F658" s="112"/>
      <c r="G658" s="112"/>
      <c r="H658" s="112"/>
      <c r="I658" s="112"/>
      <c r="J658" s="112"/>
      <c r="K658" s="112"/>
      <c r="L658" s="112"/>
      <c r="M658" s="112"/>
      <c r="N658" s="112"/>
      <c r="O658" s="112"/>
      <c r="P658" s="112"/>
      <c r="Q658" s="112"/>
      <c r="R658" s="112"/>
      <c r="S658" s="112"/>
      <c r="T658" s="112"/>
      <c r="U658" s="112"/>
      <c r="V658" s="112"/>
      <c r="W658" s="112"/>
      <c r="X658" s="112"/>
    </row>
    <row r="659" customFormat="false" ht="10.5" hidden="false" customHeight="true" outlineLevel="0" collapsed="false">
      <c r="A659" s="112"/>
      <c r="B659" s="112"/>
      <c r="C659" s="112"/>
      <c r="D659" s="112"/>
      <c r="E659" s="112"/>
      <c r="F659" s="112"/>
      <c r="G659" s="112"/>
      <c r="H659" s="112"/>
      <c r="I659" s="112"/>
      <c r="J659" s="112"/>
      <c r="K659" s="112"/>
      <c r="L659" s="112"/>
      <c r="M659" s="112"/>
      <c r="N659" s="112"/>
      <c r="O659" s="112"/>
      <c r="P659" s="112"/>
      <c r="Q659" s="112"/>
      <c r="R659" s="112"/>
      <c r="S659" s="112"/>
      <c r="T659" s="112"/>
      <c r="U659" s="112"/>
      <c r="V659" s="112"/>
      <c r="W659" s="112"/>
      <c r="X659" s="112"/>
    </row>
    <row r="660" customFormat="false" ht="10.5" hidden="false" customHeight="true" outlineLevel="0" collapsed="false">
      <c r="A660" s="112"/>
      <c r="B660" s="112"/>
      <c r="C660" s="112"/>
      <c r="D660" s="112"/>
      <c r="E660" s="112"/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12"/>
      <c r="Q660" s="112"/>
      <c r="R660" s="112"/>
      <c r="S660" s="112"/>
      <c r="T660" s="112"/>
      <c r="U660" s="112"/>
      <c r="V660" s="112"/>
      <c r="W660" s="112"/>
      <c r="X660" s="112"/>
    </row>
    <row r="661" customFormat="false" ht="10.5" hidden="false" customHeight="true" outlineLevel="0" collapsed="false">
      <c r="A661" s="112"/>
      <c r="B661" s="112"/>
      <c r="C661" s="112"/>
      <c r="D661" s="112"/>
      <c r="E661" s="112"/>
      <c r="F661" s="112"/>
      <c r="G661" s="112"/>
      <c r="H661" s="112"/>
      <c r="I661" s="112"/>
      <c r="J661" s="112"/>
      <c r="K661" s="112"/>
      <c r="L661" s="112"/>
      <c r="M661" s="112"/>
      <c r="N661" s="112"/>
      <c r="O661" s="112"/>
      <c r="P661" s="112"/>
      <c r="Q661" s="112"/>
      <c r="R661" s="112"/>
      <c r="S661" s="112"/>
      <c r="T661" s="112"/>
      <c r="U661" s="112"/>
      <c r="V661" s="112"/>
      <c r="W661" s="112"/>
      <c r="X661" s="112"/>
    </row>
    <row r="662" customFormat="false" ht="10.5" hidden="false" customHeight="true" outlineLevel="0" collapsed="false">
      <c r="A662" s="112"/>
      <c r="B662" s="112"/>
      <c r="C662" s="112"/>
      <c r="D662" s="112"/>
      <c r="E662" s="112"/>
      <c r="F662" s="112"/>
      <c r="G662" s="112"/>
      <c r="H662" s="112"/>
      <c r="I662" s="112"/>
      <c r="J662" s="112"/>
      <c r="K662" s="112"/>
      <c r="L662" s="112"/>
      <c r="M662" s="112"/>
      <c r="N662" s="112"/>
      <c r="O662" s="112"/>
      <c r="P662" s="112"/>
      <c r="Q662" s="112"/>
      <c r="R662" s="112"/>
      <c r="S662" s="112"/>
      <c r="T662" s="112"/>
      <c r="U662" s="112"/>
      <c r="V662" s="112"/>
      <c r="W662" s="112"/>
      <c r="X662" s="112"/>
    </row>
    <row r="663" customFormat="false" ht="10.5" hidden="false" customHeight="true" outlineLevel="0" collapsed="false">
      <c r="A663" s="112"/>
      <c r="B663" s="112"/>
      <c r="C663" s="112"/>
      <c r="D663" s="112"/>
      <c r="E663" s="112"/>
      <c r="F663" s="112"/>
      <c r="G663" s="112"/>
      <c r="H663" s="112"/>
      <c r="I663" s="112"/>
      <c r="J663" s="112"/>
      <c r="K663" s="112"/>
      <c r="L663" s="112"/>
      <c r="M663" s="112"/>
      <c r="N663" s="112"/>
      <c r="O663" s="112"/>
      <c r="P663" s="112"/>
      <c r="Q663" s="112"/>
      <c r="R663" s="112"/>
      <c r="S663" s="112"/>
      <c r="T663" s="112"/>
      <c r="U663" s="112"/>
      <c r="V663" s="112"/>
      <c r="W663" s="112"/>
      <c r="X663" s="112"/>
    </row>
    <row r="664" customFormat="false" ht="10.5" hidden="false" customHeight="true" outlineLevel="0" collapsed="false">
      <c r="A664" s="112"/>
      <c r="B664" s="112"/>
      <c r="C664" s="112"/>
      <c r="D664" s="112"/>
      <c r="E664" s="112"/>
      <c r="F664" s="112"/>
      <c r="G664" s="112"/>
      <c r="H664" s="112"/>
      <c r="I664" s="112"/>
      <c r="J664" s="112"/>
      <c r="K664" s="112"/>
      <c r="L664" s="112"/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/>
      <c r="X664" s="112"/>
    </row>
    <row r="665" customFormat="false" ht="10.5" hidden="false" customHeight="true" outlineLevel="0" collapsed="false">
      <c r="A665" s="112"/>
      <c r="B665" s="112"/>
      <c r="C665" s="112"/>
      <c r="D665" s="112"/>
      <c r="E665" s="112"/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/>
      <c r="X665" s="112"/>
    </row>
    <row r="666" customFormat="false" ht="10.5" hidden="false" customHeight="true" outlineLevel="0" collapsed="false">
      <c r="A666" s="112"/>
      <c r="B666" s="112"/>
      <c r="C666" s="112"/>
      <c r="D666" s="112"/>
      <c r="E666" s="112"/>
      <c r="F666" s="112"/>
      <c r="G666" s="112"/>
      <c r="H666" s="112"/>
      <c r="I666" s="112"/>
      <c r="J666" s="112"/>
      <c r="K666" s="112"/>
      <c r="L666" s="112"/>
      <c r="M666" s="112"/>
      <c r="N666" s="112"/>
      <c r="O666" s="112"/>
      <c r="P666" s="112"/>
      <c r="Q666" s="112"/>
      <c r="R666" s="112"/>
      <c r="S666" s="112"/>
      <c r="T666" s="112"/>
      <c r="U666" s="112"/>
      <c r="V666" s="112"/>
      <c r="W666" s="112"/>
      <c r="X666" s="112"/>
    </row>
    <row r="667" customFormat="false" ht="10.5" hidden="false" customHeight="true" outlineLevel="0" collapsed="false">
      <c r="A667" s="112"/>
      <c r="B667" s="112"/>
      <c r="C667" s="112"/>
      <c r="D667" s="112"/>
      <c r="E667" s="112"/>
      <c r="F667" s="112"/>
      <c r="G667" s="112"/>
      <c r="H667" s="112"/>
      <c r="I667" s="112"/>
      <c r="J667" s="112"/>
      <c r="K667" s="112"/>
      <c r="L667" s="112"/>
      <c r="M667" s="112"/>
      <c r="N667" s="112"/>
      <c r="O667" s="112"/>
      <c r="P667" s="112"/>
      <c r="Q667" s="112"/>
      <c r="R667" s="112"/>
      <c r="S667" s="112"/>
      <c r="T667" s="112"/>
      <c r="U667" s="112"/>
      <c r="V667" s="112"/>
      <c r="W667" s="112"/>
      <c r="X667" s="112"/>
    </row>
    <row r="668" customFormat="false" ht="10.5" hidden="false" customHeight="true" outlineLevel="0" collapsed="false">
      <c r="A668" s="112"/>
      <c r="B668" s="112"/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  <c r="R668" s="112"/>
      <c r="S668" s="112"/>
      <c r="T668" s="112"/>
      <c r="U668" s="112"/>
      <c r="V668" s="112"/>
      <c r="W668" s="112"/>
      <c r="X668" s="112"/>
    </row>
    <row r="669" customFormat="false" ht="10.5" hidden="false" customHeight="true" outlineLevel="0" collapsed="false">
      <c r="A669" s="112"/>
      <c r="B669" s="112"/>
      <c r="C669" s="112"/>
      <c r="D669" s="112"/>
      <c r="E669" s="112"/>
      <c r="F669" s="112"/>
      <c r="G669" s="112"/>
      <c r="H669" s="112"/>
      <c r="I669" s="112"/>
      <c r="J669" s="112"/>
      <c r="K669" s="112"/>
      <c r="L669" s="112"/>
      <c r="M669" s="112"/>
      <c r="N669" s="112"/>
      <c r="O669" s="112"/>
      <c r="P669" s="112"/>
      <c r="Q669" s="112"/>
      <c r="R669" s="112"/>
      <c r="S669" s="112"/>
      <c r="T669" s="112"/>
      <c r="U669" s="112"/>
      <c r="V669" s="112"/>
      <c r="W669" s="112"/>
      <c r="X669" s="112"/>
    </row>
    <row r="670" customFormat="false" ht="10.5" hidden="false" customHeight="true" outlineLevel="0" collapsed="false">
      <c r="A670" s="112"/>
      <c r="B670" s="112"/>
      <c r="C670" s="112"/>
      <c r="D670" s="112"/>
      <c r="E670" s="112"/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12"/>
      <c r="Q670" s="112"/>
      <c r="R670" s="112"/>
      <c r="S670" s="112"/>
      <c r="T670" s="112"/>
      <c r="U670" s="112"/>
      <c r="V670" s="112"/>
      <c r="W670" s="112"/>
      <c r="X670" s="112"/>
    </row>
    <row r="671" customFormat="false" ht="10.5" hidden="false" customHeight="true" outlineLevel="0" collapsed="false">
      <c r="A671" s="112"/>
      <c r="B671" s="112"/>
      <c r="C671" s="112"/>
      <c r="D671" s="112"/>
      <c r="E671" s="112"/>
      <c r="F671" s="112"/>
      <c r="G671" s="112"/>
      <c r="H671" s="112"/>
      <c r="I671" s="112"/>
      <c r="J671" s="112"/>
      <c r="K671" s="112"/>
      <c r="L671" s="112"/>
      <c r="M671" s="112"/>
      <c r="N671" s="112"/>
      <c r="O671" s="112"/>
      <c r="P671" s="112"/>
      <c r="Q671" s="112"/>
      <c r="R671" s="112"/>
      <c r="S671" s="112"/>
      <c r="T671" s="112"/>
      <c r="U671" s="112"/>
      <c r="V671" s="112"/>
      <c r="W671" s="112"/>
      <c r="X671" s="112"/>
    </row>
    <row r="672" customFormat="false" ht="10.5" hidden="false" customHeight="true" outlineLevel="0" collapsed="false">
      <c r="A672" s="112"/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12"/>
      <c r="M672" s="112"/>
      <c r="N672" s="112"/>
      <c r="O672" s="112"/>
      <c r="P672" s="112"/>
      <c r="Q672" s="112"/>
      <c r="R672" s="112"/>
      <c r="S672" s="112"/>
      <c r="T672" s="112"/>
      <c r="U672" s="112"/>
      <c r="V672" s="112"/>
      <c r="W672" s="112"/>
      <c r="X672" s="112"/>
    </row>
    <row r="673" customFormat="false" ht="10.5" hidden="false" customHeight="true" outlineLevel="0" collapsed="false">
      <c r="A673" s="112"/>
      <c r="B673" s="112"/>
      <c r="C673" s="112"/>
      <c r="D673" s="112"/>
      <c r="E673" s="112"/>
      <c r="F673" s="112"/>
      <c r="G673" s="112"/>
      <c r="H673" s="112"/>
      <c r="I673" s="112"/>
      <c r="J673" s="112"/>
      <c r="K673" s="112"/>
      <c r="L673" s="112"/>
      <c r="M673" s="112"/>
      <c r="N673" s="112"/>
      <c r="O673" s="112"/>
      <c r="P673" s="112"/>
      <c r="Q673" s="112"/>
      <c r="R673" s="112"/>
      <c r="S673" s="112"/>
      <c r="T673" s="112"/>
      <c r="U673" s="112"/>
      <c r="V673" s="112"/>
      <c r="W673" s="112"/>
      <c r="X673" s="112"/>
    </row>
    <row r="674" customFormat="false" ht="10.5" hidden="false" customHeight="true" outlineLevel="0" collapsed="false">
      <c r="A674" s="112"/>
      <c r="B674" s="112"/>
      <c r="C674" s="112"/>
      <c r="D674" s="112"/>
      <c r="E674" s="112"/>
      <c r="F674" s="112"/>
      <c r="G674" s="112"/>
      <c r="H674" s="112"/>
      <c r="I674" s="112"/>
      <c r="J674" s="112"/>
      <c r="K674" s="112"/>
      <c r="L674" s="112"/>
      <c r="M674" s="112"/>
      <c r="N674" s="112"/>
      <c r="O674" s="112"/>
      <c r="P674" s="112"/>
      <c r="Q674" s="112"/>
      <c r="R674" s="112"/>
      <c r="S674" s="112"/>
      <c r="T674" s="112"/>
      <c r="U674" s="112"/>
      <c r="V674" s="112"/>
      <c r="W674" s="112"/>
      <c r="X674" s="112"/>
    </row>
    <row r="675" customFormat="false" ht="10.5" hidden="false" customHeight="true" outlineLevel="0" collapsed="false">
      <c r="A675" s="112"/>
      <c r="B675" s="112"/>
      <c r="C675" s="112"/>
      <c r="D675" s="112"/>
      <c r="E675" s="112"/>
      <c r="F675" s="112"/>
      <c r="G675" s="112"/>
      <c r="H675" s="112"/>
      <c r="I675" s="112"/>
      <c r="J675" s="112"/>
      <c r="K675" s="112"/>
      <c r="L675" s="112"/>
      <c r="M675" s="112"/>
      <c r="N675" s="112"/>
      <c r="O675" s="112"/>
      <c r="P675" s="112"/>
      <c r="Q675" s="112"/>
      <c r="R675" s="112"/>
      <c r="S675" s="112"/>
      <c r="T675" s="112"/>
      <c r="U675" s="112"/>
      <c r="V675" s="112"/>
      <c r="W675" s="112"/>
      <c r="X675" s="112"/>
    </row>
    <row r="676" customFormat="false" ht="10.5" hidden="false" customHeight="true" outlineLevel="0" collapsed="false">
      <c r="A676" s="112"/>
      <c r="B676" s="112"/>
      <c r="C676" s="112"/>
      <c r="D676" s="112"/>
      <c r="E676" s="112"/>
      <c r="F676" s="112"/>
      <c r="G676" s="112"/>
      <c r="H676" s="112"/>
      <c r="I676" s="112"/>
      <c r="J676" s="112"/>
      <c r="K676" s="112"/>
      <c r="L676" s="112"/>
      <c r="M676" s="112"/>
      <c r="N676" s="112"/>
      <c r="O676" s="112"/>
      <c r="P676" s="112"/>
      <c r="Q676" s="112"/>
      <c r="R676" s="112"/>
      <c r="S676" s="112"/>
      <c r="T676" s="112"/>
      <c r="U676" s="112"/>
      <c r="V676" s="112"/>
      <c r="W676" s="112"/>
      <c r="X676" s="112"/>
    </row>
    <row r="677" customFormat="false" ht="10.5" hidden="false" customHeight="true" outlineLevel="0" collapsed="false">
      <c r="A677" s="112"/>
      <c r="B677" s="112"/>
      <c r="C677" s="112"/>
      <c r="D677" s="112"/>
      <c r="E677" s="112"/>
      <c r="F677" s="112"/>
      <c r="G677" s="112"/>
      <c r="H677" s="112"/>
      <c r="I677" s="112"/>
      <c r="J677" s="112"/>
      <c r="K677" s="112"/>
      <c r="L677" s="112"/>
      <c r="M677" s="112"/>
      <c r="N677" s="112"/>
      <c r="O677" s="112"/>
      <c r="P677" s="112"/>
      <c r="Q677" s="112"/>
      <c r="R677" s="112"/>
      <c r="S677" s="112"/>
      <c r="T677" s="112"/>
      <c r="U677" s="112"/>
      <c r="V677" s="112"/>
      <c r="W677" s="112"/>
      <c r="X677" s="112"/>
    </row>
    <row r="678" customFormat="false" ht="10.5" hidden="false" customHeight="true" outlineLevel="0" collapsed="false">
      <c r="A678" s="112"/>
      <c r="B678" s="112"/>
      <c r="C678" s="112"/>
      <c r="D678" s="112"/>
      <c r="E678" s="112"/>
      <c r="F678" s="112"/>
      <c r="G678" s="112"/>
      <c r="H678" s="112"/>
      <c r="I678" s="112"/>
      <c r="J678" s="112"/>
      <c r="K678" s="112"/>
      <c r="L678" s="112"/>
      <c r="M678" s="112"/>
      <c r="N678" s="112"/>
      <c r="O678" s="112"/>
      <c r="P678" s="112"/>
      <c r="Q678" s="112"/>
      <c r="R678" s="112"/>
      <c r="S678" s="112"/>
      <c r="T678" s="112"/>
      <c r="U678" s="112"/>
      <c r="V678" s="112"/>
      <c r="W678" s="112"/>
      <c r="X678" s="112"/>
    </row>
    <row r="679" customFormat="false" ht="10.5" hidden="false" customHeight="true" outlineLevel="0" collapsed="false">
      <c r="A679" s="112"/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</row>
    <row r="680" customFormat="false" ht="10.5" hidden="false" customHeight="true" outlineLevel="0" collapsed="false">
      <c r="A680" s="112"/>
      <c r="B680" s="112"/>
      <c r="C680" s="112"/>
      <c r="D680" s="112"/>
      <c r="E680" s="112"/>
      <c r="F680" s="112"/>
      <c r="G680" s="112"/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</row>
    <row r="681" customFormat="false" ht="10.5" hidden="false" customHeight="true" outlineLevel="0" collapsed="false">
      <c r="A681" s="112"/>
      <c r="B681" s="112"/>
      <c r="C681" s="112"/>
      <c r="D681" s="112"/>
      <c r="E681" s="112"/>
      <c r="F681" s="112"/>
      <c r="G681" s="112"/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</row>
    <row r="682" customFormat="false" ht="10.5" hidden="false" customHeight="true" outlineLevel="0" collapsed="false">
      <c r="A682" s="112"/>
      <c r="B682" s="112"/>
      <c r="C682" s="112"/>
      <c r="D682" s="112"/>
      <c r="E682" s="112"/>
      <c r="F682" s="112"/>
      <c r="G682" s="112"/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</row>
    <row r="683" customFormat="false" ht="10.5" hidden="false" customHeight="true" outlineLevel="0" collapsed="false">
      <c r="A683" s="112"/>
      <c r="B683" s="112"/>
      <c r="C683" s="112"/>
      <c r="D683" s="112"/>
      <c r="E683" s="112"/>
      <c r="F683" s="112"/>
      <c r="G683" s="112"/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</row>
    <row r="684" customFormat="false" ht="10.5" hidden="false" customHeight="true" outlineLevel="0" collapsed="false">
      <c r="A684" s="112"/>
      <c r="B684" s="112"/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</row>
    <row r="685" customFormat="false" ht="10.5" hidden="false" customHeight="true" outlineLevel="0" collapsed="false">
      <c r="A685" s="112"/>
      <c r="B685" s="112"/>
      <c r="C685" s="112"/>
      <c r="D685" s="112"/>
      <c r="E685" s="112"/>
      <c r="F685" s="112"/>
      <c r="G685" s="112"/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</row>
    <row r="686" customFormat="false" ht="10.5" hidden="false" customHeight="true" outlineLevel="0" collapsed="false">
      <c r="A686" s="112"/>
      <c r="B686" s="112"/>
      <c r="C686" s="112"/>
      <c r="D686" s="112"/>
      <c r="E686" s="112"/>
      <c r="F686" s="112"/>
      <c r="G686" s="112"/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</row>
    <row r="687" customFormat="false" ht="10.5" hidden="false" customHeight="true" outlineLevel="0" collapsed="false">
      <c r="A687" s="112"/>
      <c r="B687" s="112"/>
      <c r="C687" s="112"/>
      <c r="D687" s="112"/>
      <c r="E687" s="112"/>
      <c r="F687" s="112"/>
      <c r="G687" s="112"/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</row>
    <row r="688" customFormat="false" ht="10.5" hidden="false" customHeight="true" outlineLevel="0" collapsed="false">
      <c r="A688" s="112"/>
      <c r="B688" s="112"/>
      <c r="C688" s="112"/>
      <c r="D688" s="112"/>
      <c r="E688" s="112"/>
      <c r="F688" s="112"/>
      <c r="G688" s="112"/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</row>
    <row r="689" customFormat="false" ht="10.5" hidden="false" customHeight="true" outlineLevel="0" collapsed="false">
      <c r="A689" s="112"/>
      <c r="B689" s="112"/>
      <c r="C689" s="112"/>
      <c r="D689" s="112"/>
      <c r="E689" s="112"/>
      <c r="F689" s="112"/>
      <c r="G689" s="112"/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</row>
    <row r="690" customFormat="false" ht="10.5" hidden="false" customHeight="true" outlineLevel="0" collapsed="false">
      <c r="A690" s="112"/>
      <c r="B690" s="112"/>
      <c r="C690" s="112"/>
      <c r="D690" s="112"/>
      <c r="E690" s="112"/>
      <c r="F690" s="112"/>
      <c r="G690" s="112"/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</row>
    <row r="691" customFormat="false" ht="10.5" hidden="false" customHeight="true" outlineLevel="0" collapsed="false">
      <c r="A691" s="112"/>
      <c r="B691" s="112"/>
      <c r="C691" s="112"/>
      <c r="D691" s="112"/>
      <c r="E691" s="112"/>
      <c r="F691" s="112"/>
      <c r="G691" s="112"/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</row>
    <row r="692" customFormat="false" ht="10.5" hidden="false" customHeight="true" outlineLevel="0" collapsed="false">
      <c r="A692" s="112"/>
      <c r="B692" s="112"/>
      <c r="C692" s="112"/>
      <c r="D692" s="112"/>
      <c r="E692" s="112"/>
      <c r="F692" s="112"/>
      <c r="G692" s="112"/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</row>
    <row r="693" customFormat="false" ht="10.5" hidden="false" customHeight="true" outlineLevel="0" collapsed="false">
      <c r="A693" s="112"/>
      <c r="B693" s="112"/>
      <c r="C693" s="112"/>
      <c r="D693" s="112"/>
      <c r="E693" s="112"/>
      <c r="F693" s="112"/>
      <c r="G693" s="112"/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</row>
    <row r="694" customFormat="false" ht="10.5" hidden="false" customHeight="true" outlineLevel="0" collapsed="false">
      <c r="A694" s="112"/>
      <c r="B694" s="112"/>
      <c r="C694" s="112"/>
      <c r="D694" s="112"/>
      <c r="E694" s="112"/>
      <c r="F694" s="112"/>
      <c r="G694" s="112"/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</row>
    <row r="695" customFormat="false" ht="10.5" hidden="false" customHeight="true" outlineLevel="0" collapsed="false">
      <c r="A695" s="112"/>
      <c r="B695" s="112"/>
      <c r="C695" s="112"/>
      <c r="D695" s="112"/>
      <c r="E695" s="112"/>
      <c r="F695" s="112"/>
      <c r="G695" s="112"/>
      <c r="H695" s="112"/>
      <c r="I695" s="112"/>
      <c r="J695" s="112"/>
      <c r="K695" s="112"/>
      <c r="L695" s="112"/>
      <c r="M695" s="112"/>
      <c r="N695" s="112"/>
      <c r="O695" s="112"/>
      <c r="P695" s="112"/>
      <c r="Q695" s="112"/>
      <c r="R695" s="112"/>
      <c r="S695" s="112"/>
      <c r="T695" s="112"/>
      <c r="U695" s="112"/>
      <c r="V695" s="112"/>
      <c r="W695" s="112"/>
      <c r="X695" s="112"/>
    </row>
    <row r="696" customFormat="false" ht="10.5" hidden="false" customHeight="true" outlineLevel="0" collapsed="false">
      <c r="A696" s="112"/>
      <c r="B696" s="112"/>
      <c r="C696" s="112"/>
      <c r="D696" s="112"/>
      <c r="E696" s="112"/>
      <c r="F696" s="112"/>
      <c r="G696" s="112"/>
      <c r="H696" s="112"/>
      <c r="I696" s="112"/>
      <c r="J696" s="112"/>
      <c r="K696" s="112"/>
      <c r="L696" s="112"/>
      <c r="M696" s="112"/>
      <c r="N696" s="112"/>
      <c r="O696" s="112"/>
      <c r="P696" s="112"/>
      <c r="Q696" s="112"/>
      <c r="R696" s="112"/>
      <c r="S696" s="112"/>
      <c r="T696" s="112"/>
      <c r="U696" s="112"/>
      <c r="V696" s="112"/>
      <c r="W696" s="112"/>
      <c r="X696" s="112"/>
    </row>
    <row r="697" customFormat="false" ht="10.5" hidden="false" customHeight="true" outlineLevel="0" collapsed="false">
      <c r="A697" s="112"/>
      <c r="B697" s="112"/>
      <c r="C697" s="112"/>
      <c r="D697" s="112"/>
      <c r="E697" s="112"/>
      <c r="F697" s="112"/>
      <c r="G697" s="112"/>
      <c r="H697" s="112"/>
      <c r="I697" s="112"/>
      <c r="J697" s="112"/>
      <c r="K697" s="112"/>
      <c r="L697" s="112"/>
      <c r="M697" s="112"/>
      <c r="N697" s="112"/>
      <c r="O697" s="112"/>
      <c r="P697" s="112"/>
      <c r="Q697" s="112"/>
      <c r="R697" s="112"/>
      <c r="S697" s="112"/>
      <c r="T697" s="112"/>
      <c r="U697" s="112"/>
      <c r="V697" s="112"/>
      <c r="W697" s="112"/>
      <c r="X697" s="112"/>
    </row>
    <row r="698" customFormat="false" ht="10.5" hidden="false" customHeight="true" outlineLevel="0" collapsed="false">
      <c r="A698" s="112"/>
      <c r="B698" s="112"/>
      <c r="C698" s="112"/>
      <c r="D698" s="112"/>
      <c r="E698" s="112"/>
      <c r="F698" s="112"/>
      <c r="G698" s="112"/>
      <c r="H698" s="112"/>
      <c r="I698" s="112"/>
      <c r="J698" s="112"/>
      <c r="K698" s="112"/>
      <c r="L698" s="112"/>
      <c r="M698" s="112"/>
      <c r="N698" s="112"/>
      <c r="O698" s="112"/>
      <c r="P698" s="112"/>
      <c r="Q698" s="112"/>
      <c r="R698" s="112"/>
      <c r="S698" s="112"/>
      <c r="T698" s="112"/>
      <c r="U698" s="112"/>
      <c r="V698" s="112"/>
      <c r="W698" s="112"/>
      <c r="X698" s="112"/>
    </row>
    <row r="699" customFormat="false" ht="10.5" hidden="false" customHeight="true" outlineLevel="0" collapsed="false">
      <c r="A699" s="112"/>
      <c r="B699" s="112"/>
      <c r="C699" s="112"/>
      <c r="D699" s="112"/>
      <c r="E699" s="112"/>
      <c r="F699" s="112"/>
      <c r="G699" s="112"/>
      <c r="H699" s="112"/>
      <c r="I699" s="112"/>
      <c r="J699" s="112"/>
      <c r="K699" s="112"/>
      <c r="L699" s="112"/>
      <c r="M699" s="112"/>
      <c r="N699" s="112"/>
      <c r="O699" s="112"/>
      <c r="P699" s="112"/>
      <c r="Q699" s="112"/>
      <c r="R699" s="112"/>
      <c r="S699" s="112"/>
      <c r="T699" s="112"/>
      <c r="U699" s="112"/>
      <c r="V699" s="112"/>
      <c r="W699" s="112"/>
      <c r="X699" s="112"/>
    </row>
    <row r="700" customFormat="false" ht="10.5" hidden="false" customHeight="true" outlineLevel="0" collapsed="false">
      <c r="A700" s="112"/>
      <c r="B700" s="112"/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  <c r="R700" s="112"/>
      <c r="S700" s="112"/>
      <c r="T700" s="112"/>
      <c r="U700" s="112"/>
      <c r="V700" s="112"/>
      <c r="W700" s="112"/>
      <c r="X700" s="112"/>
    </row>
    <row r="701" customFormat="false" ht="10.5" hidden="false" customHeight="true" outlineLevel="0" collapsed="false">
      <c r="A701" s="112"/>
      <c r="B701" s="112"/>
      <c r="C701" s="112"/>
      <c r="D701" s="112"/>
      <c r="E701" s="112"/>
      <c r="F701" s="112"/>
      <c r="G701" s="112"/>
      <c r="H701" s="112"/>
      <c r="I701" s="112"/>
      <c r="J701" s="112"/>
      <c r="K701" s="112"/>
      <c r="L701" s="112"/>
      <c r="M701" s="112"/>
      <c r="N701" s="112"/>
      <c r="O701" s="112"/>
      <c r="P701" s="112"/>
      <c r="Q701" s="112"/>
      <c r="R701" s="112"/>
      <c r="S701" s="112"/>
      <c r="T701" s="112"/>
      <c r="U701" s="112"/>
      <c r="V701" s="112"/>
      <c r="W701" s="112"/>
      <c r="X701" s="112"/>
    </row>
    <row r="702" customFormat="false" ht="10.5" hidden="false" customHeight="true" outlineLevel="0" collapsed="false">
      <c r="A702" s="112"/>
      <c r="B702" s="112"/>
      <c r="C702" s="112"/>
      <c r="D702" s="112"/>
      <c r="E702" s="112"/>
      <c r="F702" s="112"/>
      <c r="G702" s="112"/>
      <c r="H702" s="112"/>
      <c r="I702" s="112"/>
      <c r="J702" s="112"/>
      <c r="K702" s="112"/>
      <c r="L702" s="112"/>
      <c r="M702" s="112"/>
      <c r="N702" s="112"/>
      <c r="O702" s="112"/>
      <c r="P702" s="112"/>
      <c r="Q702" s="112"/>
      <c r="R702" s="112"/>
      <c r="S702" s="112"/>
      <c r="T702" s="112"/>
      <c r="U702" s="112"/>
      <c r="V702" s="112"/>
      <c r="W702" s="112"/>
      <c r="X702" s="112"/>
    </row>
    <row r="703" customFormat="false" ht="10.5" hidden="false" customHeight="true" outlineLevel="0" collapsed="false">
      <c r="A703" s="112"/>
      <c r="B703" s="112"/>
      <c r="C703" s="112"/>
      <c r="D703" s="112"/>
      <c r="E703" s="112"/>
      <c r="F703" s="112"/>
      <c r="G703" s="112"/>
      <c r="H703" s="112"/>
      <c r="I703" s="112"/>
      <c r="J703" s="112"/>
      <c r="K703" s="112"/>
      <c r="L703" s="112"/>
      <c r="M703" s="112"/>
      <c r="N703" s="112"/>
      <c r="O703" s="112"/>
      <c r="P703" s="112"/>
      <c r="Q703" s="112"/>
      <c r="R703" s="112"/>
      <c r="S703" s="112"/>
      <c r="T703" s="112"/>
      <c r="U703" s="112"/>
      <c r="V703" s="112"/>
      <c r="W703" s="112"/>
      <c r="X703" s="112"/>
    </row>
    <row r="704" customFormat="false" ht="10.5" hidden="false" customHeight="true" outlineLevel="0" collapsed="false">
      <c r="A704" s="112"/>
      <c r="B704" s="112"/>
      <c r="C704" s="112"/>
      <c r="D704" s="112"/>
      <c r="E704" s="112"/>
      <c r="F704" s="112"/>
      <c r="G704" s="112"/>
      <c r="H704" s="112"/>
      <c r="I704" s="112"/>
      <c r="J704" s="112"/>
      <c r="K704" s="112"/>
      <c r="L704" s="112"/>
      <c r="M704" s="112"/>
      <c r="N704" s="112"/>
      <c r="O704" s="112"/>
      <c r="P704" s="112"/>
      <c r="Q704" s="112"/>
      <c r="R704" s="112"/>
      <c r="S704" s="112"/>
      <c r="T704" s="112"/>
      <c r="U704" s="112"/>
      <c r="V704" s="112"/>
      <c r="W704" s="112"/>
      <c r="X704" s="112"/>
    </row>
    <row r="705" customFormat="false" ht="10.5" hidden="false" customHeight="true" outlineLevel="0" collapsed="false">
      <c r="A705" s="112"/>
      <c r="B705" s="112"/>
      <c r="C705" s="112"/>
      <c r="D705" s="112"/>
      <c r="E705" s="112"/>
      <c r="F705" s="112"/>
      <c r="G705" s="112"/>
      <c r="H705" s="112"/>
      <c r="I705" s="112"/>
      <c r="J705" s="112"/>
      <c r="K705" s="112"/>
      <c r="L705" s="112"/>
      <c r="M705" s="112"/>
      <c r="N705" s="112"/>
      <c r="O705" s="112"/>
      <c r="P705" s="112"/>
      <c r="Q705" s="112"/>
      <c r="R705" s="112"/>
      <c r="S705" s="112"/>
      <c r="T705" s="112"/>
      <c r="U705" s="112"/>
      <c r="V705" s="112"/>
      <c r="W705" s="112"/>
      <c r="X705" s="112"/>
    </row>
    <row r="706" customFormat="false" ht="10.5" hidden="false" customHeight="true" outlineLevel="0" collapsed="false">
      <c r="A706" s="112"/>
      <c r="B706" s="112"/>
      <c r="C706" s="112"/>
      <c r="D706" s="112"/>
      <c r="E706" s="112"/>
      <c r="F706" s="112"/>
      <c r="G706" s="112"/>
      <c r="H706" s="112"/>
      <c r="I706" s="112"/>
      <c r="J706" s="112"/>
      <c r="K706" s="112"/>
      <c r="L706" s="112"/>
      <c r="M706" s="112"/>
      <c r="N706" s="112"/>
      <c r="O706" s="112"/>
      <c r="P706" s="112"/>
      <c r="Q706" s="112"/>
      <c r="R706" s="112"/>
      <c r="S706" s="112"/>
      <c r="T706" s="112"/>
      <c r="U706" s="112"/>
      <c r="V706" s="112"/>
      <c r="W706" s="112"/>
      <c r="X706" s="112"/>
    </row>
    <row r="707" customFormat="false" ht="10.5" hidden="false" customHeight="true" outlineLevel="0" collapsed="false">
      <c r="A707" s="112"/>
      <c r="B707" s="112"/>
      <c r="C707" s="112"/>
      <c r="D707" s="112"/>
      <c r="E707" s="112"/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112"/>
    </row>
    <row r="708" customFormat="false" ht="10.5" hidden="false" customHeight="true" outlineLevel="0" collapsed="false">
      <c r="A708" s="112"/>
      <c r="B708" s="112"/>
      <c r="C708" s="112"/>
      <c r="D708" s="112"/>
      <c r="E708" s="112"/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112"/>
    </row>
    <row r="709" customFormat="false" ht="10.5" hidden="false" customHeight="true" outlineLevel="0" collapsed="false">
      <c r="A709" s="112"/>
      <c r="B709" s="112"/>
      <c r="C709" s="112"/>
      <c r="D709" s="112"/>
      <c r="E709" s="112"/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112"/>
    </row>
    <row r="710" customFormat="false" ht="10.5" hidden="false" customHeight="true" outlineLevel="0" collapsed="false">
      <c r="A710" s="112"/>
      <c r="B710" s="112"/>
      <c r="C710" s="112"/>
      <c r="D710" s="112"/>
      <c r="E710" s="112"/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112"/>
    </row>
    <row r="711" customFormat="false" ht="10.5" hidden="false" customHeight="true" outlineLevel="0" collapsed="false">
      <c r="A711" s="112"/>
      <c r="B711" s="112"/>
      <c r="C711" s="112"/>
      <c r="D711" s="112"/>
      <c r="E711" s="112"/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112"/>
    </row>
    <row r="712" customFormat="false" ht="10.5" hidden="false" customHeight="true" outlineLevel="0" collapsed="false">
      <c r="A712" s="112"/>
      <c r="B712" s="112"/>
      <c r="C712" s="112"/>
      <c r="D712" s="112"/>
      <c r="E712" s="112"/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112"/>
    </row>
    <row r="713" customFormat="false" ht="10.5" hidden="false" customHeight="true" outlineLevel="0" collapsed="false">
      <c r="A713" s="112"/>
      <c r="B713" s="112"/>
      <c r="C713" s="112"/>
      <c r="D713" s="112"/>
      <c r="E713" s="112"/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112"/>
    </row>
    <row r="714" customFormat="false" ht="10.5" hidden="false" customHeight="true" outlineLevel="0" collapsed="false">
      <c r="A714" s="112"/>
      <c r="B714" s="112"/>
      <c r="C714" s="112"/>
      <c r="D714" s="112"/>
      <c r="E714" s="112"/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112"/>
    </row>
    <row r="715" customFormat="false" ht="10.5" hidden="false" customHeight="true" outlineLevel="0" collapsed="false">
      <c r="A715" s="112"/>
      <c r="B715" s="112"/>
      <c r="C715" s="112"/>
      <c r="D715" s="112"/>
      <c r="E715" s="112"/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112"/>
    </row>
    <row r="716" customFormat="false" ht="10.5" hidden="false" customHeight="true" outlineLevel="0" collapsed="false">
      <c r="A716" s="112"/>
      <c r="B716" s="112"/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112"/>
    </row>
    <row r="717" customFormat="false" ht="10.5" hidden="false" customHeight="true" outlineLevel="0" collapsed="false">
      <c r="A717" s="112"/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112"/>
    </row>
    <row r="718" customFormat="false" ht="10.5" hidden="false" customHeight="true" outlineLevel="0" collapsed="false">
      <c r="A718" s="112"/>
      <c r="B718" s="112"/>
      <c r="C718" s="112"/>
      <c r="D718" s="112"/>
      <c r="E718" s="112"/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112"/>
    </row>
    <row r="719" customFormat="false" ht="10.5" hidden="false" customHeight="true" outlineLevel="0" collapsed="false">
      <c r="A719" s="112"/>
      <c r="B719" s="112"/>
      <c r="C719" s="112"/>
      <c r="D719" s="112"/>
      <c r="E719" s="112"/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112"/>
    </row>
    <row r="720" customFormat="false" ht="10.5" hidden="false" customHeight="true" outlineLevel="0" collapsed="false">
      <c r="A720" s="112"/>
      <c r="B720" s="112"/>
      <c r="C720" s="112"/>
      <c r="D720" s="112"/>
      <c r="E720" s="112"/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112"/>
    </row>
    <row r="721" customFormat="false" ht="10.5" hidden="false" customHeight="true" outlineLevel="0" collapsed="false">
      <c r="A721" s="112"/>
      <c r="B721" s="112"/>
      <c r="C721" s="112"/>
      <c r="D721" s="112"/>
      <c r="E721" s="112"/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112"/>
    </row>
    <row r="722" customFormat="false" ht="10.5" hidden="false" customHeight="true" outlineLevel="0" collapsed="false">
      <c r="A722" s="112"/>
      <c r="B722" s="112"/>
      <c r="C722" s="112"/>
      <c r="D722" s="112"/>
      <c r="E722" s="112"/>
      <c r="F722" s="112"/>
      <c r="G722" s="112"/>
      <c r="H722" s="112"/>
      <c r="I722" s="112"/>
      <c r="J722" s="112"/>
      <c r="K722" s="112"/>
      <c r="L722" s="112"/>
      <c r="M722" s="112"/>
      <c r="N722" s="112"/>
      <c r="O722" s="112"/>
      <c r="P722" s="112"/>
      <c r="Q722" s="112"/>
      <c r="R722" s="112"/>
      <c r="S722" s="112"/>
      <c r="T722" s="112"/>
      <c r="U722" s="112"/>
      <c r="V722" s="112"/>
      <c r="W722" s="112"/>
      <c r="X722" s="112"/>
    </row>
    <row r="723" customFormat="false" ht="10.5" hidden="false" customHeight="true" outlineLevel="0" collapsed="false">
      <c r="A723" s="112"/>
      <c r="B723" s="112"/>
      <c r="C723" s="112"/>
      <c r="D723" s="112"/>
      <c r="E723" s="112"/>
      <c r="F723" s="112"/>
      <c r="G723" s="112"/>
      <c r="H723" s="112"/>
      <c r="I723" s="112"/>
      <c r="J723" s="112"/>
      <c r="K723" s="112"/>
      <c r="L723" s="112"/>
      <c r="M723" s="112"/>
      <c r="N723" s="112"/>
      <c r="O723" s="112"/>
      <c r="P723" s="112"/>
      <c r="Q723" s="112"/>
      <c r="R723" s="112"/>
      <c r="S723" s="112"/>
      <c r="T723" s="112"/>
      <c r="U723" s="112"/>
      <c r="V723" s="112"/>
      <c r="W723" s="112"/>
      <c r="X723" s="112"/>
    </row>
    <row r="724" customFormat="false" ht="10.5" hidden="false" customHeight="true" outlineLevel="0" collapsed="false">
      <c r="A724" s="112"/>
      <c r="B724" s="112"/>
      <c r="C724" s="112"/>
      <c r="D724" s="112"/>
      <c r="E724" s="112"/>
      <c r="F724" s="112"/>
      <c r="G724" s="112"/>
      <c r="H724" s="112"/>
      <c r="I724" s="112"/>
      <c r="J724" s="112"/>
      <c r="K724" s="112"/>
      <c r="L724" s="112"/>
      <c r="M724" s="112"/>
      <c r="N724" s="112"/>
      <c r="O724" s="112"/>
      <c r="P724" s="112"/>
      <c r="Q724" s="112"/>
      <c r="R724" s="112"/>
      <c r="S724" s="112"/>
      <c r="T724" s="112"/>
      <c r="U724" s="112"/>
      <c r="V724" s="112"/>
      <c r="W724" s="112"/>
      <c r="X724" s="112"/>
    </row>
    <row r="725" customFormat="false" ht="10.5" hidden="false" customHeight="true" outlineLevel="0" collapsed="false">
      <c r="A725" s="112"/>
      <c r="B725" s="112"/>
      <c r="C725" s="112"/>
      <c r="D725" s="112"/>
      <c r="E725" s="112"/>
      <c r="F725" s="112"/>
      <c r="G725" s="112"/>
      <c r="H725" s="112"/>
      <c r="I725" s="112"/>
      <c r="J725" s="112"/>
      <c r="K725" s="112"/>
      <c r="L725" s="112"/>
      <c r="M725" s="112"/>
      <c r="N725" s="112"/>
      <c r="O725" s="112"/>
      <c r="P725" s="112"/>
      <c r="Q725" s="112"/>
      <c r="R725" s="112"/>
      <c r="S725" s="112"/>
      <c r="T725" s="112"/>
      <c r="U725" s="112"/>
      <c r="V725" s="112"/>
      <c r="W725" s="112"/>
      <c r="X725" s="112"/>
    </row>
    <row r="726" customFormat="false" ht="10.5" hidden="false" customHeight="true" outlineLevel="0" collapsed="false">
      <c r="A726" s="112"/>
      <c r="B726" s="112"/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</row>
    <row r="727" customFormat="false" ht="10.5" hidden="false" customHeight="true" outlineLevel="0" collapsed="false">
      <c r="A727" s="112"/>
      <c r="B727" s="112"/>
      <c r="C727" s="112"/>
      <c r="D727" s="112"/>
      <c r="E727" s="112"/>
      <c r="F727" s="112"/>
      <c r="G727" s="112"/>
      <c r="H727" s="112"/>
      <c r="I727" s="112"/>
      <c r="J727" s="112"/>
      <c r="K727" s="112"/>
      <c r="L727" s="112"/>
      <c r="M727" s="112"/>
      <c r="N727" s="112"/>
      <c r="O727" s="112"/>
      <c r="P727" s="112"/>
      <c r="Q727" s="112"/>
      <c r="R727" s="112"/>
      <c r="S727" s="112"/>
      <c r="T727" s="112"/>
      <c r="U727" s="112"/>
      <c r="V727" s="112"/>
      <c r="W727" s="112"/>
      <c r="X727" s="112"/>
    </row>
    <row r="728" customFormat="false" ht="10.5" hidden="false" customHeight="true" outlineLevel="0" collapsed="false">
      <c r="A728" s="112"/>
      <c r="B728" s="112"/>
      <c r="C728" s="112"/>
      <c r="D728" s="112"/>
      <c r="E728" s="112"/>
      <c r="F728" s="112"/>
      <c r="G728" s="112"/>
      <c r="H728" s="112"/>
      <c r="I728" s="112"/>
      <c r="J728" s="112"/>
      <c r="K728" s="112"/>
      <c r="L728" s="112"/>
      <c r="M728" s="112"/>
      <c r="N728" s="112"/>
      <c r="O728" s="112"/>
      <c r="P728" s="112"/>
      <c r="Q728" s="112"/>
      <c r="R728" s="112"/>
      <c r="S728" s="112"/>
      <c r="T728" s="112"/>
      <c r="U728" s="112"/>
      <c r="V728" s="112"/>
      <c r="W728" s="112"/>
      <c r="X728" s="112"/>
    </row>
    <row r="729" customFormat="false" ht="10.5" hidden="false" customHeight="true" outlineLevel="0" collapsed="false">
      <c r="A729" s="112"/>
      <c r="B729" s="112"/>
      <c r="C729" s="112"/>
      <c r="D729" s="112"/>
      <c r="E729" s="112"/>
      <c r="F729" s="112"/>
      <c r="G729" s="112"/>
      <c r="H729" s="112"/>
      <c r="I729" s="112"/>
      <c r="J729" s="112"/>
      <c r="K729" s="112"/>
      <c r="L729" s="112"/>
      <c r="M729" s="112"/>
      <c r="N729" s="112"/>
      <c r="O729" s="112"/>
      <c r="P729" s="112"/>
      <c r="Q729" s="112"/>
      <c r="R729" s="112"/>
      <c r="S729" s="112"/>
      <c r="T729" s="112"/>
      <c r="U729" s="112"/>
      <c r="V729" s="112"/>
      <c r="W729" s="112"/>
      <c r="X729" s="112"/>
    </row>
    <row r="730" customFormat="false" ht="10.5" hidden="false" customHeight="true" outlineLevel="0" collapsed="false">
      <c r="A730" s="112"/>
      <c r="B730" s="112"/>
      <c r="C730" s="112"/>
      <c r="D730" s="112"/>
      <c r="E730" s="112"/>
      <c r="F730" s="112"/>
      <c r="G730" s="112"/>
      <c r="H730" s="112"/>
      <c r="I730" s="112"/>
      <c r="J730" s="112"/>
      <c r="K730" s="112"/>
      <c r="L730" s="112"/>
      <c r="M730" s="112"/>
      <c r="N730" s="112"/>
      <c r="O730" s="112"/>
      <c r="P730" s="112"/>
      <c r="Q730" s="112"/>
      <c r="R730" s="112"/>
      <c r="S730" s="112"/>
      <c r="T730" s="112"/>
      <c r="U730" s="112"/>
      <c r="V730" s="112"/>
      <c r="W730" s="112"/>
      <c r="X730" s="112"/>
    </row>
    <row r="731" customFormat="false" ht="10.5" hidden="false" customHeight="true" outlineLevel="0" collapsed="false">
      <c r="A731" s="112"/>
      <c r="B731" s="112"/>
      <c r="C731" s="112"/>
      <c r="D731" s="112"/>
      <c r="E731" s="112"/>
      <c r="F731" s="112"/>
      <c r="G731" s="112"/>
      <c r="H731" s="112"/>
      <c r="I731" s="112"/>
      <c r="J731" s="112"/>
      <c r="K731" s="112"/>
      <c r="L731" s="112"/>
      <c r="M731" s="112"/>
      <c r="N731" s="112"/>
      <c r="O731" s="112"/>
      <c r="P731" s="112"/>
      <c r="Q731" s="112"/>
      <c r="R731" s="112"/>
      <c r="S731" s="112"/>
      <c r="T731" s="112"/>
      <c r="U731" s="112"/>
      <c r="V731" s="112"/>
      <c r="W731" s="112"/>
      <c r="X731" s="112"/>
    </row>
    <row r="732" customFormat="false" ht="10.5" hidden="false" customHeight="true" outlineLevel="0" collapsed="false">
      <c r="A732" s="112"/>
      <c r="B732" s="112"/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  <c r="R732" s="112"/>
      <c r="S732" s="112"/>
      <c r="T732" s="112"/>
      <c r="U732" s="112"/>
      <c r="V732" s="112"/>
      <c r="W732" s="112"/>
      <c r="X732" s="112"/>
    </row>
    <row r="733" customFormat="false" ht="10.5" hidden="false" customHeight="true" outlineLevel="0" collapsed="false">
      <c r="A733" s="112"/>
      <c r="B733" s="112"/>
      <c r="C733" s="112"/>
      <c r="D733" s="112"/>
      <c r="E733" s="112"/>
      <c r="F733" s="112"/>
      <c r="G733" s="112"/>
      <c r="H733" s="112"/>
      <c r="I733" s="112"/>
      <c r="J733" s="112"/>
      <c r="K733" s="112"/>
      <c r="L733" s="112"/>
      <c r="M733" s="112"/>
      <c r="N733" s="112"/>
      <c r="O733" s="112"/>
      <c r="P733" s="112"/>
      <c r="Q733" s="112"/>
      <c r="R733" s="112"/>
      <c r="S733" s="112"/>
      <c r="T733" s="112"/>
      <c r="U733" s="112"/>
      <c r="V733" s="112"/>
      <c r="W733" s="112"/>
      <c r="X733" s="112"/>
    </row>
    <row r="734" customFormat="false" ht="10.5" hidden="false" customHeight="true" outlineLevel="0" collapsed="false">
      <c r="A734" s="112"/>
      <c r="B734" s="112"/>
      <c r="C734" s="112"/>
      <c r="D734" s="112"/>
      <c r="E734" s="112"/>
      <c r="F734" s="112"/>
      <c r="G734" s="112"/>
      <c r="H734" s="112"/>
      <c r="I734" s="112"/>
      <c r="J734" s="112"/>
      <c r="K734" s="112"/>
      <c r="L734" s="112"/>
      <c r="M734" s="112"/>
      <c r="N734" s="112"/>
      <c r="O734" s="112"/>
      <c r="P734" s="112"/>
      <c r="Q734" s="112"/>
      <c r="R734" s="112"/>
      <c r="S734" s="112"/>
      <c r="T734" s="112"/>
      <c r="U734" s="112"/>
      <c r="V734" s="112"/>
      <c r="W734" s="112"/>
      <c r="X734" s="112"/>
    </row>
    <row r="735" customFormat="false" ht="10.5" hidden="false" customHeight="true" outlineLevel="0" collapsed="false">
      <c r="A735" s="112"/>
      <c r="B735" s="112"/>
      <c r="C735" s="112"/>
      <c r="D735" s="112"/>
      <c r="E735" s="112"/>
      <c r="F735" s="112"/>
      <c r="G735" s="112"/>
      <c r="H735" s="112"/>
      <c r="I735" s="112"/>
      <c r="J735" s="112"/>
      <c r="K735" s="112"/>
      <c r="L735" s="112"/>
      <c r="M735" s="112"/>
      <c r="N735" s="112"/>
      <c r="O735" s="112"/>
      <c r="P735" s="112"/>
      <c r="Q735" s="112"/>
      <c r="R735" s="112"/>
      <c r="S735" s="112"/>
      <c r="T735" s="112"/>
      <c r="U735" s="112"/>
      <c r="V735" s="112"/>
      <c r="W735" s="112"/>
      <c r="X735" s="112"/>
    </row>
    <row r="736" customFormat="false" ht="10.5" hidden="false" customHeight="true" outlineLevel="0" collapsed="false">
      <c r="A736" s="112"/>
      <c r="B736" s="112"/>
      <c r="C736" s="112"/>
      <c r="D736" s="112"/>
      <c r="E736" s="112"/>
      <c r="F736" s="112"/>
      <c r="G736" s="112"/>
      <c r="H736" s="112"/>
      <c r="I736" s="112"/>
      <c r="J736" s="112"/>
      <c r="K736" s="112"/>
      <c r="L736" s="112"/>
      <c r="M736" s="112"/>
      <c r="N736" s="112"/>
      <c r="O736" s="112"/>
      <c r="P736" s="112"/>
      <c r="Q736" s="112"/>
      <c r="R736" s="112"/>
      <c r="S736" s="112"/>
      <c r="T736" s="112"/>
      <c r="U736" s="112"/>
      <c r="V736" s="112"/>
      <c r="W736" s="112"/>
      <c r="X736" s="112"/>
    </row>
    <row r="737" customFormat="false" ht="10.5" hidden="false" customHeight="true" outlineLevel="0" collapsed="false">
      <c r="A737" s="112"/>
      <c r="B737" s="112"/>
      <c r="C737" s="112"/>
      <c r="D737" s="112"/>
      <c r="E737" s="112"/>
      <c r="F737" s="112"/>
      <c r="G737" s="112"/>
      <c r="H737" s="112"/>
      <c r="I737" s="112"/>
      <c r="J737" s="112"/>
      <c r="K737" s="112"/>
      <c r="L737" s="112"/>
      <c r="M737" s="112"/>
      <c r="N737" s="112"/>
      <c r="O737" s="112"/>
      <c r="P737" s="112"/>
      <c r="Q737" s="112"/>
      <c r="R737" s="112"/>
      <c r="S737" s="112"/>
      <c r="T737" s="112"/>
      <c r="U737" s="112"/>
      <c r="V737" s="112"/>
      <c r="W737" s="112"/>
      <c r="X737" s="112"/>
    </row>
    <row r="738" customFormat="false" ht="10.5" hidden="false" customHeight="true" outlineLevel="0" collapsed="false">
      <c r="A738" s="112"/>
      <c r="B738" s="112"/>
      <c r="C738" s="112"/>
      <c r="D738" s="112"/>
      <c r="E738" s="112"/>
      <c r="F738" s="112"/>
      <c r="G738" s="112"/>
      <c r="H738" s="112"/>
      <c r="I738" s="112"/>
      <c r="J738" s="112"/>
      <c r="K738" s="112"/>
      <c r="L738" s="112"/>
      <c r="M738" s="112"/>
      <c r="N738" s="112"/>
      <c r="O738" s="112"/>
      <c r="P738" s="112"/>
      <c r="Q738" s="112"/>
      <c r="R738" s="112"/>
      <c r="S738" s="112"/>
      <c r="T738" s="112"/>
      <c r="U738" s="112"/>
      <c r="V738" s="112"/>
      <c r="W738" s="112"/>
      <c r="X738" s="112"/>
    </row>
    <row r="739" customFormat="false" ht="10.5" hidden="false" customHeight="true" outlineLevel="0" collapsed="false">
      <c r="A739" s="112"/>
      <c r="B739" s="112"/>
      <c r="C739" s="112"/>
      <c r="D739" s="112"/>
      <c r="E739" s="112"/>
      <c r="F739" s="112"/>
      <c r="G739" s="112"/>
      <c r="H739" s="112"/>
      <c r="I739" s="112"/>
      <c r="J739" s="112"/>
      <c r="K739" s="112"/>
      <c r="L739" s="112"/>
      <c r="M739" s="112"/>
      <c r="N739" s="112"/>
      <c r="O739" s="112"/>
      <c r="P739" s="112"/>
      <c r="Q739" s="112"/>
      <c r="R739" s="112"/>
      <c r="S739" s="112"/>
      <c r="T739" s="112"/>
      <c r="U739" s="112"/>
      <c r="V739" s="112"/>
      <c r="W739" s="112"/>
      <c r="X739" s="112"/>
    </row>
    <row r="740" customFormat="false" ht="10.5" hidden="false" customHeight="true" outlineLevel="0" collapsed="false">
      <c r="A740" s="112"/>
      <c r="B740" s="112"/>
      <c r="C740" s="112"/>
      <c r="D740" s="112"/>
      <c r="E740" s="112"/>
      <c r="F740" s="112"/>
      <c r="G740" s="112"/>
      <c r="H740" s="112"/>
      <c r="I740" s="112"/>
      <c r="J740" s="112"/>
      <c r="K740" s="112"/>
      <c r="L740" s="112"/>
      <c r="M740" s="112"/>
      <c r="N740" s="112"/>
      <c r="O740" s="112"/>
      <c r="P740" s="112"/>
      <c r="Q740" s="112"/>
      <c r="R740" s="112"/>
      <c r="S740" s="112"/>
      <c r="T740" s="112"/>
      <c r="U740" s="112"/>
      <c r="V740" s="112"/>
      <c r="W740" s="112"/>
      <c r="X740" s="112"/>
    </row>
    <row r="741" customFormat="false" ht="10.5" hidden="false" customHeight="true" outlineLevel="0" collapsed="false">
      <c r="A741" s="112"/>
      <c r="B741" s="112"/>
      <c r="C741" s="112"/>
      <c r="D741" s="112"/>
      <c r="E741" s="112"/>
      <c r="F741" s="112"/>
      <c r="G741" s="112"/>
      <c r="H741" s="112"/>
      <c r="I741" s="112"/>
      <c r="J741" s="112"/>
      <c r="K741" s="112"/>
      <c r="L741" s="112"/>
      <c r="M741" s="112"/>
      <c r="N741" s="112"/>
      <c r="O741" s="112"/>
      <c r="P741" s="112"/>
      <c r="Q741" s="112"/>
      <c r="R741" s="112"/>
      <c r="S741" s="112"/>
      <c r="T741" s="112"/>
      <c r="U741" s="112"/>
      <c r="V741" s="112"/>
      <c r="W741" s="112"/>
      <c r="X741" s="112"/>
    </row>
    <row r="742" customFormat="false" ht="10.5" hidden="false" customHeight="true" outlineLevel="0" collapsed="false">
      <c r="A742" s="112"/>
      <c r="B742" s="112"/>
      <c r="C742" s="112"/>
      <c r="D742" s="112"/>
      <c r="E742" s="112"/>
      <c r="F742" s="112"/>
      <c r="G742" s="112"/>
      <c r="H742" s="112"/>
      <c r="I742" s="112"/>
      <c r="J742" s="112"/>
      <c r="K742" s="112"/>
      <c r="L742" s="112"/>
      <c r="M742" s="112"/>
      <c r="N742" s="112"/>
      <c r="O742" s="112"/>
      <c r="P742" s="112"/>
      <c r="Q742" s="112"/>
      <c r="R742" s="112"/>
      <c r="S742" s="112"/>
      <c r="T742" s="112"/>
      <c r="U742" s="112"/>
      <c r="V742" s="112"/>
      <c r="W742" s="112"/>
      <c r="X742" s="112"/>
    </row>
    <row r="743" customFormat="false" ht="10.5" hidden="false" customHeight="true" outlineLevel="0" collapsed="false">
      <c r="A743" s="112"/>
      <c r="B743" s="112"/>
      <c r="C743" s="112"/>
      <c r="D743" s="112"/>
      <c r="E743" s="112"/>
      <c r="F743" s="112"/>
      <c r="G743" s="112"/>
      <c r="H743" s="112"/>
      <c r="I743" s="112"/>
      <c r="J743" s="112"/>
      <c r="K743" s="112"/>
      <c r="L743" s="112"/>
      <c r="M743" s="112"/>
      <c r="N743" s="112"/>
      <c r="O743" s="112"/>
      <c r="P743" s="112"/>
      <c r="Q743" s="112"/>
      <c r="R743" s="112"/>
      <c r="S743" s="112"/>
      <c r="T743" s="112"/>
      <c r="U743" s="112"/>
      <c r="V743" s="112"/>
      <c r="W743" s="112"/>
      <c r="X743" s="112"/>
    </row>
    <row r="744" customFormat="false" ht="10.5" hidden="false" customHeight="true" outlineLevel="0" collapsed="false">
      <c r="A744" s="112"/>
      <c r="B744" s="112"/>
      <c r="C744" s="112"/>
      <c r="D744" s="112"/>
      <c r="E744" s="112"/>
      <c r="F744" s="112"/>
      <c r="G744" s="112"/>
      <c r="H744" s="112"/>
      <c r="I744" s="112"/>
      <c r="J744" s="112"/>
      <c r="K744" s="112"/>
      <c r="L744" s="112"/>
      <c r="M744" s="112"/>
      <c r="N744" s="112"/>
      <c r="O744" s="112"/>
      <c r="P744" s="112"/>
      <c r="Q744" s="112"/>
      <c r="R744" s="112"/>
      <c r="S744" s="112"/>
      <c r="T744" s="112"/>
      <c r="U744" s="112"/>
      <c r="V744" s="112"/>
      <c r="W744" s="112"/>
      <c r="X744" s="112"/>
    </row>
    <row r="745" customFormat="false" ht="10.5" hidden="false" customHeight="true" outlineLevel="0" collapsed="false">
      <c r="A745" s="112"/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12"/>
      <c r="T745" s="112"/>
      <c r="U745" s="112"/>
      <c r="V745" s="112"/>
      <c r="W745" s="112"/>
      <c r="X745" s="112"/>
    </row>
    <row r="746" customFormat="false" ht="10.5" hidden="false" customHeight="true" outlineLevel="0" collapsed="false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12"/>
      <c r="T746" s="112"/>
      <c r="U746" s="112"/>
      <c r="V746" s="112"/>
      <c r="W746" s="112"/>
      <c r="X746" s="112"/>
    </row>
    <row r="747" customFormat="false" ht="10.5" hidden="false" customHeight="true" outlineLevel="0" collapsed="false">
      <c r="A747" s="112"/>
      <c r="B747" s="112"/>
      <c r="C747" s="112"/>
      <c r="D747" s="112"/>
      <c r="E747" s="112"/>
      <c r="F747" s="112"/>
      <c r="G747" s="112"/>
      <c r="H747" s="112"/>
      <c r="I747" s="112"/>
      <c r="J747" s="112"/>
      <c r="K747" s="112"/>
      <c r="L747" s="112"/>
      <c r="M747" s="112"/>
      <c r="N747" s="112"/>
      <c r="O747" s="112"/>
      <c r="P747" s="112"/>
      <c r="Q747" s="112"/>
      <c r="R747" s="112"/>
      <c r="S747" s="112"/>
      <c r="T747" s="112"/>
      <c r="U747" s="112"/>
      <c r="V747" s="112"/>
      <c r="W747" s="112"/>
      <c r="X747" s="112"/>
    </row>
    <row r="748" customFormat="false" ht="10.5" hidden="false" customHeight="true" outlineLevel="0" collapsed="false">
      <c r="A748" s="112"/>
      <c r="B748" s="112"/>
      <c r="C748" s="112"/>
      <c r="D748" s="112"/>
      <c r="E748" s="112"/>
      <c r="F748" s="112"/>
      <c r="G748" s="112"/>
      <c r="H748" s="112"/>
      <c r="I748" s="112"/>
      <c r="J748" s="112"/>
      <c r="K748" s="112"/>
      <c r="L748" s="112"/>
      <c r="M748" s="112"/>
      <c r="N748" s="112"/>
      <c r="O748" s="112"/>
      <c r="P748" s="112"/>
      <c r="Q748" s="112"/>
      <c r="R748" s="112"/>
      <c r="S748" s="112"/>
      <c r="T748" s="112"/>
      <c r="U748" s="112"/>
      <c r="V748" s="112"/>
      <c r="W748" s="112"/>
      <c r="X748" s="112"/>
    </row>
    <row r="749" customFormat="false" ht="10.5" hidden="false" customHeight="true" outlineLevel="0" collapsed="false">
      <c r="A749" s="112"/>
      <c r="B749" s="112"/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  <c r="R749" s="112"/>
      <c r="S749" s="112"/>
      <c r="T749" s="112"/>
      <c r="U749" s="112"/>
      <c r="V749" s="112"/>
      <c r="W749" s="112"/>
      <c r="X749" s="112"/>
    </row>
    <row r="750" customFormat="false" ht="10.5" hidden="false" customHeight="true" outlineLevel="0" collapsed="false">
      <c r="A750" s="112"/>
      <c r="B750" s="112"/>
      <c r="C750" s="112"/>
      <c r="D750" s="112"/>
      <c r="E750" s="112"/>
      <c r="F750" s="112"/>
      <c r="G750" s="112"/>
      <c r="H750" s="112"/>
      <c r="I750" s="112"/>
      <c r="J750" s="112"/>
      <c r="K750" s="112"/>
      <c r="L750" s="112"/>
      <c r="M750" s="112"/>
      <c r="N750" s="112"/>
      <c r="O750" s="112"/>
      <c r="P750" s="112"/>
      <c r="Q750" s="112"/>
      <c r="R750" s="112"/>
      <c r="S750" s="112"/>
      <c r="T750" s="112"/>
      <c r="U750" s="112"/>
      <c r="V750" s="112"/>
      <c r="W750" s="112"/>
      <c r="X750" s="112"/>
    </row>
    <row r="751" customFormat="false" ht="10.5" hidden="false" customHeight="true" outlineLevel="0" collapsed="false">
      <c r="A751" s="112"/>
      <c r="B751" s="112"/>
      <c r="C751" s="112"/>
      <c r="D751" s="112"/>
      <c r="E751" s="112"/>
      <c r="F751" s="112"/>
      <c r="G751" s="112"/>
      <c r="H751" s="112"/>
      <c r="I751" s="112"/>
      <c r="J751" s="112"/>
      <c r="K751" s="112"/>
      <c r="L751" s="112"/>
      <c r="M751" s="112"/>
      <c r="N751" s="112"/>
      <c r="O751" s="112"/>
      <c r="P751" s="112"/>
      <c r="Q751" s="112"/>
      <c r="R751" s="112"/>
      <c r="S751" s="112"/>
      <c r="T751" s="112"/>
      <c r="U751" s="112"/>
      <c r="V751" s="112"/>
      <c r="W751" s="112"/>
      <c r="X751" s="112"/>
    </row>
    <row r="752" customFormat="false" ht="10.5" hidden="false" customHeight="true" outlineLevel="0" collapsed="false">
      <c r="A752" s="112"/>
      <c r="B752" s="112"/>
      <c r="C752" s="112"/>
      <c r="D752" s="112"/>
      <c r="E752" s="112"/>
      <c r="F752" s="112"/>
      <c r="G752" s="112"/>
      <c r="H752" s="112"/>
      <c r="I752" s="112"/>
      <c r="J752" s="112"/>
      <c r="K752" s="112"/>
      <c r="L752" s="112"/>
      <c r="M752" s="112"/>
      <c r="N752" s="112"/>
      <c r="O752" s="112"/>
      <c r="P752" s="112"/>
      <c r="Q752" s="112"/>
      <c r="R752" s="112"/>
      <c r="S752" s="112"/>
      <c r="T752" s="112"/>
      <c r="U752" s="112"/>
      <c r="V752" s="112"/>
      <c r="W752" s="112"/>
      <c r="X752" s="112"/>
    </row>
    <row r="753" customFormat="false" ht="10.5" hidden="false" customHeight="true" outlineLevel="0" collapsed="false">
      <c r="A753" s="112"/>
      <c r="B753" s="112"/>
      <c r="C753" s="112"/>
      <c r="D753" s="112"/>
      <c r="E753" s="112"/>
      <c r="F753" s="112"/>
      <c r="G753" s="112"/>
      <c r="H753" s="112"/>
      <c r="I753" s="112"/>
      <c r="J753" s="112"/>
      <c r="K753" s="112"/>
      <c r="L753" s="112"/>
      <c r="M753" s="112"/>
      <c r="N753" s="112"/>
      <c r="O753" s="112"/>
      <c r="P753" s="112"/>
      <c r="Q753" s="112"/>
      <c r="R753" s="112"/>
      <c r="S753" s="112"/>
      <c r="T753" s="112"/>
      <c r="U753" s="112"/>
      <c r="V753" s="112"/>
      <c r="W753" s="112"/>
      <c r="X753" s="112"/>
    </row>
    <row r="754" customFormat="false" ht="10.5" hidden="false" customHeight="true" outlineLevel="0" collapsed="false">
      <c r="A754" s="112"/>
      <c r="B754" s="112"/>
      <c r="C754" s="112"/>
      <c r="D754" s="112"/>
      <c r="E754" s="112"/>
      <c r="F754" s="112"/>
      <c r="G754" s="112"/>
      <c r="H754" s="112"/>
      <c r="I754" s="112"/>
      <c r="J754" s="112"/>
      <c r="K754" s="112"/>
      <c r="L754" s="112"/>
      <c r="M754" s="112"/>
      <c r="N754" s="112"/>
      <c r="O754" s="112"/>
      <c r="P754" s="112"/>
      <c r="Q754" s="112"/>
      <c r="R754" s="112"/>
      <c r="S754" s="112"/>
      <c r="T754" s="112"/>
      <c r="U754" s="112"/>
      <c r="V754" s="112"/>
      <c r="W754" s="112"/>
      <c r="X754" s="112"/>
    </row>
    <row r="755" customFormat="false" ht="10.5" hidden="false" customHeight="true" outlineLevel="0" collapsed="false">
      <c r="A755" s="112"/>
      <c r="B755" s="112"/>
      <c r="C755" s="112"/>
      <c r="D755" s="112"/>
      <c r="E755" s="112"/>
      <c r="F755" s="112"/>
      <c r="G755" s="112"/>
      <c r="H755" s="112"/>
      <c r="I755" s="112"/>
      <c r="J755" s="112"/>
      <c r="K755" s="112"/>
      <c r="L755" s="112"/>
      <c r="M755" s="112"/>
      <c r="N755" s="112"/>
      <c r="O755" s="112"/>
      <c r="P755" s="112"/>
      <c r="Q755" s="112"/>
      <c r="R755" s="112"/>
      <c r="S755" s="112"/>
      <c r="T755" s="112"/>
      <c r="U755" s="112"/>
      <c r="V755" s="112"/>
      <c r="W755" s="112"/>
      <c r="X755" s="112"/>
    </row>
    <row r="756" customFormat="false" ht="10.5" hidden="false" customHeight="true" outlineLevel="0" collapsed="false">
      <c r="A756" s="112"/>
      <c r="B756" s="112"/>
      <c r="C756" s="112"/>
      <c r="D756" s="112"/>
      <c r="E756" s="112"/>
      <c r="F756" s="112"/>
      <c r="G756" s="112"/>
      <c r="H756" s="112"/>
      <c r="I756" s="112"/>
      <c r="J756" s="112"/>
      <c r="K756" s="112"/>
      <c r="L756" s="112"/>
      <c r="M756" s="112"/>
      <c r="N756" s="112"/>
      <c r="O756" s="112"/>
      <c r="P756" s="112"/>
      <c r="Q756" s="112"/>
      <c r="R756" s="112"/>
      <c r="S756" s="112"/>
      <c r="T756" s="112"/>
      <c r="U756" s="112"/>
      <c r="V756" s="112"/>
      <c r="W756" s="112"/>
      <c r="X756" s="112"/>
    </row>
    <row r="757" customFormat="false" ht="10.5" hidden="false" customHeight="true" outlineLevel="0" collapsed="false">
      <c r="A757" s="112"/>
      <c r="B757" s="112"/>
      <c r="C757" s="112"/>
      <c r="D757" s="112"/>
      <c r="E757" s="112"/>
      <c r="F757" s="112"/>
      <c r="G757" s="112"/>
      <c r="H757" s="112"/>
      <c r="I757" s="112"/>
      <c r="J757" s="112"/>
      <c r="K757" s="112"/>
      <c r="L757" s="112"/>
      <c r="M757" s="112"/>
      <c r="N757" s="112"/>
      <c r="O757" s="112"/>
      <c r="P757" s="112"/>
      <c r="Q757" s="112"/>
      <c r="R757" s="112"/>
      <c r="S757" s="112"/>
      <c r="T757" s="112"/>
      <c r="U757" s="112"/>
      <c r="V757" s="112"/>
      <c r="W757" s="112"/>
      <c r="X757" s="112"/>
    </row>
    <row r="758" customFormat="false" ht="10.5" hidden="false" customHeight="true" outlineLevel="0" collapsed="false">
      <c r="A758" s="112"/>
      <c r="B758" s="112"/>
      <c r="C758" s="112"/>
      <c r="D758" s="112"/>
      <c r="E758" s="112"/>
      <c r="F758" s="112"/>
      <c r="G758" s="112"/>
      <c r="H758" s="112"/>
      <c r="I758" s="112"/>
      <c r="J758" s="112"/>
      <c r="K758" s="112"/>
      <c r="L758" s="112"/>
      <c r="M758" s="112"/>
      <c r="N758" s="112"/>
      <c r="O758" s="112"/>
      <c r="P758" s="112"/>
      <c r="Q758" s="112"/>
      <c r="R758" s="112"/>
      <c r="S758" s="112"/>
      <c r="T758" s="112"/>
      <c r="U758" s="112"/>
      <c r="V758" s="112"/>
      <c r="W758" s="112"/>
      <c r="X758" s="112"/>
    </row>
    <row r="759" customFormat="false" ht="10.5" hidden="false" customHeight="true" outlineLevel="0" collapsed="false">
      <c r="A759" s="112"/>
      <c r="B759" s="112"/>
      <c r="C759" s="112"/>
      <c r="D759" s="112"/>
      <c r="E759" s="112"/>
      <c r="F759" s="112"/>
      <c r="G759" s="112"/>
      <c r="H759" s="112"/>
      <c r="I759" s="112"/>
      <c r="J759" s="112"/>
      <c r="K759" s="112"/>
      <c r="L759" s="112"/>
      <c r="M759" s="112"/>
      <c r="N759" s="112"/>
      <c r="O759" s="112"/>
      <c r="P759" s="112"/>
      <c r="Q759" s="112"/>
      <c r="R759" s="112"/>
      <c r="S759" s="112"/>
      <c r="T759" s="112"/>
      <c r="U759" s="112"/>
      <c r="V759" s="112"/>
      <c r="W759" s="112"/>
      <c r="X759" s="112"/>
    </row>
    <row r="760" customFormat="false" ht="10.5" hidden="false" customHeight="true" outlineLevel="0" collapsed="false">
      <c r="A760" s="112"/>
      <c r="B760" s="112"/>
      <c r="C760" s="112"/>
      <c r="D760" s="112"/>
      <c r="E760" s="112"/>
      <c r="F760" s="112"/>
      <c r="G760" s="112"/>
      <c r="H760" s="112"/>
      <c r="I760" s="112"/>
      <c r="J760" s="112"/>
      <c r="K760" s="112"/>
      <c r="L760" s="112"/>
      <c r="M760" s="112"/>
      <c r="N760" s="112"/>
      <c r="O760" s="112"/>
      <c r="P760" s="112"/>
      <c r="Q760" s="112"/>
      <c r="R760" s="112"/>
      <c r="S760" s="112"/>
      <c r="T760" s="112"/>
      <c r="U760" s="112"/>
      <c r="V760" s="112"/>
      <c r="W760" s="112"/>
      <c r="X760" s="112"/>
    </row>
    <row r="761" customFormat="false" ht="10.5" hidden="false" customHeight="true" outlineLevel="0" collapsed="false">
      <c r="A761" s="112"/>
      <c r="B761" s="112"/>
      <c r="C761" s="112"/>
      <c r="D761" s="112"/>
      <c r="E761" s="112"/>
      <c r="F761" s="112"/>
      <c r="G761" s="112"/>
      <c r="H761" s="112"/>
      <c r="I761" s="112"/>
      <c r="J761" s="112"/>
      <c r="K761" s="112"/>
      <c r="L761" s="112"/>
      <c r="M761" s="112"/>
      <c r="N761" s="112"/>
      <c r="O761" s="112"/>
      <c r="P761" s="112"/>
      <c r="Q761" s="112"/>
      <c r="R761" s="112"/>
      <c r="S761" s="112"/>
      <c r="T761" s="112"/>
      <c r="U761" s="112"/>
      <c r="V761" s="112"/>
      <c r="W761" s="112"/>
      <c r="X761" s="112"/>
    </row>
    <row r="762" customFormat="false" ht="10.5" hidden="false" customHeight="true" outlineLevel="0" collapsed="false">
      <c r="A762" s="112"/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12"/>
      <c r="M762" s="112"/>
      <c r="N762" s="112"/>
      <c r="O762" s="112"/>
      <c r="P762" s="112"/>
      <c r="Q762" s="112"/>
      <c r="R762" s="112"/>
      <c r="S762" s="112"/>
      <c r="T762" s="112"/>
      <c r="U762" s="112"/>
      <c r="V762" s="112"/>
      <c r="W762" s="112"/>
      <c r="X762" s="112"/>
    </row>
    <row r="763" customFormat="false" ht="10.5" hidden="false" customHeight="true" outlineLevel="0" collapsed="false">
      <c r="A763" s="112"/>
      <c r="B763" s="112"/>
      <c r="C763" s="112"/>
      <c r="D763" s="112"/>
      <c r="E763" s="112"/>
      <c r="F763" s="112"/>
      <c r="G763" s="112"/>
      <c r="H763" s="112"/>
      <c r="I763" s="112"/>
      <c r="J763" s="112"/>
      <c r="K763" s="112"/>
      <c r="L763" s="112"/>
      <c r="M763" s="112"/>
      <c r="N763" s="112"/>
      <c r="O763" s="112"/>
      <c r="P763" s="112"/>
      <c r="Q763" s="112"/>
      <c r="R763" s="112"/>
      <c r="S763" s="112"/>
      <c r="T763" s="112"/>
      <c r="U763" s="112"/>
      <c r="V763" s="112"/>
      <c r="W763" s="112"/>
      <c r="X763" s="112"/>
    </row>
    <row r="764" customFormat="false" ht="10.5" hidden="false" customHeight="true" outlineLevel="0" collapsed="false">
      <c r="A764" s="112"/>
      <c r="B764" s="112"/>
      <c r="C764" s="112"/>
      <c r="D764" s="112"/>
      <c r="E764" s="112"/>
      <c r="F764" s="112"/>
      <c r="G764" s="112"/>
      <c r="H764" s="112"/>
      <c r="I764" s="112"/>
      <c r="J764" s="112"/>
      <c r="K764" s="112"/>
      <c r="L764" s="112"/>
      <c r="M764" s="112"/>
      <c r="N764" s="112"/>
      <c r="O764" s="112"/>
      <c r="P764" s="112"/>
      <c r="Q764" s="112"/>
      <c r="R764" s="112"/>
      <c r="S764" s="112"/>
      <c r="T764" s="112"/>
      <c r="U764" s="112"/>
      <c r="V764" s="112"/>
      <c r="W764" s="112"/>
      <c r="X764" s="112"/>
    </row>
    <row r="765" customFormat="false" ht="10.5" hidden="false" customHeight="true" outlineLevel="0" collapsed="false">
      <c r="A765" s="112"/>
      <c r="B765" s="112"/>
      <c r="C765" s="112"/>
      <c r="D765" s="112"/>
      <c r="E765" s="112"/>
      <c r="F765" s="112"/>
      <c r="G765" s="112"/>
      <c r="H765" s="112"/>
      <c r="I765" s="112"/>
      <c r="J765" s="112"/>
      <c r="K765" s="112"/>
      <c r="L765" s="112"/>
      <c r="M765" s="112"/>
      <c r="N765" s="112"/>
      <c r="O765" s="112"/>
      <c r="P765" s="112"/>
      <c r="Q765" s="112"/>
      <c r="R765" s="112"/>
      <c r="S765" s="112"/>
      <c r="T765" s="112"/>
      <c r="U765" s="112"/>
      <c r="V765" s="112"/>
      <c r="W765" s="112"/>
      <c r="X765" s="112"/>
    </row>
    <row r="766" customFormat="false" ht="10.5" hidden="false" customHeight="true" outlineLevel="0" collapsed="false">
      <c r="A766" s="112"/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</row>
    <row r="767" customFormat="false" ht="10.5" hidden="false" customHeight="true" outlineLevel="0" collapsed="false">
      <c r="A767" s="112"/>
      <c r="B767" s="112"/>
      <c r="C767" s="112"/>
      <c r="D767" s="112"/>
      <c r="E767" s="112"/>
      <c r="F767" s="112"/>
      <c r="G767" s="112"/>
      <c r="H767" s="112"/>
      <c r="I767" s="112"/>
      <c r="J767" s="112"/>
      <c r="K767" s="112"/>
      <c r="L767" s="112"/>
      <c r="M767" s="112"/>
      <c r="N767" s="112"/>
      <c r="O767" s="112"/>
      <c r="P767" s="112"/>
      <c r="Q767" s="112"/>
      <c r="R767" s="112"/>
      <c r="S767" s="112"/>
      <c r="T767" s="112"/>
      <c r="U767" s="112"/>
      <c r="V767" s="112"/>
      <c r="W767" s="112"/>
      <c r="X767" s="112"/>
    </row>
    <row r="768" customFormat="false" ht="10.5" hidden="false" customHeight="true" outlineLevel="0" collapsed="false">
      <c r="A768" s="112"/>
      <c r="B768" s="112"/>
      <c r="C768" s="112"/>
      <c r="D768" s="112"/>
      <c r="E768" s="112"/>
      <c r="F768" s="112"/>
      <c r="G768" s="112"/>
      <c r="H768" s="112"/>
      <c r="I768" s="112"/>
      <c r="J768" s="112"/>
      <c r="K768" s="112"/>
      <c r="L768" s="112"/>
      <c r="M768" s="112"/>
      <c r="N768" s="112"/>
      <c r="O768" s="112"/>
      <c r="P768" s="112"/>
      <c r="Q768" s="112"/>
      <c r="R768" s="112"/>
      <c r="S768" s="112"/>
      <c r="T768" s="112"/>
      <c r="U768" s="112"/>
      <c r="V768" s="112"/>
      <c r="W768" s="112"/>
      <c r="X768" s="112"/>
    </row>
    <row r="769" customFormat="false" ht="10.5" hidden="false" customHeight="true" outlineLevel="0" collapsed="false">
      <c r="A769" s="112"/>
      <c r="B769" s="112"/>
      <c r="C769" s="112"/>
      <c r="D769" s="112"/>
      <c r="E769" s="112"/>
      <c r="F769" s="112"/>
      <c r="G769" s="112"/>
      <c r="H769" s="112"/>
      <c r="I769" s="112"/>
      <c r="J769" s="112"/>
      <c r="K769" s="112"/>
      <c r="L769" s="112"/>
      <c r="M769" s="112"/>
      <c r="N769" s="112"/>
      <c r="O769" s="112"/>
      <c r="P769" s="112"/>
      <c r="Q769" s="112"/>
      <c r="R769" s="112"/>
      <c r="S769" s="112"/>
      <c r="T769" s="112"/>
      <c r="U769" s="112"/>
      <c r="V769" s="112"/>
      <c r="W769" s="112"/>
      <c r="X769" s="112"/>
    </row>
    <row r="770" customFormat="false" ht="10.5" hidden="false" customHeight="true" outlineLevel="0" collapsed="false">
      <c r="A770" s="112"/>
      <c r="B770" s="112"/>
      <c r="C770" s="112"/>
      <c r="D770" s="112"/>
      <c r="E770" s="112"/>
      <c r="F770" s="112"/>
      <c r="G770" s="112"/>
      <c r="H770" s="112"/>
      <c r="I770" s="112"/>
      <c r="J770" s="112"/>
      <c r="K770" s="112"/>
      <c r="L770" s="112"/>
      <c r="M770" s="112"/>
      <c r="N770" s="112"/>
      <c r="O770" s="112"/>
      <c r="P770" s="112"/>
      <c r="Q770" s="112"/>
      <c r="R770" s="112"/>
      <c r="S770" s="112"/>
      <c r="T770" s="112"/>
      <c r="U770" s="112"/>
      <c r="V770" s="112"/>
      <c r="W770" s="112"/>
      <c r="X770" s="112"/>
    </row>
    <row r="771" customFormat="false" ht="10.5" hidden="false" customHeight="true" outlineLevel="0" collapsed="false">
      <c r="A771" s="112"/>
      <c r="B771" s="112"/>
      <c r="C771" s="112"/>
      <c r="D771" s="112"/>
      <c r="E771" s="112"/>
      <c r="F771" s="112"/>
      <c r="G771" s="112"/>
      <c r="H771" s="112"/>
      <c r="I771" s="112"/>
      <c r="J771" s="112"/>
      <c r="K771" s="112"/>
      <c r="L771" s="112"/>
      <c r="M771" s="112"/>
      <c r="N771" s="112"/>
      <c r="O771" s="112"/>
      <c r="P771" s="112"/>
      <c r="Q771" s="112"/>
      <c r="R771" s="112"/>
      <c r="S771" s="112"/>
      <c r="T771" s="112"/>
      <c r="U771" s="112"/>
      <c r="V771" s="112"/>
      <c r="W771" s="112"/>
      <c r="X771" s="112"/>
    </row>
    <row r="772" customFormat="false" ht="10.5" hidden="false" customHeight="true" outlineLevel="0" collapsed="false">
      <c r="A772" s="112"/>
      <c r="B772" s="112"/>
      <c r="C772" s="112"/>
      <c r="D772" s="112"/>
      <c r="E772" s="112"/>
      <c r="F772" s="112"/>
      <c r="G772" s="112"/>
      <c r="H772" s="112"/>
      <c r="I772" s="112"/>
      <c r="J772" s="112"/>
      <c r="K772" s="112"/>
      <c r="L772" s="112"/>
      <c r="M772" s="112"/>
      <c r="N772" s="112"/>
      <c r="O772" s="112"/>
      <c r="P772" s="112"/>
      <c r="Q772" s="112"/>
      <c r="R772" s="112"/>
      <c r="S772" s="112"/>
      <c r="T772" s="112"/>
      <c r="U772" s="112"/>
      <c r="V772" s="112"/>
      <c r="W772" s="112"/>
      <c r="X772" s="112"/>
    </row>
    <row r="773" customFormat="false" ht="10.5" hidden="false" customHeight="true" outlineLevel="0" collapsed="false">
      <c r="A773" s="112"/>
      <c r="B773" s="112"/>
      <c r="C773" s="112"/>
      <c r="D773" s="112"/>
      <c r="E773" s="112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S773" s="112"/>
      <c r="T773" s="112"/>
      <c r="U773" s="112"/>
      <c r="V773" s="112"/>
      <c r="W773" s="112"/>
      <c r="X773" s="112"/>
    </row>
    <row r="774" customFormat="false" ht="10.5" hidden="false" customHeight="true" outlineLevel="0" collapsed="false">
      <c r="A774" s="112"/>
      <c r="B774" s="112"/>
      <c r="C774" s="112"/>
      <c r="D774" s="112"/>
      <c r="E774" s="112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S774" s="112"/>
      <c r="T774" s="112"/>
      <c r="U774" s="112"/>
      <c r="V774" s="112"/>
      <c r="W774" s="112"/>
      <c r="X774" s="112"/>
    </row>
    <row r="775" customFormat="false" ht="10.5" hidden="false" customHeight="true" outlineLevel="0" collapsed="false">
      <c r="A775" s="112"/>
      <c r="B775" s="112"/>
      <c r="C775" s="112"/>
      <c r="D775" s="112"/>
      <c r="E775" s="112"/>
      <c r="F775" s="112"/>
      <c r="G775" s="112"/>
      <c r="H775" s="112"/>
      <c r="I775" s="112"/>
      <c r="J775" s="112"/>
      <c r="K775" s="112"/>
      <c r="L775" s="112"/>
      <c r="M775" s="112"/>
      <c r="N775" s="112"/>
      <c r="O775" s="112"/>
      <c r="P775" s="112"/>
      <c r="Q775" s="112"/>
      <c r="R775" s="112"/>
      <c r="S775" s="112"/>
      <c r="T775" s="112"/>
      <c r="U775" s="112"/>
      <c r="V775" s="112"/>
      <c r="W775" s="112"/>
      <c r="X775" s="112"/>
    </row>
    <row r="776" customFormat="false" ht="10.5" hidden="false" customHeight="true" outlineLevel="0" collapsed="false">
      <c r="A776" s="112"/>
      <c r="B776" s="112"/>
      <c r="C776" s="112"/>
      <c r="D776" s="112"/>
      <c r="E776" s="112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S776" s="112"/>
      <c r="T776" s="112"/>
      <c r="U776" s="112"/>
      <c r="V776" s="112"/>
      <c r="W776" s="112"/>
      <c r="X776" s="112"/>
    </row>
    <row r="777" customFormat="false" ht="10.5" hidden="false" customHeight="true" outlineLevel="0" collapsed="false">
      <c r="A777" s="112"/>
      <c r="B777" s="112"/>
      <c r="C777" s="112"/>
      <c r="D777" s="112"/>
      <c r="E777" s="112"/>
      <c r="F777" s="112"/>
      <c r="G777" s="112"/>
      <c r="H777" s="112"/>
      <c r="I777" s="112"/>
      <c r="J777" s="112"/>
      <c r="K777" s="112"/>
      <c r="L777" s="112"/>
      <c r="M777" s="112"/>
      <c r="N777" s="112"/>
      <c r="O777" s="112"/>
      <c r="P777" s="112"/>
      <c r="Q777" s="112"/>
      <c r="R777" s="112"/>
      <c r="S777" s="112"/>
      <c r="T777" s="112"/>
      <c r="U777" s="112"/>
      <c r="V777" s="112"/>
      <c r="W777" s="112"/>
      <c r="X777" s="112"/>
    </row>
    <row r="778" customFormat="false" ht="10.5" hidden="false" customHeight="true" outlineLevel="0" collapsed="false">
      <c r="A778" s="112"/>
      <c r="B778" s="112"/>
      <c r="C778" s="112"/>
      <c r="D778" s="112"/>
      <c r="E778" s="112"/>
      <c r="F778" s="112"/>
      <c r="G778" s="112"/>
      <c r="H778" s="112"/>
      <c r="I778" s="112"/>
      <c r="J778" s="112"/>
      <c r="K778" s="112"/>
      <c r="L778" s="112"/>
      <c r="M778" s="112"/>
      <c r="N778" s="112"/>
      <c r="O778" s="112"/>
      <c r="P778" s="112"/>
      <c r="Q778" s="112"/>
      <c r="R778" s="112"/>
      <c r="S778" s="112"/>
      <c r="T778" s="112"/>
      <c r="U778" s="112"/>
      <c r="V778" s="112"/>
      <c r="W778" s="112"/>
      <c r="X778" s="112"/>
    </row>
    <row r="779" customFormat="false" ht="10.5" hidden="false" customHeight="true" outlineLevel="0" collapsed="false">
      <c r="A779" s="112"/>
      <c r="B779" s="112"/>
      <c r="C779" s="112"/>
      <c r="D779" s="112"/>
      <c r="E779" s="112"/>
      <c r="F779" s="112"/>
      <c r="G779" s="112"/>
      <c r="H779" s="112"/>
      <c r="I779" s="112"/>
      <c r="J779" s="112"/>
      <c r="K779" s="112"/>
      <c r="L779" s="112"/>
      <c r="M779" s="112"/>
      <c r="N779" s="112"/>
      <c r="O779" s="112"/>
      <c r="P779" s="112"/>
      <c r="Q779" s="112"/>
      <c r="R779" s="112"/>
      <c r="S779" s="112"/>
      <c r="T779" s="112"/>
      <c r="U779" s="112"/>
      <c r="V779" s="112"/>
      <c r="W779" s="112"/>
      <c r="X779" s="112"/>
    </row>
    <row r="780" customFormat="false" ht="10.5" hidden="false" customHeight="true" outlineLevel="0" collapsed="false">
      <c r="A780" s="112"/>
      <c r="B780" s="112"/>
      <c r="C780" s="112"/>
      <c r="D780" s="112"/>
      <c r="E780" s="112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S780" s="112"/>
      <c r="T780" s="112"/>
      <c r="U780" s="112"/>
      <c r="V780" s="112"/>
      <c r="W780" s="112"/>
      <c r="X780" s="112"/>
    </row>
    <row r="781" customFormat="false" ht="10.5" hidden="false" customHeight="true" outlineLevel="0" collapsed="false">
      <c r="A781" s="112"/>
      <c r="B781" s="112"/>
      <c r="C781" s="112"/>
      <c r="D781" s="112"/>
      <c r="E781" s="112"/>
      <c r="F781" s="112"/>
      <c r="G781" s="112"/>
      <c r="H781" s="112"/>
      <c r="I781" s="112"/>
      <c r="J781" s="112"/>
      <c r="K781" s="112"/>
      <c r="L781" s="112"/>
      <c r="M781" s="112"/>
      <c r="N781" s="112"/>
      <c r="O781" s="112"/>
      <c r="P781" s="112"/>
      <c r="Q781" s="112"/>
      <c r="R781" s="112"/>
      <c r="S781" s="112"/>
      <c r="T781" s="112"/>
      <c r="U781" s="112"/>
      <c r="V781" s="112"/>
      <c r="W781" s="112"/>
      <c r="X781" s="112"/>
    </row>
    <row r="782" customFormat="false" ht="10.5" hidden="false" customHeight="true" outlineLevel="0" collapsed="false">
      <c r="A782" s="112"/>
      <c r="B782" s="112"/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  <c r="R782" s="112"/>
      <c r="S782" s="112"/>
      <c r="T782" s="112"/>
      <c r="U782" s="112"/>
      <c r="V782" s="112"/>
      <c r="W782" s="112"/>
      <c r="X782" s="112"/>
    </row>
    <row r="783" customFormat="false" ht="10.5" hidden="false" customHeight="true" outlineLevel="0" collapsed="false">
      <c r="A783" s="112"/>
      <c r="B783" s="112"/>
      <c r="C783" s="112"/>
      <c r="D783" s="112"/>
      <c r="E783" s="112"/>
      <c r="F783" s="112"/>
      <c r="G783" s="112"/>
      <c r="H783" s="112"/>
      <c r="I783" s="112"/>
      <c r="J783" s="112"/>
      <c r="K783" s="112"/>
      <c r="L783" s="112"/>
      <c r="M783" s="112"/>
      <c r="N783" s="112"/>
      <c r="O783" s="112"/>
      <c r="P783" s="112"/>
      <c r="Q783" s="112"/>
      <c r="R783" s="112"/>
      <c r="S783" s="112"/>
      <c r="T783" s="112"/>
      <c r="U783" s="112"/>
      <c r="V783" s="112"/>
      <c r="W783" s="112"/>
      <c r="X783" s="112"/>
    </row>
    <row r="784" customFormat="false" ht="10.5" hidden="false" customHeight="true" outlineLevel="0" collapsed="false">
      <c r="A784" s="112"/>
      <c r="B784" s="112"/>
      <c r="C784" s="112"/>
      <c r="D784" s="112"/>
      <c r="E784" s="112"/>
      <c r="F784" s="112"/>
      <c r="G784" s="112"/>
      <c r="H784" s="112"/>
      <c r="I784" s="112"/>
      <c r="J784" s="112"/>
      <c r="K784" s="112"/>
      <c r="L784" s="112"/>
      <c r="M784" s="112"/>
      <c r="N784" s="112"/>
      <c r="O784" s="112"/>
      <c r="P784" s="112"/>
      <c r="Q784" s="112"/>
      <c r="R784" s="112"/>
      <c r="S784" s="112"/>
      <c r="T784" s="112"/>
      <c r="U784" s="112"/>
      <c r="V784" s="112"/>
      <c r="W784" s="112"/>
      <c r="X784" s="112"/>
    </row>
    <row r="785" customFormat="false" ht="10.5" hidden="false" customHeight="true" outlineLevel="0" collapsed="false">
      <c r="A785" s="112"/>
      <c r="B785" s="112"/>
      <c r="C785" s="112"/>
      <c r="D785" s="112"/>
      <c r="E785" s="112"/>
      <c r="F785" s="112"/>
      <c r="G785" s="112"/>
      <c r="H785" s="112"/>
      <c r="I785" s="112"/>
      <c r="J785" s="112"/>
      <c r="K785" s="112"/>
      <c r="L785" s="112"/>
      <c r="M785" s="112"/>
      <c r="N785" s="112"/>
      <c r="O785" s="112"/>
      <c r="P785" s="112"/>
      <c r="Q785" s="112"/>
      <c r="R785" s="112"/>
      <c r="S785" s="112"/>
      <c r="T785" s="112"/>
      <c r="U785" s="112"/>
      <c r="V785" s="112"/>
      <c r="W785" s="112"/>
      <c r="X785" s="112"/>
    </row>
    <row r="786" customFormat="false" ht="10.5" hidden="false" customHeight="true" outlineLevel="0" collapsed="false">
      <c r="A786" s="112"/>
      <c r="B786" s="112"/>
      <c r="C786" s="112"/>
      <c r="D786" s="112"/>
      <c r="E786" s="112"/>
      <c r="F786" s="112"/>
      <c r="G786" s="112"/>
      <c r="H786" s="112"/>
      <c r="I786" s="112"/>
      <c r="J786" s="112"/>
      <c r="K786" s="112"/>
      <c r="L786" s="112"/>
      <c r="M786" s="112"/>
      <c r="N786" s="112"/>
      <c r="O786" s="112"/>
      <c r="P786" s="112"/>
      <c r="Q786" s="112"/>
      <c r="R786" s="112"/>
      <c r="S786" s="112"/>
      <c r="T786" s="112"/>
      <c r="U786" s="112"/>
      <c r="V786" s="112"/>
      <c r="W786" s="112"/>
      <c r="X786" s="112"/>
    </row>
    <row r="787" customFormat="false" ht="10.5" hidden="false" customHeight="true" outlineLevel="0" collapsed="false">
      <c r="A787" s="112"/>
      <c r="B787" s="112"/>
      <c r="C787" s="112"/>
      <c r="D787" s="112"/>
      <c r="E787" s="112"/>
      <c r="F787" s="112"/>
      <c r="G787" s="112"/>
      <c r="H787" s="112"/>
      <c r="I787" s="112"/>
      <c r="J787" s="112"/>
      <c r="K787" s="112"/>
      <c r="L787" s="112"/>
      <c r="M787" s="112"/>
      <c r="N787" s="112"/>
      <c r="O787" s="112"/>
      <c r="P787" s="112"/>
      <c r="Q787" s="112"/>
      <c r="R787" s="112"/>
      <c r="S787" s="112"/>
      <c r="T787" s="112"/>
      <c r="U787" s="112"/>
      <c r="V787" s="112"/>
      <c r="W787" s="112"/>
      <c r="X787" s="112"/>
    </row>
    <row r="788" customFormat="false" ht="10.5" hidden="false" customHeight="true" outlineLevel="0" collapsed="false">
      <c r="A788" s="112"/>
      <c r="B788" s="112"/>
      <c r="C788" s="112"/>
      <c r="D788" s="112"/>
      <c r="E788" s="112"/>
      <c r="F788" s="112"/>
      <c r="G788" s="112"/>
      <c r="H788" s="112"/>
      <c r="I788" s="112"/>
      <c r="J788" s="112"/>
      <c r="K788" s="112"/>
      <c r="L788" s="112"/>
      <c r="M788" s="112"/>
      <c r="N788" s="112"/>
      <c r="O788" s="112"/>
      <c r="P788" s="112"/>
      <c r="Q788" s="112"/>
      <c r="R788" s="112"/>
      <c r="S788" s="112"/>
      <c r="T788" s="112"/>
      <c r="U788" s="112"/>
      <c r="V788" s="112"/>
      <c r="W788" s="112"/>
      <c r="X788" s="112"/>
    </row>
    <row r="789" customFormat="false" ht="10.5" hidden="false" customHeight="true" outlineLevel="0" collapsed="false">
      <c r="A789" s="112"/>
      <c r="B789" s="112"/>
      <c r="C789" s="112"/>
      <c r="D789" s="112"/>
      <c r="E789" s="112"/>
      <c r="F789" s="112"/>
      <c r="G789" s="112"/>
      <c r="H789" s="112"/>
      <c r="I789" s="112"/>
      <c r="J789" s="112"/>
      <c r="K789" s="112"/>
      <c r="L789" s="112"/>
      <c r="M789" s="112"/>
      <c r="N789" s="112"/>
      <c r="O789" s="112"/>
      <c r="P789" s="112"/>
      <c r="Q789" s="112"/>
      <c r="R789" s="112"/>
      <c r="S789" s="112"/>
      <c r="T789" s="112"/>
      <c r="U789" s="112"/>
      <c r="V789" s="112"/>
      <c r="W789" s="112"/>
      <c r="X789" s="112"/>
    </row>
    <row r="790" customFormat="false" ht="10.5" hidden="false" customHeight="true" outlineLevel="0" collapsed="false">
      <c r="A790" s="112"/>
      <c r="B790" s="112"/>
      <c r="C790" s="112"/>
      <c r="D790" s="112"/>
      <c r="E790" s="112"/>
      <c r="F790" s="112"/>
      <c r="G790" s="112"/>
      <c r="H790" s="112"/>
      <c r="I790" s="112"/>
      <c r="J790" s="112"/>
      <c r="K790" s="112"/>
      <c r="L790" s="112"/>
      <c r="M790" s="112"/>
      <c r="N790" s="112"/>
      <c r="O790" s="112"/>
      <c r="P790" s="112"/>
      <c r="Q790" s="112"/>
      <c r="R790" s="112"/>
      <c r="S790" s="112"/>
      <c r="T790" s="112"/>
      <c r="U790" s="112"/>
      <c r="V790" s="112"/>
      <c r="W790" s="112"/>
      <c r="X790" s="112"/>
    </row>
    <row r="791" customFormat="false" ht="10.5" hidden="false" customHeight="true" outlineLevel="0" collapsed="false">
      <c r="A791" s="112"/>
      <c r="B791" s="112"/>
      <c r="C791" s="112"/>
      <c r="D791" s="112"/>
      <c r="E791" s="112"/>
      <c r="F791" s="112"/>
      <c r="G791" s="112"/>
      <c r="H791" s="112"/>
      <c r="I791" s="112"/>
      <c r="J791" s="112"/>
      <c r="K791" s="112"/>
      <c r="L791" s="112"/>
      <c r="M791" s="112"/>
      <c r="N791" s="112"/>
      <c r="O791" s="112"/>
      <c r="P791" s="112"/>
      <c r="Q791" s="112"/>
      <c r="R791" s="112"/>
      <c r="S791" s="112"/>
      <c r="T791" s="112"/>
      <c r="U791" s="112"/>
      <c r="V791" s="112"/>
      <c r="W791" s="112"/>
      <c r="X791" s="112"/>
    </row>
    <row r="792" customFormat="false" ht="10.5" hidden="false" customHeight="true" outlineLevel="0" collapsed="false">
      <c r="A792" s="112"/>
      <c r="B792" s="112"/>
      <c r="C792" s="112"/>
      <c r="D792" s="112"/>
      <c r="E792" s="112"/>
      <c r="F792" s="112"/>
      <c r="G792" s="112"/>
      <c r="H792" s="112"/>
      <c r="I792" s="112"/>
      <c r="J792" s="112"/>
      <c r="K792" s="112"/>
      <c r="L792" s="112"/>
      <c r="M792" s="112"/>
      <c r="N792" s="112"/>
      <c r="O792" s="112"/>
      <c r="P792" s="112"/>
      <c r="Q792" s="112"/>
      <c r="R792" s="112"/>
      <c r="S792" s="112"/>
      <c r="T792" s="112"/>
      <c r="U792" s="112"/>
      <c r="V792" s="112"/>
      <c r="W792" s="112"/>
      <c r="X792" s="112"/>
    </row>
    <row r="793" customFormat="false" ht="10.5" hidden="false" customHeight="true" outlineLevel="0" collapsed="false">
      <c r="A793" s="112"/>
      <c r="B793" s="112"/>
      <c r="C793" s="112"/>
      <c r="D793" s="112"/>
      <c r="E793" s="112"/>
      <c r="F793" s="112"/>
      <c r="G793" s="112"/>
      <c r="H793" s="112"/>
      <c r="I793" s="112"/>
      <c r="J793" s="112"/>
      <c r="K793" s="112"/>
      <c r="L793" s="112"/>
      <c r="M793" s="112"/>
      <c r="N793" s="112"/>
      <c r="O793" s="112"/>
      <c r="P793" s="112"/>
      <c r="Q793" s="112"/>
      <c r="R793" s="112"/>
      <c r="S793" s="112"/>
      <c r="T793" s="112"/>
      <c r="U793" s="112"/>
      <c r="V793" s="112"/>
      <c r="W793" s="112"/>
      <c r="X793" s="112"/>
    </row>
    <row r="794" customFormat="false" ht="10.5" hidden="false" customHeight="true" outlineLevel="0" collapsed="false">
      <c r="A794" s="112"/>
      <c r="B794" s="112"/>
      <c r="C794" s="112"/>
      <c r="D794" s="112"/>
      <c r="E794" s="112"/>
      <c r="F794" s="112"/>
      <c r="G794" s="112"/>
      <c r="H794" s="112"/>
      <c r="I794" s="112"/>
      <c r="J794" s="112"/>
      <c r="K794" s="112"/>
      <c r="L794" s="112"/>
      <c r="M794" s="112"/>
      <c r="N794" s="112"/>
      <c r="O794" s="112"/>
      <c r="P794" s="112"/>
      <c r="Q794" s="112"/>
      <c r="R794" s="112"/>
      <c r="S794" s="112"/>
      <c r="T794" s="112"/>
      <c r="U794" s="112"/>
      <c r="V794" s="112"/>
      <c r="W794" s="112"/>
      <c r="X794" s="112"/>
    </row>
  </sheetData>
  <printOptions headings="false" gridLines="false" gridLinesSet="true" horizontalCentered="false" verticalCentered="false"/>
  <pageMargins left="0.220138888888889" right="0.229861111111111" top="0.984027777777778" bottom="0.984027777777778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79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E38" activeCellId="0" sqref="E3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553" width="4.28"/>
    <col collapsed="false" customWidth="true" hidden="false" outlineLevel="0" max="2" min="2" style="553" width="36.7"/>
    <col collapsed="false" customWidth="true" hidden="false" outlineLevel="0" max="42" min="3" style="553" width="9.7"/>
    <col collapsed="false" customWidth="false" hidden="false" outlineLevel="0" max="257" min="43" style="553" width="9.14"/>
  </cols>
  <sheetData>
    <row r="1" customFormat="false" ht="20.25" hidden="false" customHeight="false" outlineLevel="0" collapsed="false">
      <c r="A1" s="330"/>
      <c r="B1" s="554" t="s">
        <v>516</v>
      </c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5"/>
      <c r="AF1" s="555"/>
      <c r="AG1" s="555"/>
      <c r="AH1" s="555"/>
      <c r="AI1" s="555"/>
      <c r="AJ1" s="555"/>
      <c r="AK1" s="555"/>
      <c r="AL1" s="555"/>
      <c r="AM1" s="555"/>
      <c r="AN1" s="555"/>
      <c r="AO1" s="555"/>
      <c r="AP1" s="555"/>
      <c r="AQ1" s="556"/>
      <c r="AR1" s="556"/>
      <c r="AS1" s="556"/>
      <c r="AT1" s="556"/>
      <c r="AU1" s="556"/>
      <c r="AV1" s="556"/>
      <c r="AW1" s="556"/>
      <c r="AX1" s="556"/>
      <c r="AY1" s="556"/>
      <c r="AZ1" s="556"/>
      <c r="BA1" s="556"/>
      <c r="BB1" s="556"/>
      <c r="BC1" s="556"/>
      <c r="BD1" s="556"/>
      <c r="BE1" s="556"/>
      <c r="BF1" s="556"/>
      <c r="BG1" s="556"/>
      <c r="BH1" s="556"/>
      <c r="BI1" s="556"/>
      <c r="BJ1" s="556"/>
      <c r="BK1" s="556"/>
      <c r="BL1" s="556"/>
      <c r="BM1" s="556"/>
      <c r="BN1" s="556"/>
      <c r="BO1" s="556"/>
      <c r="BP1" s="556"/>
      <c r="BQ1" s="556"/>
      <c r="BR1" s="556"/>
      <c r="BS1" s="556"/>
      <c r="BT1" s="556"/>
      <c r="BU1" s="556"/>
      <c r="BV1" s="556"/>
      <c r="BW1" s="556"/>
      <c r="BX1" s="556"/>
      <c r="BY1" s="556"/>
      <c r="BZ1" s="556"/>
      <c r="CA1" s="556"/>
      <c r="CB1" s="556"/>
      <c r="CC1" s="556"/>
      <c r="CD1" s="556"/>
      <c r="CE1" s="556"/>
      <c r="CF1" s="556"/>
      <c r="CG1" s="556"/>
      <c r="CH1" s="556"/>
      <c r="CI1" s="556"/>
      <c r="CJ1" s="556"/>
      <c r="CK1" s="556"/>
      <c r="CL1" s="556"/>
      <c r="CM1" s="556"/>
      <c r="CN1" s="556"/>
      <c r="CO1" s="556"/>
      <c r="CP1" s="556"/>
      <c r="CQ1" s="556"/>
      <c r="CR1" s="556"/>
      <c r="CS1" s="556"/>
      <c r="CT1" s="556"/>
      <c r="CU1" s="556"/>
      <c r="CV1" s="556"/>
      <c r="CW1" s="556"/>
      <c r="CX1" s="556"/>
      <c r="CY1" s="556"/>
      <c r="CZ1" s="556"/>
      <c r="DA1" s="556"/>
      <c r="DB1" s="556"/>
      <c r="DC1" s="556"/>
      <c r="DD1" s="556"/>
      <c r="DE1" s="556"/>
      <c r="DF1" s="556"/>
      <c r="DG1" s="556"/>
      <c r="DH1" s="556"/>
      <c r="DI1" s="556"/>
      <c r="DJ1" s="556"/>
      <c r="DK1" s="556"/>
      <c r="DL1" s="556"/>
      <c r="DM1" s="556"/>
      <c r="DN1" s="556"/>
      <c r="DO1" s="556"/>
      <c r="DP1" s="556"/>
      <c r="DQ1" s="556"/>
      <c r="DR1" s="556"/>
      <c r="DS1" s="556"/>
      <c r="DT1" s="556"/>
      <c r="DU1" s="556"/>
      <c r="DV1" s="556"/>
      <c r="DW1" s="556"/>
      <c r="DX1" s="556"/>
      <c r="DY1" s="556"/>
      <c r="DZ1" s="556"/>
      <c r="EA1" s="556"/>
      <c r="EB1" s="556"/>
      <c r="EC1" s="556"/>
      <c r="ED1" s="556"/>
      <c r="EE1" s="556"/>
      <c r="EF1" s="556"/>
      <c r="EG1" s="556"/>
      <c r="EH1" s="556"/>
      <c r="EI1" s="556"/>
      <c r="EJ1" s="556"/>
      <c r="EK1" s="556"/>
      <c r="EL1" s="556"/>
      <c r="EM1" s="556"/>
      <c r="EN1" s="556"/>
      <c r="EO1" s="556"/>
      <c r="EP1" s="556"/>
      <c r="EQ1" s="556"/>
      <c r="ER1" s="556"/>
      <c r="ES1" s="556"/>
      <c r="ET1" s="556"/>
      <c r="EU1" s="556"/>
      <c r="EV1" s="556"/>
      <c r="EW1" s="556"/>
      <c r="EX1" s="556"/>
      <c r="EY1" s="556"/>
      <c r="EZ1" s="556"/>
      <c r="FA1" s="556"/>
      <c r="FB1" s="556"/>
      <c r="FC1" s="556"/>
      <c r="FD1" s="556"/>
      <c r="FE1" s="556"/>
      <c r="FF1" s="556"/>
      <c r="FG1" s="556"/>
      <c r="FH1" s="556"/>
      <c r="FI1" s="556"/>
      <c r="FJ1" s="556"/>
      <c r="FK1" s="556"/>
      <c r="FL1" s="556"/>
      <c r="FM1" s="556"/>
      <c r="FN1" s="556"/>
      <c r="FO1" s="556"/>
      <c r="FP1" s="556"/>
      <c r="FQ1" s="556"/>
      <c r="FR1" s="556"/>
      <c r="FS1" s="556"/>
      <c r="FT1" s="556"/>
      <c r="FU1" s="556"/>
      <c r="FV1" s="556"/>
      <c r="FW1" s="556"/>
      <c r="FX1" s="556"/>
      <c r="FY1" s="556"/>
      <c r="FZ1" s="556"/>
      <c r="GA1" s="556"/>
      <c r="GB1" s="556"/>
      <c r="GC1" s="556"/>
      <c r="GD1" s="556"/>
      <c r="GE1" s="556"/>
      <c r="GF1" s="556"/>
      <c r="GG1" s="556"/>
      <c r="GH1" s="556"/>
      <c r="GI1" s="556"/>
      <c r="GJ1" s="556"/>
      <c r="GK1" s="556"/>
      <c r="GL1" s="556"/>
      <c r="GM1" s="556"/>
      <c r="GN1" s="556"/>
      <c r="GO1" s="556"/>
      <c r="GP1" s="556"/>
      <c r="GQ1" s="556"/>
      <c r="GR1" s="556"/>
      <c r="GS1" s="556"/>
      <c r="GT1" s="556"/>
      <c r="GU1" s="556"/>
      <c r="GV1" s="556"/>
      <c r="GW1" s="556"/>
      <c r="GX1" s="556"/>
      <c r="GY1" s="556"/>
      <c r="GZ1" s="556"/>
      <c r="HA1" s="556"/>
      <c r="HB1" s="556"/>
      <c r="HC1" s="556"/>
      <c r="HD1" s="556"/>
      <c r="HE1" s="556"/>
      <c r="HF1" s="556"/>
      <c r="HG1" s="556"/>
      <c r="HH1" s="556"/>
      <c r="HI1" s="556"/>
      <c r="HJ1" s="556"/>
      <c r="HK1" s="556"/>
      <c r="HL1" s="556"/>
      <c r="HM1" s="556"/>
      <c r="HN1" s="556"/>
      <c r="HO1" s="556"/>
      <c r="HP1" s="556"/>
      <c r="HQ1" s="556"/>
      <c r="HR1" s="556"/>
      <c r="HS1" s="556"/>
      <c r="HT1" s="556"/>
      <c r="HU1" s="556"/>
      <c r="HV1" s="556"/>
      <c r="HW1" s="556"/>
      <c r="HX1" s="556"/>
      <c r="HY1" s="556"/>
      <c r="HZ1" s="556"/>
      <c r="IA1" s="556"/>
      <c r="IB1" s="556"/>
      <c r="IC1" s="556"/>
      <c r="ID1" s="556"/>
      <c r="IE1" s="556"/>
      <c r="IF1" s="556"/>
      <c r="IG1" s="556"/>
      <c r="IH1" s="556"/>
      <c r="II1" s="556"/>
      <c r="IJ1" s="556"/>
      <c r="IK1" s="556"/>
      <c r="IL1" s="556"/>
      <c r="IM1" s="556"/>
      <c r="IN1" s="556"/>
      <c r="IO1" s="556"/>
      <c r="IP1" s="556"/>
      <c r="IQ1" s="556"/>
      <c r="IR1" s="556"/>
      <c r="IS1" s="556"/>
      <c r="IT1" s="556"/>
      <c r="IU1" s="556"/>
      <c r="IV1" s="556"/>
      <c r="IW1" s="556"/>
    </row>
    <row r="2" customFormat="false" ht="11.25" hidden="false" customHeight="false" outlineLevel="0" collapsed="false">
      <c r="A2" s="330"/>
      <c r="B2" s="557"/>
      <c r="C2" s="558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  <c r="P2" s="559"/>
      <c r="Q2" s="559"/>
      <c r="R2" s="559"/>
      <c r="S2" s="559"/>
      <c r="T2" s="559"/>
      <c r="U2" s="559"/>
      <c r="V2" s="559"/>
      <c r="W2" s="559"/>
      <c r="X2" s="559"/>
      <c r="Y2" s="559"/>
      <c r="Z2" s="559"/>
      <c r="AA2" s="559"/>
      <c r="AB2" s="559"/>
      <c r="AC2" s="559"/>
      <c r="AD2" s="559"/>
      <c r="AE2" s="559"/>
      <c r="AF2" s="559"/>
      <c r="AG2" s="559"/>
      <c r="AH2" s="559"/>
      <c r="AI2" s="559"/>
      <c r="AJ2" s="559"/>
      <c r="AK2" s="559"/>
      <c r="AL2" s="559"/>
      <c r="AM2" s="559"/>
      <c r="AN2" s="559"/>
      <c r="AO2" s="559"/>
      <c r="AP2" s="559"/>
      <c r="AQ2" s="556"/>
      <c r="AR2" s="556"/>
      <c r="AS2" s="556"/>
      <c r="AT2" s="556"/>
      <c r="AU2" s="556"/>
      <c r="AV2" s="556"/>
      <c r="AW2" s="556"/>
      <c r="AX2" s="556"/>
      <c r="AY2" s="556"/>
      <c r="AZ2" s="556"/>
      <c r="BA2" s="556"/>
      <c r="BB2" s="556"/>
      <c r="BC2" s="556"/>
      <c r="BD2" s="556"/>
      <c r="BE2" s="556"/>
      <c r="BF2" s="556"/>
      <c r="BG2" s="556"/>
      <c r="BH2" s="556"/>
      <c r="BI2" s="556"/>
      <c r="BJ2" s="556"/>
      <c r="BK2" s="556"/>
      <c r="BL2" s="556"/>
      <c r="BM2" s="556"/>
      <c r="BN2" s="556"/>
      <c r="BO2" s="556"/>
      <c r="BP2" s="556"/>
      <c r="BQ2" s="556"/>
      <c r="BR2" s="556"/>
      <c r="BS2" s="556"/>
      <c r="BT2" s="556"/>
      <c r="BU2" s="556"/>
      <c r="BV2" s="556"/>
      <c r="BW2" s="556"/>
      <c r="BX2" s="556"/>
      <c r="BY2" s="556"/>
      <c r="BZ2" s="556"/>
      <c r="CA2" s="556"/>
      <c r="CB2" s="556"/>
      <c r="CC2" s="556"/>
      <c r="CD2" s="556"/>
      <c r="CE2" s="556"/>
      <c r="CF2" s="556"/>
      <c r="CG2" s="556"/>
      <c r="CH2" s="556"/>
      <c r="CI2" s="556"/>
      <c r="CJ2" s="556"/>
      <c r="CK2" s="556"/>
      <c r="CL2" s="556"/>
      <c r="CM2" s="556"/>
      <c r="CN2" s="556"/>
      <c r="CO2" s="556"/>
      <c r="CP2" s="556"/>
      <c r="CQ2" s="556"/>
      <c r="CR2" s="556"/>
      <c r="CS2" s="556"/>
      <c r="CT2" s="556"/>
      <c r="CU2" s="556"/>
      <c r="CV2" s="556"/>
      <c r="CW2" s="556"/>
      <c r="CX2" s="556"/>
      <c r="CY2" s="556"/>
      <c r="CZ2" s="556"/>
      <c r="DA2" s="556"/>
      <c r="DB2" s="556"/>
      <c r="DC2" s="556"/>
      <c r="DD2" s="556"/>
      <c r="DE2" s="556"/>
      <c r="DF2" s="556"/>
      <c r="DG2" s="556"/>
      <c r="DH2" s="556"/>
      <c r="DI2" s="556"/>
      <c r="DJ2" s="556"/>
      <c r="DK2" s="556"/>
      <c r="DL2" s="556"/>
      <c r="DM2" s="556"/>
      <c r="DN2" s="556"/>
      <c r="DO2" s="556"/>
      <c r="DP2" s="556"/>
      <c r="DQ2" s="556"/>
      <c r="DR2" s="556"/>
      <c r="DS2" s="556"/>
      <c r="DT2" s="556"/>
      <c r="DU2" s="556"/>
      <c r="DV2" s="556"/>
      <c r="DW2" s="556"/>
      <c r="DX2" s="556"/>
      <c r="DY2" s="556"/>
      <c r="DZ2" s="556"/>
      <c r="EA2" s="556"/>
      <c r="EB2" s="556"/>
      <c r="EC2" s="556"/>
      <c r="ED2" s="556"/>
      <c r="EE2" s="556"/>
      <c r="EF2" s="556"/>
      <c r="EG2" s="556"/>
      <c r="EH2" s="556"/>
      <c r="EI2" s="556"/>
      <c r="EJ2" s="556"/>
      <c r="EK2" s="556"/>
      <c r="EL2" s="556"/>
      <c r="EM2" s="556"/>
      <c r="EN2" s="556"/>
      <c r="EO2" s="556"/>
      <c r="EP2" s="556"/>
      <c r="EQ2" s="556"/>
      <c r="ER2" s="556"/>
      <c r="ES2" s="556"/>
      <c r="ET2" s="556"/>
      <c r="EU2" s="556"/>
      <c r="EV2" s="556"/>
      <c r="EW2" s="556"/>
      <c r="EX2" s="556"/>
      <c r="EY2" s="556"/>
      <c r="EZ2" s="556"/>
      <c r="FA2" s="556"/>
      <c r="FB2" s="556"/>
      <c r="FC2" s="556"/>
      <c r="FD2" s="556"/>
      <c r="FE2" s="556"/>
      <c r="FF2" s="556"/>
      <c r="FG2" s="556"/>
      <c r="FH2" s="556"/>
      <c r="FI2" s="556"/>
      <c r="FJ2" s="556"/>
      <c r="FK2" s="556"/>
      <c r="FL2" s="556"/>
      <c r="FM2" s="556"/>
      <c r="FN2" s="556"/>
      <c r="FO2" s="556"/>
      <c r="FP2" s="556"/>
      <c r="FQ2" s="556"/>
      <c r="FR2" s="556"/>
      <c r="FS2" s="556"/>
      <c r="FT2" s="556"/>
      <c r="FU2" s="556"/>
      <c r="FV2" s="556"/>
      <c r="FW2" s="556"/>
      <c r="FX2" s="556"/>
      <c r="FY2" s="556"/>
      <c r="FZ2" s="556"/>
      <c r="GA2" s="556"/>
      <c r="GB2" s="556"/>
      <c r="GC2" s="556"/>
      <c r="GD2" s="556"/>
      <c r="GE2" s="556"/>
      <c r="GF2" s="556"/>
      <c r="GG2" s="556"/>
      <c r="GH2" s="556"/>
      <c r="GI2" s="556"/>
      <c r="GJ2" s="556"/>
      <c r="GK2" s="556"/>
      <c r="GL2" s="556"/>
      <c r="GM2" s="556"/>
      <c r="GN2" s="556"/>
      <c r="GO2" s="556"/>
      <c r="GP2" s="556"/>
      <c r="GQ2" s="556"/>
      <c r="GR2" s="556"/>
      <c r="GS2" s="556"/>
      <c r="GT2" s="556"/>
      <c r="GU2" s="556"/>
      <c r="GV2" s="556"/>
      <c r="GW2" s="556"/>
      <c r="GX2" s="556"/>
      <c r="GY2" s="556"/>
      <c r="GZ2" s="556"/>
      <c r="HA2" s="556"/>
      <c r="HB2" s="556"/>
      <c r="HC2" s="556"/>
      <c r="HD2" s="556"/>
      <c r="HE2" s="556"/>
      <c r="HF2" s="556"/>
      <c r="HG2" s="556"/>
      <c r="HH2" s="556"/>
      <c r="HI2" s="556"/>
      <c r="HJ2" s="556"/>
      <c r="HK2" s="556"/>
      <c r="HL2" s="556"/>
      <c r="HM2" s="556"/>
      <c r="HN2" s="556"/>
      <c r="HO2" s="556"/>
      <c r="HP2" s="556"/>
      <c r="HQ2" s="556"/>
      <c r="HR2" s="556"/>
      <c r="HS2" s="556"/>
      <c r="HT2" s="556"/>
      <c r="HU2" s="556"/>
      <c r="HV2" s="556"/>
      <c r="HW2" s="556"/>
      <c r="HX2" s="556"/>
      <c r="HY2" s="556"/>
      <c r="HZ2" s="556"/>
      <c r="IA2" s="556"/>
      <c r="IB2" s="556"/>
      <c r="IC2" s="556"/>
      <c r="ID2" s="556"/>
      <c r="IE2" s="556"/>
      <c r="IF2" s="556"/>
      <c r="IG2" s="556"/>
      <c r="IH2" s="556"/>
      <c r="II2" s="556"/>
      <c r="IJ2" s="556"/>
      <c r="IK2" s="556"/>
      <c r="IL2" s="556"/>
      <c r="IM2" s="556"/>
      <c r="IN2" s="556"/>
      <c r="IO2" s="556"/>
      <c r="IP2" s="556"/>
      <c r="IQ2" s="556"/>
      <c r="IR2" s="556"/>
      <c r="IS2" s="556"/>
      <c r="IT2" s="556"/>
      <c r="IU2" s="556"/>
      <c r="IV2" s="556"/>
      <c r="IW2" s="556"/>
    </row>
    <row r="3" customFormat="false" ht="11.25" hidden="false" customHeight="false" outlineLevel="0" collapsed="false">
      <c r="A3" s="560"/>
      <c r="B3" s="560"/>
      <c r="C3" s="120" t="n">
        <f aca="false">SUM(C11:AD11)</f>
        <v>36891</v>
      </c>
      <c r="D3" s="561" t="s">
        <v>517</v>
      </c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  <c r="U3" s="561"/>
      <c r="V3" s="561"/>
      <c r="W3" s="561"/>
      <c r="X3" s="561"/>
      <c r="Y3" s="561"/>
      <c r="Z3" s="561"/>
      <c r="AA3" s="561"/>
      <c r="AB3" s="561"/>
      <c r="AC3" s="561"/>
      <c r="AD3" s="561"/>
      <c r="AE3" s="561"/>
      <c r="AF3" s="561"/>
      <c r="AG3" s="561"/>
      <c r="AH3" s="561"/>
      <c r="AI3" s="561"/>
      <c r="AJ3" s="561"/>
      <c r="AK3" s="561"/>
      <c r="AL3" s="561"/>
      <c r="AM3" s="561"/>
      <c r="AN3" s="561"/>
      <c r="AO3" s="561"/>
      <c r="AP3" s="561"/>
      <c r="AQ3" s="487"/>
      <c r="AR3" s="487"/>
      <c r="AS3" s="487"/>
      <c r="AT3" s="487"/>
      <c r="AU3" s="487"/>
      <c r="AV3" s="487"/>
      <c r="AW3" s="487"/>
      <c r="AX3" s="487"/>
      <c r="AY3" s="487"/>
      <c r="AZ3" s="487"/>
      <c r="BA3" s="487"/>
      <c r="BB3" s="487"/>
      <c r="BC3" s="487"/>
      <c r="BD3" s="487"/>
      <c r="BE3" s="487"/>
      <c r="BF3" s="487"/>
      <c r="BG3" s="487"/>
      <c r="BH3" s="487"/>
      <c r="BI3" s="487"/>
      <c r="BJ3" s="487"/>
      <c r="BK3" s="487"/>
      <c r="BL3" s="562"/>
      <c r="BM3" s="562"/>
      <c r="BN3" s="562"/>
      <c r="BO3" s="562"/>
      <c r="BP3" s="562"/>
      <c r="BQ3" s="562"/>
      <c r="BR3" s="562"/>
      <c r="BS3" s="562"/>
      <c r="BT3" s="562"/>
      <c r="BU3" s="562"/>
      <c r="BV3" s="562"/>
      <c r="BW3" s="562"/>
      <c r="BX3" s="562"/>
      <c r="BY3" s="562"/>
      <c r="BZ3" s="562"/>
      <c r="CA3" s="562"/>
      <c r="CB3" s="562"/>
      <c r="CC3" s="562"/>
      <c r="CD3" s="562"/>
      <c r="CE3" s="562"/>
      <c r="CF3" s="562"/>
      <c r="CG3" s="562"/>
      <c r="CH3" s="562"/>
      <c r="CI3" s="562"/>
      <c r="CJ3" s="562"/>
      <c r="CK3" s="562"/>
      <c r="CL3" s="562"/>
      <c r="CM3" s="562"/>
      <c r="CN3" s="562"/>
      <c r="CO3" s="562"/>
      <c r="CP3" s="562"/>
      <c r="CQ3" s="562"/>
      <c r="CR3" s="562"/>
      <c r="CS3" s="562"/>
      <c r="CT3" s="562"/>
      <c r="CU3" s="562"/>
      <c r="CV3" s="562"/>
      <c r="CW3" s="562"/>
      <c r="CX3" s="562"/>
      <c r="CY3" s="562"/>
      <c r="CZ3" s="562"/>
      <c r="DA3" s="562"/>
      <c r="DB3" s="562"/>
      <c r="DC3" s="562"/>
      <c r="DD3" s="562"/>
      <c r="DE3" s="562"/>
      <c r="DF3" s="562"/>
      <c r="DG3" s="562"/>
      <c r="DH3" s="562"/>
      <c r="DI3" s="562"/>
      <c r="DJ3" s="562"/>
      <c r="DK3" s="562"/>
      <c r="DL3" s="562"/>
      <c r="DM3" s="562"/>
      <c r="DN3" s="562"/>
      <c r="DO3" s="562"/>
      <c r="DP3" s="562"/>
      <c r="DQ3" s="562"/>
      <c r="DR3" s="562"/>
      <c r="DS3" s="562"/>
      <c r="DT3" s="562"/>
      <c r="DU3" s="562"/>
      <c r="DV3" s="562"/>
      <c r="DW3" s="562"/>
      <c r="DX3" s="562"/>
      <c r="DY3" s="562"/>
      <c r="DZ3" s="562"/>
      <c r="EA3" s="562"/>
      <c r="EB3" s="562"/>
      <c r="EC3" s="562"/>
      <c r="ED3" s="562"/>
      <c r="EE3" s="562"/>
      <c r="EF3" s="562"/>
      <c r="EG3" s="562"/>
      <c r="EH3" s="562"/>
      <c r="EI3" s="562"/>
      <c r="EJ3" s="562"/>
      <c r="EK3" s="562"/>
      <c r="EL3" s="562"/>
      <c r="EM3" s="562"/>
      <c r="EN3" s="562"/>
      <c r="EO3" s="562"/>
      <c r="EP3" s="562"/>
      <c r="EQ3" s="562"/>
      <c r="ER3" s="562"/>
      <c r="ES3" s="562"/>
      <c r="ET3" s="562"/>
      <c r="EU3" s="562"/>
      <c r="EV3" s="562"/>
      <c r="EW3" s="562"/>
      <c r="EX3" s="562"/>
      <c r="EY3" s="562"/>
      <c r="EZ3" s="562"/>
      <c r="FA3" s="562"/>
      <c r="FB3" s="562"/>
      <c r="FC3" s="562"/>
      <c r="FD3" s="562"/>
      <c r="FE3" s="562"/>
      <c r="FF3" s="562"/>
      <c r="FG3" s="562"/>
      <c r="FH3" s="562"/>
      <c r="FI3" s="562"/>
      <c r="FJ3" s="562"/>
      <c r="FK3" s="562"/>
      <c r="FL3" s="562"/>
      <c r="FM3" s="562"/>
      <c r="FN3" s="562"/>
      <c r="FO3" s="562"/>
      <c r="FP3" s="562"/>
      <c r="FQ3" s="562"/>
      <c r="FR3" s="562"/>
      <c r="FS3" s="562"/>
      <c r="FT3" s="562"/>
      <c r="FU3" s="562"/>
      <c r="FV3" s="562"/>
      <c r="FW3" s="562"/>
      <c r="FX3" s="562"/>
      <c r="FY3" s="562"/>
      <c r="FZ3" s="562"/>
      <c r="GA3" s="562"/>
      <c r="GB3" s="562"/>
      <c r="GC3" s="562"/>
      <c r="GD3" s="562"/>
      <c r="GE3" s="562"/>
      <c r="GF3" s="562"/>
      <c r="GG3" s="562"/>
      <c r="GH3" s="562"/>
      <c r="GI3" s="562"/>
      <c r="GJ3" s="562"/>
      <c r="GK3" s="562"/>
      <c r="GL3" s="562"/>
      <c r="GM3" s="562"/>
      <c r="GN3" s="562"/>
      <c r="GO3" s="562"/>
      <c r="GP3" s="562"/>
      <c r="GQ3" s="562"/>
      <c r="GR3" s="562"/>
      <c r="GS3" s="562"/>
      <c r="GT3" s="562"/>
      <c r="GU3" s="562"/>
      <c r="GV3" s="562"/>
      <c r="GW3" s="562"/>
      <c r="GX3" s="562"/>
      <c r="GY3" s="562"/>
      <c r="GZ3" s="562"/>
      <c r="HA3" s="562"/>
      <c r="HB3" s="562"/>
      <c r="HC3" s="562"/>
      <c r="HD3" s="562"/>
      <c r="HE3" s="562"/>
      <c r="HF3" s="562"/>
      <c r="HG3" s="562"/>
      <c r="HH3" s="562"/>
      <c r="HI3" s="562"/>
      <c r="HJ3" s="562"/>
      <c r="HK3" s="562"/>
      <c r="HL3" s="562"/>
      <c r="HM3" s="562"/>
      <c r="HN3" s="562"/>
      <c r="HO3" s="562"/>
      <c r="HP3" s="562"/>
      <c r="HQ3" s="562"/>
      <c r="HR3" s="562"/>
      <c r="HS3" s="562"/>
      <c r="HT3" s="562"/>
      <c r="HU3" s="562"/>
      <c r="HV3" s="562"/>
      <c r="HW3" s="562"/>
      <c r="HX3" s="562"/>
      <c r="HY3" s="562"/>
      <c r="HZ3" s="562"/>
      <c r="IA3" s="562"/>
      <c r="IB3" s="562"/>
      <c r="IC3" s="562"/>
      <c r="ID3" s="562"/>
      <c r="IE3" s="562"/>
      <c r="IF3" s="562"/>
      <c r="IG3" s="562"/>
      <c r="IH3" s="562"/>
      <c r="II3" s="562"/>
      <c r="IJ3" s="562"/>
      <c r="IK3" s="562"/>
      <c r="IL3" s="562"/>
      <c r="IM3" s="562"/>
      <c r="IN3" s="562"/>
      <c r="IO3" s="562"/>
      <c r="IP3" s="562"/>
      <c r="IQ3" s="562"/>
      <c r="IR3" s="562"/>
      <c r="IS3" s="562"/>
      <c r="IT3" s="562"/>
      <c r="IU3" s="562"/>
      <c r="IV3" s="562"/>
      <c r="IW3" s="562"/>
    </row>
    <row r="4" customFormat="false" ht="11.25" hidden="false" customHeight="false" outlineLevel="0" collapsed="false">
      <c r="A4" s="563"/>
      <c r="B4" s="563"/>
      <c r="C4" s="120"/>
      <c r="D4" s="561"/>
      <c r="E4" s="561"/>
      <c r="F4" s="561"/>
      <c r="G4" s="561"/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487"/>
      <c r="AR4" s="487"/>
      <c r="AS4" s="487"/>
      <c r="AT4" s="487"/>
      <c r="AU4" s="487"/>
      <c r="AV4" s="487"/>
      <c r="AW4" s="487"/>
      <c r="AX4" s="487"/>
      <c r="AY4" s="487"/>
      <c r="AZ4" s="487"/>
      <c r="BA4" s="487"/>
      <c r="BB4" s="487"/>
      <c r="BC4" s="487"/>
      <c r="BD4" s="487"/>
      <c r="BE4" s="487"/>
      <c r="BF4" s="487"/>
      <c r="BG4" s="487"/>
      <c r="BH4" s="487"/>
      <c r="BI4" s="487"/>
      <c r="BJ4" s="487"/>
      <c r="BK4" s="487"/>
      <c r="BL4" s="563"/>
      <c r="BM4" s="563"/>
      <c r="BN4" s="563"/>
      <c r="BO4" s="563"/>
      <c r="BP4" s="563"/>
      <c r="BQ4" s="563"/>
      <c r="BR4" s="563"/>
      <c r="BS4" s="563"/>
      <c r="BT4" s="563"/>
      <c r="BU4" s="563"/>
      <c r="BV4" s="563"/>
      <c r="BW4" s="563"/>
      <c r="BX4" s="563"/>
      <c r="BY4" s="563"/>
      <c r="BZ4" s="563"/>
      <c r="CA4" s="563"/>
      <c r="CB4" s="563"/>
      <c r="CC4" s="563"/>
      <c r="CD4" s="563"/>
      <c r="CE4" s="563"/>
      <c r="CF4" s="563"/>
      <c r="CG4" s="563"/>
      <c r="CH4" s="563"/>
      <c r="CI4" s="563"/>
      <c r="CJ4" s="563"/>
      <c r="CK4" s="563"/>
      <c r="CL4" s="563"/>
      <c r="CM4" s="563"/>
      <c r="CN4" s="563"/>
      <c r="CO4" s="563"/>
      <c r="CP4" s="563"/>
      <c r="CQ4" s="563"/>
      <c r="CR4" s="563"/>
      <c r="CS4" s="563"/>
      <c r="CT4" s="563"/>
      <c r="CU4" s="563"/>
      <c r="CV4" s="563"/>
      <c r="CW4" s="563"/>
      <c r="CX4" s="563"/>
      <c r="CY4" s="563"/>
      <c r="CZ4" s="563"/>
      <c r="DA4" s="563"/>
      <c r="DB4" s="563"/>
      <c r="DC4" s="563"/>
      <c r="DD4" s="563"/>
      <c r="DE4" s="563"/>
      <c r="DF4" s="563"/>
      <c r="DG4" s="563"/>
      <c r="DH4" s="563"/>
      <c r="DI4" s="563"/>
      <c r="DJ4" s="563"/>
      <c r="DK4" s="563"/>
      <c r="DL4" s="563"/>
      <c r="DM4" s="563"/>
      <c r="DN4" s="563"/>
      <c r="DO4" s="563"/>
      <c r="DP4" s="563"/>
      <c r="DQ4" s="563"/>
      <c r="DR4" s="563"/>
      <c r="DS4" s="563"/>
      <c r="DT4" s="563"/>
      <c r="DU4" s="563"/>
      <c r="DV4" s="563"/>
      <c r="DW4" s="563"/>
      <c r="DX4" s="563"/>
      <c r="DY4" s="563"/>
      <c r="DZ4" s="563"/>
      <c r="EA4" s="563"/>
      <c r="EB4" s="563"/>
      <c r="EC4" s="563"/>
      <c r="ED4" s="563"/>
      <c r="EE4" s="563"/>
      <c r="EF4" s="563"/>
      <c r="EG4" s="563"/>
      <c r="EH4" s="563"/>
      <c r="EI4" s="563"/>
      <c r="EJ4" s="563"/>
      <c r="EK4" s="563"/>
      <c r="EL4" s="563"/>
      <c r="EM4" s="563"/>
      <c r="EN4" s="563"/>
      <c r="EO4" s="563"/>
      <c r="EP4" s="563"/>
      <c r="EQ4" s="563"/>
      <c r="ER4" s="563"/>
      <c r="ES4" s="563"/>
      <c r="ET4" s="563"/>
      <c r="EU4" s="563"/>
      <c r="EV4" s="563"/>
      <c r="EW4" s="563"/>
      <c r="EX4" s="563"/>
      <c r="EY4" s="563"/>
      <c r="EZ4" s="563"/>
      <c r="FA4" s="563"/>
      <c r="FB4" s="563"/>
      <c r="FC4" s="563"/>
      <c r="FD4" s="563"/>
      <c r="FE4" s="563"/>
      <c r="FF4" s="563"/>
      <c r="FG4" s="563"/>
      <c r="FH4" s="563"/>
      <c r="FI4" s="563"/>
      <c r="FJ4" s="563"/>
      <c r="FK4" s="563"/>
      <c r="FL4" s="563"/>
      <c r="FM4" s="563"/>
      <c r="FN4" s="563"/>
      <c r="FO4" s="563"/>
      <c r="FP4" s="563"/>
      <c r="FQ4" s="563"/>
      <c r="FR4" s="563"/>
      <c r="FS4" s="563"/>
      <c r="FT4" s="563"/>
      <c r="FU4" s="563"/>
      <c r="FV4" s="563"/>
      <c r="FW4" s="563"/>
      <c r="FX4" s="563"/>
      <c r="FY4" s="563"/>
      <c r="FZ4" s="563"/>
      <c r="GA4" s="563"/>
      <c r="GB4" s="563"/>
      <c r="GC4" s="563"/>
      <c r="GD4" s="563"/>
      <c r="GE4" s="563"/>
      <c r="GF4" s="563"/>
      <c r="GG4" s="563"/>
      <c r="GH4" s="563"/>
      <c r="GI4" s="563"/>
      <c r="GJ4" s="563"/>
      <c r="GK4" s="563"/>
      <c r="GL4" s="563"/>
      <c r="GM4" s="563"/>
      <c r="GN4" s="563"/>
      <c r="GO4" s="563"/>
      <c r="GP4" s="563"/>
      <c r="GQ4" s="563"/>
      <c r="GR4" s="563"/>
      <c r="GS4" s="563"/>
      <c r="GT4" s="563"/>
      <c r="GU4" s="563"/>
      <c r="GV4" s="563"/>
      <c r="GW4" s="563"/>
      <c r="GX4" s="563"/>
      <c r="GY4" s="563"/>
      <c r="GZ4" s="563"/>
      <c r="HA4" s="563"/>
      <c r="HB4" s="563"/>
      <c r="HC4" s="563"/>
      <c r="HD4" s="563"/>
      <c r="HE4" s="563"/>
      <c r="HF4" s="563"/>
      <c r="HG4" s="563"/>
      <c r="HH4" s="563"/>
      <c r="HI4" s="563"/>
      <c r="HJ4" s="563"/>
      <c r="HK4" s="563"/>
      <c r="HL4" s="563"/>
      <c r="HM4" s="563"/>
      <c r="HN4" s="563"/>
      <c r="HO4" s="563"/>
      <c r="HP4" s="563"/>
      <c r="HQ4" s="563"/>
      <c r="HR4" s="563"/>
      <c r="HS4" s="563"/>
      <c r="HT4" s="563"/>
      <c r="HU4" s="563"/>
      <c r="HV4" s="563"/>
      <c r="HW4" s="563"/>
      <c r="HX4" s="563"/>
      <c r="HY4" s="563"/>
      <c r="HZ4" s="563"/>
      <c r="IA4" s="563"/>
      <c r="IB4" s="563"/>
      <c r="IC4" s="563"/>
      <c r="ID4" s="563"/>
      <c r="IE4" s="563"/>
      <c r="IF4" s="563"/>
      <c r="IG4" s="563"/>
      <c r="IH4" s="563"/>
      <c r="II4" s="563"/>
      <c r="IJ4" s="563"/>
      <c r="IK4" s="563"/>
      <c r="IL4" s="563"/>
      <c r="IM4" s="563"/>
      <c r="IN4" s="563"/>
      <c r="IO4" s="563"/>
      <c r="IP4" s="563"/>
      <c r="IQ4" s="563"/>
      <c r="IR4" s="563"/>
      <c r="IS4" s="563"/>
      <c r="IT4" s="563"/>
      <c r="IU4" s="563"/>
      <c r="IV4" s="563"/>
      <c r="IW4" s="563"/>
    </row>
    <row r="5" customFormat="false" ht="11.25" hidden="false" customHeight="false" outlineLevel="0" collapsed="false">
      <c r="A5" s="563"/>
      <c r="B5" s="564" t="s">
        <v>518</v>
      </c>
      <c r="C5" s="303" t="n">
        <f aca="false">IF(B3=C15,1,0)</f>
        <v>0</v>
      </c>
      <c r="D5" s="303" t="n">
        <f aca="false">IF($C$3=D15,1,0)</f>
        <v>1</v>
      </c>
      <c r="E5" s="303" t="n">
        <f aca="false">IF(D5&gt;0,D5+1,IF($C$3=E15,1,0))</f>
        <v>2</v>
      </c>
      <c r="F5" s="303" t="n">
        <f aca="false">IF(E5&gt;0,E5+1,IF($C$3=F15,1,0))</f>
        <v>3</v>
      </c>
      <c r="G5" s="303" t="n">
        <f aca="false">IF(F5&gt;0,F5+1,IF($C$3=G15,1,0))</f>
        <v>4</v>
      </c>
      <c r="H5" s="303" t="n">
        <f aca="false">IF(G5&gt;0,G5+1,IF($C$3=H15,1,0))</f>
        <v>5</v>
      </c>
      <c r="I5" s="303" t="n">
        <f aca="false">IF(H5&gt;0,H5+1,IF($C$3=I15,1,0))</f>
        <v>6</v>
      </c>
      <c r="J5" s="303" t="n">
        <f aca="false">IF(I5&gt;0,I5+1,IF($C$3=J15,1,0))</f>
        <v>7</v>
      </c>
      <c r="K5" s="303" t="n">
        <f aca="false">IF(J5&gt;0,J5+1,IF($C$3=K15,1,0))</f>
        <v>8</v>
      </c>
      <c r="L5" s="303" t="n">
        <f aca="false">IF(K5&gt;0,K5+1,IF($C$3=L15,1,0))</f>
        <v>9</v>
      </c>
      <c r="M5" s="303" t="n">
        <f aca="false">IF(L5&gt;0,L5+1,IF($C$3=M15,1,0))</f>
        <v>10</v>
      </c>
      <c r="N5" s="303" t="n">
        <f aca="false">IF(M5&gt;0,M5+1,IF($C$3=N15,1,0))</f>
        <v>11</v>
      </c>
      <c r="O5" s="303" t="n">
        <f aca="false">IF(N5&gt;0,N5+1,IF($C$3=O15,1,0))</f>
        <v>12</v>
      </c>
      <c r="P5" s="303" t="n">
        <f aca="false">IF(O5&gt;0,O5+1,IF($C$3=P15,1,0))</f>
        <v>13</v>
      </c>
      <c r="Q5" s="303" t="n">
        <f aca="false">IF(P5&gt;0,P5+1,IF($C$3=Q15,1,0))</f>
        <v>14</v>
      </c>
      <c r="R5" s="303" t="n">
        <f aca="false">IF(Q5&gt;0,Q5+1,IF($C$3=R15,1,0))</f>
        <v>15</v>
      </c>
      <c r="S5" s="303" t="n">
        <f aca="false">IF(R5&gt;0,R5+1,IF($C$3=S15,1,0))</f>
        <v>16</v>
      </c>
      <c r="T5" s="303" t="n">
        <f aca="false">IF(S5&gt;0,S5+1,IF($C$3=T15,1,0))</f>
        <v>17</v>
      </c>
      <c r="U5" s="303" t="n">
        <f aca="false">IF(T5&gt;0,T5+1,IF($C$3=U15,1,0))</f>
        <v>18</v>
      </c>
      <c r="V5" s="303" t="n">
        <f aca="false">IF(U5&gt;0,U5+1,IF($C$3=V15,1,0))</f>
        <v>19</v>
      </c>
      <c r="W5" s="303" t="n">
        <f aca="false">IF(V5&gt;0,V5+1,IF($C$3=W15,1,0))</f>
        <v>20</v>
      </c>
      <c r="X5" s="303" t="n">
        <f aca="false">IF(W5&gt;0,W5+1,IF($C$3=X15,1,0))</f>
        <v>21</v>
      </c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487"/>
      <c r="AR5" s="487"/>
      <c r="AS5" s="487"/>
      <c r="AT5" s="487"/>
      <c r="AU5" s="487"/>
      <c r="AV5" s="487"/>
      <c r="AW5" s="487"/>
      <c r="AX5" s="487"/>
      <c r="AY5" s="487"/>
      <c r="AZ5" s="487"/>
      <c r="BA5" s="487"/>
      <c r="BB5" s="487"/>
      <c r="BC5" s="487"/>
      <c r="BD5" s="487"/>
      <c r="BE5" s="487"/>
      <c r="BF5" s="487"/>
      <c r="BG5" s="487"/>
      <c r="BH5" s="487"/>
      <c r="BI5" s="487"/>
      <c r="BJ5" s="487"/>
      <c r="BK5" s="487"/>
      <c r="BL5" s="563"/>
      <c r="BM5" s="563"/>
      <c r="BN5" s="563"/>
      <c r="BO5" s="563"/>
      <c r="BP5" s="563"/>
      <c r="BQ5" s="563"/>
      <c r="BR5" s="563"/>
      <c r="BS5" s="563"/>
      <c r="BT5" s="563"/>
      <c r="BU5" s="563"/>
      <c r="BV5" s="563"/>
      <c r="BW5" s="563"/>
      <c r="BX5" s="563"/>
      <c r="BY5" s="563"/>
      <c r="BZ5" s="563"/>
      <c r="CA5" s="563"/>
      <c r="CB5" s="563"/>
      <c r="CC5" s="563"/>
      <c r="CD5" s="563"/>
      <c r="CE5" s="563"/>
      <c r="CF5" s="563"/>
      <c r="CG5" s="563"/>
      <c r="CH5" s="563"/>
      <c r="CI5" s="563"/>
      <c r="CJ5" s="563"/>
      <c r="CK5" s="563"/>
      <c r="CL5" s="563"/>
      <c r="CM5" s="563"/>
      <c r="CN5" s="563"/>
      <c r="CO5" s="563"/>
      <c r="CP5" s="563"/>
      <c r="CQ5" s="563"/>
      <c r="CR5" s="563"/>
      <c r="CS5" s="563"/>
      <c r="CT5" s="563"/>
      <c r="CU5" s="563"/>
      <c r="CV5" s="563"/>
      <c r="CW5" s="563"/>
      <c r="CX5" s="563"/>
      <c r="CY5" s="563"/>
      <c r="CZ5" s="563"/>
      <c r="DA5" s="563"/>
      <c r="DB5" s="563"/>
      <c r="DC5" s="563"/>
      <c r="DD5" s="563"/>
      <c r="DE5" s="563"/>
      <c r="DF5" s="563"/>
      <c r="DG5" s="563"/>
      <c r="DH5" s="563"/>
      <c r="DI5" s="563"/>
      <c r="DJ5" s="563"/>
      <c r="DK5" s="563"/>
      <c r="DL5" s="563"/>
      <c r="DM5" s="563"/>
      <c r="DN5" s="563"/>
      <c r="DO5" s="563"/>
      <c r="DP5" s="563"/>
      <c r="DQ5" s="563"/>
      <c r="DR5" s="563"/>
      <c r="DS5" s="563"/>
      <c r="DT5" s="563"/>
      <c r="DU5" s="563"/>
      <c r="DV5" s="563"/>
      <c r="DW5" s="563"/>
      <c r="DX5" s="563"/>
      <c r="DY5" s="563"/>
      <c r="DZ5" s="563"/>
      <c r="EA5" s="563"/>
      <c r="EB5" s="563"/>
      <c r="EC5" s="563"/>
      <c r="ED5" s="563"/>
      <c r="EE5" s="563"/>
      <c r="EF5" s="563"/>
      <c r="EG5" s="563"/>
      <c r="EH5" s="563"/>
      <c r="EI5" s="563"/>
      <c r="EJ5" s="563"/>
      <c r="EK5" s="563"/>
      <c r="EL5" s="563"/>
      <c r="EM5" s="563"/>
      <c r="EN5" s="563"/>
      <c r="EO5" s="563"/>
      <c r="EP5" s="563"/>
      <c r="EQ5" s="563"/>
      <c r="ER5" s="563"/>
      <c r="ES5" s="563"/>
      <c r="ET5" s="563"/>
      <c r="EU5" s="563"/>
      <c r="EV5" s="563"/>
      <c r="EW5" s="563"/>
      <c r="EX5" s="563"/>
      <c r="EY5" s="563"/>
      <c r="EZ5" s="563"/>
      <c r="FA5" s="563"/>
      <c r="FB5" s="563"/>
      <c r="FC5" s="563"/>
      <c r="FD5" s="563"/>
      <c r="FE5" s="563"/>
      <c r="FF5" s="563"/>
      <c r="FG5" s="563"/>
      <c r="FH5" s="563"/>
      <c r="FI5" s="563"/>
      <c r="FJ5" s="563"/>
      <c r="FK5" s="563"/>
      <c r="FL5" s="563"/>
      <c r="FM5" s="563"/>
      <c r="FN5" s="563"/>
      <c r="FO5" s="563"/>
      <c r="FP5" s="563"/>
      <c r="FQ5" s="563"/>
      <c r="FR5" s="563"/>
      <c r="FS5" s="563"/>
      <c r="FT5" s="563"/>
      <c r="FU5" s="563"/>
      <c r="FV5" s="563"/>
      <c r="FW5" s="563"/>
      <c r="FX5" s="563"/>
      <c r="FY5" s="563"/>
      <c r="FZ5" s="563"/>
      <c r="GA5" s="563"/>
      <c r="GB5" s="563"/>
      <c r="GC5" s="563"/>
      <c r="GD5" s="563"/>
      <c r="GE5" s="563"/>
      <c r="GF5" s="563"/>
      <c r="GG5" s="563"/>
      <c r="GH5" s="563"/>
      <c r="GI5" s="563"/>
      <c r="GJ5" s="563"/>
      <c r="GK5" s="563"/>
      <c r="GL5" s="563"/>
      <c r="GM5" s="563"/>
      <c r="GN5" s="563"/>
      <c r="GO5" s="563"/>
      <c r="GP5" s="563"/>
      <c r="GQ5" s="563"/>
      <c r="GR5" s="563"/>
      <c r="GS5" s="563"/>
      <c r="GT5" s="563"/>
      <c r="GU5" s="563"/>
      <c r="GV5" s="563"/>
      <c r="GW5" s="563"/>
      <c r="GX5" s="563"/>
      <c r="GY5" s="563"/>
      <c r="GZ5" s="563"/>
      <c r="HA5" s="563"/>
      <c r="HB5" s="563"/>
      <c r="HC5" s="563"/>
      <c r="HD5" s="563"/>
      <c r="HE5" s="563"/>
      <c r="HF5" s="563"/>
      <c r="HG5" s="563"/>
      <c r="HH5" s="563"/>
      <c r="HI5" s="563"/>
      <c r="HJ5" s="563"/>
      <c r="HK5" s="563"/>
      <c r="HL5" s="563"/>
      <c r="HM5" s="563"/>
      <c r="HN5" s="563"/>
      <c r="HO5" s="563"/>
      <c r="HP5" s="563"/>
      <c r="HQ5" s="563"/>
      <c r="HR5" s="563"/>
      <c r="HS5" s="563"/>
      <c r="HT5" s="563"/>
      <c r="HU5" s="563"/>
      <c r="HV5" s="563"/>
      <c r="HW5" s="563"/>
      <c r="HX5" s="563"/>
      <c r="HY5" s="563"/>
      <c r="HZ5" s="563"/>
      <c r="IA5" s="563"/>
      <c r="IB5" s="563"/>
      <c r="IC5" s="563"/>
      <c r="ID5" s="563"/>
      <c r="IE5" s="563"/>
      <c r="IF5" s="563"/>
      <c r="IG5" s="563"/>
      <c r="IH5" s="563"/>
      <c r="II5" s="563"/>
      <c r="IJ5" s="563"/>
      <c r="IK5" s="563"/>
      <c r="IL5" s="563"/>
      <c r="IM5" s="563"/>
      <c r="IN5" s="563"/>
      <c r="IO5" s="563"/>
      <c r="IP5" s="563"/>
      <c r="IQ5" s="563"/>
      <c r="IR5" s="563"/>
      <c r="IS5" s="563"/>
      <c r="IT5" s="563"/>
      <c r="IU5" s="563"/>
      <c r="IV5" s="563"/>
      <c r="IW5" s="563"/>
    </row>
    <row r="6" customFormat="false" ht="11.25" hidden="false" customHeight="false" outlineLevel="0" collapsed="false">
      <c r="A6" s="563"/>
      <c r="B6" s="564"/>
      <c r="C6" s="303"/>
      <c r="D6" s="303"/>
      <c r="E6" s="303"/>
      <c r="F6" s="303"/>
      <c r="G6" s="303"/>
      <c r="H6" s="303"/>
      <c r="I6" s="303"/>
      <c r="J6" s="303"/>
      <c r="K6" s="303"/>
      <c r="L6" s="303"/>
      <c r="M6" s="303"/>
      <c r="N6" s="303"/>
      <c r="O6" s="303"/>
      <c r="P6" s="303"/>
      <c r="Q6" s="303"/>
      <c r="R6" s="303"/>
      <c r="S6" s="303"/>
      <c r="T6" s="303"/>
      <c r="U6" s="303"/>
      <c r="V6" s="303"/>
      <c r="W6" s="303"/>
      <c r="X6" s="303"/>
      <c r="Y6" s="303"/>
      <c r="Z6" s="303"/>
      <c r="AA6" s="303"/>
      <c r="AB6" s="303"/>
      <c r="AC6" s="303"/>
      <c r="AD6" s="303"/>
      <c r="AE6" s="303"/>
      <c r="AF6" s="303"/>
      <c r="AG6" s="303"/>
      <c r="AH6" s="303"/>
      <c r="AI6" s="303"/>
      <c r="AJ6" s="303"/>
      <c r="AK6" s="303"/>
      <c r="AL6" s="303"/>
      <c r="AM6" s="303"/>
      <c r="AN6" s="303"/>
      <c r="AO6" s="303"/>
      <c r="AP6" s="303"/>
      <c r="AQ6" s="487"/>
      <c r="AR6" s="487"/>
      <c r="AS6" s="487"/>
      <c r="AT6" s="487"/>
      <c r="AU6" s="487"/>
      <c r="AV6" s="487"/>
      <c r="AW6" s="487"/>
      <c r="AX6" s="487"/>
      <c r="AY6" s="487"/>
      <c r="AZ6" s="487"/>
      <c r="BA6" s="487"/>
      <c r="BB6" s="487"/>
      <c r="BC6" s="487"/>
      <c r="BD6" s="487"/>
      <c r="BE6" s="487"/>
      <c r="BF6" s="487"/>
      <c r="BG6" s="487"/>
      <c r="BH6" s="487"/>
      <c r="BI6" s="487"/>
      <c r="BJ6" s="487"/>
      <c r="BK6" s="487"/>
      <c r="BL6" s="563"/>
      <c r="BM6" s="563"/>
      <c r="BN6" s="563"/>
      <c r="BO6" s="563"/>
      <c r="BP6" s="563"/>
      <c r="BQ6" s="563"/>
      <c r="BR6" s="563"/>
      <c r="BS6" s="563"/>
      <c r="BT6" s="563"/>
      <c r="BU6" s="563"/>
      <c r="BV6" s="563"/>
      <c r="BW6" s="563"/>
      <c r="BX6" s="563"/>
      <c r="BY6" s="563"/>
      <c r="BZ6" s="563"/>
      <c r="CA6" s="563"/>
      <c r="CB6" s="563"/>
      <c r="CC6" s="563"/>
      <c r="CD6" s="563"/>
      <c r="CE6" s="563"/>
      <c r="CF6" s="563"/>
      <c r="CG6" s="563"/>
      <c r="CH6" s="563"/>
      <c r="CI6" s="563"/>
      <c r="CJ6" s="563"/>
      <c r="CK6" s="563"/>
      <c r="CL6" s="563"/>
      <c r="CM6" s="563"/>
      <c r="CN6" s="563"/>
      <c r="CO6" s="563"/>
      <c r="CP6" s="563"/>
      <c r="CQ6" s="563"/>
      <c r="CR6" s="563"/>
      <c r="CS6" s="563"/>
      <c r="CT6" s="563"/>
      <c r="CU6" s="563"/>
      <c r="CV6" s="563"/>
      <c r="CW6" s="563"/>
      <c r="CX6" s="563"/>
      <c r="CY6" s="563"/>
      <c r="CZ6" s="563"/>
      <c r="DA6" s="563"/>
      <c r="DB6" s="563"/>
      <c r="DC6" s="563"/>
      <c r="DD6" s="563"/>
      <c r="DE6" s="563"/>
      <c r="DF6" s="563"/>
      <c r="DG6" s="563"/>
      <c r="DH6" s="563"/>
      <c r="DI6" s="563"/>
      <c r="DJ6" s="563"/>
      <c r="DK6" s="563"/>
      <c r="DL6" s="563"/>
      <c r="DM6" s="563"/>
      <c r="DN6" s="563"/>
      <c r="DO6" s="563"/>
      <c r="DP6" s="563"/>
      <c r="DQ6" s="563"/>
      <c r="DR6" s="563"/>
      <c r="DS6" s="563"/>
      <c r="DT6" s="563"/>
      <c r="DU6" s="563"/>
      <c r="DV6" s="563"/>
      <c r="DW6" s="563"/>
      <c r="DX6" s="563"/>
      <c r="DY6" s="563"/>
      <c r="DZ6" s="563"/>
      <c r="EA6" s="563"/>
      <c r="EB6" s="563"/>
      <c r="EC6" s="563"/>
      <c r="ED6" s="563"/>
      <c r="EE6" s="563"/>
      <c r="EF6" s="563"/>
      <c r="EG6" s="563"/>
      <c r="EH6" s="563"/>
      <c r="EI6" s="563"/>
      <c r="EJ6" s="563"/>
      <c r="EK6" s="563"/>
      <c r="EL6" s="563"/>
      <c r="EM6" s="563"/>
      <c r="EN6" s="563"/>
      <c r="EO6" s="563"/>
      <c r="EP6" s="563"/>
      <c r="EQ6" s="563"/>
      <c r="ER6" s="563"/>
      <c r="ES6" s="563"/>
      <c r="ET6" s="563"/>
      <c r="EU6" s="563"/>
      <c r="EV6" s="563"/>
      <c r="EW6" s="563"/>
      <c r="EX6" s="563"/>
      <c r="EY6" s="563"/>
      <c r="EZ6" s="563"/>
      <c r="FA6" s="563"/>
      <c r="FB6" s="563"/>
      <c r="FC6" s="563"/>
      <c r="FD6" s="563"/>
      <c r="FE6" s="563"/>
      <c r="FF6" s="563"/>
      <c r="FG6" s="563"/>
      <c r="FH6" s="563"/>
      <c r="FI6" s="563"/>
      <c r="FJ6" s="563"/>
      <c r="FK6" s="563"/>
      <c r="FL6" s="563"/>
      <c r="FM6" s="563"/>
      <c r="FN6" s="563"/>
      <c r="FO6" s="563"/>
      <c r="FP6" s="563"/>
      <c r="FQ6" s="563"/>
      <c r="FR6" s="563"/>
      <c r="FS6" s="563"/>
      <c r="FT6" s="563"/>
      <c r="FU6" s="563"/>
      <c r="FV6" s="563"/>
      <c r="FW6" s="563"/>
      <c r="FX6" s="563"/>
      <c r="FY6" s="563"/>
      <c r="FZ6" s="563"/>
      <c r="GA6" s="563"/>
      <c r="GB6" s="563"/>
      <c r="GC6" s="563"/>
      <c r="GD6" s="563"/>
      <c r="GE6" s="563"/>
      <c r="GF6" s="563"/>
      <c r="GG6" s="563"/>
      <c r="GH6" s="563"/>
      <c r="GI6" s="563"/>
      <c r="GJ6" s="563"/>
      <c r="GK6" s="563"/>
      <c r="GL6" s="563"/>
      <c r="GM6" s="563"/>
      <c r="GN6" s="563"/>
      <c r="GO6" s="563"/>
      <c r="GP6" s="563"/>
      <c r="GQ6" s="563"/>
      <c r="GR6" s="563"/>
      <c r="GS6" s="563"/>
      <c r="GT6" s="563"/>
      <c r="GU6" s="563"/>
      <c r="GV6" s="563"/>
      <c r="GW6" s="563"/>
      <c r="GX6" s="563"/>
      <c r="GY6" s="563"/>
      <c r="GZ6" s="563"/>
      <c r="HA6" s="563"/>
      <c r="HB6" s="563"/>
      <c r="HC6" s="563"/>
      <c r="HD6" s="563"/>
      <c r="HE6" s="563"/>
      <c r="HF6" s="563"/>
      <c r="HG6" s="563"/>
      <c r="HH6" s="563"/>
      <c r="HI6" s="563"/>
      <c r="HJ6" s="563"/>
      <c r="HK6" s="563"/>
      <c r="HL6" s="563"/>
      <c r="HM6" s="563"/>
      <c r="HN6" s="563"/>
      <c r="HO6" s="563"/>
      <c r="HP6" s="563"/>
      <c r="HQ6" s="563"/>
      <c r="HR6" s="563"/>
      <c r="HS6" s="563"/>
      <c r="HT6" s="563"/>
      <c r="HU6" s="563"/>
      <c r="HV6" s="563"/>
      <c r="HW6" s="563"/>
      <c r="HX6" s="563"/>
      <c r="HY6" s="563"/>
      <c r="HZ6" s="563"/>
      <c r="IA6" s="563"/>
      <c r="IB6" s="563"/>
      <c r="IC6" s="563"/>
      <c r="ID6" s="563"/>
      <c r="IE6" s="563"/>
      <c r="IF6" s="563"/>
      <c r="IG6" s="563"/>
      <c r="IH6" s="563"/>
      <c r="II6" s="563"/>
      <c r="IJ6" s="563"/>
      <c r="IK6" s="563"/>
      <c r="IL6" s="563"/>
      <c r="IM6" s="563"/>
      <c r="IN6" s="563"/>
      <c r="IO6" s="563"/>
      <c r="IP6" s="563"/>
      <c r="IQ6" s="563"/>
      <c r="IR6" s="563"/>
      <c r="IS6" s="563"/>
      <c r="IT6" s="563"/>
      <c r="IU6" s="563"/>
      <c r="IV6" s="563"/>
      <c r="IW6" s="563"/>
    </row>
    <row r="7" customFormat="false" ht="15.75" hidden="false" customHeight="false" outlineLevel="0" collapsed="false">
      <c r="A7" s="565"/>
      <c r="B7" s="566"/>
      <c r="C7" s="567" t="n">
        <f aca="false">YEAR(C13)</f>
        <v>2000</v>
      </c>
      <c r="D7" s="198" t="n">
        <f aca="false">YEAR(D13)</f>
        <v>2000</v>
      </c>
      <c r="E7" s="198" t="n">
        <f aca="false">YEAR(E13)</f>
        <v>2001</v>
      </c>
      <c r="F7" s="198" t="n">
        <f aca="false">YEAR(F13)</f>
        <v>2002</v>
      </c>
      <c r="G7" s="198" t="n">
        <f aca="false">YEAR(G13)</f>
        <v>2003</v>
      </c>
      <c r="H7" s="198" t="n">
        <f aca="false">YEAR(H13)</f>
        <v>2004</v>
      </c>
      <c r="I7" s="198" t="n">
        <f aca="false">YEAR(I13)</f>
        <v>2005</v>
      </c>
      <c r="J7" s="198" t="n">
        <f aca="false">YEAR(J13)</f>
        <v>2006</v>
      </c>
      <c r="K7" s="198" t="n">
        <f aca="false">YEAR(K13)</f>
        <v>2007</v>
      </c>
      <c r="L7" s="198" t="n">
        <f aca="false">YEAR(L13)</f>
        <v>2008</v>
      </c>
      <c r="M7" s="198" t="n">
        <f aca="false">YEAR(M13)</f>
        <v>2009</v>
      </c>
      <c r="N7" s="198" t="n">
        <f aca="false">YEAR(N13)</f>
        <v>2010</v>
      </c>
      <c r="O7" s="198" t="n">
        <f aca="false">YEAR(O13)</f>
        <v>2011</v>
      </c>
      <c r="P7" s="198" t="n">
        <f aca="false">YEAR(P13)</f>
        <v>2012</v>
      </c>
      <c r="Q7" s="198" t="n">
        <f aca="false">YEAR(Q13)</f>
        <v>2013</v>
      </c>
      <c r="R7" s="198" t="n">
        <f aca="false">YEAR(R13)</f>
        <v>2014</v>
      </c>
      <c r="S7" s="198" t="n">
        <f aca="false">YEAR(S13)</f>
        <v>2015</v>
      </c>
      <c r="T7" s="198" t="n">
        <f aca="false">YEAR(T13)</f>
        <v>2016</v>
      </c>
      <c r="U7" s="198" t="n">
        <f aca="false">YEAR(U13)</f>
        <v>2017</v>
      </c>
      <c r="V7" s="198" t="n">
        <f aca="false">YEAR(V13)</f>
        <v>2018</v>
      </c>
      <c r="W7" s="198" t="n">
        <f aca="false">YEAR(W13)</f>
        <v>2019</v>
      </c>
      <c r="X7" s="198" t="n">
        <f aca="false">YEAR(X13)</f>
        <v>2020</v>
      </c>
      <c r="Y7" s="198"/>
      <c r="Z7" s="198"/>
      <c r="AA7" s="198"/>
      <c r="AB7" s="198"/>
      <c r="AC7" s="198"/>
      <c r="AD7" s="198"/>
      <c r="AE7" s="198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568"/>
      <c r="AR7" s="568"/>
      <c r="AS7" s="568"/>
      <c r="AT7" s="568"/>
      <c r="AU7" s="568"/>
      <c r="AV7" s="568"/>
      <c r="AW7" s="568"/>
      <c r="AX7" s="568"/>
      <c r="AY7" s="568"/>
      <c r="AZ7" s="568"/>
      <c r="BA7" s="568"/>
      <c r="BB7" s="568"/>
      <c r="BC7" s="568"/>
      <c r="BD7" s="568"/>
      <c r="BE7" s="568"/>
      <c r="BF7" s="568"/>
      <c r="BG7" s="568"/>
      <c r="BH7" s="568"/>
      <c r="BI7" s="568"/>
      <c r="BJ7" s="568"/>
      <c r="BK7" s="568"/>
      <c r="BL7" s="565"/>
      <c r="BM7" s="565"/>
      <c r="BN7" s="565"/>
      <c r="BO7" s="565"/>
      <c r="BP7" s="565"/>
      <c r="BQ7" s="565"/>
      <c r="BR7" s="565"/>
      <c r="BS7" s="565"/>
      <c r="BT7" s="565"/>
      <c r="BU7" s="565"/>
      <c r="BV7" s="565"/>
      <c r="BW7" s="565"/>
      <c r="BX7" s="565"/>
      <c r="BY7" s="565"/>
      <c r="BZ7" s="565"/>
      <c r="CA7" s="565"/>
      <c r="CB7" s="565"/>
      <c r="CC7" s="565"/>
      <c r="CD7" s="565"/>
      <c r="CE7" s="565"/>
      <c r="CF7" s="565"/>
      <c r="CG7" s="565"/>
      <c r="CH7" s="565"/>
      <c r="CI7" s="565"/>
      <c r="CJ7" s="565"/>
      <c r="CK7" s="565"/>
      <c r="CL7" s="565"/>
      <c r="CM7" s="565"/>
      <c r="CN7" s="565"/>
      <c r="CO7" s="565"/>
      <c r="CP7" s="565"/>
      <c r="CQ7" s="565"/>
      <c r="CR7" s="565"/>
      <c r="CS7" s="565"/>
      <c r="CT7" s="565"/>
      <c r="CU7" s="565"/>
      <c r="CV7" s="565"/>
      <c r="CW7" s="565"/>
      <c r="CX7" s="565"/>
      <c r="CY7" s="565"/>
      <c r="CZ7" s="565"/>
      <c r="DA7" s="565"/>
      <c r="DB7" s="565"/>
      <c r="DC7" s="565"/>
      <c r="DD7" s="565"/>
      <c r="DE7" s="565"/>
      <c r="DF7" s="565"/>
      <c r="DG7" s="565"/>
      <c r="DH7" s="565"/>
      <c r="DI7" s="565"/>
      <c r="DJ7" s="565"/>
      <c r="DK7" s="565"/>
      <c r="DL7" s="565"/>
      <c r="DM7" s="565"/>
      <c r="DN7" s="565"/>
      <c r="DO7" s="565"/>
      <c r="DP7" s="565"/>
      <c r="DQ7" s="565"/>
      <c r="DR7" s="565"/>
      <c r="DS7" s="565"/>
      <c r="DT7" s="565"/>
      <c r="DU7" s="565"/>
      <c r="DV7" s="565"/>
      <c r="DW7" s="565"/>
      <c r="DX7" s="565"/>
      <c r="DY7" s="565"/>
      <c r="DZ7" s="565"/>
      <c r="EA7" s="565"/>
      <c r="EB7" s="565"/>
      <c r="EC7" s="565"/>
      <c r="ED7" s="565"/>
      <c r="EE7" s="565"/>
      <c r="EF7" s="565"/>
      <c r="EG7" s="565"/>
      <c r="EH7" s="565"/>
      <c r="EI7" s="565"/>
      <c r="EJ7" s="565"/>
      <c r="EK7" s="565"/>
      <c r="EL7" s="565"/>
      <c r="EM7" s="565"/>
      <c r="EN7" s="565"/>
      <c r="EO7" s="565"/>
      <c r="EP7" s="565"/>
      <c r="EQ7" s="565"/>
      <c r="ER7" s="565"/>
      <c r="ES7" s="565"/>
      <c r="ET7" s="565"/>
      <c r="EU7" s="565"/>
      <c r="EV7" s="565"/>
      <c r="EW7" s="565"/>
      <c r="EX7" s="565"/>
      <c r="EY7" s="565"/>
      <c r="EZ7" s="565"/>
      <c r="FA7" s="565"/>
      <c r="FB7" s="565"/>
      <c r="FC7" s="565"/>
      <c r="FD7" s="565"/>
      <c r="FE7" s="565"/>
      <c r="FF7" s="565"/>
      <c r="FG7" s="565"/>
      <c r="FH7" s="565"/>
      <c r="FI7" s="565"/>
      <c r="FJ7" s="565"/>
      <c r="FK7" s="565"/>
      <c r="FL7" s="565"/>
      <c r="FM7" s="565"/>
      <c r="FN7" s="565"/>
      <c r="FO7" s="565"/>
      <c r="FP7" s="565"/>
      <c r="FQ7" s="565"/>
      <c r="FR7" s="565"/>
      <c r="FS7" s="565"/>
      <c r="FT7" s="565"/>
      <c r="FU7" s="565"/>
      <c r="FV7" s="565"/>
      <c r="FW7" s="565"/>
      <c r="FX7" s="565"/>
      <c r="FY7" s="565"/>
      <c r="FZ7" s="565"/>
      <c r="GA7" s="565"/>
      <c r="GB7" s="565"/>
      <c r="GC7" s="565"/>
      <c r="GD7" s="565"/>
      <c r="GE7" s="565"/>
      <c r="GF7" s="565"/>
      <c r="GG7" s="565"/>
      <c r="GH7" s="565"/>
      <c r="GI7" s="565"/>
      <c r="GJ7" s="565"/>
      <c r="GK7" s="565"/>
      <c r="GL7" s="565"/>
      <c r="GM7" s="565"/>
      <c r="GN7" s="565"/>
      <c r="GO7" s="565"/>
      <c r="GP7" s="565"/>
      <c r="GQ7" s="565"/>
      <c r="GR7" s="565"/>
      <c r="GS7" s="565"/>
      <c r="GT7" s="565"/>
      <c r="GU7" s="565"/>
      <c r="GV7" s="565"/>
      <c r="GW7" s="565"/>
      <c r="GX7" s="565"/>
      <c r="GY7" s="565"/>
      <c r="GZ7" s="565"/>
      <c r="HA7" s="565"/>
      <c r="HB7" s="565"/>
      <c r="HC7" s="565"/>
      <c r="HD7" s="565"/>
      <c r="HE7" s="565"/>
      <c r="HF7" s="565"/>
      <c r="HG7" s="565"/>
      <c r="HH7" s="565"/>
      <c r="HI7" s="565"/>
      <c r="HJ7" s="565"/>
      <c r="HK7" s="565"/>
      <c r="HL7" s="565"/>
      <c r="HM7" s="565"/>
      <c r="HN7" s="565"/>
      <c r="HO7" s="565"/>
      <c r="HP7" s="565"/>
      <c r="HQ7" s="565"/>
      <c r="HR7" s="565"/>
      <c r="HS7" s="565"/>
      <c r="HT7" s="565"/>
      <c r="HU7" s="565"/>
      <c r="HV7" s="565"/>
      <c r="HW7" s="565"/>
      <c r="HX7" s="565"/>
      <c r="HY7" s="565"/>
      <c r="HZ7" s="565"/>
      <c r="IA7" s="565"/>
      <c r="IB7" s="565"/>
      <c r="IC7" s="565"/>
      <c r="ID7" s="565"/>
      <c r="IE7" s="565"/>
      <c r="IF7" s="565"/>
      <c r="IG7" s="565"/>
      <c r="IH7" s="565"/>
      <c r="II7" s="565"/>
      <c r="IJ7" s="565"/>
      <c r="IK7" s="565"/>
      <c r="IL7" s="565"/>
      <c r="IM7" s="565"/>
      <c r="IN7" s="565"/>
      <c r="IO7" s="565"/>
      <c r="IP7" s="565"/>
      <c r="IQ7" s="565"/>
      <c r="IR7" s="565"/>
      <c r="IS7" s="565"/>
      <c r="IT7" s="565"/>
      <c r="IU7" s="565"/>
      <c r="IV7" s="565"/>
      <c r="IW7" s="565"/>
    </row>
    <row r="8" customFormat="false" ht="12" hidden="false" customHeight="true" outlineLevel="0" collapsed="false">
      <c r="A8" s="563"/>
      <c r="B8" s="564"/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3"/>
      <c r="W8" s="303"/>
      <c r="X8" s="303"/>
      <c r="Y8" s="303"/>
      <c r="Z8" s="303"/>
      <c r="AA8" s="303"/>
      <c r="AB8" s="303"/>
      <c r="AC8" s="303"/>
      <c r="AD8" s="303"/>
      <c r="AE8" s="303"/>
      <c r="AF8" s="303"/>
      <c r="AG8" s="303"/>
      <c r="AH8" s="303"/>
      <c r="AI8" s="303"/>
      <c r="AJ8" s="303"/>
      <c r="AK8" s="303"/>
      <c r="AL8" s="303"/>
      <c r="AM8" s="303"/>
      <c r="AN8" s="303"/>
      <c r="AO8" s="303"/>
      <c r="AP8" s="303"/>
      <c r="AQ8" s="487"/>
      <c r="AR8" s="487"/>
      <c r="AS8" s="487"/>
      <c r="AT8" s="487"/>
      <c r="AU8" s="487"/>
      <c r="AV8" s="487"/>
      <c r="AW8" s="487"/>
      <c r="AX8" s="487"/>
      <c r="AY8" s="487"/>
      <c r="AZ8" s="487"/>
      <c r="BA8" s="487"/>
      <c r="BB8" s="487"/>
      <c r="BC8" s="487"/>
      <c r="BD8" s="487"/>
      <c r="BE8" s="487"/>
      <c r="BF8" s="487"/>
      <c r="BG8" s="487"/>
      <c r="BH8" s="487"/>
      <c r="BI8" s="487"/>
      <c r="BJ8" s="487"/>
      <c r="BK8" s="487"/>
      <c r="BL8" s="563"/>
      <c r="BM8" s="563"/>
      <c r="BN8" s="563"/>
      <c r="BO8" s="563"/>
      <c r="BP8" s="563"/>
      <c r="BQ8" s="563"/>
      <c r="BR8" s="563"/>
      <c r="BS8" s="563"/>
      <c r="BT8" s="563"/>
      <c r="BU8" s="563"/>
      <c r="BV8" s="563"/>
      <c r="BW8" s="563"/>
      <c r="BX8" s="563"/>
      <c r="BY8" s="563"/>
      <c r="BZ8" s="563"/>
      <c r="CA8" s="563"/>
      <c r="CB8" s="563"/>
      <c r="CC8" s="563"/>
      <c r="CD8" s="563"/>
      <c r="CE8" s="563"/>
      <c r="CF8" s="563"/>
      <c r="CG8" s="563"/>
      <c r="CH8" s="563"/>
      <c r="CI8" s="563"/>
      <c r="CJ8" s="563"/>
      <c r="CK8" s="563"/>
      <c r="CL8" s="563"/>
      <c r="CM8" s="563"/>
      <c r="CN8" s="563"/>
      <c r="CO8" s="563"/>
      <c r="CP8" s="563"/>
      <c r="CQ8" s="563"/>
      <c r="CR8" s="563"/>
      <c r="CS8" s="563"/>
      <c r="CT8" s="563"/>
      <c r="CU8" s="563"/>
      <c r="CV8" s="563"/>
      <c r="CW8" s="563"/>
      <c r="CX8" s="563"/>
      <c r="CY8" s="563"/>
      <c r="CZ8" s="563"/>
      <c r="DA8" s="563"/>
      <c r="DB8" s="563"/>
      <c r="DC8" s="563"/>
      <c r="DD8" s="563"/>
      <c r="DE8" s="563"/>
      <c r="DF8" s="563"/>
      <c r="DG8" s="563"/>
      <c r="DH8" s="563"/>
      <c r="DI8" s="563"/>
      <c r="DJ8" s="563"/>
      <c r="DK8" s="563"/>
      <c r="DL8" s="563"/>
      <c r="DM8" s="563"/>
      <c r="DN8" s="563"/>
      <c r="DO8" s="563"/>
      <c r="DP8" s="563"/>
      <c r="DQ8" s="563"/>
      <c r="DR8" s="563"/>
      <c r="DS8" s="563"/>
      <c r="DT8" s="563"/>
      <c r="DU8" s="563"/>
      <c r="DV8" s="563"/>
      <c r="DW8" s="563"/>
      <c r="DX8" s="563"/>
      <c r="DY8" s="563"/>
      <c r="DZ8" s="563"/>
      <c r="EA8" s="563"/>
      <c r="EB8" s="563"/>
      <c r="EC8" s="563"/>
      <c r="ED8" s="563"/>
      <c r="EE8" s="563"/>
      <c r="EF8" s="563"/>
      <c r="EG8" s="563"/>
      <c r="EH8" s="563"/>
      <c r="EI8" s="563"/>
      <c r="EJ8" s="563"/>
      <c r="EK8" s="563"/>
      <c r="EL8" s="563"/>
      <c r="EM8" s="563"/>
      <c r="EN8" s="563"/>
      <c r="EO8" s="563"/>
      <c r="EP8" s="563"/>
      <c r="EQ8" s="563"/>
      <c r="ER8" s="563"/>
      <c r="ES8" s="563"/>
      <c r="ET8" s="563"/>
      <c r="EU8" s="563"/>
      <c r="EV8" s="563"/>
      <c r="EW8" s="563"/>
      <c r="EX8" s="563"/>
      <c r="EY8" s="563"/>
      <c r="EZ8" s="563"/>
      <c r="FA8" s="563"/>
      <c r="FB8" s="563"/>
      <c r="FC8" s="563"/>
      <c r="FD8" s="563"/>
      <c r="FE8" s="563"/>
      <c r="FF8" s="563"/>
      <c r="FG8" s="563"/>
      <c r="FH8" s="563"/>
      <c r="FI8" s="563"/>
      <c r="FJ8" s="563"/>
      <c r="FK8" s="563"/>
      <c r="FL8" s="563"/>
      <c r="FM8" s="563"/>
      <c r="FN8" s="563"/>
      <c r="FO8" s="563"/>
      <c r="FP8" s="563"/>
      <c r="FQ8" s="563"/>
      <c r="FR8" s="563"/>
      <c r="FS8" s="563"/>
      <c r="FT8" s="563"/>
      <c r="FU8" s="563"/>
      <c r="FV8" s="563"/>
      <c r="FW8" s="563"/>
      <c r="FX8" s="563"/>
      <c r="FY8" s="563"/>
      <c r="FZ8" s="563"/>
      <c r="GA8" s="563"/>
      <c r="GB8" s="563"/>
      <c r="GC8" s="563"/>
      <c r="GD8" s="563"/>
      <c r="GE8" s="563"/>
      <c r="GF8" s="563"/>
      <c r="GG8" s="563"/>
      <c r="GH8" s="563"/>
      <c r="GI8" s="563"/>
      <c r="GJ8" s="563"/>
      <c r="GK8" s="563"/>
      <c r="GL8" s="563"/>
      <c r="GM8" s="563"/>
      <c r="GN8" s="563"/>
      <c r="GO8" s="563"/>
      <c r="GP8" s="563"/>
      <c r="GQ8" s="563"/>
      <c r="GR8" s="563"/>
      <c r="GS8" s="563"/>
      <c r="GT8" s="563"/>
      <c r="GU8" s="563"/>
      <c r="GV8" s="563"/>
      <c r="GW8" s="563"/>
      <c r="GX8" s="563"/>
      <c r="GY8" s="563"/>
      <c r="GZ8" s="563"/>
      <c r="HA8" s="563"/>
      <c r="HB8" s="563"/>
      <c r="HC8" s="563"/>
      <c r="HD8" s="563"/>
      <c r="HE8" s="563"/>
      <c r="HF8" s="563"/>
      <c r="HG8" s="563"/>
      <c r="HH8" s="563"/>
      <c r="HI8" s="563"/>
      <c r="HJ8" s="563"/>
      <c r="HK8" s="563"/>
      <c r="HL8" s="563"/>
      <c r="HM8" s="563"/>
      <c r="HN8" s="563"/>
      <c r="HO8" s="563"/>
      <c r="HP8" s="563"/>
      <c r="HQ8" s="563"/>
      <c r="HR8" s="563"/>
      <c r="HS8" s="563"/>
      <c r="HT8" s="563"/>
      <c r="HU8" s="563"/>
      <c r="HV8" s="563"/>
      <c r="HW8" s="563"/>
      <c r="HX8" s="563"/>
      <c r="HY8" s="563"/>
      <c r="HZ8" s="563"/>
      <c r="IA8" s="563"/>
      <c r="IB8" s="563"/>
      <c r="IC8" s="563"/>
      <c r="ID8" s="563"/>
      <c r="IE8" s="563"/>
      <c r="IF8" s="563"/>
      <c r="IG8" s="563"/>
      <c r="IH8" s="563"/>
      <c r="II8" s="563"/>
      <c r="IJ8" s="563"/>
      <c r="IK8" s="563"/>
      <c r="IL8" s="563"/>
      <c r="IM8" s="563"/>
      <c r="IN8" s="563"/>
      <c r="IO8" s="563"/>
      <c r="IP8" s="563"/>
      <c r="IQ8" s="563"/>
      <c r="IR8" s="563"/>
      <c r="IS8" s="563"/>
      <c r="IT8" s="563"/>
      <c r="IU8" s="563"/>
      <c r="IV8" s="563"/>
      <c r="IW8" s="563"/>
    </row>
    <row r="9" customFormat="false" ht="11.25" hidden="true" customHeight="false" outlineLevel="0" collapsed="false">
      <c r="A9" s="563"/>
      <c r="B9" s="564"/>
      <c r="C9" s="303"/>
      <c r="D9" s="303"/>
      <c r="E9" s="303"/>
      <c r="F9" s="303"/>
      <c r="G9" s="303"/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3"/>
      <c r="Z9" s="303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487"/>
      <c r="AR9" s="487"/>
      <c r="AS9" s="487"/>
      <c r="AT9" s="487"/>
      <c r="AU9" s="487"/>
      <c r="AV9" s="487"/>
      <c r="AW9" s="487"/>
      <c r="AX9" s="487"/>
      <c r="AY9" s="487"/>
      <c r="AZ9" s="487"/>
      <c r="BA9" s="487"/>
      <c r="BB9" s="487"/>
      <c r="BC9" s="487"/>
      <c r="BD9" s="487"/>
      <c r="BE9" s="487"/>
      <c r="BF9" s="487"/>
      <c r="BG9" s="487"/>
      <c r="BH9" s="487"/>
      <c r="BI9" s="487"/>
      <c r="BJ9" s="487"/>
      <c r="BK9" s="487"/>
      <c r="BL9" s="563"/>
      <c r="BM9" s="563"/>
      <c r="BN9" s="563"/>
      <c r="BO9" s="563"/>
      <c r="BP9" s="563"/>
      <c r="BQ9" s="563"/>
      <c r="BR9" s="563"/>
      <c r="BS9" s="563"/>
      <c r="BT9" s="563"/>
      <c r="BU9" s="563"/>
      <c r="BV9" s="563"/>
      <c r="BW9" s="563"/>
      <c r="BX9" s="563"/>
      <c r="BY9" s="563"/>
      <c r="BZ9" s="563"/>
      <c r="CA9" s="563"/>
      <c r="CB9" s="563"/>
      <c r="CC9" s="563"/>
      <c r="CD9" s="563"/>
      <c r="CE9" s="563"/>
      <c r="CF9" s="563"/>
      <c r="CG9" s="563"/>
      <c r="CH9" s="563"/>
      <c r="CI9" s="563"/>
      <c r="CJ9" s="563"/>
      <c r="CK9" s="563"/>
      <c r="CL9" s="563"/>
      <c r="CM9" s="563"/>
      <c r="CN9" s="563"/>
      <c r="CO9" s="563"/>
      <c r="CP9" s="563"/>
      <c r="CQ9" s="563"/>
      <c r="CR9" s="563"/>
      <c r="CS9" s="563"/>
      <c r="CT9" s="563"/>
      <c r="CU9" s="563"/>
      <c r="CV9" s="563"/>
      <c r="CW9" s="563"/>
      <c r="CX9" s="563"/>
      <c r="CY9" s="563"/>
      <c r="CZ9" s="563"/>
      <c r="DA9" s="563"/>
      <c r="DB9" s="563"/>
      <c r="DC9" s="563"/>
      <c r="DD9" s="563"/>
      <c r="DE9" s="563"/>
      <c r="DF9" s="563"/>
      <c r="DG9" s="563"/>
      <c r="DH9" s="563"/>
      <c r="DI9" s="563"/>
      <c r="DJ9" s="563"/>
      <c r="DK9" s="563"/>
      <c r="DL9" s="563"/>
      <c r="DM9" s="563"/>
      <c r="DN9" s="563"/>
      <c r="DO9" s="563"/>
      <c r="DP9" s="563"/>
      <c r="DQ9" s="563"/>
      <c r="DR9" s="563"/>
      <c r="DS9" s="563"/>
      <c r="DT9" s="563"/>
      <c r="DU9" s="563"/>
      <c r="DV9" s="563"/>
      <c r="DW9" s="563"/>
      <c r="DX9" s="563"/>
      <c r="DY9" s="563"/>
      <c r="DZ9" s="563"/>
      <c r="EA9" s="563"/>
      <c r="EB9" s="563"/>
      <c r="EC9" s="563"/>
      <c r="ED9" s="563"/>
      <c r="EE9" s="563"/>
      <c r="EF9" s="563"/>
      <c r="EG9" s="563"/>
      <c r="EH9" s="563"/>
      <c r="EI9" s="563"/>
      <c r="EJ9" s="563"/>
      <c r="EK9" s="563"/>
      <c r="EL9" s="563"/>
      <c r="EM9" s="563"/>
      <c r="EN9" s="563"/>
      <c r="EO9" s="563"/>
      <c r="EP9" s="563"/>
      <c r="EQ9" s="563"/>
      <c r="ER9" s="563"/>
      <c r="ES9" s="563"/>
      <c r="ET9" s="563"/>
      <c r="EU9" s="563"/>
      <c r="EV9" s="563"/>
      <c r="EW9" s="563"/>
      <c r="EX9" s="563"/>
      <c r="EY9" s="563"/>
      <c r="EZ9" s="563"/>
      <c r="FA9" s="563"/>
      <c r="FB9" s="563"/>
      <c r="FC9" s="563"/>
      <c r="FD9" s="563"/>
      <c r="FE9" s="563"/>
      <c r="FF9" s="563"/>
      <c r="FG9" s="563"/>
      <c r="FH9" s="563"/>
      <c r="FI9" s="563"/>
      <c r="FJ9" s="563"/>
      <c r="FK9" s="563"/>
      <c r="FL9" s="563"/>
      <c r="FM9" s="563"/>
      <c r="FN9" s="563"/>
      <c r="FO9" s="563"/>
      <c r="FP9" s="563"/>
      <c r="FQ9" s="563"/>
      <c r="FR9" s="563"/>
      <c r="FS9" s="563"/>
      <c r="FT9" s="563"/>
      <c r="FU9" s="563"/>
      <c r="FV9" s="563"/>
      <c r="FW9" s="563"/>
      <c r="FX9" s="563"/>
      <c r="FY9" s="563"/>
      <c r="FZ9" s="563"/>
      <c r="GA9" s="563"/>
      <c r="GB9" s="563"/>
      <c r="GC9" s="563"/>
      <c r="GD9" s="563"/>
      <c r="GE9" s="563"/>
      <c r="GF9" s="563"/>
      <c r="GG9" s="563"/>
      <c r="GH9" s="563"/>
      <c r="GI9" s="563"/>
      <c r="GJ9" s="563"/>
      <c r="GK9" s="563"/>
      <c r="GL9" s="563"/>
      <c r="GM9" s="563"/>
      <c r="GN9" s="563"/>
      <c r="GO9" s="563"/>
      <c r="GP9" s="563"/>
      <c r="GQ9" s="563"/>
      <c r="GR9" s="563"/>
      <c r="GS9" s="563"/>
      <c r="GT9" s="563"/>
      <c r="GU9" s="563"/>
      <c r="GV9" s="563"/>
      <c r="GW9" s="563"/>
      <c r="GX9" s="563"/>
      <c r="GY9" s="563"/>
      <c r="GZ9" s="563"/>
      <c r="HA9" s="563"/>
      <c r="HB9" s="563"/>
      <c r="HC9" s="563"/>
      <c r="HD9" s="563"/>
      <c r="HE9" s="563"/>
      <c r="HF9" s="563"/>
      <c r="HG9" s="563"/>
      <c r="HH9" s="563"/>
      <c r="HI9" s="563"/>
      <c r="HJ9" s="563"/>
      <c r="HK9" s="563"/>
      <c r="HL9" s="563"/>
      <c r="HM9" s="563"/>
      <c r="HN9" s="563"/>
      <c r="HO9" s="563"/>
      <c r="HP9" s="563"/>
      <c r="HQ9" s="563"/>
      <c r="HR9" s="563"/>
      <c r="HS9" s="563"/>
      <c r="HT9" s="563"/>
      <c r="HU9" s="563"/>
      <c r="HV9" s="563"/>
      <c r="HW9" s="563"/>
      <c r="HX9" s="563"/>
      <c r="HY9" s="563"/>
      <c r="HZ9" s="563"/>
      <c r="IA9" s="563"/>
      <c r="IB9" s="563"/>
      <c r="IC9" s="563"/>
      <c r="ID9" s="563"/>
      <c r="IE9" s="563"/>
      <c r="IF9" s="563"/>
      <c r="IG9" s="563"/>
      <c r="IH9" s="563"/>
      <c r="II9" s="563"/>
      <c r="IJ9" s="563"/>
      <c r="IK9" s="563"/>
      <c r="IL9" s="563"/>
      <c r="IM9" s="563"/>
      <c r="IN9" s="563"/>
      <c r="IO9" s="563"/>
      <c r="IP9" s="563"/>
      <c r="IQ9" s="563"/>
      <c r="IR9" s="563"/>
      <c r="IS9" s="563"/>
      <c r="IT9" s="563"/>
      <c r="IU9" s="563"/>
      <c r="IV9" s="563"/>
      <c r="IW9" s="563"/>
    </row>
    <row r="10" customFormat="false" ht="11.25" hidden="true" customHeight="false" outlineLevel="0" collapsed="false">
      <c r="A10" s="563"/>
      <c r="B10" s="563"/>
      <c r="C10" s="510"/>
      <c r="D10" s="561"/>
      <c r="E10" s="561"/>
      <c r="F10" s="561"/>
      <c r="G10" s="561"/>
      <c r="H10" s="561"/>
      <c r="I10" s="561"/>
      <c r="J10" s="561"/>
      <c r="K10" s="561"/>
      <c r="L10" s="561"/>
      <c r="M10" s="561"/>
      <c r="N10" s="561"/>
      <c r="O10" s="561"/>
      <c r="P10" s="561"/>
      <c r="Q10" s="561"/>
      <c r="R10" s="561"/>
      <c r="S10" s="561"/>
      <c r="T10" s="561"/>
      <c r="U10" s="561"/>
      <c r="V10" s="561"/>
      <c r="W10" s="561"/>
      <c r="X10" s="561"/>
      <c r="Y10" s="561"/>
      <c r="Z10" s="561"/>
      <c r="AA10" s="561"/>
      <c r="AB10" s="561"/>
      <c r="AC10" s="561"/>
      <c r="AD10" s="561"/>
      <c r="AE10" s="561"/>
      <c r="AF10" s="561"/>
      <c r="AG10" s="561"/>
      <c r="AH10" s="561"/>
      <c r="AI10" s="561"/>
      <c r="AJ10" s="561"/>
      <c r="AK10" s="561"/>
      <c r="AL10" s="561"/>
      <c r="AM10" s="561"/>
      <c r="AN10" s="561"/>
      <c r="AO10" s="561"/>
      <c r="AP10" s="561"/>
      <c r="AQ10" s="487"/>
      <c r="AR10" s="487"/>
      <c r="AS10" s="487"/>
      <c r="AT10" s="487"/>
      <c r="AU10" s="487"/>
      <c r="AV10" s="487"/>
      <c r="AW10" s="487"/>
      <c r="AX10" s="487"/>
      <c r="AY10" s="487"/>
      <c r="AZ10" s="487"/>
      <c r="BA10" s="487"/>
      <c r="BB10" s="487"/>
      <c r="BC10" s="487"/>
      <c r="BD10" s="487"/>
      <c r="BE10" s="487"/>
      <c r="BF10" s="487"/>
      <c r="BG10" s="487"/>
      <c r="BH10" s="487"/>
      <c r="BI10" s="487"/>
      <c r="BJ10" s="487"/>
      <c r="BK10" s="487"/>
      <c r="BL10" s="563"/>
      <c r="BM10" s="563"/>
      <c r="BN10" s="563"/>
      <c r="BO10" s="563"/>
      <c r="BP10" s="563"/>
      <c r="BQ10" s="563"/>
      <c r="BR10" s="563"/>
      <c r="BS10" s="563"/>
      <c r="BT10" s="563"/>
      <c r="BU10" s="563"/>
      <c r="BV10" s="563"/>
      <c r="BW10" s="563"/>
      <c r="BX10" s="563"/>
      <c r="BY10" s="563"/>
      <c r="BZ10" s="563"/>
      <c r="CA10" s="563"/>
      <c r="CB10" s="563"/>
      <c r="CC10" s="563"/>
      <c r="CD10" s="563"/>
      <c r="CE10" s="563"/>
      <c r="CF10" s="563"/>
      <c r="CG10" s="563"/>
      <c r="CH10" s="563"/>
      <c r="CI10" s="563"/>
      <c r="CJ10" s="563"/>
      <c r="CK10" s="563"/>
      <c r="CL10" s="563"/>
      <c r="CM10" s="563"/>
      <c r="CN10" s="563"/>
      <c r="CO10" s="563"/>
      <c r="CP10" s="563"/>
      <c r="CQ10" s="563"/>
      <c r="CR10" s="563"/>
      <c r="CS10" s="563"/>
      <c r="CT10" s="563"/>
      <c r="CU10" s="563"/>
      <c r="CV10" s="563"/>
      <c r="CW10" s="563"/>
      <c r="CX10" s="563"/>
      <c r="CY10" s="563"/>
      <c r="CZ10" s="563"/>
      <c r="DA10" s="563"/>
      <c r="DB10" s="563"/>
      <c r="DC10" s="563"/>
      <c r="DD10" s="563"/>
      <c r="DE10" s="563"/>
      <c r="DF10" s="563"/>
      <c r="DG10" s="563"/>
      <c r="DH10" s="563"/>
      <c r="DI10" s="563"/>
      <c r="DJ10" s="563"/>
      <c r="DK10" s="563"/>
      <c r="DL10" s="563"/>
      <c r="DM10" s="563"/>
      <c r="DN10" s="563"/>
      <c r="DO10" s="563"/>
      <c r="DP10" s="563"/>
      <c r="DQ10" s="563"/>
      <c r="DR10" s="563"/>
      <c r="DS10" s="563"/>
      <c r="DT10" s="563"/>
      <c r="DU10" s="563"/>
      <c r="DV10" s="563"/>
      <c r="DW10" s="563"/>
      <c r="DX10" s="563"/>
      <c r="DY10" s="563"/>
      <c r="DZ10" s="563"/>
      <c r="EA10" s="563"/>
      <c r="EB10" s="563"/>
      <c r="EC10" s="563"/>
      <c r="ED10" s="563"/>
      <c r="EE10" s="563"/>
      <c r="EF10" s="563"/>
      <c r="EG10" s="563"/>
      <c r="EH10" s="563"/>
      <c r="EI10" s="563"/>
      <c r="EJ10" s="563"/>
      <c r="EK10" s="563"/>
      <c r="EL10" s="563"/>
      <c r="EM10" s="563"/>
      <c r="EN10" s="563"/>
      <c r="EO10" s="563"/>
      <c r="EP10" s="563"/>
      <c r="EQ10" s="563"/>
      <c r="ER10" s="563"/>
      <c r="ES10" s="563"/>
      <c r="ET10" s="563"/>
      <c r="EU10" s="563"/>
      <c r="EV10" s="563"/>
      <c r="EW10" s="563"/>
      <c r="EX10" s="563"/>
      <c r="EY10" s="563"/>
      <c r="EZ10" s="563"/>
      <c r="FA10" s="563"/>
      <c r="FB10" s="563"/>
      <c r="FC10" s="563"/>
      <c r="FD10" s="563"/>
      <c r="FE10" s="563"/>
      <c r="FF10" s="563"/>
      <c r="FG10" s="563"/>
      <c r="FH10" s="563"/>
      <c r="FI10" s="563"/>
      <c r="FJ10" s="563"/>
      <c r="FK10" s="563"/>
      <c r="FL10" s="563"/>
      <c r="FM10" s="563"/>
      <c r="FN10" s="563"/>
      <c r="FO10" s="563"/>
      <c r="FP10" s="563"/>
      <c r="FQ10" s="563"/>
      <c r="FR10" s="563"/>
      <c r="FS10" s="563"/>
      <c r="FT10" s="563"/>
      <c r="FU10" s="563"/>
      <c r="FV10" s="563"/>
      <c r="FW10" s="563"/>
      <c r="FX10" s="563"/>
      <c r="FY10" s="563"/>
      <c r="FZ10" s="563"/>
      <c r="GA10" s="563"/>
      <c r="GB10" s="563"/>
      <c r="GC10" s="563"/>
      <c r="GD10" s="563"/>
      <c r="GE10" s="563"/>
      <c r="GF10" s="563"/>
      <c r="GG10" s="563"/>
      <c r="GH10" s="563"/>
      <c r="GI10" s="563"/>
      <c r="GJ10" s="563"/>
      <c r="GK10" s="563"/>
      <c r="GL10" s="563"/>
      <c r="GM10" s="563"/>
      <c r="GN10" s="563"/>
      <c r="GO10" s="563"/>
      <c r="GP10" s="563"/>
      <c r="GQ10" s="563"/>
      <c r="GR10" s="563"/>
      <c r="GS10" s="563"/>
      <c r="GT10" s="563"/>
      <c r="GU10" s="563"/>
      <c r="GV10" s="563"/>
      <c r="GW10" s="563"/>
      <c r="GX10" s="563"/>
      <c r="GY10" s="563"/>
      <c r="GZ10" s="563"/>
      <c r="HA10" s="563"/>
      <c r="HB10" s="563"/>
      <c r="HC10" s="563"/>
      <c r="HD10" s="563"/>
      <c r="HE10" s="563"/>
      <c r="HF10" s="563"/>
      <c r="HG10" s="563"/>
      <c r="HH10" s="563"/>
      <c r="HI10" s="563"/>
      <c r="HJ10" s="563"/>
      <c r="HK10" s="563"/>
      <c r="HL10" s="563"/>
      <c r="HM10" s="563"/>
      <c r="HN10" s="563"/>
      <c r="HO10" s="563"/>
      <c r="HP10" s="563"/>
      <c r="HQ10" s="563"/>
      <c r="HR10" s="563"/>
      <c r="HS10" s="563"/>
      <c r="HT10" s="563"/>
      <c r="HU10" s="563"/>
      <c r="HV10" s="563"/>
      <c r="HW10" s="563"/>
      <c r="HX10" s="563"/>
      <c r="HY10" s="563"/>
      <c r="HZ10" s="563"/>
      <c r="IA10" s="563"/>
      <c r="IB10" s="563"/>
      <c r="IC10" s="563"/>
      <c r="ID10" s="563"/>
      <c r="IE10" s="563"/>
      <c r="IF10" s="563"/>
      <c r="IG10" s="563"/>
      <c r="IH10" s="563"/>
      <c r="II10" s="563"/>
      <c r="IJ10" s="563"/>
      <c r="IK10" s="563"/>
      <c r="IL10" s="563"/>
      <c r="IM10" s="563"/>
      <c r="IN10" s="563"/>
      <c r="IO10" s="563"/>
      <c r="IP10" s="563"/>
      <c r="IQ10" s="563"/>
      <c r="IR10" s="563"/>
      <c r="IS10" s="563"/>
      <c r="IT10" s="563"/>
      <c r="IU10" s="563"/>
      <c r="IV10" s="563"/>
      <c r="IW10" s="563"/>
    </row>
    <row r="11" customFormat="false" ht="11.25" hidden="true" customHeight="false" outlineLevel="0" collapsed="false">
      <c r="A11" s="563"/>
      <c r="B11" s="563"/>
      <c r="C11" s="569" t="str">
        <f aca="false">IF(AND(C12=0,NOT(B12=0)),C15,"")</f>
        <v/>
      </c>
      <c r="D11" s="569" t="n">
        <f aca="false">IF(AND(D12=0,NOT(C12=0)),D15,"")</f>
        <v>36891</v>
      </c>
      <c r="E11" s="569" t="str">
        <f aca="false">IF(AND(E12=0,NOT(D12=0)),E15,"")</f>
        <v/>
      </c>
      <c r="F11" s="569" t="str">
        <f aca="false">IF(AND(F12=0,NOT(E12=0)),F15,"")</f>
        <v/>
      </c>
      <c r="G11" s="569" t="str">
        <f aca="false">IF(AND(G12=0,NOT(F12=0)),G15,"")</f>
        <v/>
      </c>
      <c r="H11" s="569" t="str">
        <f aca="false">IF(AND(H12=0,NOT(G12=0)),H15,"")</f>
        <v/>
      </c>
      <c r="I11" s="569" t="str">
        <f aca="false">IF(AND(I12=0,NOT(H12=0)),I15,"")</f>
        <v/>
      </c>
      <c r="J11" s="569" t="str">
        <f aca="false">IF(AND(J12=0,NOT(I12=0)),J15,"")</f>
        <v/>
      </c>
      <c r="K11" s="569" t="str">
        <f aca="false">IF(AND(K12=0,NOT(J12=0)),K15,"")</f>
        <v/>
      </c>
      <c r="L11" s="569" t="str">
        <f aca="false">IF(AND(L12=0,NOT(K12=0)),L15,"")</f>
        <v/>
      </c>
      <c r="M11" s="569" t="str">
        <f aca="false">IF(AND(M12=0,NOT(L12=0)),M15,"")</f>
        <v/>
      </c>
      <c r="N11" s="569" t="str">
        <f aca="false">IF(AND(N12=0,NOT(M12=0)),N15,"")</f>
        <v/>
      </c>
      <c r="O11" s="569" t="str">
        <f aca="false">IF(AND(O12=0,NOT(N12=0)),O15,"")</f>
        <v/>
      </c>
      <c r="P11" s="569" t="str">
        <f aca="false">IF(AND(P12=0,NOT(O12=0)),P15,"")</f>
        <v/>
      </c>
      <c r="Q11" s="569" t="str">
        <f aca="false">IF(AND(Q12=0,NOT(P12=0)),Q15,"")</f>
        <v/>
      </c>
      <c r="R11" s="569" t="str">
        <f aca="false">IF(AND(R12=0,NOT(Q12=0)),R15,"")</f>
        <v/>
      </c>
      <c r="S11" s="569" t="str">
        <f aca="false">IF(AND(S12=0,NOT(R12=0)),S15,"")</f>
        <v/>
      </c>
      <c r="T11" s="569" t="str">
        <f aca="false">IF(AND(T12=0,NOT(S12=0)),T15,"")</f>
        <v/>
      </c>
      <c r="U11" s="569" t="str">
        <f aca="false">IF(AND(U12=0,NOT(T12=0)),U15,"")</f>
        <v/>
      </c>
      <c r="V11" s="569" t="str">
        <f aca="false">IF(AND(V12=0,NOT(U12=0)),V15,"")</f>
        <v/>
      </c>
      <c r="W11" s="569" t="str">
        <f aca="false">IF(AND(W12=0,NOT(V12=0)),W15,"")</f>
        <v/>
      </c>
      <c r="X11" s="569" t="str">
        <f aca="false">IF(AND(X12=0,NOT(W12=0)),X15,"")</f>
        <v/>
      </c>
      <c r="Y11" s="569"/>
      <c r="Z11" s="569"/>
      <c r="AA11" s="569"/>
      <c r="AB11" s="569"/>
      <c r="AC11" s="569"/>
      <c r="AD11" s="569"/>
      <c r="AE11" s="569"/>
      <c r="AF11" s="569"/>
      <c r="AG11" s="569"/>
      <c r="AH11" s="569"/>
      <c r="AI11" s="569"/>
      <c r="AJ11" s="569"/>
      <c r="AK11" s="569"/>
      <c r="AL11" s="569"/>
      <c r="AM11" s="569"/>
      <c r="AN11" s="569"/>
      <c r="AO11" s="569"/>
      <c r="AP11" s="569"/>
      <c r="AQ11" s="487"/>
      <c r="AR11" s="487"/>
      <c r="AS11" s="487"/>
      <c r="AT11" s="487"/>
      <c r="AU11" s="487"/>
      <c r="AV11" s="487"/>
      <c r="AW11" s="487"/>
      <c r="AX11" s="487"/>
      <c r="AY11" s="487"/>
      <c r="AZ11" s="487"/>
      <c r="BA11" s="487"/>
      <c r="BB11" s="487"/>
      <c r="BC11" s="487"/>
      <c r="BD11" s="487"/>
      <c r="BE11" s="487"/>
      <c r="BF11" s="487"/>
      <c r="BG11" s="487"/>
      <c r="BH11" s="487"/>
      <c r="BI11" s="487"/>
      <c r="BJ11" s="487"/>
      <c r="BK11" s="487"/>
      <c r="BL11" s="563"/>
      <c r="BM11" s="563"/>
      <c r="BN11" s="563"/>
      <c r="BO11" s="563"/>
      <c r="BP11" s="563"/>
      <c r="BQ11" s="563"/>
      <c r="BR11" s="563"/>
      <c r="BS11" s="563"/>
      <c r="BT11" s="563"/>
      <c r="BU11" s="563"/>
      <c r="BV11" s="563"/>
      <c r="BW11" s="563"/>
      <c r="BX11" s="563"/>
      <c r="BY11" s="563"/>
      <c r="BZ11" s="563"/>
      <c r="CA11" s="563"/>
      <c r="CB11" s="563"/>
      <c r="CC11" s="563"/>
      <c r="CD11" s="563"/>
      <c r="CE11" s="563"/>
      <c r="CF11" s="563"/>
      <c r="CG11" s="563"/>
      <c r="CH11" s="563"/>
      <c r="CI11" s="563"/>
      <c r="CJ11" s="563"/>
      <c r="CK11" s="563"/>
      <c r="CL11" s="563"/>
      <c r="CM11" s="563"/>
      <c r="CN11" s="563"/>
      <c r="CO11" s="563"/>
      <c r="CP11" s="563"/>
      <c r="CQ11" s="563"/>
      <c r="CR11" s="563"/>
      <c r="CS11" s="563"/>
      <c r="CT11" s="563"/>
      <c r="CU11" s="563"/>
      <c r="CV11" s="563"/>
      <c r="CW11" s="563"/>
      <c r="CX11" s="563"/>
      <c r="CY11" s="563"/>
      <c r="CZ11" s="563"/>
      <c r="DA11" s="563"/>
      <c r="DB11" s="563"/>
      <c r="DC11" s="563"/>
      <c r="DD11" s="563"/>
      <c r="DE11" s="563"/>
      <c r="DF11" s="563"/>
      <c r="DG11" s="563"/>
      <c r="DH11" s="563"/>
      <c r="DI11" s="563"/>
      <c r="DJ11" s="563"/>
      <c r="DK11" s="563"/>
      <c r="DL11" s="563"/>
      <c r="DM11" s="563"/>
      <c r="DN11" s="563"/>
      <c r="DO11" s="563"/>
      <c r="DP11" s="563"/>
      <c r="DQ11" s="563"/>
      <c r="DR11" s="563"/>
      <c r="DS11" s="563"/>
      <c r="DT11" s="563"/>
      <c r="DU11" s="563"/>
      <c r="DV11" s="563"/>
      <c r="DW11" s="563"/>
      <c r="DX11" s="563"/>
      <c r="DY11" s="563"/>
      <c r="DZ11" s="563"/>
      <c r="EA11" s="563"/>
      <c r="EB11" s="563"/>
      <c r="EC11" s="563"/>
      <c r="ED11" s="563"/>
      <c r="EE11" s="563"/>
      <c r="EF11" s="563"/>
      <c r="EG11" s="563"/>
      <c r="EH11" s="563"/>
      <c r="EI11" s="563"/>
      <c r="EJ11" s="563"/>
      <c r="EK11" s="563"/>
      <c r="EL11" s="563"/>
      <c r="EM11" s="563"/>
      <c r="EN11" s="563"/>
      <c r="EO11" s="563"/>
      <c r="EP11" s="563"/>
      <c r="EQ11" s="563"/>
      <c r="ER11" s="563"/>
      <c r="ES11" s="563"/>
      <c r="ET11" s="563"/>
      <c r="EU11" s="563"/>
      <c r="EV11" s="563"/>
      <c r="EW11" s="563"/>
      <c r="EX11" s="563"/>
      <c r="EY11" s="563"/>
      <c r="EZ11" s="563"/>
      <c r="FA11" s="563"/>
      <c r="FB11" s="563"/>
      <c r="FC11" s="563"/>
      <c r="FD11" s="563"/>
      <c r="FE11" s="563"/>
      <c r="FF11" s="563"/>
      <c r="FG11" s="563"/>
      <c r="FH11" s="563"/>
      <c r="FI11" s="563"/>
      <c r="FJ11" s="563"/>
      <c r="FK11" s="563"/>
      <c r="FL11" s="563"/>
      <c r="FM11" s="563"/>
      <c r="FN11" s="563"/>
      <c r="FO11" s="563"/>
      <c r="FP11" s="563"/>
      <c r="FQ11" s="563"/>
      <c r="FR11" s="563"/>
      <c r="FS11" s="563"/>
      <c r="FT11" s="563"/>
      <c r="FU11" s="563"/>
      <c r="FV11" s="563"/>
      <c r="FW11" s="563"/>
      <c r="FX11" s="563"/>
      <c r="FY11" s="563"/>
      <c r="FZ11" s="563"/>
      <c r="GA11" s="563"/>
      <c r="GB11" s="563"/>
      <c r="GC11" s="563"/>
      <c r="GD11" s="563"/>
      <c r="GE11" s="563"/>
      <c r="GF11" s="563"/>
      <c r="GG11" s="563"/>
      <c r="GH11" s="563"/>
      <c r="GI11" s="563"/>
      <c r="GJ11" s="563"/>
      <c r="GK11" s="563"/>
      <c r="GL11" s="563"/>
      <c r="GM11" s="563"/>
      <c r="GN11" s="563"/>
      <c r="GO11" s="563"/>
      <c r="GP11" s="563"/>
      <c r="GQ11" s="563"/>
      <c r="GR11" s="563"/>
      <c r="GS11" s="563"/>
      <c r="GT11" s="563"/>
      <c r="GU11" s="563"/>
      <c r="GV11" s="563"/>
      <c r="GW11" s="563"/>
      <c r="GX11" s="563"/>
      <c r="GY11" s="563"/>
      <c r="GZ11" s="563"/>
      <c r="HA11" s="563"/>
      <c r="HB11" s="563"/>
      <c r="HC11" s="563"/>
      <c r="HD11" s="563"/>
      <c r="HE11" s="563"/>
      <c r="HF11" s="563"/>
      <c r="HG11" s="563"/>
      <c r="HH11" s="563"/>
      <c r="HI11" s="563"/>
      <c r="HJ11" s="563"/>
      <c r="HK11" s="563"/>
      <c r="HL11" s="563"/>
      <c r="HM11" s="563"/>
      <c r="HN11" s="563"/>
      <c r="HO11" s="563"/>
      <c r="HP11" s="563"/>
      <c r="HQ11" s="563"/>
      <c r="HR11" s="563"/>
      <c r="HS11" s="563"/>
      <c r="HT11" s="563"/>
      <c r="HU11" s="563"/>
      <c r="HV11" s="563"/>
      <c r="HW11" s="563"/>
      <c r="HX11" s="563"/>
      <c r="HY11" s="563"/>
      <c r="HZ11" s="563"/>
      <c r="IA11" s="563"/>
      <c r="IB11" s="563"/>
      <c r="IC11" s="563"/>
      <c r="ID11" s="563"/>
      <c r="IE11" s="563"/>
      <c r="IF11" s="563"/>
      <c r="IG11" s="563"/>
      <c r="IH11" s="563"/>
      <c r="II11" s="563"/>
      <c r="IJ11" s="563"/>
      <c r="IK11" s="563"/>
      <c r="IL11" s="563"/>
      <c r="IM11" s="563"/>
      <c r="IN11" s="563"/>
      <c r="IO11" s="563"/>
      <c r="IP11" s="563"/>
      <c r="IQ11" s="563"/>
      <c r="IR11" s="563"/>
      <c r="IS11" s="563"/>
      <c r="IT11" s="563"/>
      <c r="IU11" s="563"/>
      <c r="IV11" s="563"/>
      <c r="IW11" s="563"/>
    </row>
    <row r="12" customFormat="false" ht="11.25" hidden="true" customHeight="false" outlineLevel="0" collapsed="false">
      <c r="A12" s="563"/>
      <c r="B12" s="563" t="s">
        <v>519</v>
      </c>
      <c r="C12" s="510" t="n">
        <f aca="false">Assumptions!E48</f>
        <v>10</v>
      </c>
      <c r="D12" s="303" t="n">
        <f aca="false">MAX(0,C12-MONTH(C15))</f>
        <v>0</v>
      </c>
      <c r="E12" s="303" t="n">
        <f aca="false">MAX(0,D12-MONTH(D15))</f>
        <v>0</v>
      </c>
      <c r="F12" s="303" t="n">
        <f aca="false">MAX(0,E12-MONTH(E15))</f>
        <v>0</v>
      </c>
      <c r="G12" s="303" t="n">
        <f aca="false">MAX(0,F12-MONTH(F15))</f>
        <v>0</v>
      </c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487"/>
      <c r="AR12" s="487"/>
      <c r="AS12" s="487"/>
      <c r="AT12" s="487"/>
      <c r="AU12" s="487"/>
      <c r="AV12" s="487"/>
      <c r="AW12" s="487"/>
      <c r="AX12" s="487"/>
      <c r="AY12" s="487"/>
      <c r="AZ12" s="487"/>
      <c r="BA12" s="487"/>
      <c r="BB12" s="487"/>
      <c r="BC12" s="487"/>
      <c r="BD12" s="487"/>
      <c r="BE12" s="487"/>
      <c r="BF12" s="487"/>
      <c r="BG12" s="487"/>
      <c r="BH12" s="487"/>
      <c r="BI12" s="487"/>
      <c r="BJ12" s="487"/>
      <c r="BK12" s="487"/>
      <c r="BL12" s="563"/>
      <c r="BM12" s="563"/>
      <c r="BN12" s="563"/>
      <c r="BO12" s="563"/>
      <c r="BP12" s="563"/>
      <c r="BQ12" s="563"/>
      <c r="BR12" s="563"/>
      <c r="BS12" s="563"/>
      <c r="BT12" s="563"/>
      <c r="BU12" s="563"/>
      <c r="BV12" s="563"/>
      <c r="BW12" s="563"/>
      <c r="BX12" s="563"/>
      <c r="BY12" s="563"/>
      <c r="BZ12" s="563"/>
      <c r="CA12" s="563"/>
      <c r="CB12" s="563"/>
      <c r="CC12" s="563"/>
      <c r="CD12" s="563"/>
      <c r="CE12" s="563"/>
      <c r="CF12" s="563"/>
      <c r="CG12" s="563"/>
      <c r="CH12" s="563"/>
      <c r="CI12" s="563"/>
      <c r="CJ12" s="563"/>
      <c r="CK12" s="563"/>
      <c r="CL12" s="563"/>
      <c r="CM12" s="563"/>
      <c r="CN12" s="563"/>
      <c r="CO12" s="563"/>
      <c r="CP12" s="563"/>
      <c r="CQ12" s="563"/>
      <c r="CR12" s="563"/>
      <c r="CS12" s="563"/>
      <c r="CT12" s="563"/>
      <c r="CU12" s="563"/>
      <c r="CV12" s="563"/>
      <c r="CW12" s="563"/>
      <c r="CX12" s="563"/>
      <c r="CY12" s="563"/>
      <c r="CZ12" s="563"/>
      <c r="DA12" s="563"/>
      <c r="DB12" s="563"/>
      <c r="DC12" s="563"/>
      <c r="DD12" s="563"/>
      <c r="DE12" s="563"/>
      <c r="DF12" s="563"/>
      <c r="DG12" s="563"/>
      <c r="DH12" s="563"/>
      <c r="DI12" s="563"/>
      <c r="DJ12" s="563"/>
      <c r="DK12" s="563"/>
      <c r="DL12" s="563"/>
      <c r="DM12" s="563"/>
      <c r="DN12" s="563"/>
      <c r="DO12" s="563"/>
      <c r="DP12" s="563"/>
      <c r="DQ12" s="563"/>
      <c r="DR12" s="563"/>
      <c r="DS12" s="563"/>
      <c r="DT12" s="563"/>
      <c r="DU12" s="563"/>
      <c r="DV12" s="563"/>
      <c r="DW12" s="563"/>
      <c r="DX12" s="563"/>
      <c r="DY12" s="563"/>
      <c r="DZ12" s="563"/>
      <c r="EA12" s="563"/>
      <c r="EB12" s="563"/>
      <c r="EC12" s="563"/>
      <c r="ED12" s="563"/>
      <c r="EE12" s="563"/>
      <c r="EF12" s="563"/>
      <c r="EG12" s="563"/>
      <c r="EH12" s="563"/>
      <c r="EI12" s="563"/>
      <c r="EJ12" s="563"/>
      <c r="EK12" s="563"/>
      <c r="EL12" s="563"/>
      <c r="EM12" s="563"/>
      <c r="EN12" s="563"/>
      <c r="EO12" s="563"/>
      <c r="EP12" s="563"/>
      <c r="EQ12" s="563"/>
      <c r="ER12" s="563"/>
      <c r="ES12" s="563"/>
      <c r="ET12" s="563"/>
      <c r="EU12" s="563"/>
      <c r="EV12" s="563"/>
      <c r="EW12" s="563"/>
      <c r="EX12" s="563"/>
      <c r="EY12" s="563"/>
      <c r="EZ12" s="563"/>
      <c r="FA12" s="563"/>
      <c r="FB12" s="563"/>
      <c r="FC12" s="563"/>
      <c r="FD12" s="563"/>
      <c r="FE12" s="563"/>
      <c r="FF12" s="563"/>
      <c r="FG12" s="563"/>
      <c r="FH12" s="563"/>
      <c r="FI12" s="563"/>
      <c r="FJ12" s="563"/>
      <c r="FK12" s="563"/>
      <c r="FL12" s="563"/>
      <c r="FM12" s="563"/>
      <c r="FN12" s="563"/>
      <c r="FO12" s="563"/>
      <c r="FP12" s="563"/>
      <c r="FQ12" s="563"/>
      <c r="FR12" s="563"/>
      <c r="FS12" s="563"/>
      <c r="FT12" s="563"/>
      <c r="FU12" s="563"/>
      <c r="FV12" s="563"/>
      <c r="FW12" s="563"/>
      <c r="FX12" s="563"/>
      <c r="FY12" s="563"/>
      <c r="FZ12" s="563"/>
      <c r="GA12" s="563"/>
      <c r="GB12" s="563"/>
      <c r="GC12" s="563"/>
      <c r="GD12" s="563"/>
      <c r="GE12" s="563"/>
      <c r="GF12" s="563"/>
      <c r="GG12" s="563"/>
      <c r="GH12" s="563"/>
      <c r="GI12" s="563"/>
      <c r="GJ12" s="563"/>
      <c r="GK12" s="563"/>
      <c r="GL12" s="563"/>
      <c r="GM12" s="563"/>
      <c r="GN12" s="563"/>
      <c r="GO12" s="563"/>
      <c r="GP12" s="563"/>
      <c r="GQ12" s="563"/>
      <c r="GR12" s="563"/>
      <c r="GS12" s="563"/>
      <c r="GT12" s="563"/>
      <c r="GU12" s="563"/>
      <c r="GV12" s="563"/>
      <c r="GW12" s="563"/>
      <c r="GX12" s="563"/>
      <c r="GY12" s="563"/>
      <c r="GZ12" s="563"/>
      <c r="HA12" s="563"/>
      <c r="HB12" s="563"/>
      <c r="HC12" s="563"/>
      <c r="HD12" s="563"/>
      <c r="HE12" s="563"/>
      <c r="HF12" s="563"/>
      <c r="HG12" s="563"/>
      <c r="HH12" s="563"/>
      <c r="HI12" s="563"/>
      <c r="HJ12" s="563"/>
      <c r="HK12" s="563"/>
      <c r="HL12" s="563"/>
      <c r="HM12" s="563"/>
      <c r="HN12" s="563"/>
      <c r="HO12" s="563"/>
      <c r="HP12" s="563"/>
      <c r="HQ12" s="563"/>
      <c r="HR12" s="563"/>
      <c r="HS12" s="563"/>
      <c r="HT12" s="563"/>
      <c r="HU12" s="563"/>
      <c r="HV12" s="563"/>
      <c r="HW12" s="563"/>
      <c r="HX12" s="563"/>
      <c r="HY12" s="563"/>
      <c r="HZ12" s="563"/>
      <c r="IA12" s="563"/>
      <c r="IB12" s="563"/>
      <c r="IC12" s="563"/>
      <c r="ID12" s="563"/>
      <c r="IE12" s="563"/>
      <c r="IF12" s="563"/>
      <c r="IG12" s="563"/>
      <c r="IH12" s="563"/>
      <c r="II12" s="563"/>
      <c r="IJ12" s="563"/>
      <c r="IK12" s="563"/>
      <c r="IL12" s="563"/>
      <c r="IM12" s="563"/>
      <c r="IN12" s="563"/>
      <c r="IO12" s="563"/>
      <c r="IP12" s="563"/>
      <c r="IQ12" s="563"/>
      <c r="IR12" s="563"/>
      <c r="IS12" s="563"/>
      <c r="IT12" s="563"/>
      <c r="IU12" s="563"/>
      <c r="IV12" s="563"/>
      <c r="IW12" s="563"/>
    </row>
    <row r="13" customFormat="false" ht="11.25" hidden="true" customHeight="false" outlineLevel="0" collapsed="false">
      <c r="A13" s="563"/>
      <c r="B13" s="153" t="s">
        <v>520</v>
      </c>
      <c r="C13" s="569" t="n">
        <f aca="false">Assumptions!E47</f>
        <v>36586</v>
      </c>
      <c r="D13" s="570" t="n">
        <f aca="false">C15+1</f>
        <v>36831</v>
      </c>
      <c r="E13" s="570" t="n">
        <f aca="false">D15+1</f>
        <v>36892</v>
      </c>
      <c r="F13" s="570" t="n">
        <f aca="false">E15+1</f>
        <v>37257</v>
      </c>
      <c r="G13" s="570" t="n">
        <f aca="false">F15+1</f>
        <v>37622</v>
      </c>
      <c r="H13" s="570" t="n">
        <f aca="false">G15+1</f>
        <v>37987</v>
      </c>
      <c r="I13" s="570" t="n">
        <f aca="false">H15+1</f>
        <v>38353</v>
      </c>
      <c r="J13" s="570" t="n">
        <f aca="false">I15+1</f>
        <v>38718</v>
      </c>
      <c r="K13" s="570" t="n">
        <f aca="false">J15+1</f>
        <v>39083</v>
      </c>
      <c r="L13" s="570" t="n">
        <f aca="false">K15+1</f>
        <v>39448</v>
      </c>
      <c r="M13" s="570" t="n">
        <f aca="false">L15+1</f>
        <v>39814</v>
      </c>
      <c r="N13" s="570" t="n">
        <f aca="false">M15+1</f>
        <v>40179</v>
      </c>
      <c r="O13" s="570" t="n">
        <f aca="false">N15+1</f>
        <v>40544</v>
      </c>
      <c r="P13" s="570" t="n">
        <f aca="false">O15+1</f>
        <v>40909</v>
      </c>
      <c r="Q13" s="570" t="n">
        <f aca="false">P15+1</f>
        <v>41275</v>
      </c>
      <c r="R13" s="570" t="n">
        <f aca="false">Q15+1</f>
        <v>41640</v>
      </c>
      <c r="S13" s="570" t="n">
        <f aca="false">R15+1</f>
        <v>42005</v>
      </c>
      <c r="T13" s="570" t="n">
        <f aca="false">S15+1</f>
        <v>42370</v>
      </c>
      <c r="U13" s="570" t="n">
        <f aca="false">T15+1</f>
        <v>42736</v>
      </c>
      <c r="V13" s="570" t="n">
        <f aca="false">U15+1</f>
        <v>43101</v>
      </c>
      <c r="W13" s="570" t="n">
        <f aca="false">V15+1</f>
        <v>43466</v>
      </c>
      <c r="X13" s="570" t="n">
        <f aca="false">W15+1</f>
        <v>43831</v>
      </c>
      <c r="Y13" s="570"/>
      <c r="Z13" s="570"/>
      <c r="AA13" s="570"/>
      <c r="AB13" s="570"/>
      <c r="AC13" s="570"/>
      <c r="AD13" s="570"/>
      <c r="AE13" s="570"/>
      <c r="AF13" s="570"/>
      <c r="AG13" s="570"/>
      <c r="AH13" s="570"/>
      <c r="AI13" s="570"/>
      <c r="AJ13" s="570"/>
      <c r="AK13" s="570"/>
      <c r="AL13" s="570"/>
      <c r="AM13" s="570"/>
      <c r="AN13" s="570"/>
      <c r="AO13" s="570"/>
      <c r="AP13" s="570"/>
      <c r="AQ13" s="487"/>
      <c r="AR13" s="487"/>
      <c r="AS13" s="487"/>
      <c r="AT13" s="487"/>
      <c r="AU13" s="487"/>
      <c r="AV13" s="487"/>
      <c r="AW13" s="487"/>
      <c r="AX13" s="487"/>
      <c r="AY13" s="487"/>
      <c r="AZ13" s="487"/>
      <c r="BA13" s="487"/>
      <c r="BB13" s="487"/>
      <c r="BC13" s="487"/>
      <c r="BD13" s="487"/>
      <c r="BE13" s="487"/>
      <c r="BF13" s="487"/>
      <c r="BG13" s="487"/>
      <c r="BH13" s="487"/>
      <c r="BI13" s="487"/>
      <c r="BJ13" s="487"/>
      <c r="BK13" s="487"/>
      <c r="BL13" s="563"/>
      <c r="BM13" s="563"/>
      <c r="BN13" s="563"/>
      <c r="BO13" s="563"/>
      <c r="BP13" s="563"/>
      <c r="BQ13" s="563"/>
      <c r="BR13" s="563"/>
      <c r="BS13" s="563"/>
      <c r="BT13" s="563"/>
      <c r="BU13" s="563"/>
      <c r="BV13" s="563"/>
      <c r="BW13" s="563"/>
      <c r="BX13" s="563"/>
      <c r="BY13" s="563"/>
      <c r="BZ13" s="563"/>
      <c r="CA13" s="563"/>
      <c r="CB13" s="563"/>
      <c r="CC13" s="563"/>
      <c r="CD13" s="563"/>
      <c r="CE13" s="563"/>
      <c r="CF13" s="563"/>
      <c r="CG13" s="563"/>
      <c r="CH13" s="563"/>
      <c r="CI13" s="563"/>
      <c r="CJ13" s="563"/>
      <c r="CK13" s="563"/>
      <c r="CL13" s="563"/>
      <c r="CM13" s="563"/>
      <c r="CN13" s="563"/>
      <c r="CO13" s="563"/>
      <c r="CP13" s="563"/>
      <c r="CQ13" s="563"/>
      <c r="CR13" s="563"/>
      <c r="CS13" s="563"/>
      <c r="CT13" s="563"/>
      <c r="CU13" s="563"/>
      <c r="CV13" s="563"/>
      <c r="CW13" s="563"/>
      <c r="CX13" s="563"/>
      <c r="CY13" s="563"/>
      <c r="CZ13" s="563"/>
      <c r="DA13" s="563"/>
      <c r="DB13" s="563"/>
      <c r="DC13" s="563"/>
      <c r="DD13" s="563"/>
      <c r="DE13" s="563"/>
      <c r="DF13" s="563"/>
      <c r="DG13" s="563"/>
      <c r="DH13" s="563"/>
      <c r="DI13" s="563"/>
      <c r="DJ13" s="563"/>
      <c r="DK13" s="563"/>
      <c r="DL13" s="563"/>
      <c r="DM13" s="563"/>
      <c r="DN13" s="563"/>
      <c r="DO13" s="563"/>
      <c r="DP13" s="563"/>
      <c r="DQ13" s="563"/>
      <c r="DR13" s="563"/>
      <c r="DS13" s="563"/>
      <c r="DT13" s="563"/>
      <c r="DU13" s="563"/>
      <c r="DV13" s="563"/>
      <c r="DW13" s="563"/>
      <c r="DX13" s="563"/>
      <c r="DY13" s="563"/>
      <c r="DZ13" s="563"/>
      <c r="EA13" s="563"/>
      <c r="EB13" s="563"/>
      <c r="EC13" s="563"/>
      <c r="ED13" s="563"/>
      <c r="EE13" s="563"/>
      <c r="EF13" s="563"/>
      <c r="EG13" s="563"/>
      <c r="EH13" s="563"/>
      <c r="EI13" s="563"/>
      <c r="EJ13" s="563"/>
      <c r="EK13" s="563"/>
      <c r="EL13" s="563"/>
      <c r="EM13" s="563"/>
      <c r="EN13" s="563"/>
      <c r="EO13" s="563"/>
      <c r="EP13" s="563"/>
      <c r="EQ13" s="563"/>
      <c r="ER13" s="563"/>
      <c r="ES13" s="563"/>
      <c r="ET13" s="563"/>
      <c r="EU13" s="563"/>
      <c r="EV13" s="563"/>
      <c r="EW13" s="563"/>
      <c r="EX13" s="563"/>
      <c r="EY13" s="563"/>
      <c r="EZ13" s="563"/>
      <c r="FA13" s="563"/>
      <c r="FB13" s="563"/>
      <c r="FC13" s="563"/>
      <c r="FD13" s="563"/>
      <c r="FE13" s="563"/>
      <c r="FF13" s="563"/>
      <c r="FG13" s="563"/>
      <c r="FH13" s="563"/>
      <c r="FI13" s="563"/>
      <c r="FJ13" s="563"/>
      <c r="FK13" s="563"/>
      <c r="FL13" s="563"/>
      <c r="FM13" s="563"/>
      <c r="FN13" s="563"/>
      <c r="FO13" s="563"/>
      <c r="FP13" s="563"/>
      <c r="FQ13" s="563"/>
      <c r="FR13" s="563"/>
      <c r="FS13" s="563"/>
      <c r="FT13" s="563"/>
      <c r="FU13" s="563"/>
      <c r="FV13" s="563"/>
      <c r="FW13" s="563"/>
      <c r="FX13" s="563"/>
      <c r="FY13" s="563"/>
      <c r="FZ13" s="563"/>
      <c r="GA13" s="563"/>
      <c r="GB13" s="563"/>
      <c r="GC13" s="563"/>
      <c r="GD13" s="563"/>
      <c r="GE13" s="563"/>
      <c r="GF13" s="563"/>
      <c r="GG13" s="563"/>
      <c r="GH13" s="563"/>
      <c r="GI13" s="563"/>
      <c r="GJ13" s="563"/>
      <c r="GK13" s="563"/>
      <c r="GL13" s="563"/>
      <c r="GM13" s="563"/>
      <c r="GN13" s="563"/>
      <c r="GO13" s="563"/>
      <c r="GP13" s="563"/>
      <c r="GQ13" s="563"/>
      <c r="GR13" s="563"/>
      <c r="GS13" s="563"/>
      <c r="GT13" s="563"/>
      <c r="GU13" s="563"/>
      <c r="GV13" s="563"/>
      <c r="GW13" s="563"/>
      <c r="GX13" s="563"/>
      <c r="GY13" s="563"/>
      <c r="GZ13" s="563"/>
      <c r="HA13" s="563"/>
      <c r="HB13" s="563"/>
      <c r="HC13" s="563"/>
      <c r="HD13" s="563"/>
      <c r="HE13" s="563"/>
      <c r="HF13" s="563"/>
      <c r="HG13" s="563"/>
      <c r="HH13" s="563"/>
      <c r="HI13" s="563"/>
      <c r="HJ13" s="563"/>
      <c r="HK13" s="563"/>
      <c r="HL13" s="563"/>
      <c r="HM13" s="563"/>
      <c r="HN13" s="563"/>
      <c r="HO13" s="563"/>
      <c r="HP13" s="563"/>
      <c r="HQ13" s="563"/>
      <c r="HR13" s="563"/>
      <c r="HS13" s="563"/>
      <c r="HT13" s="563"/>
      <c r="HU13" s="563"/>
      <c r="HV13" s="563"/>
      <c r="HW13" s="563"/>
      <c r="HX13" s="563"/>
      <c r="HY13" s="563"/>
      <c r="HZ13" s="563"/>
      <c r="IA13" s="563"/>
      <c r="IB13" s="563"/>
      <c r="IC13" s="563"/>
      <c r="ID13" s="563"/>
      <c r="IE13" s="563"/>
      <c r="IF13" s="563"/>
      <c r="IG13" s="563"/>
      <c r="IH13" s="563"/>
      <c r="II13" s="563"/>
      <c r="IJ13" s="563"/>
      <c r="IK13" s="563"/>
      <c r="IL13" s="563"/>
      <c r="IM13" s="563"/>
      <c r="IN13" s="563"/>
      <c r="IO13" s="563"/>
      <c r="IP13" s="563"/>
      <c r="IQ13" s="563"/>
      <c r="IR13" s="563"/>
      <c r="IS13" s="563"/>
      <c r="IT13" s="563"/>
      <c r="IU13" s="563"/>
      <c r="IV13" s="563"/>
      <c r="IW13" s="563"/>
    </row>
    <row r="14" customFormat="false" ht="11.25" hidden="true" customHeight="false" outlineLevel="0" collapsed="false">
      <c r="A14" s="563"/>
      <c r="B14" s="153"/>
      <c r="C14" s="569"/>
      <c r="D14" s="570"/>
      <c r="E14" s="570"/>
      <c r="F14" s="570"/>
      <c r="G14" s="570"/>
      <c r="H14" s="570"/>
      <c r="I14" s="570"/>
      <c r="J14" s="570"/>
      <c r="K14" s="570"/>
      <c r="L14" s="570"/>
      <c r="M14" s="570"/>
      <c r="N14" s="570"/>
      <c r="O14" s="570"/>
      <c r="P14" s="570"/>
      <c r="Q14" s="570"/>
      <c r="R14" s="570"/>
      <c r="S14" s="570"/>
      <c r="T14" s="570"/>
      <c r="U14" s="570"/>
      <c r="V14" s="570"/>
      <c r="W14" s="570"/>
      <c r="X14" s="570"/>
      <c r="Y14" s="570"/>
      <c r="Z14" s="570"/>
      <c r="AA14" s="570"/>
      <c r="AB14" s="570"/>
      <c r="AC14" s="570"/>
      <c r="AD14" s="570"/>
      <c r="AE14" s="570"/>
      <c r="AF14" s="570"/>
      <c r="AG14" s="570"/>
      <c r="AH14" s="570"/>
      <c r="AI14" s="570"/>
      <c r="AJ14" s="570"/>
      <c r="AK14" s="570"/>
      <c r="AL14" s="570"/>
      <c r="AM14" s="570"/>
      <c r="AN14" s="570"/>
      <c r="AO14" s="570"/>
      <c r="AP14" s="570"/>
      <c r="AQ14" s="487"/>
      <c r="AR14" s="487"/>
      <c r="AS14" s="487"/>
      <c r="AT14" s="487"/>
      <c r="AU14" s="487"/>
      <c r="AV14" s="487"/>
      <c r="AW14" s="487"/>
      <c r="AX14" s="487"/>
      <c r="AY14" s="487"/>
      <c r="AZ14" s="487"/>
      <c r="BA14" s="487"/>
      <c r="BB14" s="487"/>
      <c r="BC14" s="487"/>
      <c r="BD14" s="487"/>
      <c r="BE14" s="487"/>
      <c r="BF14" s="487"/>
      <c r="BG14" s="487"/>
      <c r="BH14" s="487"/>
      <c r="BI14" s="487"/>
      <c r="BJ14" s="487"/>
      <c r="BK14" s="487"/>
      <c r="BL14" s="563"/>
      <c r="BM14" s="563"/>
      <c r="BN14" s="563"/>
      <c r="BO14" s="563"/>
      <c r="BP14" s="563"/>
      <c r="BQ14" s="563"/>
      <c r="BR14" s="563"/>
      <c r="BS14" s="563"/>
      <c r="BT14" s="563"/>
      <c r="BU14" s="563"/>
      <c r="BV14" s="563"/>
      <c r="BW14" s="563"/>
      <c r="BX14" s="563"/>
      <c r="BY14" s="563"/>
      <c r="BZ14" s="563"/>
      <c r="CA14" s="563"/>
      <c r="CB14" s="563"/>
      <c r="CC14" s="563"/>
      <c r="CD14" s="563"/>
      <c r="CE14" s="563"/>
      <c r="CF14" s="563"/>
      <c r="CG14" s="563"/>
      <c r="CH14" s="563"/>
      <c r="CI14" s="563"/>
      <c r="CJ14" s="563"/>
      <c r="CK14" s="563"/>
      <c r="CL14" s="563"/>
      <c r="CM14" s="563"/>
      <c r="CN14" s="563"/>
      <c r="CO14" s="563"/>
      <c r="CP14" s="563"/>
      <c r="CQ14" s="563"/>
      <c r="CR14" s="563"/>
      <c r="CS14" s="563"/>
      <c r="CT14" s="563"/>
      <c r="CU14" s="563"/>
      <c r="CV14" s="563"/>
      <c r="CW14" s="563"/>
      <c r="CX14" s="563"/>
      <c r="CY14" s="563"/>
      <c r="CZ14" s="563"/>
      <c r="DA14" s="563"/>
      <c r="DB14" s="563"/>
      <c r="DC14" s="563"/>
      <c r="DD14" s="563"/>
      <c r="DE14" s="563"/>
      <c r="DF14" s="563"/>
      <c r="DG14" s="563"/>
      <c r="DH14" s="563"/>
      <c r="DI14" s="563"/>
      <c r="DJ14" s="563"/>
      <c r="DK14" s="563"/>
      <c r="DL14" s="563"/>
      <c r="DM14" s="563"/>
      <c r="DN14" s="563"/>
      <c r="DO14" s="563"/>
      <c r="DP14" s="563"/>
      <c r="DQ14" s="563"/>
      <c r="DR14" s="563"/>
      <c r="DS14" s="563"/>
      <c r="DT14" s="563"/>
      <c r="DU14" s="563"/>
      <c r="DV14" s="563"/>
      <c r="DW14" s="563"/>
      <c r="DX14" s="563"/>
      <c r="DY14" s="563"/>
      <c r="DZ14" s="563"/>
      <c r="EA14" s="563"/>
      <c r="EB14" s="563"/>
      <c r="EC14" s="563"/>
      <c r="ED14" s="563"/>
      <c r="EE14" s="563"/>
      <c r="EF14" s="563"/>
      <c r="EG14" s="563"/>
      <c r="EH14" s="563"/>
      <c r="EI14" s="563"/>
      <c r="EJ14" s="563"/>
      <c r="EK14" s="563"/>
      <c r="EL14" s="563"/>
      <c r="EM14" s="563"/>
      <c r="EN14" s="563"/>
      <c r="EO14" s="563"/>
      <c r="EP14" s="563"/>
      <c r="EQ14" s="563"/>
      <c r="ER14" s="563"/>
      <c r="ES14" s="563"/>
      <c r="ET14" s="563"/>
      <c r="EU14" s="563"/>
      <c r="EV14" s="563"/>
      <c r="EW14" s="563"/>
      <c r="EX14" s="563"/>
      <c r="EY14" s="563"/>
      <c r="EZ14" s="563"/>
      <c r="FA14" s="563"/>
      <c r="FB14" s="563"/>
      <c r="FC14" s="563"/>
      <c r="FD14" s="563"/>
      <c r="FE14" s="563"/>
      <c r="FF14" s="563"/>
      <c r="FG14" s="563"/>
      <c r="FH14" s="563"/>
      <c r="FI14" s="563"/>
      <c r="FJ14" s="563"/>
      <c r="FK14" s="563"/>
      <c r="FL14" s="563"/>
      <c r="FM14" s="563"/>
      <c r="FN14" s="563"/>
      <c r="FO14" s="563"/>
      <c r="FP14" s="563"/>
      <c r="FQ14" s="563"/>
      <c r="FR14" s="563"/>
      <c r="FS14" s="563"/>
      <c r="FT14" s="563"/>
      <c r="FU14" s="563"/>
      <c r="FV14" s="563"/>
      <c r="FW14" s="563"/>
      <c r="FX14" s="563"/>
      <c r="FY14" s="563"/>
      <c r="FZ14" s="563"/>
      <c r="GA14" s="563"/>
      <c r="GB14" s="563"/>
      <c r="GC14" s="563"/>
      <c r="GD14" s="563"/>
      <c r="GE14" s="563"/>
      <c r="GF14" s="563"/>
      <c r="GG14" s="563"/>
      <c r="GH14" s="563"/>
      <c r="GI14" s="563"/>
      <c r="GJ14" s="563"/>
      <c r="GK14" s="563"/>
      <c r="GL14" s="563"/>
      <c r="GM14" s="563"/>
      <c r="GN14" s="563"/>
      <c r="GO14" s="563"/>
      <c r="GP14" s="563"/>
      <c r="GQ14" s="563"/>
      <c r="GR14" s="563"/>
      <c r="GS14" s="563"/>
      <c r="GT14" s="563"/>
      <c r="GU14" s="563"/>
      <c r="GV14" s="563"/>
      <c r="GW14" s="563"/>
      <c r="GX14" s="563"/>
      <c r="GY14" s="563"/>
      <c r="GZ14" s="563"/>
      <c r="HA14" s="563"/>
      <c r="HB14" s="563"/>
      <c r="HC14" s="563"/>
      <c r="HD14" s="563"/>
      <c r="HE14" s="563"/>
      <c r="HF14" s="563"/>
      <c r="HG14" s="563"/>
      <c r="HH14" s="563"/>
      <c r="HI14" s="563"/>
      <c r="HJ14" s="563"/>
      <c r="HK14" s="563"/>
      <c r="HL14" s="563"/>
      <c r="HM14" s="563"/>
      <c r="HN14" s="563"/>
      <c r="HO14" s="563"/>
      <c r="HP14" s="563"/>
      <c r="HQ14" s="563"/>
      <c r="HR14" s="563"/>
      <c r="HS14" s="563"/>
      <c r="HT14" s="563"/>
      <c r="HU14" s="563"/>
      <c r="HV14" s="563"/>
      <c r="HW14" s="563"/>
      <c r="HX14" s="563"/>
      <c r="HY14" s="563"/>
      <c r="HZ14" s="563"/>
      <c r="IA14" s="563"/>
      <c r="IB14" s="563"/>
      <c r="IC14" s="563"/>
      <c r="ID14" s="563"/>
      <c r="IE14" s="563"/>
      <c r="IF14" s="563"/>
      <c r="IG14" s="563"/>
      <c r="IH14" s="563"/>
      <c r="II14" s="563"/>
      <c r="IJ14" s="563"/>
      <c r="IK14" s="563"/>
      <c r="IL14" s="563"/>
      <c r="IM14" s="563"/>
      <c r="IN14" s="563"/>
      <c r="IO14" s="563"/>
      <c r="IP14" s="563"/>
      <c r="IQ14" s="563"/>
      <c r="IR14" s="563"/>
      <c r="IS14" s="563"/>
      <c r="IT14" s="563"/>
      <c r="IU14" s="563"/>
      <c r="IV14" s="563"/>
      <c r="IW14" s="563"/>
    </row>
    <row r="15" customFormat="false" ht="11.25" hidden="true" customHeight="false" outlineLevel="0" collapsed="false">
      <c r="A15" s="563"/>
      <c r="B15" s="505" t="s">
        <v>521</v>
      </c>
      <c r="C15" s="569" t="n">
        <f aca="false">MIN(DATE(YEAR(C13),12,31),DATE(YEAR(C13),C12+1,1)-1)</f>
        <v>36830</v>
      </c>
      <c r="D15" s="121" t="n">
        <f aca="false">IF(OR(D12=0,C15&gt;=Assumptions!$E$49),DATE(YEAR(D13),12,31),MIN(DATE(YEAR(D13),12,31),DATE(YEAR(D13),D12+1,1)-1))</f>
        <v>36891</v>
      </c>
      <c r="E15" s="121" t="n">
        <f aca="false">IF(OR(E12=0,D15&gt;=Assumptions!$E$49),DATE(YEAR(E13),12,31),MIN(DATE(YEAR(E13),12,31),DATE(YEAR(E13),E12+1,1)-1))</f>
        <v>37256</v>
      </c>
      <c r="F15" s="121" t="n">
        <f aca="false">IF(OR(F12=0,E15&gt;=Assumptions!$E$49),DATE(YEAR(F13),12,31),MIN(DATE(YEAR(F13),12,31),DATE(YEAR(F13),F12+1,1)-1))</f>
        <v>37621</v>
      </c>
      <c r="G15" s="121" t="n">
        <f aca="false">IF(OR(G12=0,F15&gt;=Assumptions!$E$49),DATE(YEAR(G13),12,31),MIN(DATE(YEAR(G13),12,31),DATE(YEAR(G13),G12+1,1)-1))</f>
        <v>37986</v>
      </c>
      <c r="H15" s="121" t="n">
        <f aca="false">IF(OR(H12=0,G15&gt;=Assumptions!$E$49),DATE(YEAR(H13),12,31),MIN(DATE(YEAR(H13),12,31),DATE(YEAR(H13),H12+1,1)-1))</f>
        <v>38352</v>
      </c>
      <c r="I15" s="121" t="n">
        <f aca="false">IF(OR(I12=0,H15&gt;=Assumptions!$E$49),DATE(YEAR(I13),12,31),MIN(DATE(YEAR(I13),12,31),DATE(YEAR(I13),I12+1,1)-1))</f>
        <v>38717</v>
      </c>
      <c r="J15" s="121" t="n">
        <f aca="false">IF(OR(J12=0,I15&gt;=Assumptions!$E$49),DATE(YEAR(J13),12,31),MIN(DATE(YEAR(J13),12,31),DATE(YEAR(J13),J12+1,1)-1))</f>
        <v>39082</v>
      </c>
      <c r="K15" s="121" t="n">
        <f aca="false">IF(OR(K12=0,J15&gt;=Assumptions!$E$49),DATE(YEAR(K13),12,31),MIN(DATE(YEAR(K13),12,31),DATE(YEAR(K13),K12+1,1)-1))</f>
        <v>39447</v>
      </c>
      <c r="L15" s="121" t="n">
        <f aca="false">IF(OR(L12=0,K15&gt;=Assumptions!$E$49),DATE(YEAR(L13),12,31),MIN(DATE(YEAR(L13),12,31),DATE(YEAR(L13),L12+1,1)-1))</f>
        <v>39813</v>
      </c>
      <c r="M15" s="121" t="n">
        <f aca="false">IF(OR(M12=0,L15&gt;=Assumptions!$E$49),DATE(YEAR(M13),12,31),MIN(DATE(YEAR(M13),12,31),DATE(YEAR(M13),M12+1,1)-1))</f>
        <v>40178</v>
      </c>
      <c r="N15" s="121" t="n">
        <f aca="false">IF(OR(N12=0,M15&gt;=Assumptions!$E$49),DATE(YEAR(N13),12,31),MIN(DATE(YEAR(N13),12,31),DATE(YEAR(N13),N12+1,1)-1))</f>
        <v>40543</v>
      </c>
      <c r="O15" s="121" t="n">
        <f aca="false">IF(OR(O12=0,N15&gt;=Assumptions!$E$49),DATE(YEAR(O13),12,31),MIN(DATE(YEAR(O13),12,31),DATE(YEAR(O13),O12+1,1)-1))</f>
        <v>40908</v>
      </c>
      <c r="P15" s="121" t="n">
        <f aca="false">IF(OR(P12=0,O15&gt;=Assumptions!$E$49),DATE(YEAR(P13),12,31),MIN(DATE(YEAR(P13),12,31),DATE(YEAR(P13),P12+1,1)-1))</f>
        <v>41274</v>
      </c>
      <c r="Q15" s="121" t="n">
        <f aca="false">IF(OR(Q12=0,P15&gt;=Assumptions!$E$49),DATE(YEAR(Q13),12,31),MIN(DATE(YEAR(Q13),12,31),DATE(YEAR(Q13),Q12+1,1)-1))</f>
        <v>41639</v>
      </c>
      <c r="R15" s="121" t="n">
        <f aca="false">IF(OR(R12=0,Q15&gt;=Assumptions!$E$49),DATE(YEAR(R13),12,31),MIN(DATE(YEAR(R13),12,31),DATE(YEAR(R13),R12+1,1)-1))</f>
        <v>42004</v>
      </c>
      <c r="S15" s="121" t="n">
        <f aca="false">IF(OR(S12=0,R15&gt;=Assumptions!$E$49),DATE(YEAR(S13),12,31),MIN(DATE(YEAR(S13),12,31),DATE(YEAR(S13),S12+1,1)-1))</f>
        <v>42369</v>
      </c>
      <c r="T15" s="121" t="n">
        <f aca="false">IF(OR(T12=0,S15&gt;=Assumptions!$E$49),DATE(YEAR(T13),12,31),MIN(DATE(YEAR(T13),12,31),DATE(YEAR(T13),T12+1,1)-1))</f>
        <v>42735</v>
      </c>
      <c r="U15" s="121" t="n">
        <f aca="false">IF(OR(U12=0,T15&gt;=Assumptions!$E$49),DATE(YEAR(U13),12,31),MIN(DATE(YEAR(U13),12,31),DATE(YEAR(U13),U12+1,1)-1))</f>
        <v>43100</v>
      </c>
      <c r="V15" s="121" t="n">
        <f aca="false">IF(OR(V12=0,U15&gt;=Assumptions!$E$49),DATE(YEAR(V13),12,31),MIN(DATE(YEAR(V13),12,31),DATE(YEAR(V13),V12+1,1)-1))</f>
        <v>43465</v>
      </c>
      <c r="W15" s="121" t="n">
        <f aca="false">IF(OR(W12=0,V15&gt;=Assumptions!$E$49),DATE(YEAR(W13),12,31),MIN(DATE(YEAR(W13),12,31),DATE(YEAR(W13),W12+1,1)-1))</f>
        <v>43830</v>
      </c>
      <c r="X15" s="121" t="n">
        <f aca="false">IF(OR(X12=0,W15&gt;=Assumptions!$E$49),DATE(YEAR(X13),12,31),MIN(DATE(YEAR(X13),12,31),DATE(YEAR(X13),X12+1,1)-1))</f>
        <v>44196</v>
      </c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487"/>
      <c r="AR15" s="487"/>
      <c r="AS15" s="487"/>
      <c r="AT15" s="487"/>
      <c r="AU15" s="487"/>
      <c r="AV15" s="487"/>
      <c r="AW15" s="487"/>
      <c r="AX15" s="487"/>
      <c r="AY15" s="487"/>
      <c r="AZ15" s="487"/>
      <c r="BA15" s="487"/>
      <c r="BB15" s="487"/>
      <c r="BC15" s="487"/>
      <c r="BD15" s="487"/>
      <c r="BE15" s="487"/>
      <c r="BF15" s="487"/>
      <c r="BG15" s="487"/>
      <c r="BH15" s="487"/>
      <c r="BI15" s="487"/>
      <c r="BJ15" s="487"/>
      <c r="BK15" s="487"/>
      <c r="BL15" s="563"/>
      <c r="BM15" s="563"/>
      <c r="BN15" s="563"/>
      <c r="BO15" s="563"/>
      <c r="BP15" s="563"/>
      <c r="BQ15" s="563"/>
      <c r="BR15" s="563"/>
      <c r="BS15" s="563"/>
      <c r="BT15" s="563"/>
      <c r="BU15" s="563"/>
      <c r="BV15" s="563"/>
      <c r="BW15" s="563"/>
      <c r="BX15" s="563"/>
      <c r="BY15" s="563"/>
      <c r="BZ15" s="563"/>
      <c r="CA15" s="563"/>
      <c r="CB15" s="563"/>
      <c r="CC15" s="563"/>
      <c r="CD15" s="563"/>
      <c r="CE15" s="563"/>
      <c r="CF15" s="563"/>
      <c r="CG15" s="563"/>
      <c r="CH15" s="563"/>
      <c r="CI15" s="563"/>
      <c r="CJ15" s="563"/>
      <c r="CK15" s="563"/>
      <c r="CL15" s="563"/>
      <c r="CM15" s="563"/>
      <c r="CN15" s="563"/>
      <c r="CO15" s="563"/>
      <c r="CP15" s="563"/>
      <c r="CQ15" s="563"/>
      <c r="CR15" s="563"/>
      <c r="CS15" s="563"/>
      <c r="CT15" s="563"/>
      <c r="CU15" s="563"/>
      <c r="CV15" s="563"/>
      <c r="CW15" s="563"/>
      <c r="CX15" s="563"/>
      <c r="CY15" s="563"/>
      <c r="CZ15" s="563"/>
      <c r="DA15" s="563"/>
      <c r="DB15" s="563"/>
      <c r="DC15" s="563"/>
      <c r="DD15" s="563"/>
      <c r="DE15" s="563"/>
      <c r="DF15" s="563"/>
      <c r="DG15" s="563"/>
      <c r="DH15" s="563"/>
      <c r="DI15" s="563"/>
      <c r="DJ15" s="563"/>
      <c r="DK15" s="563"/>
      <c r="DL15" s="563"/>
      <c r="DM15" s="563"/>
      <c r="DN15" s="563"/>
      <c r="DO15" s="563"/>
      <c r="DP15" s="563"/>
      <c r="DQ15" s="563"/>
      <c r="DR15" s="563"/>
      <c r="DS15" s="563"/>
      <c r="DT15" s="563"/>
      <c r="DU15" s="563"/>
      <c r="DV15" s="563"/>
      <c r="DW15" s="563"/>
      <c r="DX15" s="563"/>
      <c r="DY15" s="563"/>
      <c r="DZ15" s="563"/>
      <c r="EA15" s="563"/>
      <c r="EB15" s="563"/>
      <c r="EC15" s="563"/>
      <c r="ED15" s="563"/>
      <c r="EE15" s="563"/>
      <c r="EF15" s="563"/>
      <c r="EG15" s="563"/>
      <c r="EH15" s="563"/>
      <c r="EI15" s="563"/>
      <c r="EJ15" s="563"/>
      <c r="EK15" s="563"/>
      <c r="EL15" s="563"/>
      <c r="EM15" s="563"/>
      <c r="EN15" s="563"/>
      <c r="EO15" s="563"/>
      <c r="EP15" s="563"/>
      <c r="EQ15" s="563"/>
      <c r="ER15" s="563"/>
      <c r="ES15" s="563"/>
      <c r="ET15" s="563"/>
      <c r="EU15" s="563"/>
      <c r="EV15" s="563"/>
      <c r="EW15" s="563"/>
      <c r="EX15" s="563"/>
      <c r="EY15" s="563"/>
      <c r="EZ15" s="563"/>
      <c r="FA15" s="563"/>
      <c r="FB15" s="563"/>
      <c r="FC15" s="563"/>
      <c r="FD15" s="563"/>
      <c r="FE15" s="563"/>
      <c r="FF15" s="563"/>
      <c r="FG15" s="563"/>
      <c r="FH15" s="563"/>
      <c r="FI15" s="563"/>
      <c r="FJ15" s="563"/>
      <c r="FK15" s="563"/>
      <c r="FL15" s="563"/>
      <c r="FM15" s="563"/>
      <c r="FN15" s="563"/>
      <c r="FO15" s="563"/>
      <c r="FP15" s="563"/>
      <c r="FQ15" s="563"/>
      <c r="FR15" s="563"/>
      <c r="FS15" s="563"/>
      <c r="FT15" s="563"/>
      <c r="FU15" s="563"/>
      <c r="FV15" s="563"/>
      <c r="FW15" s="563"/>
      <c r="FX15" s="563"/>
      <c r="FY15" s="563"/>
      <c r="FZ15" s="563"/>
      <c r="GA15" s="563"/>
      <c r="GB15" s="563"/>
      <c r="GC15" s="563"/>
      <c r="GD15" s="563"/>
      <c r="GE15" s="563"/>
      <c r="GF15" s="563"/>
      <c r="GG15" s="563"/>
      <c r="GH15" s="563"/>
      <c r="GI15" s="563"/>
      <c r="GJ15" s="563"/>
      <c r="GK15" s="563"/>
      <c r="GL15" s="563"/>
      <c r="GM15" s="563"/>
      <c r="GN15" s="563"/>
      <c r="GO15" s="563"/>
      <c r="GP15" s="563"/>
      <c r="GQ15" s="563"/>
      <c r="GR15" s="563"/>
      <c r="GS15" s="563"/>
      <c r="GT15" s="563"/>
      <c r="GU15" s="563"/>
      <c r="GV15" s="563"/>
      <c r="GW15" s="563"/>
      <c r="GX15" s="563"/>
      <c r="GY15" s="563"/>
      <c r="GZ15" s="563"/>
      <c r="HA15" s="563"/>
      <c r="HB15" s="563"/>
      <c r="HC15" s="563"/>
      <c r="HD15" s="563"/>
      <c r="HE15" s="563"/>
      <c r="HF15" s="563"/>
      <c r="HG15" s="563"/>
      <c r="HH15" s="563"/>
      <c r="HI15" s="563"/>
      <c r="HJ15" s="563"/>
      <c r="HK15" s="563"/>
      <c r="HL15" s="563"/>
      <c r="HM15" s="563"/>
      <c r="HN15" s="563"/>
      <c r="HO15" s="563"/>
      <c r="HP15" s="563"/>
      <c r="HQ15" s="563"/>
      <c r="HR15" s="563"/>
      <c r="HS15" s="563"/>
      <c r="HT15" s="563"/>
      <c r="HU15" s="563"/>
      <c r="HV15" s="563"/>
      <c r="HW15" s="563"/>
      <c r="HX15" s="563"/>
      <c r="HY15" s="563"/>
      <c r="HZ15" s="563"/>
      <c r="IA15" s="563"/>
      <c r="IB15" s="563"/>
      <c r="IC15" s="563"/>
      <c r="ID15" s="563"/>
      <c r="IE15" s="563"/>
      <c r="IF15" s="563"/>
      <c r="IG15" s="563"/>
      <c r="IH15" s="563"/>
      <c r="II15" s="563"/>
      <c r="IJ15" s="563"/>
      <c r="IK15" s="563"/>
      <c r="IL15" s="563"/>
      <c r="IM15" s="563"/>
      <c r="IN15" s="563"/>
      <c r="IO15" s="563"/>
      <c r="IP15" s="563"/>
      <c r="IQ15" s="563"/>
      <c r="IR15" s="563"/>
      <c r="IS15" s="563"/>
      <c r="IT15" s="563"/>
      <c r="IU15" s="563"/>
      <c r="IV15" s="563"/>
      <c r="IW15" s="563"/>
    </row>
    <row r="16" customFormat="false" ht="11.25" hidden="false" customHeight="false" outlineLevel="0" collapsed="false">
      <c r="A16" s="563"/>
      <c r="B16" s="563"/>
      <c r="C16" s="510"/>
      <c r="D16" s="570"/>
      <c r="E16" s="570"/>
      <c r="F16" s="570"/>
      <c r="G16" s="570"/>
      <c r="H16" s="570"/>
      <c r="I16" s="570"/>
      <c r="J16" s="570"/>
      <c r="K16" s="570"/>
      <c r="L16" s="570"/>
      <c r="M16" s="570"/>
      <c r="N16" s="570"/>
      <c r="O16" s="570"/>
      <c r="P16" s="570"/>
      <c r="Q16" s="570"/>
      <c r="R16" s="570"/>
      <c r="S16" s="570"/>
      <c r="T16" s="570"/>
      <c r="U16" s="570"/>
      <c r="V16" s="570"/>
      <c r="W16" s="570"/>
      <c r="X16" s="570"/>
      <c r="Y16" s="570"/>
      <c r="Z16" s="570"/>
      <c r="AA16" s="570"/>
      <c r="AB16" s="570"/>
      <c r="AC16" s="570"/>
      <c r="AD16" s="570"/>
      <c r="AE16" s="570"/>
      <c r="AF16" s="570"/>
      <c r="AG16" s="570"/>
      <c r="AH16" s="570"/>
      <c r="AI16" s="570"/>
      <c r="AJ16" s="570"/>
      <c r="AK16" s="570"/>
      <c r="AL16" s="570"/>
      <c r="AM16" s="570"/>
      <c r="AN16" s="570"/>
      <c r="AO16" s="570"/>
      <c r="AP16" s="570"/>
      <c r="AQ16" s="487"/>
      <c r="AR16" s="487"/>
      <c r="AS16" s="487"/>
      <c r="AT16" s="487"/>
      <c r="AU16" s="487"/>
      <c r="AV16" s="487"/>
      <c r="AW16" s="487"/>
      <c r="AX16" s="487"/>
      <c r="AY16" s="487"/>
      <c r="AZ16" s="487"/>
      <c r="BA16" s="487"/>
      <c r="BB16" s="487"/>
      <c r="BC16" s="487"/>
      <c r="BD16" s="487"/>
      <c r="BE16" s="487"/>
      <c r="BF16" s="487"/>
      <c r="BG16" s="487"/>
      <c r="BH16" s="487"/>
      <c r="BI16" s="487"/>
      <c r="BJ16" s="487"/>
      <c r="BK16" s="487"/>
      <c r="BL16" s="563"/>
      <c r="BM16" s="563"/>
      <c r="BN16" s="563"/>
      <c r="BO16" s="563"/>
      <c r="BP16" s="563"/>
      <c r="BQ16" s="563"/>
      <c r="BR16" s="563"/>
      <c r="BS16" s="563"/>
      <c r="BT16" s="563"/>
      <c r="BU16" s="563"/>
      <c r="BV16" s="563"/>
      <c r="BW16" s="563"/>
      <c r="BX16" s="563"/>
      <c r="BY16" s="563"/>
      <c r="BZ16" s="563"/>
      <c r="CA16" s="563"/>
      <c r="CB16" s="563"/>
      <c r="CC16" s="563"/>
      <c r="CD16" s="563"/>
      <c r="CE16" s="563"/>
      <c r="CF16" s="563"/>
      <c r="CG16" s="563"/>
      <c r="CH16" s="563"/>
      <c r="CI16" s="563"/>
      <c r="CJ16" s="563"/>
      <c r="CK16" s="563"/>
      <c r="CL16" s="563"/>
      <c r="CM16" s="563"/>
      <c r="CN16" s="563"/>
      <c r="CO16" s="563"/>
      <c r="CP16" s="563"/>
      <c r="CQ16" s="563"/>
      <c r="CR16" s="563"/>
      <c r="CS16" s="563"/>
      <c r="CT16" s="563"/>
      <c r="CU16" s="563"/>
      <c r="CV16" s="563"/>
      <c r="CW16" s="563"/>
      <c r="CX16" s="563"/>
      <c r="CY16" s="563"/>
      <c r="CZ16" s="563"/>
      <c r="DA16" s="563"/>
      <c r="DB16" s="563"/>
      <c r="DC16" s="563"/>
      <c r="DD16" s="563"/>
      <c r="DE16" s="563"/>
      <c r="DF16" s="563"/>
      <c r="DG16" s="563"/>
      <c r="DH16" s="563"/>
      <c r="DI16" s="563"/>
      <c r="DJ16" s="563"/>
      <c r="DK16" s="563"/>
      <c r="DL16" s="563"/>
      <c r="DM16" s="563"/>
      <c r="DN16" s="563"/>
      <c r="DO16" s="563"/>
      <c r="DP16" s="563"/>
      <c r="DQ16" s="563"/>
      <c r="DR16" s="563"/>
      <c r="DS16" s="563"/>
      <c r="DT16" s="563"/>
      <c r="DU16" s="563"/>
      <c r="DV16" s="563"/>
      <c r="DW16" s="563"/>
      <c r="DX16" s="563"/>
      <c r="DY16" s="563"/>
      <c r="DZ16" s="563"/>
      <c r="EA16" s="563"/>
      <c r="EB16" s="563"/>
      <c r="EC16" s="563"/>
      <c r="ED16" s="563"/>
      <c r="EE16" s="563"/>
      <c r="EF16" s="563"/>
      <c r="EG16" s="563"/>
      <c r="EH16" s="563"/>
      <c r="EI16" s="563"/>
      <c r="EJ16" s="563"/>
      <c r="EK16" s="563"/>
      <c r="EL16" s="563"/>
      <c r="EM16" s="563"/>
      <c r="EN16" s="563"/>
      <c r="EO16" s="563"/>
      <c r="EP16" s="563"/>
      <c r="EQ16" s="563"/>
      <c r="ER16" s="563"/>
      <c r="ES16" s="563"/>
      <c r="ET16" s="563"/>
      <c r="EU16" s="563"/>
      <c r="EV16" s="563"/>
      <c r="EW16" s="563"/>
      <c r="EX16" s="563"/>
      <c r="EY16" s="563"/>
      <c r="EZ16" s="563"/>
      <c r="FA16" s="563"/>
      <c r="FB16" s="563"/>
      <c r="FC16" s="563"/>
      <c r="FD16" s="563"/>
      <c r="FE16" s="563"/>
      <c r="FF16" s="563"/>
      <c r="FG16" s="563"/>
      <c r="FH16" s="563"/>
      <c r="FI16" s="563"/>
      <c r="FJ16" s="563"/>
      <c r="FK16" s="563"/>
      <c r="FL16" s="563"/>
      <c r="FM16" s="563"/>
      <c r="FN16" s="563"/>
      <c r="FO16" s="563"/>
      <c r="FP16" s="563"/>
      <c r="FQ16" s="563"/>
      <c r="FR16" s="563"/>
      <c r="FS16" s="563"/>
      <c r="FT16" s="563"/>
      <c r="FU16" s="563"/>
      <c r="FV16" s="563"/>
      <c r="FW16" s="563"/>
      <c r="FX16" s="563"/>
      <c r="FY16" s="563"/>
      <c r="FZ16" s="563"/>
      <c r="GA16" s="563"/>
      <c r="GB16" s="563"/>
      <c r="GC16" s="563"/>
      <c r="GD16" s="563"/>
      <c r="GE16" s="563"/>
      <c r="GF16" s="563"/>
      <c r="GG16" s="563"/>
      <c r="GH16" s="563"/>
      <c r="GI16" s="563"/>
      <c r="GJ16" s="563"/>
      <c r="GK16" s="563"/>
      <c r="GL16" s="563"/>
      <c r="GM16" s="563"/>
      <c r="GN16" s="563"/>
      <c r="GO16" s="563"/>
      <c r="GP16" s="563"/>
      <c r="GQ16" s="563"/>
      <c r="GR16" s="563"/>
      <c r="GS16" s="563"/>
      <c r="GT16" s="563"/>
      <c r="GU16" s="563"/>
      <c r="GV16" s="563"/>
      <c r="GW16" s="563"/>
      <c r="GX16" s="563"/>
      <c r="GY16" s="563"/>
      <c r="GZ16" s="563"/>
      <c r="HA16" s="563"/>
      <c r="HB16" s="563"/>
      <c r="HC16" s="563"/>
      <c r="HD16" s="563"/>
      <c r="HE16" s="563"/>
      <c r="HF16" s="563"/>
      <c r="HG16" s="563"/>
      <c r="HH16" s="563"/>
      <c r="HI16" s="563"/>
      <c r="HJ16" s="563"/>
      <c r="HK16" s="563"/>
      <c r="HL16" s="563"/>
      <c r="HM16" s="563"/>
      <c r="HN16" s="563"/>
      <c r="HO16" s="563"/>
      <c r="HP16" s="563"/>
      <c r="HQ16" s="563"/>
      <c r="HR16" s="563"/>
      <c r="HS16" s="563"/>
      <c r="HT16" s="563"/>
      <c r="HU16" s="563"/>
      <c r="HV16" s="563"/>
      <c r="HW16" s="563"/>
      <c r="HX16" s="563"/>
      <c r="HY16" s="563"/>
      <c r="HZ16" s="563"/>
      <c r="IA16" s="563"/>
      <c r="IB16" s="563"/>
      <c r="IC16" s="563"/>
      <c r="ID16" s="563"/>
      <c r="IE16" s="563"/>
      <c r="IF16" s="563"/>
      <c r="IG16" s="563"/>
      <c r="IH16" s="563"/>
      <c r="II16" s="563"/>
      <c r="IJ16" s="563"/>
      <c r="IK16" s="563"/>
      <c r="IL16" s="563"/>
      <c r="IM16" s="563"/>
      <c r="IN16" s="563"/>
      <c r="IO16" s="563"/>
      <c r="IP16" s="563"/>
      <c r="IQ16" s="563"/>
      <c r="IR16" s="563"/>
      <c r="IS16" s="563"/>
      <c r="IT16" s="563"/>
      <c r="IU16" s="563"/>
      <c r="IV16" s="563"/>
      <c r="IW16" s="563"/>
    </row>
    <row r="17" customFormat="false" ht="11.25" hidden="false" customHeight="false" outlineLevel="0" collapsed="false">
      <c r="A17" s="563"/>
      <c r="B17" s="563"/>
      <c r="C17" s="510"/>
      <c r="D17" s="571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4"/>
      <c r="AC17" s="434"/>
      <c r="AD17" s="434"/>
      <c r="AE17" s="434"/>
      <c r="AF17" s="434"/>
      <c r="AG17" s="434"/>
      <c r="AH17" s="434"/>
      <c r="AI17" s="434"/>
      <c r="AJ17" s="434"/>
      <c r="AK17" s="434"/>
      <c r="AL17" s="434"/>
      <c r="AM17" s="434"/>
      <c r="AN17" s="434"/>
      <c r="AO17" s="434"/>
      <c r="AP17" s="434"/>
      <c r="AQ17" s="487"/>
      <c r="AR17" s="487"/>
      <c r="AS17" s="487"/>
      <c r="AT17" s="487"/>
      <c r="AU17" s="487"/>
      <c r="AV17" s="487"/>
      <c r="AW17" s="487"/>
      <c r="AX17" s="487"/>
      <c r="AY17" s="487"/>
      <c r="AZ17" s="487"/>
      <c r="BA17" s="487"/>
      <c r="BB17" s="487"/>
      <c r="BC17" s="487"/>
      <c r="BD17" s="487"/>
      <c r="BE17" s="487"/>
      <c r="BF17" s="487"/>
      <c r="BG17" s="487"/>
      <c r="BH17" s="487"/>
      <c r="BI17" s="487"/>
      <c r="BJ17" s="487"/>
      <c r="BK17" s="487"/>
      <c r="BL17" s="563"/>
      <c r="BM17" s="563"/>
      <c r="BN17" s="563"/>
      <c r="BO17" s="563"/>
      <c r="BP17" s="563"/>
      <c r="BQ17" s="563"/>
      <c r="BR17" s="563"/>
      <c r="BS17" s="563"/>
      <c r="BT17" s="563"/>
      <c r="BU17" s="563"/>
      <c r="BV17" s="563"/>
      <c r="BW17" s="563"/>
      <c r="BX17" s="563"/>
      <c r="BY17" s="563"/>
      <c r="BZ17" s="563"/>
      <c r="CA17" s="563"/>
      <c r="CB17" s="563"/>
      <c r="CC17" s="563"/>
      <c r="CD17" s="563"/>
      <c r="CE17" s="563"/>
      <c r="CF17" s="563"/>
      <c r="CG17" s="563"/>
      <c r="CH17" s="563"/>
      <c r="CI17" s="563"/>
      <c r="CJ17" s="563"/>
      <c r="CK17" s="563"/>
      <c r="CL17" s="563"/>
      <c r="CM17" s="563"/>
      <c r="CN17" s="563"/>
      <c r="CO17" s="563"/>
      <c r="CP17" s="563"/>
      <c r="CQ17" s="563"/>
      <c r="CR17" s="563"/>
      <c r="CS17" s="563"/>
      <c r="CT17" s="563"/>
      <c r="CU17" s="563"/>
      <c r="CV17" s="563"/>
      <c r="CW17" s="563"/>
      <c r="CX17" s="563"/>
      <c r="CY17" s="563"/>
      <c r="CZ17" s="563"/>
      <c r="DA17" s="563"/>
      <c r="DB17" s="563"/>
      <c r="DC17" s="563"/>
      <c r="DD17" s="563"/>
      <c r="DE17" s="563"/>
      <c r="DF17" s="563"/>
      <c r="DG17" s="563"/>
      <c r="DH17" s="563"/>
      <c r="DI17" s="563"/>
      <c r="DJ17" s="563"/>
      <c r="DK17" s="563"/>
      <c r="DL17" s="563"/>
      <c r="DM17" s="563"/>
      <c r="DN17" s="563"/>
      <c r="DO17" s="563"/>
      <c r="DP17" s="563"/>
      <c r="DQ17" s="563"/>
      <c r="DR17" s="563"/>
      <c r="DS17" s="563"/>
      <c r="DT17" s="563"/>
      <c r="DU17" s="563"/>
      <c r="DV17" s="563"/>
      <c r="DW17" s="563"/>
      <c r="DX17" s="563"/>
      <c r="DY17" s="563"/>
      <c r="DZ17" s="563"/>
      <c r="EA17" s="563"/>
      <c r="EB17" s="563"/>
      <c r="EC17" s="563"/>
      <c r="ED17" s="563"/>
      <c r="EE17" s="563"/>
      <c r="EF17" s="563"/>
      <c r="EG17" s="563"/>
      <c r="EH17" s="563"/>
      <c r="EI17" s="563"/>
      <c r="EJ17" s="563"/>
      <c r="EK17" s="563"/>
      <c r="EL17" s="563"/>
      <c r="EM17" s="563"/>
      <c r="EN17" s="563"/>
      <c r="EO17" s="563"/>
      <c r="EP17" s="563"/>
      <c r="EQ17" s="563"/>
      <c r="ER17" s="563"/>
      <c r="ES17" s="563"/>
      <c r="ET17" s="563"/>
      <c r="EU17" s="563"/>
      <c r="EV17" s="563"/>
      <c r="EW17" s="563"/>
      <c r="EX17" s="563"/>
      <c r="EY17" s="563"/>
      <c r="EZ17" s="563"/>
      <c r="FA17" s="563"/>
      <c r="FB17" s="563"/>
      <c r="FC17" s="563"/>
      <c r="FD17" s="563"/>
      <c r="FE17" s="563"/>
      <c r="FF17" s="563"/>
      <c r="FG17" s="563"/>
      <c r="FH17" s="563"/>
      <c r="FI17" s="563"/>
      <c r="FJ17" s="563"/>
      <c r="FK17" s="563"/>
      <c r="FL17" s="563"/>
      <c r="FM17" s="563"/>
      <c r="FN17" s="563"/>
      <c r="FO17" s="563"/>
      <c r="FP17" s="563"/>
      <c r="FQ17" s="563"/>
      <c r="FR17" s="563"/>
      <c r="FS17" s="563"/>
      <c r="FT17" s="563"/>
      <c r="FU17" s="563"/>
      <c r="FV17" s="563"/>
      <c r="FW17" s="563"/>
      <c r="FX17" s="563"/>
      <c r="FY17" s="563"/>
      <c r="FZ17" s="563"/>
      <c r="GA17" s="563"/>
      <c r="GB17" s="563"/>
      <c r="GC17" s="563"/>
      <c r="GD17" s="563"/>
      <c r="GE17" s="563"/>
      <c r="GF17" s="563"/>
      <c r="GG17" s="563"/>
      <c r="GH17" s="563"/>
      <c r="GI17" s="563"/>
      <c r="GJ17" s="563"/>
      <c r="GK17" s="563"/>
      <c r="GL17" s="563"/>
      <c r="GM17" s="563"/>
      <c r="GN17" s="563"/>
      <c r="GO17" s="563"/>
      <c r="GP17" s="563"/>
      <c r="GQ17" s="563"/>
      <c r="GR17" s="563"/>
      <c r="GS17" s="563"/>
      <c r="GT17" s="563"/>
      <c r="GU17" s="563"/>
      <c r="GV17" s="563"/>
      <c r="GW17" s="563"/>
      <c r="GX17" s="563"/>
      <c r="GY17" s="563"/>
      <c r="GZ17" s="563"/>
      <c r="HA17" s="563"/>
      <c r="HB17" s="563"/>
      <c r="HC17" s="563"/>
      <c r="HD17" s="563"/>
      <c r="HE17" s="563"/>
      <c r="HF17" s="563"/>
      <c r="HG17" s="563"/>
      <c r="HH17" s="563"/>
      <c r="HI17" s="563"/>
      <c r="HJ17" s="563"/>
      <c r="HK17" s="563"/>
      <c r="HL17" s="563"/>
      <c r="HM17" s="563"/>
      <c r="HN17" s="563"/>
      <c r="HO17" s="563"/>
      <c r="HP17" s="563"/>
      <c r="HQ17" s="563"/>
      <c r="HR17" s="563"/>
      <c r="HS17" s="563"/>
      <c r="HT17" s="563"/>
      <c r="HU17" s="563"/>
      <c r="HV17" s="563"/>
      <c r="HW17" s="563"/>
      <c r="HX17" s="563"/>
      <c r="HY17" s="563"/>
      <c r="HZ17" s="563"/>
      <c r="IA17" s="563"/>
      <c r="IB17" s="563"/>
      <c r="IC17" s="563"/>
      <c r="ID17" s="563"/>
      <c r="IE17" s="563"/>
      <c r="IF17" s="563"/>
      <c r="IG17" s="563"/>
      <c r="IH17" s="563"/>
      <c r="II17" s="563"/>
      <c r="IJ17" s="563"/>
      <c r="IK17" s="563"/>
      <c r="IL17" s="563"/>
      <c r="IM17" s="563"/>
      <c r="IN17" s="563"/>
      <c r="IO17" s="563"/>
      <c r="IP17" s="563"/>
      <c r="IQ17" s="563"/>
      <c r="IR17" s="563"/>
      <c r="IS17" s="563"/>
      <c r="IT17" s="563"/>
      <c r="IU17" s="563"/>
      <c r="IV17" s="563"/>
      <c r="IW17" s="563"/>
    </row>
    <row r="18" customFormat="false" ht="11.25" hidden="false" customHeight="false" outlineLevel="0" collapsed="false">
      <c r="A18" s="113"/>
      <c r="B18" s="113"/>
      <c r="C18" s="113"/>
      <c r="D18" s="202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</row>
    <row r="19" customFormat="false" ht="11.25" hidden="false" customHeight="false" outlineLevel="0" collapsed="false">
      <c r="A19" s="113"/>
      <c r="B19" s="572" t="s">
        <v>151</v>
      </c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</row>
    <row r="20" customFormat="false" ht="11.25" hidden="false" customHeight="false" outlineLevel="0" collapsed="false">
      <c r="A20" s="113"/>
      <c r="B20" s="505" t="s">
        <v>522</v>
      </c>
      <c r="C20" s="571" t="n">
        <f aca="false">IF(C$5&gt;=1,INDEX(OperationalDetail,MATCH("Total Energy Revenue",ODColumn,0),MATCH(C$7,ODRow,0)),0)</f>
        <v>0</v>
      </c>
      <c r="D20" s="202" t="n">
        <f aca="false">IF(D$5&gt;=1,INDEX(OperationalDetail,MATCH("Total Energy Revenue",ODColumn,0),MATCH(D$7,ODRow,0)),0)</f>
        <v>0</v>
      </c>
      <c r="E20" s="202" t="n">
        <f aca="false">IF(E$5&gt;=1,INDEX(OperationalDetail,MATCH("Total Energy Revenue",ODColumn,0),MATCH(E$7,ODRow,0)),0)</f>
        <v>44971.9609725701</v>
      </c>
      <c r="F20" s="202" t="n">
        <f aca="false">IF(F$5&gt;=1,INDEX(OperationalDetail,MATCH("Total Energy Revenue",ODColumn,0),MATCH(F$7,ODRow,0)),0)</f>
        <v>38479.215035156</v>
      </c>
      <c r="G20" s="202" t="n">
        <f aca="false">IF(G$5&gt;=1,INDEX(OperationalDetail,MATCH("Total Energy Revenue",ODColumn,0),MATCH(G$7,ODRow,0)),0)</f>
        <v>34480.412579032</v>
      </c>
      <c r="H20" s="202" t="n">
        <f aca="false">IF(H$5&gt;=1,INDEX(OperationalDetail,MATCH("Total Energy Revenue",ODColumn,0),MATCH(H$7,ODRow,0)),0)</f>
        <v>28103.9317385688</v>
      </c>
      <c r="I20" s="202" t="n">
        <f aca="false">IF(I$5&gt;=1,INDEX(OperationalDetail,MATCH("Total Energy Revenue",ODColumn,0),MATCH(I$7,ODRow,0)),0)</f>
        <v>26530.7650664104</v>
      </c>
      <c r="J20" s="202" t="n">
        <f aca="false">IF(J$5&gt;=1,INDEX(OperationalDetail,MATCH("Total Energy Revenue",ODColumn,0),MATCH(J$7,ODRow,0)),0)</f>
        <v>27747.4087298757</v>
      </c>
      <c r="K20" s="202" t="n">
        <f aca="false">IF(K$5&gt;=1,INDEX(OperationalDetail,MATCH("Total Energy Revenue",ODColumn,0),MATCH(K$7,ODRow,0)),0)</f>
        <v>28395.2996465163</v>
      </c>
      <c r="L20" s="202" t="n">
        <f aca="false">IF(L$5&gt;=1,INDEX(OperationalDetail,MATCH("Total Energy Revenue",ODColumn,0),MATCH(L$7,ODRow,0)),0)</f>
        <v>28832.3515207734</v>
      </c>
      <c r="M20" s="202" t="n">
        <f aca="false">IF(M$5&gt;=1,INDEX(OperationalDetail,MATCH("Total Energy Revenue",ODColumn,0),MATCH(M$7,ODRow,0)),0)</f>
        <v>30047.3710771413</v>
      </c>
      <c r="N20" s="202" t="n">
        <f aca="false">IF(N$5&gt;=1,INDEX(OperationalDetail,MATCH("Total Energy Revenue",ODColumn,0),MATCH(N$7,ODRow,0)),0)</f>
        <v>30440.3454946286</v>
      </c>
      <c r="O20" s="202" t="n">
        <f aca="false">IF(O$5&gt;=1,INDEX(OperationalDetail,MATCH("Total Energy Revenue",ODColumn,0),MATCH(O$7,ODRow,0)),0)</f>
        <v>31080.507836907</v>
      </c>
      <c r="P20" s="202" t="n">
        <f aca="false">IF(P$5&gt;=1,INDEX(OperationalDetail,MATCH("Total Energy Revenue",ODColumn,0),MATCH(P$7,ODRow,0)),0)</f>
        <v>30022.8850421768</v>
      </c>
      <c r="Q20" s="202" t="n">
        <f aca="false">IF(Q$5&gt;=1,INDEX(OperationalDetail,MATCH("Total Energy Revenue",ODColumn,0),MATCH(Q$7,ODRow,0)),0)</f>
        <v>31210.3193973607</v>
      </c>
      <c r="R20" s="202" t="n">
        <f aca="false">IF(R$5&gt;=1,INDEX(OperationalDetail,MATCH("Total Energy Revenue",ODColumn,0),MATCH(R$7,ODRow,0)),0)</f>
        <v>31599.054003339</v>
      </c>
      <c r="S20" s="202" t="n">
        <f aca="false">IF(S$5&gt;=1,INDEX(OperationalDetail,MATCH("Total Energy Revenue",ODColumn,0),MATCH(S$7,ODRow,0)),0)</f>
        <v>32901.7091494037</v>
      </c>
      <c r="T20" s="202" t="n">
        <f aca="false">IF(T$5&gt;=1,INDEX(OperationalDetail,MATCH("Total Energy Revenue",ODColumn,0),MATCH(T$7,ODRow,0)),0)</f>
        <v>5379.62180344061</v>
      </c>
      <c r="U20" s="202" t="n">
        <f aca="false">IF(U$5&gt;=1,INDEX(OperationalDetail,MATCH("Total Energy Revenue",ODColumn,0),MATCH(U$7,ODRow,0)),0)</f>
        <v>5411.21218554882</v>
      </c>
      <c r="V20" s="202" t="n">
        <f aca="false">IF(V$5&gt;=1,INDEX(OperationalDetail,MATCH("Total Energy Revenue",ODColumn,0),MATCH(V$7,ODRow,0)),0)</f>
        <v>4404.70324205983</v>
      </c>
      <c r="W20" s="202" t="e">
        <f aca="false">IF(W$5&gt;=1,INDEX(OperationalDetail,MATCH("Total Energy Revenue",ODColumn,0),MATCH(W$7,ODRow,0)),0)</f>
        <v>#DIV/0!</v>
      </c>
      <c r="X20" s="202" t="e">
        <f aca="false">IF(X$5&gt;=1,INDEX(OperationalDetail,MATCH("Total Energy Revenue",ODColumn,0),MATCH(X$7,ODRow,0)),0)</f>
        <v>#DIV/0!</v>
      </c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</row>
    <row r="21" customFormat="false" ht="11.25" hidden="false" customHeight="false" outlineLevel="0" collapsed="false">
      <c r="A21" s="113"/>
      <c r="B21" s="505" t="s">
        <v>480</v>
      </c>
      <c r="C21" s="571"/>
      <c r="D21" s="202" t="n">
        <f aca="false">IF(D$5&gt;=1,INDEX(OperationalDetail,MATCH("Importer Transmission Charge Revenue",ODColumn,0),MATCH(D$7,ODRow,0)),0)</f>
        <v>0</v>
      </c>
      <c r="E21" s="202" t="n">
        <f aca="false">IF(E$5&gt;=1,INDEX(OperationalDetail,MATCH("Importer Transmission Charge Revenue",ODColumn,0),MATCH(E$7,ODRow,0)),0)</f>
        <v>1225.77741522907</v>
      </c>
      <c r="F21" s="202" t="n">
        <f aca="false">IF(F$5&gt;=1,INDEX(OperationalDetail,MATCH("Importer Transmission Charge Revenue",ODColumn,0),MATCH(F$7,ODRow,0)),0)</f>
        <v>1490.82085458258</v>
      </c>
      <c r="G21" s="202" t="n">
        <f aca="false">IF(G$5&gt;=1,INDEX(OperationalDetail,MATCH("Importer Transmission Charge Revenue",ODColumn,0),MATCH(G$7,ODRow,0)),0)</f>
        <v>1502.81545041312</v>
      </c>
      <c r="H21" s="202" t="n">
        <f aca="false">IF(H$5&gt;=1,INDEX(OperationalDetail,MATCH("Importer Transmission Charge Revenue",ODColumn,0),MATCH(H$7,ODRow,0)),0)</f>
        <v>1198.73296308336</v>
      </c>
      <c r="I21" s="202" t="n">
        <f aca="false">IF(I$5&gt;=1,INDEX(OperationalDetail,MATCH("Importer Transmission Charge Revenue",ODColumn,0),MATCH(I$7,ODRow,0)),0)</f>
        <v>1180.51060763361</v>
      </c>
      <c r="J21" s="202" t="n">
        <f aca="false">IF(J$5&gt;=1,INDEX(OperationalDetail,MATCH("Importer Transmission Charge Revenue",ODColumn,0),MATCH(J$7,ODRow,0)),0)</f>
        <v>1189.87127131622</v>
      </c>
      <c r="K21" s="202" t="n">
        <f aca="false">IF(K$5&gt;=1,INDEX(OperationalDetail,MATCH("Importer Transmission Charge Revenue",ODColumn,0),MATCH(K$7,ODRow,0)),0)</f>
        <v>1161.98693595074</v>
      </c>
      <c r="L21" s="202" t="n">
        <f aca="false">IF(L$5&gt;=1,INDEX(OperationalDetail,MATCH("Importer Transmission Charge Revenue",ODColumn,0),MATCH(L$7,ODRow,0)),0)</f>
        <v>1149.65285145925</v>
      </c>
      <c r="M21" s="202" t="n">
        <f aca="false">IF(M$5&gt;=1,INDEX(OperationalDetail,MATCH("Importer Transmission Charge Revenue",ODColumn,0),MATCH(M$7,ODRow,0)),0)</f>
        <v>1151.63495297879</v>
      </c>
      <c r="N21" s="202" t="n">
        <f aca="false">IF(N$5&gt;=1,INDEX(OperationalDetail,MATCH("Importer Transmission Charge Revenue",ODColumn,0),MATCH(N$7,ODRow,0)),0)</f>
        <v>1140.06237588937</v>
      </c>
      <c r="O21" s="202" t="n">
        <f aca="false">IF(O$5&gt;=1,INDEX(OperationalDetail,MATCH("Importer Transmission Charge Revenue",ODColumn,0),MATCH(O$7,ODRow,0)),0)</f>
        <v>1128.23421529723</v>
      </c>
      <c r="P21" s="202" t="n">
        <f aca="false">IF(P$5&gt;=1,INDEX(OperationalDetail,MATCH("Importer Transmission Charge Revenue",ODColumn,0),MATCH(P$7,ODRow,0)),0)</f>
        <v>970.560525215465</v>
      </c>
      <c r="Q21" s="202" t="n">
        <f aca="false">IF(Q$5&gt;=1,INDEX(OperationalDetail,MATCH("Importer Transmission Charge Revenue",ODColumn,0),MATCH(Q$7,ODRow,0)),0)</f>
        <v>980.543821456654</v>
      </c>
      <c r="R21" s="202" t="n">
        <f aca="false">IF(R$5&gt;=1,INDEX(OperationalDetail,MATCH("Importer Transmission Charge Revenue",ODColumn,0),MATCH(R$7,ODRow,0)),0)</f>
        <v>971.056758186165</v>
      </c>
      <c r="S21" s="202" t="n">
        <f aca="false">IF(S$5&gt;=1,INDEX(OperationalDetail,MATCH("Importer Transmission Charge Revenue",ODColumn,0),MATCH(S$7,ODRow,0)),0)</f>
        <v>975.218296945885</v>
      </c>
      <c r="T21" s="202" t="n">
        <f aca="false">IF(T$5&gt;=1,INDEX(OperationalDetail,MATCH("Importer Transmission Charge Revenue",ODColumn,0),MATCH(T$7,ODRow,0)),0)</f>
        <v>0</v>
      </c>
      <c r="U21" s="202" t="n">
        <f aca="false">IF(U$5&gt;=1,INDEX(OperationalDetail,MATCH("Importer Transmission Charge Revenue",ODColumn,0),MATCH(U$7,ODRow,0)),0)</f>
        <v>0</v>
      </c>
      <c r="V21" s="202" t="n">
        <f aca="false">IF(V$5&gt;=1,INDEX(OperationalDetail,MATCH("Importer Transmission Charge Revenue",ODColumn,0),MATCH(V$7,ODRow,0)),0)</f>
        <v>0</v>
      </c>
      <c r="W21" s="202" t="n">
        <f aca="false">IF(W$5&gt;=1,INDEX(OperationalDetail,MATCH("Importer Transmission Charge Revenue",ODColumn,0),MATCH(W$7,ODRow,0)),0)</f>
        <v>0</v>
      </c>
      <c r="X21" s="202" t="n">
        <f aca="false">IF(X$5&gt;=1,INDEX(OperationalDetail,MATCH("Importer Transmission Charge Revenue",ODColumn,0),MATCH(X$7,ODRow,0)),0)</f>
        <v>0</v>
      </c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</row>
    <row r="22" customFormat="false" ht="11.25" hidden="false" customHeight="false" outlineLevel="0" collapsed="false">
      <c r="A22" s="113"/>
      <c r="B22" s="505" t="s">
        <v>523</v>
      </c>
      <c r="C22" s="571"/>
      <c r="D22" s="202" t="n">
        <f aca="false">IF(D$5&gt;=1,INDEX(OperationalDetail,MATCH(" Congestion Revenue",ODColumn,0),MATCH(D$7,ODRow,0)),0)</f>
        <v>0</v>
      </c>
      <c r="E22" s="202" t="n">
        <f aca="false">IF(E$5&gt;=1,INDEX(OperationalDetail,MATCH(" Congestion Revenue",ODColumn,0),MATCH(E$7,ODRow,0)),0)</f>
        <v>0</v>
      </c>
      <c r="F22" s="202" t="n">
        <f aca="false">IF(F$5&gt;=1,INDEX(OperationalDetail,MATCH(" Congestion Revenue",ODColumn,0),MATCH(F$7,ODRow,0)),0)</f>
        <v>0</v>
      </c>
      <c r="G22" s="202" t="n">
        <f aca="false">IF(G$5&gt;=1,INDEX(OperationalDetail,MATCH(" Congestion Revenue",ODColumn,0),MATCH(G$7,ODRow,0)),0)</f>
        <v>0</v>
      </c>
      <c r="H22" s="202" t="n">
        <f aca="false">IF(H$5&gt;=1,INDEX(OperationalDetail,MATCH(" Congestion Revenue",ODColumn,0),MATCH(H$7,ODRow,0)),0)</f>
        <v>0</v>
      </c>
      <c r="I22" s="202" t="n">
        <f aca="false">IF(I$5&gt;=1,INDEX(OperationalDetail,MATCH(" Congestion Revenue",ODColumn,0),MATCH(I$7,ODRow,0)),0)</f>
        <v>0</v>
      </c>
      <c r="J22" s="202" t="n">
        <f aca="false">IF(J$5&gt;=1,INDEX(OperationalDetail,MATCH(" Congestion Revenue",ODColumn,0),MATCH(J$7,ODRow,0)),0)</f>
        <v>0</v>
      </c>
      <c r="K22" s="202" t="n">
        <f aca="false">IF(K$5&gt;=1,INDEX(OperationalDetail,MATCH(" Congestion Revenue",ODColumn,0),MATCH(K$7,ODRow,0)),0)</f>
        <v>0</v>
      </c>
      <c r="L22" s="202" t="n">
        <f aca="false">IF(L$5&gt;=1,INDEX(OperationalDetail,MATCH(" Congestion Revenue",ODColumn,0),MATCH(L$7,ODRow,0)),0)</f>
        <v>0</v>
      </c>
      <c r="M22" s="202" t="n">
        <f aca="false">IF(M$5&gt;=1,INDEX(OperationalDetail,MATCH(" Congestion Revenue",ODColumn,0),MATCH(M$7,ODRow,0)),0)</f>
        <v>0</v>
      </c>
      <c r="N22" s="202" t="n">
        <f aca="false">IF(N$5&gt;=1,INDEX(OperationalDetail,MATCH(" Congestion Revenue",ODColumn,0),MATCH(N$7,ODRow,0)),0)</f>
        <v>0</v>
      </c>
      <c r="O22" s="202" t="n">
        <f aca="false">IF(O$5&gt;=1,INDEX(OperationalDetail,MATCH(" Congestion Revenue",ODColumn,0),MATCH(O$7,ODRow,0)),0)</f>
        <v>0</v>
      </c>
      <c r="P22" s="202" t="n">
        <f aca="false">IF(P$5&gt;=1,INDEX(OperationalDetail,MATCH(" Congestion Revenue",ODColumn,0),MATCH(P$7,ODRow,0)),0)</f>
        <v>0</v>
      </c>
      <c r="Q22" s="202" t="n">
        <f aca="false">IF(Q$5&gt;=1,INDEX(OperationalDetail,MATCH(" Congestion Revenue",ODColumn,0),MATCH(Q$7,ODRow,0)),0)</f>
        <v>0</v>
      </c>
      <c r="R22" s="202" t="n">
        <f aca="false">IF(R$5&gt;=1,INDEX(OperationalDetail,MATCH(" Congestion Revenue",ODColumn,0),MATCH(R$7,ODRow,0)),0)</f>
        <v>0</v>
      </c>
      <c r="S22" s="202" t="n">
        <f aca="false">IF(S$5&gt;=1,INDEX(OperationalDetail,MATCH(" Congestion Revenue",ODColumn,0),MATCH(S$7,ODRow,0)),0)</f>
        <v>0</v>
      </c>
      <c r="T22" s="202" t="n">
        <f aca="false">IF(T$5&gt;=1,INDEX(OperationalDetail,MATCH(" Congestion Revenue",ODColumn,0),MATCH(T$7,ODRow,0)),0)</f>
        <v>0</v>
      </c>
      <c r="U22" s="202" t="n">
        <f aca="false">IF(U$5&gt;=1,INDEX(OperationalDetail,MATCH(" Congestion Revenue",ODColumn,0),MATCH(U$7,ODRow,0)),0)</f>
        <v>0</v>
      </c>
      <c r="V22" s="202" t="n">
        <f aca="false">IF(V$5&gt;=1,INDEX(OperationalDetail,MATCH(" Congestion Revenue",ODColumn,0),MATCH(V$7,ODRow,0)),0)</f>
        <v>0</v>
      </c>
      <c r="W22" s="202" t="n">
        <f aca="false">IF(W$5&gt;=1,INDEX(OperationalDetail,MATCH(" Congestion Revenue",ODColumn,0),MATCH(W$7,ODRow,0)),0)</f>
        <v>0</v>
      </c>
      <c r="X22" s="202" t="n">
        <f aca="false">IF(X$5&gt;=1,INDEX(OperationalDetail,MATCH(" Congestion Revenue",ODColumn,0),MATCH(X$7,ODRow,0)),0)</f>
        <v>0</v>
      </c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  <c r="IU22" s="113"/>
      <c r="IV22" s="113"/>
      <c r="IW22" s="113"/>
    </row>
    <row r="23" customFormat="false" ht="11.25" hidden="false" customHeight="false" outlineLevel="0" collapsed="false">
      <c r="A23" s="113"/>
      <c r="B23" s="505" t="s">
        <v>524</v>
      </c>
      <c r="C23" s="571"/>
      <c r="D23" s="202" t="n">
        <f aca="false">IF(D$5&gt;=1,INDEX(OperationalDetail,MATCH("Transmission Swap Revenue",ODColumn,0),MATCH(D$7,ODRow,0)),0)</f>
        <v>0</v>
      </c>
      <c r="E23" s="202" t="n">
        <f aca="false">IF(E$5&gt;=1,INDEX(OperationalDetail,MATCH("Transmission Swap Revenue",ODColumn,0),MATCH(E$7,ODRow,0)),0)</f>
        <v>0</v>
      </c>
      <c r="F23" s="202" t="n">
        <f aca="false">IF(F$5&gt;=1,INDEX(OperationalDetail,MATCH("Transmission Swap Revenue",ODColumn,0),MATCH(F$7,ODRow,0)),0)</f>
        <v>0</v>
      </c>
      <c r="G23" s="202" t="n">
        <f aca="false">IF(G$5&gt;=1,INDEX(OperationalDetail,MATCH("Transmission Swap Revenue",ODColumn,0),MATCH(G$7,ODRow,0)),0)</f>
        <v>0</v>
      </c>
      <c r="H23" s="202" t="n">
        <f aca="false">IF(H$5&gt;=1,INDEX(OperationalDetail,MATCH("Transmission Swap Revenue",ODColumn,0),MATCH(H$7,ODRow,0)),0)</f>
        <v>0</v>
      </c>
      <c r="I23" s="202" t="n">
        <f aca="false">IF(I$5&gt;=1,INDEX(OperationalDetail,MATCH("Transmission Swap Revenue",ODColumn,0),MATCH(I$7,ODRow,0)),0)</f>
        <v>0</v>
      </c>
      <c r="J23" s="202" t="n">
        <f aca="false">IF(J$5&gt;=1,INDEX(OperationalDetail,MATCH("Transmission Swap Revenue",ODColumn,0),MATCH(J$7,ODRow,0)),0)</f>
        <v>0</v>
      </c>
      <c r="K23" s="202" t="n">
        <f aca="false">IF(K$5&gt;=1,INDEX(OperationalDetail,MATCH("Transmission Swap Revenue",ODColumn,0),MATCH(K$7,ODRow,0)),0)</f>
        <v>0</v>
      </c>
      <c r="L23" s="202" t="n">
        <f aca="false">IF(L$5&gt;=1,INDEX(OperationalDetail,MATCH("Transmission Swap Revenue",ODColumn,0),MATCH(L$7,ODRow,0)),0)</f>
        <v>0</v>
      </c>
      <c r="M23" s="202" t="n">
        <f aca="false">IF(M$5&gt;=1,INDEX(OperationalDetail,MATCH("Transmission Swap Revenue",ODColumn,0),MATCH(M$7,ODRow,0)),0)</f>
        <v>0</v>
      </c>
      <c r="N23" s="202" t="n">
        <f aca="false">IF(N$5&gt;=1,INDEX(OperationalDetail,MATCH("Transmission Swap Revenue",ODColumn,0),MATCH(N$7,ODRow,0)),0)</f>
        <v>0</v>
      </c>
      <c r="O23" s="202" t="n">
        <f aca="false">IF(O$5&gt;=1,INDEX(OperationalDetail,MATCH("Transmission Swap Revenue",ODColumn,0),MATCH(O$7,ODRow,0)),0)</f>
        <v>0</v>
      </c>
      <c r="P23" s="202" t="n">
        <f aca="false">IF(P$5&gt;=1,INDEX(OperationalDetail,MATCH("Transmission Swap Revenue",ODColumn,0),MATCH(P$7,ODRow,0)),0)</f>
        <v>0</v>
      </c>
      <c r="Q23" s="202" t="n">
        <f aca="false">IF(Q$5&gt;=1,INDEX(OperationalDetail,MATCH("Transmission Swap Revenue",ODColumn,0),MATCH(Q$7,ODRow,0)),0)</f>
        <v>0</v>
      </c>
      <c r="R23" s="202" t="n">
        <f aca="false">IF(R$5&gt;=1,INDEX(OperationalDetail,MATCH("Transmission Swap Revenue",ODColumn,0),MATCH(R$7,ODRow,0)),0)</f>
        <v>0</v>
      </c>
      <c r="S23" s="202" t="n">
        <f aca="false">IF(S$5&gt;=1,INDEX(OperationalDetail,MATCH("Transmission Swap Revenue",ODColumn,0),MATCH(S$7,ODRow,0)),0)</f>
        <v>0</v>
      </c>
      <c r="T23" s="202" t="n">
        <f aca="false">IF(T$5&gt;=1,INDEX(OperationalDetail,MATCH("Transmission Swap Revenue",ODColumn,0),MATCH(T$7,ODRow,0)),0)</f>
        <v>0</v>
      </c>
      <c r="U23" s="202" t="n">
        <f aca="false">IF(U$5&gt;=1,INDEX(OperationalDetail,MATCH("Transmission Swap Revenue",ODColumn,0),MATCH(U$7,ODRow,0)),0)</f>
        <v>0</v>
      </c>
      <c r="V23" s="202" t="n">
        <f aca="false">IF(V$5&gt;=1,INDEX(OperationalDetail,MATCH("Transmission Swap Revenue",ODColumn,0),MATCH(V$7,ODRow,0)),0)</f>
        <v>0</v>
      </c>
      <c r="W23" s="202" t="n">
        <f aca="false">IF(W$5&gt;=1,INDEX(OperationalDetail,MATCH("Transmission Swap Revenue",ODColumn,0),MATCH(W$7,ODRow,0)),0)</f>
        <v>0</v>
      </c>
      <c r="X23" s="202" t="n">
        <f aca="false">IF(X$5&gt;=1,INDEX(OperationalDetail,MATCH("Transmission Swap Revenue",ODColumn,0),MATCH(X$7,ODRow,0)),0)</f>
        <v>0</v>
      </c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  <c r="DI23" s="113"/>
      <c r="DJ23" s="113"/>
      <c r="DK23" s="113"/>
      <c r="DL23" s="113"/>
      <c r="DM23" s="113"/>
      <c r="DN23" s="113"/>
      <c r="DO23" s="113"/>
      <c r="DP23" s="113"/>
      <c r="DQ23" s="113"/>
      <c r="DR23" s="113"/>
      <c r="DS23" s="113"/>
      <c r="DT23" s="113"/>
      <c r="DU23" s="113"/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3"/>
      <c r="FE23" s="113"/>
      <c r="FF23" s="113"/>
      <c r="FG23" s="113"/>
      <c r="FH23" s="113"/>
      <c r="FI23" s="113"/>
      <c r="FJ23" s="113"/>
      <c r="FK23" s="113"/>
      <c r="FL23" s="113"/>
      <c r="FM23" s="113"/>
      <c r="FN23" s="113"/>
      <c r="FO23" s="113"/>
      <c r="FP23" s="113"/>
      <c r="FQ23" s="113"/>
      <c r="FR23" s="113"/>
      <c r="FS23" s="113"/>
      <c r="FT23" s="113"/>
      <c r="FU23" s="113"/>
      <c r="FV23" s="113"/>
      <c r="FW23" s="113"/>
      <c r="FX23" s="113"/>
      <c r="FY23" s="113"/>
      <c r="FZ23" s="113"/>
      <c r="GA23" s="113"/>
      <c r="GB23" s="113"/>
      <c r="GC23" s="113"/>
      <c r="GD23" s="113"/>
      <c r="GE23" s="113"/>
      <c r="GF23" s="113"/>
      <c r="GG23" s="113"/>
      <c r="GH23" s="113"/>
      <c r="GI23" s="113"/>
      <c r="GJ23" s="113"/>
      <c r="GK23" s="113"/>
      <c r="GL23" s="113"/>
      <c r="GM23" s="113"/>
      <c r="GN23" s="113"/>
      <c r="GO23" s="113"/>
      <c r="GP23" s="113"/>
      <c r="GQ23" s="113"/>
      <c r="GR23" s="113"/>
      <c r="GS23" s="113"/>
      <c r="GT23" s="113"/>
      <c r="GU23" s="113"/>
      <c r="GV23" s="113"/>
      <c r="GW23" s="113"/>
      <c r="GX23" s="113"/>
      <c r="GY23" s="113"/>
      <c r="GZ23" s="113"/>
      <c r="HA23" s="113"/>
      <c r="HB23" s="113"/>
      <c r="HC23" s="113"/>
      <c r="HD23" s="113"/>
      <c r="HE23" s="113"/>
      <c r="HF23" s="113"/>
      <c r="HG23" s="113"/>
      <c r="HH23" s="113"/>
      <c r="HI23" s="113"/>
      <c r="HJ23" s="113"/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113"/>
      <c r="HV23" s="113"/>
      <c r="HW23" s="113"/>
      <c r="HX23" s="113"/>
      <c r="HY23" s="113"/>
      <c r="HZ23" s="113"/>
      <c r="IA23" s="113"/>
      <c r="IB23" s="113"/>
      <c r="IC23" s="113"/>
      <c r="ID23" s="113"/>
      <c r="IE23" s="113"/>
      <c r="IF23" s="113"/>
      <c r="IG23" s="113"/>
      <c r="IH23" s="113"/>
      <c r="II23" s="113"/>
      <c r="IJ23" s="113"/>
      <c r="IK23" s="113"/>
      <c r="IL23" s="113"/>
      <c r="IM23" s="113"/>
      <c r="IN23" s="113"/>
      <c r="IO23" s="113"/>
      <c r="IP23" s="113"/>
      <c r="IQ23" s="113"/>
      <c r="IR23" s="113"/>
      <c r="IS23" s="113"/>
      <c r="IT23" s="113"/>
      <c r="IU23" s="113"/>
      <c r="IV23" s="113"/>
      <c r="IW23" s="113"/>
    </row>
    <row r="24" customFormat="false" ht="11.25" hidden="false" customHeight="false" outlineLevel="0" collapsed="false">
      <c r="A24" s="113"/>
      <c r="B24" s="505" t="s">
        <v>525</v>
      </c>
      <c r="C24" s="571" t="n">
        <f aca="false">IF(C$5&gt;=1,INDEX(OperationalDetail,MATCH("Capacity Revenue ",ODColumn,0),MATCH(C$7,ODRow,0)),0)</f>
        <v>0</v>
      </c>
      <c r="D24" s="202" t="n">
        <f aca="false">IF(D$5&gt;=1,INDEX(OperationalDetail,MATCH("Capacity Revenue ",ODColumn,0),MATCH(D$7,ODRow,0)),0)</f>
        <v>0</v>
      </c>
      <c r="E24" s="202" t="n">
        <f aca="false">IF(E$5&gt;=1,INDEX(OperationalDetail,MATCH("Capacity Revenue ",ODColumn,0),MATCH(E$7,ODRow,0)),0)</f>
        <v>0</v>
      </c>
      <c r="F24" s="202" t="n">
        <f aca="false">IF(F$5&gt;=1,INDEX(OperationalDetail,MATCH("Capacity Revenue ",ODColumn,0),MATCH(F$7,ODRow,0)),0)</f>
        <v>0</v>
      </c>
      <c r="G24" s="202" t="n">
        <f aca="false">IF(G$5&gt;=1,INDEX(OperationalDetail,MATCH("Capacity Revenue ",ODColumn,0),MATCH(G$7,ODRow,0)),0)</f>
        <v>0</v>
      </c>
      <c r="H24" s="202" t="n">
        <f aca="false">IF(H$5&gt;=1,INDEX(OperationalDetail,MATCH("Capacity Revenue ",ODColumn,0),MATCH(H$7,ODRow,0)),0)</f>
        <v>0</v>
      </c>
      <c r="I24" s="202" t="n">
        <f aca="false">IF(I$5&gt;=1,INDEX(OperationalDetail,MATCH("Capacity Revenue ",ODColumn,0),MATCH(I$7,ODRow,0)),0)</f>
        <v>0</v>
      </c>
      <c r="J24" s="202" t="n">
        <f aca="false">IF(J$5&gt;=1,INDEX(OperationalDetail,MATCH("Capacity Revenue ",ODColumn,0),MATCH(J$7,ODRow,0)),0)</f>
        <v>0</v>
      </c>
      <c r="K24" s="202" t="n">
        <f aca="false">IF(K$5&gt;=1,INDEX(OperationalDetail,MATCH("Capacity Revenue ",ODColumn,0),MATCH(K$7,ODRow,0)),0)</f>
        <v>0</v>
      </c>
      <c r="L24" s="202" t="n">
        <f aca="false">IF(L$5&gt;=1,INDEX(OperationalDetail,MATCH("Capacity Revenue ",ODColumn,0),MATCH(L$7,ODRow,0)),0)</f>
        <v>0</v>
      </c>
      <c r="M24" s="202" t="n">
        <f aca="false">IF(M$5&gt;=1,INDEX(OperationalDetail,MATCH("Capacity Revenue ",ODColumn,0),MATCH(M$7,ODRow,0)),0)</f>
        <v>0</v>
      </c>
      <c r="N24" s="202" t="n">
        <f aca="false">IF(N$5&gt;=1,INDEX(OperationalDetail,MATCH("Capacity Revenue ",ODColumn,0),MATCH(N$7,ODRow,0)),0)</f>
        <v>0</v>
      </c>
      <c r="O24" s="202" t="n">
        <f aca="false">IF(O$5&gt;=1,INDEX(OperationalDetail,MATCH("Capacity Revenue ",ODColumn,0),MATCH(O$7,ODRow,0)),0)</f>
        <v>0</v>
      </c>
      <c r="P24" s="202" t="n">
        <f aca="false">IF(P$5&gt;=1,INDEX(OperationalDetail,MATCH("Capacity Revenue ",ODColumn,0),MATCH(P$7,ODRow,0)),0)</f>
        <v>0</v>
      </c>
      <c r="Q24" s="202" t="n">
        <f aca="false">IF(Q$5&gt;=1,INDEX(OperationalDetail,MATCH("Capacity Revenue ",ODColumn,0),MATCH(Q$7,ODRow,0)),0)</f>
        <v>0</v>
      </c>
      <c r="R24" s="202" t="n">
        <f aca="false">IF(R$5&gt;=1,INDEX(OperationalDetail,MATCH("Capacity Revenue ",ODColumn,0),MATCH(R$7,ODRow,0)),0)</f>
        <v>0</v>
      </c>
      <c r="S24" s="202" t="n">
        <f aca="false">IF(S$5&gt;=1,INDEX(OperationalDetail,MATCH("Capacity Revenue ",ODColumn,0),MATCH(S$7,ODRow,0)),0)</f>
        <v>0</v>
      </c>
      <c r="T24" s="202" t="n">
        <f aca="false">IF(T$5&gt;=1,INDEX(OperationalDetail,MATCH("Capacity Revenue ",ODColumn,0),MATCH(T$7,ODRow,0)),0)</f>
        <v>0</v>
      </c>
      <c r="U24" s="202" t="n">
        <f aca="false">IF(U$5&gt;=1,INDEX(OperationalDetail,MATCH("Capacity Revenue ",ODColumn,0),MATCH(U$7,ODRow,0)),0)</f>
        <v>0</v>
      </c>
      <c r="V24" s="202" t="n">
        <f aca="false">IF(V$5&gt;=1,INDEX(OperationalDetail,MATCH("Capacity Revenue ",ODColumn,0),MATCH(V$7,ODRow,0)),0)</f>
        <v>0</v>
      </c>
      <c r="W24" s="202" t="n">
        <f aca="false">IF(W$5&gt;=1,INDEX(OperationalDetail,MATCH("Capacity Revenue ",ODColumn,0),MATCH(W$7,ODRow,0)),0)</f>
        <v>0</v>
      </c>
      <c r="X24" s="202" t="n">
        <f aca="false">IF(X$5&gt;=1,INDEX(OperationalDetail,MATCH("Capacity Revenue ",ODColumn,0),MATCH(X$7,ODRow,0)),0)</f>
        <v>0</v>
      </c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</row>
    <row r="25" customFormat="false" ht="11.25" hidden="false" customHeight="false" outlineLevel="0" collapsed="false">
      <c r="A25" s="113"/>
      <c r="B25" s="505" t="s">
        <v>526</v>
      </c>
      <c r="C25" s="571"/>
      <c r="D25" s="202" t="n">
        <f aca="false">IF(D$5&gt;=1,INDEX(OperationalDetail,MATCH("Extrinsic Value CDN $ ",ODColumn,0),MATCH(D$7,ODRow,0)),0)</f>
        <v>0</v>
      </c>
      <c r="E25" s="202" t="n">
        <f aca="false">IF(E$5&gt;=1,INDEX(OperationalDetail,MATCH("Extrinsic Value CDN $ ",ODColumn,0),MATCH(E$7,ODRow,0)),0)</f>
        <v>4890.2202465738</v>
      </c>
      <c r="F25" s="202" t="n">
        <f aca="false">IF(F$5&gt;=1,INDEX(OperationalDetail,MATCH("Extrinsic Value CDN $ ",ODColumn,0),MATCH(F$7,ODRow,0)),0)</f>
        <v>4977.76098126894</v>
      </c>
      <c r="G25" s="202" t="n">
        <f aca="false">IF(G$5&gt;=1,INDEX(OperationalDetail,MATCH("Extrinsic Value CDN $ ",ODColumn,0),MATCH(G$7,ODRow,0)),0)</f>
        <v>4556.65969991739</v>
      </c>
      <c r="H25" s="202" t="n">
        <f aca="false">IF(H$5&gt;=1,INDEX(OperationalDetail,MATCH("Extrinsic Value CDN $ ",ODColumn,0),MATCH(H$7,ODRow,0)),0)</f>
        <v>3343.41434524008</v>
      </c>
      <c r="I25" s="202" t="n">
        <f aca="false">IF(I$5&gt;=1,INDEX(OperationalDetail,MATCH("Extrinsic Value CDN $ ",ODColumn,0),MATCH(I$7,ODRow,0)),0)</f>
        <v>2681.39761400188</v>
      </c>
      <c r="J25" s="202" t="n">
        <f aca="false">IF(J$5&gt;=1,INDEX(OperationalDetail,MATCH("Extrinsic Value CDN $ ",ODColumn,0),MATCH(J$7,ODRow,0)),0)</f>
        <v>2532.99902740862</v>
      </c>
      <c r="K25" s="202" t="n">
        <f aca="false">IF(K$5&gt;=1,INDEX(OperationalDetail,MATCH("Extrinsic Value CDN $ ",ODColumn,0),MATCH(K$7,ODRow,0)),0)</f>
        <v>2477.41116464088</v>
      </c>
      <c r="L25" s="202" t="n">
        <f aca="false">IF(L$5&gt;=1,INDEX(OperationalDetail,MATCH("Extrinsic Value CDN $ ",ODColumn,0),MATCH(L$7,ODRow,0)),0)</f>
        <v>1471.70913506012</v>
      </c>
      <c r="M25" s="202" t="n">
        <f aca="false">IF(M$5&gt;=1,INDEX(OperationalDetail,MATCH("Extrinsic Value CDN $ ",ODColumn,0),MATCH(M$7,ODRow,0)),0)</f>
        <v>1303.17721483674</v>
      </c>
      <c r="N25" s="202" t="n">
        <f aca="false">IF(N$5&gt;=1,INDEX(OperationalDetail,MATCH("Extrinsic Value CDN $ ",ODColumn,0),MATCH(N$7,ODRow,0)),0)</f>
        <v>1346.85524539206</v>
      </c>
      <c r="O25" s="202" t="n">
        <f aca="false">IF(O$5&gt;=1,INDEX(OperationalDetail,MATCH("Extrinsic Value CDN $ ",ODColumn,0),MATCH(O$7,ODRow,0)),0)</f>
        <v>1347.57465589324</v>
      </c>
      <c r="P25" s="202" t="n">
        <f aca="false">IF(P$5&gt;=1,INDEX(OperationalDetail,MATCH("Extrinsic Value CDN $ ",ODColumn,0),MATCH(P$7,ODRow,0)),0)</f>
        <v>1294.45486009309</v>
      </c>
      <c r="Q25" s="202" t="n">
        <f aca="false">IF(Q$5&gt;=1,INDEX(OperationalDetail,MATCH("Extrinsic Value CDN $ ",ODColumn,0),MATCH(Q$7,ODRow,0)),0)</f>
        <v>1279.10557353375</v>
      </c>
      <c r="R25" s="202" t="n">
        <f aca="false">IF(R$5&gt;=1,INDEX(OperationalDetail,MATCH("Extrinsic Value CDN $ ",ODColumn,0),MATCH(R$7,ODRow,0)),0)</f>
        <v>1358.739993613</v>
      </c>
      <c r="S25" s="202" t="n">
        <f aca="false">IF(S$5&gt;=1,INDEX(OperationalDetail,MATCH("Extrinsic Value CDN $ ",ODColumn,0),MATCH(S$7,ODRow,0)),0)</f>
        <v>1271.52133039969</v>
      </c>
      <c r="T25" s="202" t="n">
        <f aca="false">IF(T$5&gt;=1,INDEX(OperationalDetail,MATCH("Extrinsic Value CDN $ ",ODColumn,0),MATCH(T$7,ODRow,0)),0)</f>
        <v>0</v>
      </c>
      <c r="U25" s="202" t="n">
        <f aca="false">IF(U$5&gt;=1,INDEX(OperationalDetail,MATCH("Extrinsic Value CDN $ ",ODColumn,0),MATCH(U$7,ODRow,0)),0)</f>
        <v>0</v>
      </c>
      <c r="V25" s="202" t="n">
        <f aca="false">IF(V$5&gt;=1,INDEX(OperationalDetail,MATCH("Extrinsic Value CDN $ ",ODColumn,0),MATCH(V$7,ODRow,0)),0)</f>
        <v>0</v>
      </c>
      <c r="W25" s="202" t="n">
        <f aca="false">IF(W$5&gt;=1,INDEX(OperationalDetail,MATCH("Extrinsic Value CDN $ ",ODColumn,0),MATCH(W$7,ODRow,0)),0)</f>
        <v>0</v>
      </c>
      <c r="X25" s="202" t="n">
        <f aca="false">IF(X$5&gt;=1,INDEX(OperationalDetail,MATCH("Extrinsic Value CDN $ ",ODColumn,0),MATCH(X$7,ODRow,0)),0)</f>
        <v>0</v>
      </c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3"/>
      <c r="CY25" s="113"/>
      <c r="CZ25" s="113"/>
      <c r="DA25" s="113"/>
      <c r="DB25" s="113"/>
      <c r="DC25" s="113"/>
      <c r="DD25" s="113"/>
      <c r="DE25" s="113"/>
      <c r="DF25" s="113"/>
      <c r="DG25" s="113"/>
      <c r="DH25" s="113"/>
      <c r="DI25" s="113"/>
      <c r="DJ25" s="113"/>
      <c r="DK25" s="113"/>
      <c r="DL25" s="113"/>
      <c r="DM25" s="113"/>
      <c r="DN25" s="113"/>
      <c r="DO25" s="113"/>
      <c r="DP25" s="113"/>
      <c r="DQ25" s="113"/>
      <c r="DR25" s="113"/>
      <c r="DS25" s="113"/>
      <c r="DT25" s="113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3"/>
      <c r="FE25" s="113"/>
      <c r="FF25" s="113"/>
      <c r="FG25" s="113"/>
      <c r="FH25" s="113"/>
      <c r="FI25" s="113"/>
      <c r="FJ25" s="113"/>
      <c r="FK25" s="113"/>
      <c r="FL25" s="113"/>
      <c r="FM25" s="113"/>
      <c r="FN25" s="113"/>
      <c r="FO25" s="113"/>
      <c r="FP25" s="113"/>
      <c r="FQ25" s="113"/>
      <c r="FR25" s="113"/>
      <c r="FS25" s="113"/>
      <c r="FT25" s="113"/>
      <c r="FU25" s="113"/>
      <c r="FV25" s="113"/>
      <c r="FW25" s="113"/>
      <c r="FX25" s="113"/>
      <c r="FY25" s="113"/>
      <c r="FZ25" s="113"/>
      <c r="GA25" s="113"/>
      <c r="GB25" s="113"/>
      <c r="GC25" s="113"/>
      <c r="GD25" s="113"/>
      <c r="GE25" s="113"/>
      <c r="GF25" s="113"/>
      <c r="GG25" s="113"/>
      <c r="GH25" s="113"/>
      <c r="GI25" s="113"/>
      <c r="GJ25" s="113"/>
      <c r="GK25" s="113"/>
      <c r="GL25" s="113"/>
      <c r="GM25" s="113"/>
      <c r="GN25" s="113"/>
      <c r="GO25" s="113"/>
      <c r="GP25" s="113"/>
      <c r="GQ25" s="113"/>
      <c r="GR25" s="113"/>
      <c r="GS25" s="113"/>
      <c r="GT25" s="113"/>
      <c r="GU25" s="113"/>
      <c r="GV25" s="113"/>
      <c r="GW25" s="113"/>
      <c r="GX25" s="113"/>
      <c r="GY25" s="113"/>
      <c r="GZ25" s="113"/>
      <c r="HA25" s="113"/>
      <c r="HB25" s="113"/>
      <c r="HC25" s="113"/>
      <c r="HD25" s="113"/>
      <c r="HE25" s="113"/>
      <c r="HF25" s="113"/>
      <c r="HG25" s="113"/>
      <c r="HH25" s="113"/>
      <c r="HI25" s="113"/>
      <c r="HJ25" s="113"/>
      <c r="HK25" s="113"/>
      <c r="HL25" s="113"/>
      <c r="HM25" s="113"/>
      <c r="HN25" s="113"/>
      <c r="HO25" s="113"/>
      <c r="HP25" s="113"/>
      <c r="HQ25" s="113"/>
      <c r="HR25" s="113"/>
      <c r="HS25" s="113"/>
      <c r="HT25" s="113"/>
      <c r="HU25" s="113"/>
      <c r="HV25" s="113"/>
      <c r="HW25" s="113"/>
      <c r="HX25" s="113"/>
      <c r="HY25" s="113"/>
      <c r="HZ25" s="113"/>
      <c r="IA25" s="113"/>
      <c r="IB25" s="113"/>
      <c r="IC25" s="113"/>
      <c r="ID25" s="113"/>
      <c r="IE25" s="113"/>
      <c r="IF25" s="113"/>
      <c r="IG25" s="113"/>
      <c r="IH25" s="113"/>
      <c r="II25" s="113"/>
      <c r="IJ25" s="113"/>
      <c r="IK25" s="113"/>
      <c r="IL25" s="113"/>
      <c r="IM25" s="113"/>
      <c r="IN25" s="113"/>
      <c r="IO25" s="113"/>
      <c r="IP25" s="113"/>
      <c r="IQ25" s="113"/>
      <c r="IR25" s="113"/>
      <c r="IS25" s="113"/>
      <c r="IT25" s="113"/>
      <c r="IU25" s="113"/>
      <c r="IV25" s="113"/>
      <c r="IW25" s="113"/>
    </row>
    <row r="26" customFormat="false" ht="11.25" hidden="false" customHeight="false" outlineLevel="0" collapsed="false">
      <c r="A26" s="295"/>
      <c r="B26" s="508" t="s">
        <v>527</v>
      </c>
      <c r="C26" s="571"/>
      <c r="D26" s="202" t="n">
        <f aca="false">IF(D$5&gt;=1,INDEX(OperationalDetail,MATCH("Royalty Income on Fuel Conversion",ODColumn,0),MATCH(D$7,ODRow,0)),0)</f>
        <v>0</v>
      </c>
      <c r="E26" s="202" t="n">
        <f aca="false">IF(E$5&gt;=1,INDEX(OperationalDetail,MATCH("Royalty Income on Fuel Conversion",ODColumn,0),MATCH(E$7,ODRow,0)),0)</f>
        <v>0</v>
      </c>
      <c r="F26" s="202" t="n">
        <f aca="false">IF(F$5&gt;=1,INDEX(OperationalDetail,MATCH("Royalty Income on Fuel Conversion",ODColumn,0),MATCH(F$7,ODRow,0)),0)</f>
        <v>0</v>
      </c>
      <c r="G26" s="202" t="n">
        <f aca="false">IF(G$5&gt;=1,INDEX(OperationalDetail,MATCH("Royalty Income on Fuel Conversion",ODColumn,0),MATCH(G$7,ODRow,0)),0)</f>
        <v>0</v>
      </c>
      <c r="H26" s="202" t="n">
        <f aca="false">IF(H$5&gt;=1,INDEX(OperationalDetail,MATCH("Royalty Income on Fuel Conversion",ODColumn,0),MATCH(H$7,ODRow,0)),0)</f>
        <v>0</v>
      </c>
      <c r="I26" s="202" t="n">
        <f aca="false">IF(I$5&gt;=1,INDEX(OperationalDetail,MATCH("Royalty Income on Fuel Conversion",ODColumn,0),MATCH(I$7,ODRow,0)),0)</f>
        <v>0</v>
      </c>
      <c r="J26" s="202" t="n">
        <f aca="false">IF(J$5&gt;=1,INDEX(OperationalDetail,MATCH("Royalty Income on Fuel Conversion",ODColumn,0),MATCH(J$7,ODRow,0)),0)</f>
        <v>0</v>
      </c>
      <c r="K26" s="202" t="n">
        <f aca="false">IF(K$5&gt;=1,INDEX(OperationalDetail,MATCH("Royalty Income on Fuel Conversion",ODColumn,0),MATCH(K$7,ODRow,0)),0)</f>
        <v>0</v>
      </c>
      <c r="L26" s="202" t="n">
        <f aca="false">IF(L$5&gt;=1,INDEX(OperationalDetail,MATCH("Royalty Income on Fuel Conversion",ODColumn,0),MATCH(L$7,ODRow,0)),0)</f>
        <v>0</v>
      </c>
      <c r="M26" s="202" t="n">
        <f aca="false">IF(M$5&gt;=1,INDEX(OperationalDetail,MATCH("Royalty Income on Fuel Conversion",ODColumn,0),MATCH(M$7,ODRow,0)),0)</f>
        <v>0</v>
      </c>
      <c r="N26" s="202" t="n">
        <f aca="false">IF(N$5&gt;=1,INDEX(OperationalDetail,MATCH("Royalty Income on Fuel Conversion",ODColumn,0),MATCH(N$7,ODRow,0)),0)</f>
        <v>0</v>
      </c>
      <c r="O26" s="202" t="n">
        <f aca="false">IF(O$5&gt;=1,INDEX(OperationalDetail,MATCH("Royalty Income on Fuel Conversion",ODColumn,0),MATCH(O$7,ODRow,0)),0)</f>
        <v>0</v>
      </c>
      <c r="P26" s="202" t="n">
        <f aca="false">IF(P$5&gt;=1,INDEX(OperationalDetail,MATCH("Royalty Income on Fuel Conversion",ODColumn,0),MATCH(P$7,ODRow,0)),0)</f>
        <v>0</v>
      </c>
      <c r="Q26" s="202" t="n">
        <f aca="false">IF(Q$5&gt;=1,INDEX(OperationalDetail,MATCH("Royalty Income on Fuel Conversion",ODColumn,0),MATCH(Q$7,ODRow,0)),0)</f>
        <v>0</v>
      </c>
      <c r="R26" s="202" t="n">
        <f aca="false">IF(R$5&gt;=1,INDEX(OperationalDetail,MATCH("Royalty Income on Fuel Conversion",ODColumn,0),MATCH(R$7,ODRow,0)),0)</f>
        <v>0</v>
      </c>
      <c r="S26" s="202" t="n">
        <f aca="false">IF(S$5&gt;=1,INDEX(OperationalDetail,MATCH("Royalty Income on Fuel Conversion",ODColumn,0),MATCH(S$7,ODRow,0)),0)</f>
        <v>0</v>
      </c>
      <c r="T26" s="202" t="n">
        <f aca="false">IF(T$5&gt;=1,INDEX(OperationalDetail,MATCH("Royalty Income on Fuel Conversion",ODColumn,0),MATCH(T$7,ODRow,0)),0)</f>
        <v>0</v>
      </c>
      <c r="U26" s="202" t="n">
        <f aca="false">IF(U$5&gt;=1,INDEX(OperationalDetail,MATCH("Royalty Income on Fuel Conversion",ODColumn,0),MATCH(U$7,ODRow,0)),0)</f>
        <v>0</v>
      </c>
      <c r="V26" s="202" t="n">
        <f aca="false">IF(V$5&gt;=1,INDEX(OperationalDetail,MATCH("Royalty Income on Fuel Conversion",ODColumn,0),MATCH(V$7,ODRow,0)),0)</f>
        <v>0</v>
      </c>
      <c r="W26" s="202" t="n">
        <f aca="false">IF(W$5&gt;=1,INDEX(OperationalDetail,MATCH("Royalty Income on Fuel Conversion",ODColumn,0),MATCH(W$7,ODRow,0)),0)</f>
        <v>0</v>
      </c>
      <c r="X26" s="202" t="n">
        <f aca="false">IF(X$5&gt;=1,INDEX(OperationalDetail,MATCH("Royalty Income on Fuel Conversion",ODColumn,0),MATCH(X$7,ODRow,0)),0)</f>
        <v>0</v>
      </c>
      <c r="Y26" s="202"/>
      <c r="Z26" s="202"/>
      <c r="AA26" s="202"/>
      <c r="AB26" s="202"/>
      <c r="AC26" s="202"/>
      <c r="AD26" s="202"/>
      <c r="AE26" s="202"/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5"/>
      <c r="BS26" s="295"/>
      <c r="BT26" s="295"/>
      <c r="BU26" s="295"/>
      <c r="BV26" s="295"/>
      <c r="BW26" s="295"/>
      <c r="BX26" s="295"/>
      <c r="BY26" s="295"/>
      <c r="BZ26" s="295"/>
      <c r="CA26" s="295"/>
      <c r="CB26" s="295"/>
      <c r="CC26" s="295"/>
      <c r="CD26" s="295"/>
      <c r="CE26" s="295"/>
      <c r="CF26" s="295"/>
      <c r="CG26" s="295"/>
      <c r="CH26" s="295"/>
      <c r="CI26" s="295"/>
      <c r="CJ26" s="295"/>
      <c r="CK26" s="295"/>
      <c r="CL26" s="295"/>
      <c r="CM26" s="295"/>
      <c r="CN26" s="295"/>
      <c r="CO26" s="295"/>
      <c r="CP26" s="295"/>
      <c r="CQ26" s="295"/>
      <c r="CR26" s="295"/>
      <c r="CS26" s="295"/>
      <c r="CT26" s="295"/>
      <c r="CU26" s="295"/>
      <c r="CV26" s="295"/>
      <c r="CW26" s="295"/>
      <c r="CX26" s="295"/>
      <c r="CY26" s="295"/>
      <c r="CZ26" s="295"/>
      <c r="DA26" s="295"/>
      <c r="DB26" s="295"/>
      <c r="DC26" s="295"/>
      <c r="DD26" s="295"/>
      <c r="DE26" s="295"/>
      <c r="DF26" s="295"/>
      <c r="DG26" s="295"/>
      <c r="DH26" s="295"/>
      <c r="DI26" s="295"/>
      <c r="DJ26" s="295"/>
      <c r="DK26" s="295"/>
      <c r="DL26" s="295"/>
      <c r="DM26" s="295"/>
      <c r="DN26" s="295"/>
      <c r="DO26" s="295"/>
      <c r="DP26" s="295"/>
      <c r="DQ26" s="295"/>
      <c r="DR26" s="295"/>
      <c r="DS26" s="295"/>
      <c r="DT26" s="295"/>
      <c r="DU26" s="295"/>
      <c r="DV26" s="295"/>
      <c r="DW26" s="295"/>
      <c r="DX26" s="295"/>
      <c r="DY26" s="295"/>
      <c r="DZ26" s="295"/>
      <c r="EA26" s="295"/>
      <c r="EB26" s="295"/>
      <c r="EC26" s="295"/>
      <c r="ED26" s="295"/>
      <c r="EE26" s="295"/>
      <c r="EF26" s="295"/>
      <c r="EG26" s="295"/>
      <c r="EH26" s="295"/>
      <c r="EI26" s="295"/>
      <c r="EJ26" s="295"/>
      <c r="EK26" s="295"/>
      <c r="EL26" s="295"/>
      <c r="EM26" s="295"/>
      <c r="EN26" s="295"/>
      <c r="EO26" s="295"/>
      <c r="EP26" s="295"/>
      <c r="EQ26" s="295"/>
      <c r="ER26" s="295"/>
      <c r="ES26" s="295"/>
      <c r="ET26" s="295"/>
      <c r="EU26" s="295"/>
      <c r="EV26" s="295"/>
      <c r="EW26" s="295"/>
      <c r="EX26" s="295"/>
      <c r="EY26" s="295"/>
      <c r="EZ26" s="295"/>
      <c r="FA26" s="295"/>
      <c r="FB26" s="295"/>
      <c r="FC26" s="295"/>
      <c r="FD26" s="295"/>
      <c r="FE26" s="295"/>
      <c r="FF26" s="295"/>
      <c r="FG26" s="295"/>
      <c r="FH26" s="295"/>
      <c r="FI26" s="295"/>
      <c r="FJ26" s="295"/>
      <c r="FK26" s="295"/>
      <c r="FL26" s="295"/>
      <c r="FM26" s="295"/>
      <c r="FN26" s="295"/>
      <c r="FO26" s="295"/>
      <c r="FP26" s="295"/>
      <c r="FQ26" s="295"/>
      <c r="FR26" s="295"/>
      <c r="FS26" s="295"/>
      <c r="FT26" s="295"/>
      <c r="FU26" s="295"/>
      <c r="FV26" s="295"/>
      <c r="FW26" s="295"/>
      <c r="FX26" s="295"/>
      <c r="FY26" s="295"/>
      <c r="FZ26" s="295"/>
      <c r="GA26" s="295"/>
      <c r="GB26" s="295"/>
      <c r="GC26" s="295"/>
      <c r="GD26" s="295"/>
      <c r="GE26" s="295"/>
      <c r="GF26" s="295"/>
      <c r="GG26" s="295"/>
      <c r="GH26" s="295"/>
      <c r="GI26" s="295"/>
      <c r="GJ26" s="295"/>
      <c r="GK26" s="295"/>
      <c r="GL26" s="295"/>
      <c r="GM26" s="295"/>
      <c r="GN26" s="295"/>
      <c r="GO26" s="295"/>
      <c r="GP26" s="295"/>
      <c r="GQ26" s="295"/>
      <c r="GR26" s="295"/>
      <c r="GS26" s="295"/>
      <c r="GT26" s="295"/>
      <c r="GU26" s="295"/>
      <c r="GV26" s="295"/>
      <c r="GW26" s="295"/>
      <c r="GX26" s="295"/>
      <c r="GY26" s="295"/>
      <c r="GZ26" s="295"/>
      <c r="HA26" s="295"/>
      <c r="HB26" s="295"/>
      <c r="HC26" s="295"/>
      <c r="HD26" s="295"/>
      <c r="HE26" s="295"/>
      <c r="HF26" s="295"/>
      <c r="HG26" s="295"/>
      <c r="HH26" s="295"/>
      <c r="HI26" s="295"/>
      <c r="HJ26" s="295"/>
      <c r="HK26" s="295"/>
      <c r="HL26" s="295"/>
      <c r="HM26" s="295"/>
      <c r="HN26" s="295"/>
      <c r="HO26" s="295"/>
      <c r="HP26" s="295"/>
      <c r="HQ26" s="295"/>
      <c r="HR26" s="295"/>
      <c r="HS26" s="295"/>
      <c r="HT26" s="295"/>
      <c r="HU26" s="295"/>
      <c r="HV26" s="295"/>
      <c r="HW26" s="295"/>
      <c r="HX26" s="295"/>
      <c r="HY26" s="295"/>
      <c r="HZ26" s="295"/>
      <c r="IA26" s="295"/>
      <c r="IB26" s="295"/>
      <c r="IC26" s="295"/>
      <c r="ID26" s="295"/>
      <c r="IE26" s="295"/>
      <c r="IF26" s="295"/>
      <c r="IG26" s="295"/>
      <c r="IH26" s="295"/>
      <c r="II26" s="295"/>
      <c r="IJ26" s="295"/>
      <c r="IK26" s="295"/>
      <c r="IL26" s="295"/>
      <c r="IM26" s="295"/>
      <c r="IN26" s="295"/>
      <c r="IO26" s="295"/>
      <c r="IP26" s="295"/>
      <c r="IQ26" s="295"/>
      <c r="IR26" s="295"/>
      <c r="IS26" s="295"/>
      <c r="IT26" s="295"/>
      <c r="IU26" s="295"/>
      <c r="IV26" s="295"/>
      <c r="IW26" s="295"/>
    </row>
    <row r="27" customFormat="false" ht="11.25" hidden="false" customHeight="false" outlineLevel="0" collapsed="false">
      <c r="A27" s="113"/>
      <c r="B27" s="505" t="s">
        <v>468</v>
      </c>
      <c r="C27" s="571" t="n">
        <f aca="false">IF(C$5&gt;=1,INDEX(OperationalDetail,MATCH("Start Revenue",ODColumn,0),MATCH(C$7,ODRow,0)),0)</f>
        <v>0</v>
      </c>
      <c r="D27" s="202" t="n">
        <f aca="false">IF(D$5&gt;=1,INDEX(OperationalDetail,MATCH("Start Revenue",ODColumn,0),MATCH(D$7,ODRow,0)),0)</f>
        <v>0</v>
      </c>
      <c r="E27" s="202" t="n">
        <f aca="false">IF(E$5&gt;=1,INDEX(OperationalDetail,MATCH("Start Revenue",ODColumn,0),MATCH(E$7,ODRow,0)),0)</f>
        <v>0</v>
      </c>
      <c r="F27" s="202" t="n">
        <f aca="false">IF(F$5&gt;=1,INDEX(OperationalDetail,MATCH("Start Revenue",ODColumn,0),MATCH(F$7,ODRow,0)),0)</f>
        <v>0</v>
      </c>
      <c r="G27" s="202" t="n">
        <f aca="false">IF(G$5&gt;=1,INDEX(OperationalDetail,MATCH("Start Revenue",ODColumn,0),MATCH(G$7,ODRow,0)),0)</f>
        <v>0</v>
      </c>
      <c r="H27" s="202" t="n">
        <f aca="false">IF(H$5&gt;=1,INDEX(OperationalDetail,MATCH("Start Revenue",ODColumn,0),MATCH(H$7,ODRow,0)),0)</f>
        <v>0</v>
      </c>
      <c r="I27" s="202" t="n">
        <f aca="false">IF(I$5&gt;=1,INDEX(OperationalDetail,MATCH("Start Revenue",ODColumn,0),MATCH(I$7,ODRow,0)),0)</f>
        <v>0</v>
      </c>
      <c r="J27" s="202" t="n">
        <f aca="false">IF(J$5&gt;=1,INDEX(OperationalDetail,MATCH("Start Revenue",ODColumn,0),MATCH(J$7,ODRow,0)),0)</f>
        <v>0</v>
      </c>
      <c r="K27" s="202" t="n">
        <f aca="false">IF(K$5&gt;=1,INDEX(OperationalDetail,MATCH("Start Revenue",ODColumn,0),MATCH(K$7,ODRow,0)),0)</f>
        <v>0</v>
      </c>
      <c r="L27" s="202" t="n">
        <f aca="false">IF(L$5&gt;=1,INDEX(OperationalDetail,MATCH("Start Revenue",ODColumn,0),MATCH(L$7,ODRow,0)),0)</f>
        <v>0</v>
      </c>
      <c r="M27" s="202" t="n">
        <f aca="false">IF(M$5&gt;=1,INDEX(OperationalDetail,MATCH("Start Revenue",ODColumn,0),MATCH(M$7,ODRow,0)),0)</f>
        <v>0</v>
      </c>
      <c r="N27" s="202" t="n">
        <f aca="false">IF(N$5&gt;=1,INDEX(OperationalDetail,MATCH("Start Revenue",ODColumn,0),MATCH(N$7,ODRow,0)),0)</f>
        <v>0</v>
      </c>
      <c r="O27" s="202" t="n">
        <f aca="false">IF(O$5&gt;=1,INDEX(OperationalDetail,MATCH("Start Revenue",ODColumn,0),MATCH(O$7,ODRow,0)),0)</f>
        <v>0</v>
      </c>
      <c r="P27" s="202" t="n">
        <f aca="false">IF(P$5&gt;=1,INDEX(OperationalDetail,MATCH("Start Revenue",ODColumn,0),MATCH(P$7,ODRow,0)),0)</f>
        <v>0</v>
      </c>
      <c r="Q27" s="202" t="n">
        <f aca="false">IF(Q$5&gt;=1,INDEX(OperationalDetail,MATCH("Start Revenue",ODColumn,0),MATCH(Q$7,ODRow,0)),0)</f>
        <v>0</v>
      </c>
      <c r="R27" s="202" t="n">
        <f aca="false">IF(R$5&gt;=1,INDEX(OperationalDetail,MATCH("Start Revenue",ODColumn,0),MATCH(R$7,ODRow,0)),0)</f>
        <v>0</v>
      </c>
      <c r="S27" s="202" t="n">
        <f aca="false">IF(S$5&gt;=1,INDEX(OperationalDetail,MATCH("Start Revenue",ODColumn,0),MATCH(S$7,ODRow,0)),0)</f>
        <v>0</v>
      </c>
      <c r="T27" s="202" t="n">
        <f aca="false">IF(T$5&gt;=1,INDEX(OperationalDetail,MATCH("Start Revenue",ODColumn,0),MATCH(T$7,ODRow,0)),0)</f>
        <v>0</v>
      </c>
      <c r="U27" s="202" t="n">
        <f aca="false">IF(U$5&gt;=1,INDEX(OperationalDetail,MATCH("Start Revenue",ODColumn,0),MATCH(U$7,ODRow,0)),0)</f>
        <v>0</v>
      </c>
      <c r="V27" s="202" t="n">
        <f aca="false">IF(V$5&gt;=1,INDEX(OperationalDetail,MATCH("Start Revenue",ODColumn,0),MATCH(V$7,ODRow,0)),0)</f>
        <v>0</v>
      </c>
      <c r="W27" s="202" t="n">
        <f aca="false">IF(W$5&gt;=1,INDEX(OperationalDetail,MATCH("Start Revenue",ODColumn,0),MATCH(W$7,ODRow,0)),0)</f>
        <v>0</v>
      </c>
      <c r="X27" s="202" t="n">
        <f aca="false">IF(X$5&gt;=1,INDEX(OperationalDetail,MATCH("Start Revenue",ODColumn,0),MATCH(X$7,ODRow,0)),0)</f>
        <v>0</v>
      </c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  <c r="IU27" s="113"/>
      <c r="IV27" s="113"/>
      <c r="IW27" s="113"/>
    </row>
    <row r="28" customFormat="false" ht="11.25" hidden="false" customHeight="false" outlineLevel="0" collapsed="false">
      <c r="A28" s="113"/>
      <c r="B28" s="505"/>
      <c r="C28" s="573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  <c r="AA28" s="372"/>
      <c r="AB28" s="372"/>
      <c r="AC28" s="372"/>
      <c r="AD28" s="372"/>
      <c r="AE28" s="372"/>
      <c r="AF28" s="372"/>
      <c r="AG28" s="372"/>
      <c r="AH28" s="372"/>
      <c r="AI28" s="372"/>
      <c r="AJ28" s="372"/>
      <c r="AK28" s="372"/>
      <c r="AL28" s="372"/>
      <c r="AM28" s="372"/>
      <c r="AN28" s="372"/>
      <c r="AO28" s="372"/>
      <c r="AP28" s="372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113"/>
      <c r="CA28" s="113"/>
      <c r="CB28" s="113"/>
      <c r="CC28" s="113"/>
      <c r="CD28" s="113"/>
      <c r="CE28" s="113"/>
      <c r="CF28" s="113"/>
      <c r="CG28" s="113"/>
      <c r="CH28" s="113"/>
      <c r="CI28" s="113"/>
      <c r="CJ28" s="113"/>
      <c r="CK28" s="113"/>
      <c r="CL28" s="113"/>
      <c r="CM28" s="113"/>
      <c r="CN28" s="113"/>
      <c r="CO28" s="113"/>
      <c r="CP28" s="113"/>
      <c r="CQ28" s="113"/>
      <c r="CR28" s="113"/>
      <c r="CS28" s="113"/>
      <c r="CT28" s="113"/>
      <c r="CU28" s="113"/>
      <c r="CV28" s="113"/>
      <c r="CW28" s="113"/>
      <c r="CX28" s="113"/>
      <c r="CY28" s="113"/>
      <c r="CZ28" s="113"/>
      <c r="DA28" s="113"/>
      <c r="DB28" s="113"/>
      <c r="DC28" s="113"/>
      <c r="DD28" s="113"/>
      <c r="DE28" s="113"/>
      <c r="DF28" s="113"/>
      <c r="DG28" s="113"/>
      <c r="DH28" s="113"/>
      <c r="DI28" s="113"/>
      <c r="DJ28" s="113"/>
      <c r="DK28" s="113"/>
      <c r="DL28" s="113"/>
      <c r="DM28" s="113"/>
      <c r="DN28" s="113"/>
      <c r="DO28" s="113"/>
      <c r="DP28" s="113"/>
      <c r="DQ28" s="113"/>
      <c r="DR28" s="113"/>
      <c r="DS28" s="113"/>
      <c r="DT28" s="113"/>
      <c r="DU28" s="113"/>
      <c r="DV28" s="113"/>
      <c r="DW28" s="113"/>
      <c r="DX28" s="113"/>
      <c r="DY28" s="113"/>
      <c r="DZ28" s="113"/>
      <c r="EA28" s="113"/>
      <c r="EB28" s="113"/>
      <c r="EC28" s="113"/>
      <c r="ED28" s="113"/>
      <c r="EE28" s="113"/>
      <c r="EF28" s="113"/>
      <c r="EG28" s="113"/>
      <c r="EH28" s="113"/>
      <c r="EI28" s="113"/>
      <c r="EJ28" s="113"/>
      <c r="EK28" s="113"/>
      <c r="EL28" s="113"/>
      <c r="EM28" s="113"/>
      <c r="EN28" s="113"/>
      <c r="EO28" s="113"/>
      <c r="EP28" s="113"/>
      <c r="EQ28" s="113"/>
      <c r="ER28" s="113"/>
      <c r="ES28" s="113"/>
      <c r="ET28" s="113"/>
      <c r="EU28" s="113"/>
      <c r="EV28" s="113"/>
      <c r="EW28" s="113"/>
      <c r="EX28" s="113"/>
      <c r="EY28" s="113"/>
      <c r="EZ28" s="113"/>
      <c r="FA28" s="113"/>
      <c r="FB28" s="113"/>
      <c r="FC28" s="113"/>
      <c r="FD28" s="113"/>
      <c r="FE28" s="113"/>
      <c r="FF28" s="113"/>
      <c r="FG28" s="113"/>
      <c r="FH28" s="113"/>
      <c r="FI28" s="113"/>
      <c r="FJ28" s="113"/>
      <c r="FK28" s="113"/>
      <c r="FL28" s="113"/>
      <c r="FM28" s="113"/>
      <c r="FN28" s="113"/>
      <c r="FO28" s="113"/>
      <c r="FP28" s="113"/>
      <c r="FQ28" s="113"/>
      <c r="FR28" s="113"/>
      <c r="FS28" s="113"/>
      <c r="FT28" s="113"/>
      <c r="FU28" s="113"/>
      <c r="FV28" s="113"/>
      <c r="FW28" s="113"/>
      <c r="FX28" s="113"/>
      <c r="FY28" s="113"/>
      <c r="FZ28" s="113"/>
      <c r="GA28" s="113"/>
      <c r="GB28" s="113"/>
      <c r="GC28" s="113"/>
      <c r="GD28" s="113"/>
      <c r="GE28" s="113"/>
      <c r="GF28" s="113"/>
      <c r="GG28" s="113"/>
      <c r="GH28" s="113"/>
      <c r="GI28" s="113"/>
      <c r="GJ28" s="113"/>
      <c r="GK28" s="113"/>
      <c r="GL28" s="113"/>
      <c r="GM28" s="113"/>
      <c r="GN28" s="113"/>
      <c r="GO28" s="113"/>
      <c r="GP28" s="113"/>
      <c r="GQ28" s="113"/>
      <c r="GR28" s="113"/>
      <c r="GS28" s="113"/>
      <c r="GT28" s="113"/>
      <c r="GU28" s="113"/>
      <c r="GV28" s="113"/>
      <c r="GW28" s="113"/>
      <c r="GX28" s="113"/>
      <c r="GY28" s="113"/>
      <c r="GZ28" s="113"/>
      <c r="HA28" s="113"/>
      <c r="HB28" s="113"/>
      <c r="HC28" s="113"/>
      <c r="HD28" s="113"/>
      <c r="HE28" s="113"/>
      <c r="HF28" s="113"/>
      <c r="HG28" s="113"/>
      <c r="HH28" s="113"/>
      <c r="HI28" s="113"/>
      <c r="HJ28" s="113"/>
      <c r="HK28" s="113"/>
      <c r="HL28" s="113"/>
      <c r="HM28" s="113"/>
      <c r="HN28" s="113"/>
      <c r="HO28" s="113"/>
      <c r="HP28" s="113"/>
      <c r="HQ28" s="113"/>
      <c r="HR28" s="113"/>
      <c r="HS28" s="113"/>
      <c r="HT28" s="113"/>
      <c r="HU28" s="113"/>
      <c r="HV28" s="113"/>
      <c r="HW28" s="113"/>
      <c r="HX28" s="113"/>
      <c r="HY28" s="113"/>
      <c r="HZ28" s="113"/>
      <c r="IA28" s="113"/>
      <c r="IB28" s="113"/>
      <c r="IC28" s="113"/>
      <c r="ID28" s="113"/>
      <c r="IE28" s="113"/>
      <c r="IF28" s="113"/>
      <c r="IG28" s="113"/>
      <c r="IH28" s="113"/>
      <c r="II28" s="113"/>
      <c r="IJ28" s="113"/>
      <c r="IK28" s="113"/>
      <c r="IL28" s="113"/>
      <c r="IM28" s="113"/>
      <c r="IN28" s="113"/>
      <c r="IO28" s="113"/>
      <c r="IP28" s="113"/>
      <c r="IQ28" s="113"/>
      <c r="IR28" s="113"/>
      <c r="IS28" s="113"/>
      <c r="IT28" s="113"/>
      <c r="IU28" s="113"/>
      <c r="IV28" s="113"/>
      <c r="IW28" s="113"/>
    </row>
    <row r="29" customFormat="false" ht="11.25" hidden="false" customHeight="false" outlineLevel="0" collapsed="false">
      <c r="A29" s="113"/>
      <c r="B29" s="574" t="s">
        <v>528</v>
      </c>
      <c r="C29" s="575" t="n">
        <f aca="false">SUBTOTAL(9,C20:C28)</f>
        <v>0</v>
      </c>
      <c r="D29" s="549" t="n">
        <f aca="false">SUBTOTAL(9,D20:D28)</f>
        <v>0</v>
      </c>
      <c r="E29" s="549" t="n">
        <f aca="false">SUBTOTAL(9,E20:E28)</f>
        <v>51087.958634373</v>
      </c>
      <c r="F29" s="549" t="n">
        <f aca="false">SUBTOTAL(9,F20:F28)</f>
        <v>44947.7968710075</v>
      </c>
      <c r="G29" s="549" t="n">
        <f aca="false">SUBTOTAL(9,G20:G28)</f>
        <v>40539.8877293626</v>
      </c>
      <c r="H29" s="549" t="n">
        <f aca="false">SUBTOTAL(9,H20:H28)</f>
        <v>32646.0790468922</v>
      </c>
      <c r="I29" s="549" t="n">
        <f aca="false">SUBTOTAL(9,I20:I28)</f>
        <v>30392.6732880459</v>
      </c>
      <c r="J29" s="549" t="n">
        <f aca="false">SUBTOTAL(9,J20:J28)</f>
        <v>31470.2790286006</v>
      </c>
      <c r="K29" s="549" t="n">
        <f aca="false">SUBTOTAL(9,K20:K28)</f>
        <v>32034.697747108</v>
      </c>
      <c r="L29" s="549" t="n">
        <f aca="false">SUBTOTAL(9,L20:L28)</f>
        <v>31453.7135072928</v>
      </c>
      <c r="M29" s="549" t="n">
        <f aca="false">SUBTOTAL(9,M20:M28)</f>
        <v>32502.1832449568</v>
      </c>
      <c r="N29" s="549" t="n">
        <f aca="false">SUBTOTAL(9,N20:N28)</f>
        <v>32927.26311591</v>
      </c>
      <c r="O29" s="549" t="n">
        <f aca="false">SUBTOTAL(9,O20:O28)</f>
        <v>33556.3167080975</v>
      </c>
      <c r="P29" s="549" t="n">
        <f aca="false">SUBTOTAL(9,P20:P28)</f>
        <v>32287.9004274854</v>
      </c>
      <c r="Q29" s="549" t="n">
        <f aca="false">SUBTOTAL(9,Q20:Q28)</f>
        <v>33469.9687923511</v>
      </c>
      <c r="R29" s="549" t="n">
        <f aca="false">SUBTOTAL(9,R20:R28)</f>
        <v>33928.8507551382</v>
      </c>
      <c r="S29" s="549" t="n">
        <f aca="false">SUBTOTAL(9,S20:S28)</f>
        <v>35148.4487767493</v>
      </c>
      <c r="T29" s="549" t="n">
        <f aca="false">SUBTOTAL(9,T20:T28)</f>
        <v>5379.62180344061</v>
      </c>
      <c r="U29" s="549" t="n">
        <f aca="false">SUBTOTAL(9,U20:U28)</f>
        <v>5411.21218554882</v>
      </c>
      <c r="V29" s="549" t="n">
        <f aca="false">SUBTOTAL(9,V20:V28)</f>
        <v>4404.70324205983</v>
      </c>
      <c r="W29" s="549" t="e">
        <f aca="false">SUBTOTAL(9,W20:W28)</f>
        <v>#DIV/0!</v>
      </c>
      <c r="X29" s="549" t="e">
        <f aca="false">SUBTOTAL(9,X20:X28)</f>
        <v>#DIV/0!</v>
      </c>
      <c r="Y29" s="549"/>
      <c r="Z29" s="549"/>
      <c r="AA29" s="549"/>
      <c r="AB29" s="549"/>
      <c r="AC29" s="549"/>
      <c r="AD29" s="549"/>
      <c r="AE29" s="549"/>
      <c r="AF29" s="549"/>
      <c r="AG29" s="549"/>
      <c r="AH29" s="549"/>
      <c r="AI29" s="549"/>
      <c r="AJ29" s="549"/>
      <c r="AK29" s="549"/>
      <c r="AL29" s="549"/>
      <c r="AM29" s="549"/>
      <c r="AN29" s="549"/>
      <c r="AO29" s="549"/>
      <c r="AP29" s="549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3"/>
      <c r="BT29" s="113"/>
      <c r="BU29" s="113"/>
      <c r="BV29" s="113"/>
      <c r="BW29" s="113"/>
      <c r="BX29" s="113"/>
      <c r="BY29" s="113"/>
      <c r="BZ29" s="113"/>
      <c r="CA29" s="113"/>
      <c r="CB29" s="113"/>
      <c r="CC29" s="113"/>
      <c r="CD29" s="113"/>
      <c r="CE29" s="113"/>
      <c r="CF29" s="113"/>
      <c r="CG29" s="113"/>
      <c r="CH29" s="113"/>
      <c r="CI29" s="113"/>
      <c r="CJ29" s="113"/>
      <c r="CK29" s="113"/>
      <c r="CL29" s="113"/>
      <c r="CM29" s="113"/>
      <c r="CN29" s="113"/>
      <c r="CO29" s="113"/>
      <c r="CP29" s="113"/>
      <c r="CQ29" s="113"/>
      <c r="CR29" s="113"/>
      <c r="CS29" s="113"/>
      <c r="CT29" s="113"/>
      <c r="CU29" s="113"/>
      <c r="CV29" s="113"/>
      <c r="CW29" s="113"/>
      <c r="CX29" s="113"/>
      <c r="CY29" s="113"/>
      <c r="CZ29" s="113"/>
      <c r="DA29" s="113"/>
      <c r="DB29" s="113"/>
      <c r="DC29" s="113"/>
      <c r="DD29" s="113"/>
      <c r="DE29" s="113"/>
      <c r="DF29" s="113"/>
      <c r="DG29" s="113"/>
      <c r="DH29" s="113"/>
      <c r="DI29" s="113"/>
      <c r="DJ29" s="113"/>
      <c r="DK29" s="113"/>
      <c r="DL29" s="113"/>
      <c r="DM29" s="113"/>
      <c r="DN29" s="113"/>
      <c r="DO29" s="113"/>
      <c r="DP29" s="113"/>
      <c r="DQ29" s="113"/>
      <c r="DR29" s="113"/>
      <c r="DS29" s="113"/>
      <c r="DT29" s="113"/>
      <c r="DU29" s="113"/>
      <c r="DV29" s="113"/>
      <c r="DW29" s="113"/>
      <c r="DX29" s="113"/>
      <c r="DY29" s="113"/>
      <c r="DZ29" s="113"/>
      <c r="EA29" s="113"/>
      <c r="EB29" s="113"/>
      <c r="EC29" s="113"/>
      <c r="ED29" s="113"/>
      <c r="EE29" s="113"/>
      <c r="EF29" s="113"/>
      <c r="EG29" s="113"/>
      <c r="EH29" s="113"/>
      <c r="EI29" s="113"/>
      <c r="EJ29" s="113"/>
      <c r="EK29" s="113"/>
      <c r="EL29" s="113"/>
      <c r="EM29" s="113"/>
      <c r="EN29" s="113"/>
      <c r="EO29" s="113"/>
      <c r="EP29" s="113"/>
      <c r="EQ29" s="113"/>
      <c r="ER29" s="113"/>
      <c r="ES29" s="113"/>
      <c r="ET29" s="113"/>
      <c r="EU29" s="113"/>
      <c r="EV29" s="113"/>
      <c r="EW29" s="113"/>
      <c r="EX29" s="113"/>
      <c r="EY29" s="113"/>
      <c r="EZ29" s="113"/>
      <c r="FA29" s="113"/>
      <c r="FB29" s="113"/>
      <c r="FC29" s="113"/>
      <c r="FD29" s="113"/>
      <c r="FE29" s="113"/>
      <c r="FF29" s="113"/>
      <c r="FG29" s="113"/>
      <c r="FH29" s="113"/>
      <c r="FI29" s="113"/>
      <c r="FJ29" s="113"/>
      <c r="FK29" s="113"/>
      <c r="FL29" s="113"/>
      <c r="FM29" s="113"/>
      <c r="FN29" s="113"/>
      <c r="FO29" s="113"/>
      <c r="FP29" s="113"/>
      <c r="FQ29" s="113"/>
      <c r="FR29" s="113"/>
      <c r="FS29" s="113"/>
      <c r="FT29" s="113"/>
      <c r="FU29" s="113"/>
      <c r="FV29" s="113"/>
      <c r="FW29" s="113"/>
      <c r="FX29" s="113"/>
      <c r="FY29" s="113"/>
      <c r="FZ29" s="113"/>
      <c r="GA29" s="113"/>
      <c r="GB29" s="113"/>
      <c r="GC29" s="113"/>
      <c r="GD29" s="113"/>
      <c r="GE29" s="113"/>
      <c r="GF29" s="113"/>
      <c r="GG29" s="113"/>
      <c r="GH29" s="113"/>
      <c r="GI29" s="113"/>
      <c r="GJ29" s="113"/>
      <c r="GK29" s="113"/>
      <c r="GL29" s="113"/>
      <c r="GM29" s="113"/>
      <c r="GN29" s="113"/>
      <c r="GO29" s="113"/>
      <c r="GP29" s="113"/>
      <c r="GQ29" s="113"/>
      <c r="GR29" s="113"/>
      <c r="GS29" s="113"/>
      <c r="GT29" s="113"/>
      <c r="GU29" s="113"/>
      <c r="GV29" s="113"/>
      <c r="GW29" s="113"/>
      <c r="GX29" s="113"/>
      <c r="GY29" s="113"/>
      <c r="GZ29" s="113"/>
      <c r="HA29" s="113"/>
      <c r="HB29" s="113"/>
      <c r="HC29" s="113"/>
      <c r="HD29" s="113"/>
      <c r="HE29" s="113"/>
      <c r="HF29" s="113"/>
      <c r="HG29" s="113"/>
      <c r="HH29" s="113"/>
      <c r="HI29" s="113"/>
      <c r="HJ29" s="113"/>
      <c r="HK29" s="113"/>
      <c r="HL29" s="113"/>
      <c r="HM29" s="113"/>
      <c r="HN29" s="113"/>
      <c r="HO29" s="113"/>
      <c r="HP29" s="113"/>
      <c r="HQ29" s="113"/>
      <c r="HR29" s="113"/>
      <c r="HS29" s="113"/>
      <c r="HT29" s="113"/>
      <c r="HU29" s="113"/>
      <c r="HV29" s="113"/>
      <c r="HW29" s="113"/>
      <c r="HX29" s="113"/>
      <c r="HY29" s="113"/>
      <c r="HZ29" s="113"/>
      <c r="IA29" s="113"/>
      <c r="IB29" s="113"/>
      <c r="IC29" s="113"/>
      <c r="ID29" s="113"/>
      <c r="IE29" s="113"/>
      <c r="IF29" s="113"/>
      <c r="IG29" s="113"/>
      <c r="IH29" s="113"/>
      <c r="II29" s="113"/>
      <c r="IJ29" s="113"/>
      <c r="IK29" s="113"/>
      <c r="IL29" s="113"/>
      <c r="IM29" s="113"/>
      <c r="IN29" s="113"/>
      <c r="IO29" s="113"/>
      <c r="IP29" s="113"/>
      <c r="IQ29" s="113"/>
      <c r="IR29" s="113"/>
      <c r="IS29" s="113"/>
      <c r="IT29" s="113"/>
      <c r="IU29" s="113"/>
      <c r="IV29" s="113"/>
      <c r="IW29" s="113"/>
    </row>
    <row r="30" customFormat="false" ht="11.25" hidden="false" customHeight="false" outlineLevel="0" collapsed="false">
      <c r="A30" s="113"/>
      <c r="B30" s="113"/>
      <c r="C30" s="576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3"/>
      <c r="BZ30" s="113"/>
      <c r="CA30" s="113"/>
      <c r="CB30" s="113"/>
      <c r="CC30" s="113"/>
      <c r="CD30" s="113"/>
      <c r="CE30" s="113"/>
      <c r="CF30" s="113"/>
      <c r="CG30" s="113"/>
      <c r="CH30" s="113"/>
      <c r="CI30" s="113"/>
      <c r="CJ30" s="113"/>
      <c r="CK30" s="113"/>
      <c r="CL30" s="113"/>
      <c r="CM30" s="113"/>
      <c r="CN30" s="113"/>
      <c r="CO30" s="113"/>
      <c r="CP30" s="113"/>
      <c r="CQ30" s="113"/>
      <c r="CR30" s="113"/>
      <c r="CS30" s="113"/>
      <c r="CT30" s="113"/>
      <c r="CU30" s="113"/>
      <c r="CV30" s="113"/>
      <c r="CW30" s="113"/>
      <c r="CX30" s="113"/>
      <c r="CY30" s="113"/>
      <c r="CZ30" s="113"/>
      <c r="DA30" s="113"/>
      <c r="DB30" s="113"/>
      <c r="DC30" s="113"/>
      <c r="DD30" s="113"/>
      <c r="DE30" s="113"/>
      <c r="DF30" s="113"/>
      <c r="DG30" s="113"/>
      <c r="DH30" s="113"/>
      <c r="DI30" s="113"/>
      <c r="DJ30" s="113"/>
      <c r="DK30" s="113"/>
      <c r="DL30" s="113"/>
      <c r="DM30" s="113"/>
      <c r="DN30" s="113"/>
      <c r="DO30" s="113"/>
      <c r="DP30" s="113"/>
      <c r="DQ30" s="113"/>
      <c r="DR30" s="113"/>
      <c r="DS30" s="113"/>
      <c r="DT30" s="113"/>
      <c r="DU30" s="113"/>
      <c r="DV30" s="113"/>
      <c r="DW30" s="113"/>
      <c r="DX30" s="113"/>
      <c r="DY30" s="113"/>
      <c r="DZ30" s="113"/>
      <c r="EA30" s="113"/>
      <c r="EB30" s="113"/>
      <c r="EC30" s="113"/>
      <c r="ED30" s="113"/>
      <c r="EE30" s="113"/>
      <c r="EF30" s="113"/>
      <c r="EG30" s="113"/>
      <c r="EH30" s="113"/>
      <c r="EI30" s="113"/>
      <c r="EJ30" s="113"/>
      <c r="EK30" s="113"/>
      <c r="EL30" s="113"/>
      <c r="EM30" s="113"/>
      <c r="EN30" s="113"/>
      <c r="EO30" s="113"/>
      <c r="EP30" s="113"/>
      <c r="EQ30" s="113"/>
      <c r="ER30" s="113"/>
      <c r="ES30" s="113"/>
      <c r="ET30" s="113"/>
      <c r="EU30" s="113"/>
      <c r="EV30" s="113"/>
      <c r="EW30" s="113"/>
      <c r="EX30" s="113"/>
      <c r="EY30" s="113"/>
      <c r="EZ30" s="113"/>
      <c r="FA30" s="113"/>
      <c r="FB30" s="113"/>
      <c r="FC30" s="113"/>
      <c r="FD30" s="113"/>
      <c r="FE30" s="113"/>
      <c r="FF30" s="113"/>
      <c r="FG30" s="113"/>
      <c r="FH30" s="113"/>
      <c r="FI30" s="113"/>
      <c r="FJ30" s="113"/>
      <c r="FK30" s="113"/>
      <c r="FL30" s="113"/>
      <c r="FM30" s="113"/>
      <c r="FN30" s="113"/>
      <c r="FO30" s="113"/>
      <c r="FP30" s="113"/>
      <c r="FQ30" s="113"/>
      <c r="FR30" s="113"/>
      <c r="FS30" s="113"/>
      <c r="FT30" s="113"/>
      <c r="FU30" s="113"/>
      <c r="FV30" s="113"/>
      <c r="FW30" s="113"/>
      <c r="FX30" s="113"/>
      <c r="FY30" s="113"/>
      <c r="FZ30" s="113"/>
      <c r="GA30" s="113"/>
      <c r="GB30" s="113"/>
      <c r="GC30" s="113"/>
      <c r="GD30" s="113"/>
      <c r="GE30" s="113"/>
      <c r="GF30" s="113"/>
      <c r="GG30" s="113"/>
      <c r="GH30" s="113"/>
      <c r="GI30" s="113"/>
      <c r="GJ30" s="113"/>
      <c r="GK30" s="113"/>
      <c r="GL30" s="113"/>
      <c r="GM30" s="113"/>
      <c r="GN30" s="113"/>
      <c r="GO30" s="113"/>
      <c r="GP30" s="113"/>
      <c r="GQ30" s="113"/>
      <c r="GR30" s="113"/>
      <c r="GS30" s="113"/>
      <c r="GT30" s="113"/>
      <c r="GU30" s="113"/>
      <c r="GV30" s="113"/>
      <c r="GW30" s="113"/>
      <c r="GX30" s="113"/>
      <c r="GY30" s="113"/>
      <c r="GZ30" s="113"/>
      <c r="HA30" s="113"/>
      <c r="HB30" s="113"/>
      <c r="HC30" s="113"/>
      <c r="HD30" s="113"/>
      <c r="HE30" s="113"/>
      <c r="HF30" s="113"/>
      <c r="HG30" s="113"/>
      <c r="HH30" s="113"/>
      <c r="HI30" s="113"/>
      <c r="HJ30" s="113"/>
      <c r="HK30" s="113"/>
      <c r="HL30" s="113"/>
      <c r="HM30" s="113"/>
      <c r="HN30" s="113"/>
      <c r="HO30" s="113"/>
      <c r="HP30" s="113"/>
      <c r="HQ30" s="113"/>
      <c r="HR30" s="113"/>
      <c r="HS30" s="113"/>
      <c r="HT30" s="113"/>
      <c r="HU30" s="113"/>
      <c r="HV30" s="113"/>
      <c r="HW30" s="113"/>
      <c r="HX30" s="113"/>
      <c r="HY30" s="113"/>
      <c r="HZ30" s="113"/>
      <c r="IA30" s="113"/>
      <c r="IB30" s="113"/>
      <c r="IC30" s="113"/>
      <c r="ID30" s="113"/>
      <c r="IE30" s="113"/>
      <c r="IF30" s="113"/>
      <c r="IG30" s="113"/>
      <c r="IH30" s="113"/>
      <c r="II30" s="113"/>
      <c r="IJ30" s="113"/>
      <c r="IK30" s="113"/>
      <c r="IL30" s="113"/>
      <c r="IM30" s="113"/>
      <c r="IN30" s="113"/>
      <c r="IO30" s="113"/>
      <c r="IP30" s="113"/>
      <c r="IQ30" s="113"/>
      <c r="IR30" s="113"/>
      <c r="IS30" s="113"/>
      <c r="IT30" s="113"/>
      <c r="IU30" s="113"/>
      <c r="IV30" s="113"/>
      <c r="IW30" s="113"/>
    </row>
    <row r="31" customFormat="false" ht="11.25" hidden="false" customHeight="false" outlineLevel="0" collapsed="false">
      <c r="A31" s="113"/>
      <c r="B31" s="113"/>
      <c r="C31" s="576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113"/>
      <c r="BY31" s="113"/>
      <c r="BZ31" s="113"/>
      <c r="CA31" s="113"/>
      <c r="CB31" s="113"/>
      <c r="CC31" s="113"/>
      <c r="CD31" s="113"/>
      <c r="CE31" s="113"/>
      <c r="CF31" s="113"/>
      <c r="CG31" s="113"/>
      <c r="CH31" s="113"/>
      <c r="CI31" s="113"/>
      <c r="CJ31" s="113"/>
      <c r="CK31" s="113"/>
      <c r="CL31" s="113"/>
      <c r="CM31" s="113"/>
      <c r="CN31" s="113"/>
      <c r="CO31" s="113"/>
      <c r="CP31" s="113"/>
      <c r="CQ31" s="113"/>
      <c r="CR31" s="113"/>
      <c r="CS31" s="113"/>
      <c r="CT31" s="113"/>
      <c r="CU31" s="113"/>
      <c r="CV31" s="113"/>
      <c r="CW31" s="113"/>
      <c r="CX31" s="113"/>
      <c r="CY31" s="113"/>
      <c r="CZ31" s="113"/>
      <c r="DA31" s="113"/>
      <c r="DB31" s="113"/>
      <c r="DC31" s="113"/>
      <c r="DD31" s="113"/>
      <c r="DE31" s="113"/>
      <c r="DF31" s="113"/>
      <c r="DG31" s="113"/>
      <c r="DH31" s="113"/>
      <c r="DI31" s="113"/>
      <c r="DJ31" s="113"/>
      <c r="DK31" s="113"/>
      <c r="DL31" s="113"/>
      <c r="DM31" s="113"/>
      <c r="DN31" s="113"/>
      <c r="DO31" s="113"/>
      <c r="DP31" s="113"/>
      <c r="DQ31" s="113"/>
      <c r="DR31" s="113"/>
      <c r="DS31" s="113"/>
      <c r="DT31" s="113"/>
      <c r="DU31" s="113"/>
      <c r="DV31" s="113"/>
      <c r="DW31" s="113"/>
      <c r="DX31" s="113"/>
      <c r="DY31" s="113"/>
      <c r="DZ31" s="113"/>
      <c r="EA31" s="113"/>
      <c r="EB31" s="113"/>
      <c r="EC31" s="113"/>
      <c r="ED31" s="113"/>
      <c r="EE31" s="113"/>
      <c r="EF31" s="113"/>
      <c r="EG31" s="113"/>
      <c r="EH31" s="113"/>
      <c r="EI31" s="113"/>
      <c r="EJ31" s="113"/>
      <c r="EK31" s="113"/>
      <c r="EL31" s="113"/>
      <c r="EM31" s="113"/>
      <c r="EN31" s="113"/>
      <c r="EO31" s="113"/>
      <c r="EP31" s="113"/>
      <c r="EQ31" s="113"/>
      <c r="ER31" s="113"/>
      <c r="ES31" s="113"/>
      <c r="ET31" s="113"/>
      <c r="EU31" s="113"/>
      <c r="EV31" s="113"/>
      <c r="EW31" s="113"/>
      <c r="EX31" s="113"/>
      <c r="EY31" s="113"/>
      <c r="EZ31" s="113"/>
      <c r="FA31" s="113"/>
      <c r="FB31" s="113"/>
      <c r="FC31" s="113"/>
      <c r="FD31" s="113"/>
      <c r="FE31" s="113"/>
      <c r="FF31" s="113"/>
      <c r="FG31" s="113"/>
      <c r="FH31" s="113"/>
      <c r="FI31" s="113"/>
      <c r="FJ31" s="113"/>
      <c r="FK31" s="113"/>
      <c r="FL31" s="113"/>
      <c r="FM31" s="113"/>
      <c r="FN31" s="113"/>
      <c r="FO31" s="113"/>
      <c r="FP31" s="113"/>
      <c r="FQ31" s="113"/>
      <c r="FR31" s="113"/>
      <c r="FS31" s="113"/>
      <c r="FT31" s="113"/>
      <c r="FU31" s="113"/>
      <c r="FV31" s="113"/>
      <c r="FW31" s="113"/>
      <c r="FX31" s="113"/>
      <c r="FY31" s="113"/>
      <c r="FZ31" s="113"/>
      <c r="GA31" s="113"/>
      <c r="GB31" s="113"/>
      <c r="GC31" s="113"/>
      <c r="GD31" s="113"/>
      <c r="GE31" s="113"/>
      <c r="GF31" s="113"/>
      <c r="GG31" s="113"/>
      <c r="GH31" s="113"/>
      <c r="GI31" s="113"/>
      <c r="GJ31" s="113"/>
      <c r="GK31" s="113"/>
      <c r="GL31" s="113"/>
      <c r="GM31" s="113"/>
      <c r="GN31" s="113"/>
      <c r="GO31" s="113"/>
      <c r="GP31" s="113"/>
      <c r="GQ31" s="113"/>
      <c r="GR31" s="113"/>
      <c r="GS31" s="113"/>
      <c r="GT31" s="113"/>
      <c r="GU31" s="113"/>
      <c r="GV31" s="113"/>
      <c r="GW31" s="113"/>
      <c r="GX31" s="113"/>
      <c r="GY31" s="113"/>
      <c r="GZ31" s="113"/>
      <c r="HA31" s="113"/>
      <c r="HB31" s="113"/>
      <c r="HC31" s="113"/>
      <c r="HD31" s="113"/>
      <c r="HE31" s="113"/>
      <c r="HF31" s="113"/>
      <c r="HG31" s="113"/>
      <c r="HH31" s="113"/>
      <c r="HI31" s="113"/>
      <c r="HJ31" s="113"/>
      <c r="HK31" s="113"/>
      <c r="HL31" s="113"/>
      <c r="HM31" s="113"/>
      <c r="HN31" s="113"/>
      <c r="HO31" s="113"/>
      <c r="HP31" s="113"/>
      <c r="HQ31" s="113"/>
      <c r="HR31" s="113"/>
      <c r="HS31" s="113"/>
      <c r="HT31" s="113"/>
      <c r="HU31" s="113"/>
      <c r="HV31" s="113"/>
      <c r="HW31" s="113"/>
      <c r="HX31" s="113"/>
      <c r="HY31" s="113"/>
      <c r="HZ31" s="113"/>
      <c r="IA31" s="113"/>
      <c r="IB31" s="113"/>
      <c r="IC31" s="113"/>
      <c r="ID31" s="113"/>
      <c r="IE31" s="113"/>
      <c r="IF31" s="113"/>
      <c r="IG31" s="113"/>
      <c r="IH31" s="113"/>
      <c r="II31" s="113"/>
      <c r="IJ31" s="113"/>
      <c r="IK31" s="113"/>
      <c r="IL31" s="113"/>
      <c r="IM31" s="113"/>
      <c r="IN31" s="113"/>
      <c r="IO31" s="113"/>
      <c r="IP31" s="113"/>
      <c r="IQ31" s="113"/>
      <c r="IR31" s="113"/>
      <c r="IS31" s="113"/>
      <c r="IT31" s="113"/>
      <c r="IU31" s="113"/>
      <c r="IV31" s="113"/>
      <c r="IW31" s="113"/>
    </row>
    <row r="32" customFormat="false" ht="11.25" hidden="false" customHeight="false" outlineLevel="0" collapsed="false">
      <c r="A32" s="113"/>
      <c r="B32" s="572" t="s">
        <v>529</v>
      </c>
      <c r="C32" s="576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  <c r="BZ32" s="113"/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3"/>
      <c r="DA32" s="113"/>
      <c r="DB32" s="113"/>
      <c r="DC32" s="113"/>
      <c r="DD32" s="113"/>
      <c r="DE32" s="113"/>
      <c r="DF32" s="113"/>
      <c r="DG32" s="113"/>
      <c r="DH32" s="113"/>
      <c r="DI32" s="113"/>
      <c r="DJ32" s="113"/>
      <c r="DK32" s="113"/>
      <c r="DL32" s="113"/>
      <c r="DM32" s="113"/>
      <c r="DN32" s="113"/>
      <c r="DO32" s="113"/>
      <c r="DP32" s="113"/>
      <c r="DQ32" s="113"/>
      <c r="DR32" s="113"/>
      <c r="DS32" s="113"/>
      <c r="DT32" s="113"/>
      <c r="DU32" s="113"/>
      <c r="DV32" s="113"/>
      <c r="DW32" s="113"/>
      <c r="DX32" s="113"/>
      <c r="DY32" s="113"/>
      <c r="DZ32" s="113"/>
      <c r="EA32" s="113"/>
      <c r="EB32" s="113"/>
      <c r="EC32" s="113"/>
      <c r="ED32" s="113"/>
      <c r="EE32" s="113"/>
      <c r="EF32" s="113"/>
      <c r="EG32" s="113"/>
      <c r="EH32" s="113"/>
      <c r="EI32" s="113"/>
      <c r="EJ32" s="113"/>
      <c r="EK32" s="113"/>
      <c r="EL32" s="113"/>
      <c r="EM32" s="113"/>
      <c r="EN32" s="113"/>
      <c r="EO32" s="113"/>
      <c r="EP32" s="113"/>
      <c r="EQ32" s="113"/>
      <c r="ER32" s="113"/>
      <c r="ES32" s="113"/>
      <c r="ET32" s="113"/>
      <c r="EU32" s="113"/>
      <c r="EV32" s="113"/>
      <c r="EW32" s="113"/>
      <c r="EX32" s="113"/>
      <c r="EY32" s="113"/>
      <c r="EZ32" s="113"/>
      <c r="FA32" s="113"/>
      <c r="FB32" s="113"/>
      <c r="FC32" s="113"/>
      <c r="FD32" s="113"/>
      <c r="FE32" s="113"/>
      <c r="FF32" s="113"/>
      <c r="FG32" s="113"/>
      <c r="FH32" s="113"/>
      <c r="FI32" s="113"/>
      <c r="FJ32" s="113"/>
      <c r="FK32" s="113"/>
      <c r="FL32" s="113"/>
      <c r="FM32" s="113"/>
      <c r="FN32" s="113"/>
      <c r="FO32" s="113"/>
      <c r="FP32" s="113"/>
      <c r="FQ32" s="113"/>
      <c r="FR32" s="113"/>
      <c r="FS32" s="113"/>
      <c r="FT32" s="113"/>
      <c r="FU32" s="113"/>
      <c r="FV32" s="113"/>
      <c r="FW32" s="113"/>
      <c r="FX32" s="113"/>
      <c r="FY32" s="113"/>
      <c r="FZ32" s="113"/>
      <c r="GA32" s="113"/>
      <c r="GB32" s="113"/>
      <c r="GC32" s="113"/>
      <c r="GD32" s="113"/>
      <c r="GE32" s="113"/>
      <c r="GF32" s="113"/>
      <c r="GG32" s="113"/>
      <c r="GH32" s="113"/>
      <c r="GI32" s="113"/>
      <c r="GJ32" s="113"/>
      <c r="GK32" s="113"/>
      <c r="GL32" s="113"/>
      <c r="GM32" s="113"/>
      <c r="GN32" s="113"/>
      <c r="GO32" s="113"/>
      <c r="GP32" s="113"/>
      <c r="GQ32" s="113"/>
      <c r="GR32" s="113"/>
      <c r="GS32" s="113"/>
      <c r="GT32" s="113"/>
      <c r="GU32" s="113"/>
      <c r="GV32" s="113"/>
      <c r="GW32" s="113"/>
      <c r="GX32" s="113"/>
      <c r="GY32" s="113"/>
      <c r="GZ32" s="113"/>
      <c r="HA32" s="113"/>
      <c r="HB32" s="113"/>
      <c r="HC32" s="113"/>
      <c r="HD32" s="113"/>
      <c r="HE32" s="113"/>
      <c r="HF32" s="113"/>
      <c r="HG32" s="113"/>
      <c r="HH32" s="113"/>
      <c r="HI32" s="113"/>
      <c r="HJ32" s="113"/>
      <c r="HK32" s="113"/>
      <c r="HL32" s="113"/>
      <c r="HM32" s="113"/>
      <c r="HN32" s="113"/>
      <c r="HO32" s="113"/>
      <c r="HP32" s="113"/>
      <c r="HQ32" s="113"/>
      <c r="HR32" s="113"/>
      <c r="HS32" s="113"/>
      <c r="HT32" s="113"/>
      <c r="HU32" s="113"/>
      <c r="HV32" s="113"/>
      <c r="HW32" s="113"/>
      <c r="HX32" s="113"/>
      <c r="HY32" s="113"/>
      <c r="HZ32" s="113"/>
      <c r="IA32" s="113"/>
      <c r="IB32" s="113"/>
      <c r="IC32" s="113"/>
      <c r="ID32" s="113"/>
      <c r="IE32" s="113"/>
      <c r="IF32" s="113"/>
      <c r="IG32" s="113"/>
      <c r="IH32" s="113"/>
      <c r="II32" s="113"/>
      <c r="IJ32" s="113"/>
      <c r="IK32" s="113"/>
      <c r="IL32" s="113"/>
      <c r="IM32" s="113"/>
      <c r="IN32" s="113"/>
      <c r="IO32" s="113"/>
      <c r="IP32" s="113"/>
      <c r="IQ32" s="113"/>
      <c r="IR32" s="113"/>
      <c r="IS32" s="113"/>
      <c r="IT32" s="113"/>
      <c r="IU32" s="113"/>
      <c r="IV32" s="113"/>
      <c r="IW32" s="113"/>
    </row>
    <row r="33" customFormat="false" ht="11.25" hidden="false" customHeight="false" outlineLevel="0" collapsed="false">
      <c r="A33" s="113"/>
      <c r="B33" s="127" t="s">
        <v>530</v>
      </c>
      <c r="C33" s="571" t="n">
        <f aca="false">IF(C$5&gt;=1,INDEX(OperationalDetail,MATCH("TOTAL FUEL COST $k",ODColumn,0),MATCH(C$7,ODRow,0)),0)</f>
        <v>0</v>
      </c>
      <c r="D33" s="202" t="n">
        <f aca="false">IF(D$5&gt;=1,INDEX(OperationalDetail,MATCH("TOTAL FUEL COST $k",ODColumn,0),MATCH(D$7,ODRow,0)),0)</f>
        <v>0</v>
      </c>
      <c r="E33" s="202" t="n">
        <f aca="false">IF(E$5&gt;=1,INDEX(OperationalDetail,MATCH("TOTAL FUEL COST $k",ODColumn,0),MATCH(E$7,ODRow,0)),0)</f>
        <v>11393.3621391426</v>
      </c>
      <c r="F33" s="202" t="n">
        <f aca="false">IF(F$5&gt;=1,INDEX(OperationalDetail,MATCH("TOTAL FUEL COST $k",ODColumn,0),MATCH(F$7,ODRow,0)),0)</f>
        <v>13514.6020664897</v>
      </c>
      <c r="G33" s="202" t="n">
        <f aca="false">IF(G$5&gt;=1,INDEX(OperationalDetail,MATCH("TOTAL FUEL COST $k",ODColumn,0),MATCH(G$7,ODRow,0)),0)</f>
        <v>13817.6488485111</v>
      </c>
      <c r="H33" s="202" t="n">
        <f aca="false">IF(H$5&gt;=1,INDEX(OperationalDetail,MATCH("TOTAL FUEL COST $k",ODColumn,0),MATCH(H$7,ODRow,0)),0)</f>
        <v>11315.9482101728</v>
      </c>
      <c r="I33" s="202" t="n">
        <f aca="false">IF(I$5&gt;=1,INDEX(OperationalDetail,MATCH("TOTAL FUEL COST $k",ODColumn,0),MATCH(I$7,ODRow,0)),0)</f>
        <v>11379.2966159352</v>
      </c>
      <c r="J33" s="202" t="n">
        <f aca="false">IF(J$5&gt;=1,INDEX(OperationalDetail,MATCH("TOTAL FUEL COST $k",ODColumn,0),MATCH(J$7,ODRow,0)),0)</f>
        <v>11494.8771665233</v>
      </c>
      <c r="K33" s="202" t="n">
        <f aca="false">IF(K$5&gt;=1,INDEX(OperationalDetail,MATCH("TOTAL FUEL COST $k",ODColumn,0),MATCH(K$7,ODRow,0)),0)</f>
        <v>11506.1322304097</v>
      </c>
      <c r="L33" s="202" t="n">
        <f aca="false">IF(L$5&gt;=1,INDEX(OperationalDetail,MATCH("TOTAL FUEL COST $k",ODColumn,0),MATCH(L$7,ODRow,0)),0)</f>
        <v>11680.0174693916</v>
      </c>
      <c r="M33" s="202" t="n">
        <f aca="false">IF(M$5&gt;=1,INDEX(OperationalDetail,MATCH("TOTAL FUEL COST $k",ODColumn,0),MATCH(M$7,ODRow,0)),0)</f>
        <v>11998.46630808</v>
      </c>
      <c r="N33" s="202" t="n">
        <f aca="false">IF(N$5&gt;=1,INDEX(OperationalDetail,MATCH("TOTAL FUEL COST $k",ODColumn,0),MATCH(N$7,ODRow,0)),0)</f>
        <v>12364.9330429404</v>
      </c>
      <c r="O33" s="202" t="n">
        <f aca="false">IF(O$5&gt;=1,INDEX(OperationalDetail,MATCH("TOTAL FUEL COST $k",ODColumn,0),MATCH(O$7,ODRow,0)),0)</f>
        <v>12567.8455753437</v>
      </c>
      <c r="P33" s="202" t="n">
        <f aca="false">IF(P$5&gt;=1,INDEX(OperationalDetail,MATCH("TOTAL FUEL COST $k",ODColumn,0),MATCH(P$7,ODRow,0)),0)</f>
        <v>11111.7537848939</v>
      </c>
      <c r="Q33" s="202" t="n">
        <f aca="false">IF(Q$5&gt;=1,INDEX(OperationalDetail,MATCH("TOTAL FUEL COST $k",ODColumn,0),MATCH(Q$7,ODRow,0)),0)</f>
        <v>11319.8107770514</v>
      </c>
      <c r="R33" s="202" t="n">
        <f aca="false">IF(R$5&gt;=1,INDEX(OperationalDetail,MATCH("TOTAL FUEL COST $k",ODColumn,0),MATCH(R$7,ODRow,0)),0)</f>
        <v>11538.0710099226</v>
      </c>
      <c r="S33" s="202" t="n">
        <f aca="false">IF(S$5&gt;=1,INDEX(OperationalDetail,MATCH("TOTAL FUEL COST $k",ODColumn,0),MATCH(S$7,ODRow,0)),0)</f>
        <v>11933.2428010441</v>
      </c>
      <c r="T33" s="202" t="n">
        <f aca="false">IF(T$5&gt;=1,INDEX(OperationalDetail,MATCH("TOTAL FUEL COST $k",ODColumn,0),MATCH(T$7,ODRow,0)),0)</f>
        <v>0</v>
      </c>
      <c r="U33" s="202" t="n">
        <f aca="false">IF(U$5&gt;=1,INDEX(OperationalDetail,MATCH("TOTAL FUEL COST $k",ODColumn,0),MATCH(U$7,ODRow,0)),0)</f>
        <v>0</v>
      </c>
      <c r="V33" s="202" t="n">
        <f aca="false">IF(V$5&gt;=1,INDEX(OperationalDetail,MATCH("TOTAL FUEL COST $k",ODColumn,0),MATCH(V$7,ODRow,0)),0)</f>
        <v>0</v>
      </c>
      <c r="W33" s="202" t="n">
        <f aca="false">IF(W$5&gt;=1,INDEX(OperationalDetail,MATCH("TOTAL FUEL COST $k",ODColumn,0),MATCH(W$7,ODRow,0)),0)</f>
        <v>0</v>
      </c>
      <c r="X33" s="202" t="n">
        <f aca="false">IF(X$5&gt;=1,INDEX(OperationalDetail,MATCH("TOTAL FUEL COST $k",ODColumn,0),MATCH(X$7,ODRow,0)),0)</f>
        <v>0</v>
      </c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113"/>
      <c r="BY33" s="113"/>
      <c r="BZ33" s="113"/>
      <c r="CA33" s="113"/>
      <c r="CB33" s="113"/>
      <c r="CC33" s="113"/>
      <c r="CD33" s="113"/>
      <c r="CE33" s="11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CZ33" s="113"/>
      <c r="DA33" s="113"/>
      <c r="DB33" s="113"/>
      <c r="DC33" s="113"/>
      <c r="DD33" s="113"/>
      <c r="DE33" s="113"/>
      <c r="DF33" s="113"/>
      <c r="DG33" s="113"/>
      <c r="DH33" s="113"/>
      <c r="DI33" s="113"/>
      <c r="DJ33" s="113"/>
      <c r="DK33" s="113"/>
      <c r="DL33" s="113"/>
      <c r="DM33" s="113"/>
      <c r="DN33" s="113"/>
      <c r="DO33" s="113"/>
      <c r="DP33" s="113"/>
      <c r="DQ33" s="113"/>
      <c r="DR33" s="113"/>
      <c r="DS33" s="113"/>
      <c r="DT33" s="113"/>
      <c r="DU33" s="113"/>
      <c r="DV33" s="113"/>
      <c r="DW33" s="113"/>
      <c r="DX33" s="113"/>
      <c r="DY33" s="113"/>
      <c r="DZ33" s="113"/>
      <c r="EA33" s="113"/>
      <c r="EB33" s="113"/>
      <c r="EC33" s="113"/>
      <c r="ED33" s="113"/>
      <c r="EE33" s="113"/>
      <c r="EF33" s="113"/>
      <c r="EG33" s="113"/>
      <c r="EH33" s="113"/>
      <c r="EI33" s="113"/>
      <c r="EJ33" s="113"/>
      <c r="EK33" s="113"/>
      <c r="EL33" s="113"/>
      <c r="EM33" s="113"/>
      <c r="EN33" s="113"/>
      <c r="EO33" s="113"/>
      <c r="EP33" s="113"/>
      <c r="EQ33" s="113"/>
      <c r="ER33" s="113"/>
      <c r="ES33" s="113"/>
      <c r="ET33" s="113"/>
      <c r="EU33" s="113"/>
      <c r="EV33" s="113"/>
      <c r="EW33" s="113"/>
      <c r="EX33" s="113"/>
      <c r="EY33" s="113"/>
      <c r="EZ33" s="113"/>
      <c r="FA33" s="113"/>
      <c r="FB33" s="113"/>
      <c r="FC33" s="113"/>
      <c r="FD33" s="113"/>
      <c r="FE33" s="113"/>
      <c r="FF33" s="113"/>
      <c r="FG33" s="113"/>
      <c r="FH33" s="113"/>
      <c r="FI33" s="113"/>
      <c r="FJ33" s="113"/>
      <c r="FK33" s="113"/>
      <c r="FL33" s="113"/>
      <c r="FM33" s="113"/>
      <c r="FN33" s="113"/>
      <c r="FO33" s="113"/>
      <c r="FP33" s="113"/>
      <c r="FQ33" s="113"/>
      <c r="FR33" s="113"/>
      <c r="FS33" s="113"/>
      <c r="FT33" s="113"/>
      <c r="FU33" s="113"/>
      <c r="FV33" s="113"/>
      <c r="FW33" s="113"/>
      <c r="FX33" s="113"/>
      <c r="FY33" s="113"/>
      <c r="FZ33" s="113"/>
      <c r="GA33" s="113"/>
      <c r="GB33" s="113"/>
      <c r="GC33" s="113"/>
      <c r="GD33" s="113"/>
      <c r="GE33" s="113"/>
      <c r="GF33" s="113"/>
      <c r="GG33" s="113"/>
      <c r="GH33" s="113"/>
      <c r="GI33" s="113"/>
      <c r="GJ33" s="113"/>
      <c r="GK33" s="113"/>
      <c r="GL33" s="113"/>
      <c r="GM33" s="113"/>
      <c r="GN33" s="113"/>
      <c r="GO33" s="113"/>
      <c r="GP33" s="113"/>
      <c r="GQ33" s="113"/>
      <c r="GR33" s="113"/>
      <c r="GS33" s="113"/>
      <c r="GT33" s="113"/>
      <c r="GU33" s="113"/>
      <c r="GV33" s="113"/>
      <c r="GW33" s="113"/>
      <c r="GX33" s="113"/>
      <c r="GY33" s="113"/>
      <c r="GZ33" s="113"/>
      <c r="HA33" s="113"/>
      <c r="HB33" s="113"/>
      <c r="HC33" s="113"/>
      <c r="HD33" s="113"/>
      <c r="HE33" s="113"/>
      <c r="HF33" s="113"/>
      <c r="HG33" s="113"/>
      <c r="HH33" s="113"/>
      <c r="HI33" s="113"/>
      <c r="HJ33" s="113"/>
      <c r="HK33" s="113"/>
      <c r="HL33" s="113"/>
      <c r="HM33" s="113"/>
      <c r="HN33" s="113"/>
      <c r="HO33" s="113"/>
      <c r="HP33" s="113"/>
      <c r="HQ33" s="113"/>
      <c r="HR33" s="113"/>
      <c r="HS33" s="113"/>
      <c r="HT33" s="113"/>
      <c r="HU33" s="113"/>
      <c r="HV33" s="113"/>
      <c r="HW33" s="113"/>
      <c r="HX33" s="113"/>
      <c r="HY33" s="113"/>
      <c r="HZ33" s="113"/>
      <c r="IA33" s="113"/>
      <c r="IB33" s="113"/>
      <c r="IC33" s="113"/>
      <c r="ID33" s="113"/>
      <c r="IE33" s="113"/>
      <c r="IF33" s="113"/>
      <c r="IG33" s="113"/>
      <c r="IH33" s="113"/>
      <c r="II33" s="113"/>
      <c r="IJ33" s="113"/>
      <c r="IK33" s="113"/>
      <c r="IL33" s="113"/>
      <c r="IM33" s="113"/>
      <c r="IN33" s="113"/>
      <c r="IO33" s="113"/>
      <c r="IP33" s="113"/>
      <c r="IQ33" s="113"/>
      <c r="IR33" s="113"/>
      <c r="IS33" s="113"/>
      <c r="IT33" s="113"/>
      <c r="IU33" s="113"/>
      <c r="IV33" s="113"/>
      <c r="IW33" s="113"/>
    </row>
    <row r="34" customFormat="false" ht="11.25" hidden="false" customHeight="false" outlineLevel="0" collapsed="false">
      <c r="A34" s="142"/>
      <c r="B34" s="142" t="s">
        <v>531</v>
      </c>
      <c r="C34" s="571" t="n">
        <f aca="false">IF(C$5&gt;=1,INDEX(O_MTable,MATCH("Variable",O_MColumn,0),MATCH(C$7,O_MRow,0)),0)</f>
        <v>0</v>
      </c>
      <c r="D34" s="202" t="n">
        <f aca="false">IF(D$5&gt;=1,INDEX(O_MTable,MATCH("Variable",O_MColumn,0),MATCH(D$7,O_MRow,0)),0)</f>
        <v>0</v>
      </c>
      <c r="E34" s="202" t="n">
        <f aca="false">IF(E$5&gt;=1,INDEX(O_MTable,MATCH("Variable",O_MColumn,0),MATCH(E$7,O_MRow,0)),0)</f>
        <v>1465.00568572223</v>
      </c>
      <c r="F34" s="202" t="n">
        <f aca="false">IF(F$5&gt;=1,INDEX(O_MTable,MATCH("Variable",O_MColumn,0),MATCH(F$7,O_MRow,0)),0)</f>
        <v>1830.69541580406</v>
      </c>
      <c r="G34" s="202" t="n">
        <f aca="false">IF(G$5&gt;=1,INDEX(O_MTable,MATCH("Variable",O_MColumn,0),MATCH(G$7,O_MRow,0)),0)</f>
        <v>1897.43398134409</v>
      </c>
      <c r="H34" s="202" t="n">
        <f aca="false">IF(H$5&gt;=1,INDEX(O_MTable,MATCH("Variable",O_MColumn,0),MATCH(H$7,O_MRow,0)),0)</f>
        <v>1557.73863356163</v>
      </c>
      <c r="I34" s="202" t="n">
        <f aca="false">IF(I$5&gt;=1,INDEX(O_MTable,MATCH("Variable",O_MColumn,0),MATCH(I$7,O_MRow,0)),0)</f>
        <v>1582.91545957786</v>
      </c>
      <c r="J34" s="202" t="n">
        <f aca="false">IF(J$5&gt;=1,INDEX(O_MTable,MATCH("Variable",O_MColumn,0),MATCH(J$7,O_MRow,0)),0)</f>
        <v>1640.96528105242</v>
      </c>
      <c r="K34" s="202" t="n">
        <f aca="false">IF(K$5&gt;=1,INDEX(O_MTable,MATCH("Variable",O_MColumn,0),MATCH(K$7,O_MRow,0)),0)</f>
        <v>1646.88677138271</v>
      </c>
      <c r="L34" s="202" t="n">
        <f aca="false">IF(L$5&gt;=1,INDEX(O_MTable,MATCH("Variable",O_MColumn,0),MATCH(L$7,O_MRow,0)),0)</f>
        <v>1672.3331852547</v>
      </c>
      <c r="M34" s="202" t="n">
        <f aca="false">IF(M$5&gt;=1,INDEX(O_MTable,MATCH("Variable",O_MColumn,0),MATCH(M$7,O_MRow,0)),0)</f>
        <v>1718.20868121187</v>
      </c>
      <c r="N34" s="202" t="n">
        <f aca="false">IF(N$5&gt;=1,INDEX(O_MTable,MATCH("Variable",O_MColumn,0),MATCH(N$7,O_MRow,0)),0)</f>
        <v>1743.92802317611</v>
      </c>
      <c r="O34" s="202" t="n">
        <f aca="false">IF(O$5&gt;=1,INDEX(O_MTable,MATCH("Variable",O_MColumn,0),MATCH(O$7,O_MRow,0)),0)</f>
        <v>1769.64161732131</v>
      </c>
      <c r="P34" s="202" t="n">
        <f aca="false">IF(P$5&gt;=1,INDEX(O_MTable,MATCH("Variable",O_MColumn,0),MATCH(P$7,O_MRow,0)),0)</f>
        <v>1560.42049338415</v>
      </c>
      <c r="Q34" s="202" t="n">
        <f aca="false">IF(Q$5&gt;=1,INDEX(O_MTable,MATCH("Variable",O_MColumn,0),MATCH(Q$7,O_MRow,0)),0)</f>
        <v>1615.24891787582</v>
      </c>
      <c r="R34" s="202" t="n">
        <f aca="false">IF(R$5&gt;=1,INDEX(O_MTable,MATCH("Variable",O_MColumn,0),MATCH(R$7,O_MRow,0)),0)</f>
        <v>1638.31952419688</v>
      </c>
      <c r="S34" s="202" t="n">
        <f aca="false">IF(S$5&gt;=1,INDEX(O_MTable,MATCH("Variable",O_MColumn,0),MATCH(S$7,O_MRow,0)),0)</f>
        <v>1684.14262901887</v>
      </c>
      <c r="T34" s="202" t="n">
        <f aca="false">IF(T$5&gt;=1,INDEX(O_MTable,MATCH("Variable",O_MColumn,0),MATCH(T$7,O_MRow,0)),0)</f>
        <v>0</v>
      </c>
      <c r="U34" s="202" t="n">
        <f aca="false">IF(U$5&gt;=1,INDEX(O_MTable,MATCH("Variable",O_MColumn,0),MATCH(U$7,O_MRow,0)),0)</f>
        <v>0</v>
      </c>
      <c r="V34" s="202" t="n">
        <f aca="false">IF(V$5&gt;=1,INDEX(O_MTable,MATCH("Variable",O_MColumn,0),MATCH(V$7,O_MRow,0)),0)</f>
        <v>0</v>
      </c>
      <c r="W34" s="202" t="n">
        <f aca="false">IF(W$5&gt;=1,INDEX(O_MTable,MATCH("Variable",O_MColumn,0),MATCH(W$7,O_MRow,0)),0)</f>
        <v>0</v>
      </c>
      <c r="X34" s="202" t="n">
        <f aca="false">IF(X$5&gt;=1,INDEX(O_MTable,MATCH("Variable",O_MColumn,0),MATCH(X$7,O_MRow,0)),0)</f>
        <v>0</v>
      </c>
      <c r="Y34" s="202"/>
      <c r="Z34" s="202"/>
      <c r="AA34" s="202"/>
      <c r="AB34" s="202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577"/>
      <c r="AR34" s="577"/>
      <c r="AS34" s="577"/>
      <c r="AT34" s="577"/>
      <c r="AU34" s="577"/>
      <c r="AV34" s="577"/>
      <c r="AW34" s="577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2"/>
      <c r="BT34" s="142"/>
      <c r="BU34" s="142"/>
      <c r="BV34" s="142"/>
      <c r="BW34" s="142"/>
      <c r="BX34" s="142"/>
      <c r="BY34" s="142"/>
      <c r="BZ34" s="142"/>
      <c r="CA34" s="142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2"/>
      <c r="CQ34" s="142"/>
      <c r="CR34" s="142"/>
      <c r="CS34" s="142"/>
      <c r="CT34" s="142"/>
      <c r="CU34" s="142"/>
      <c r="CV34" s="142"/>
      <c r="CW34" s="142"/>
      <c r="CX34" s="142"/>
      <c r="CY34" s="142"/>
      <c r="CZ34" s="142"/>
      <c r="DA34" s="142"/>
      <c r="DB34" s="142"/>
      <c r="DC34" s="142"/>
      <c r="DD34" s="142"/>
      <c r="DE34" s="142"/>
      <c r="DF34" s="142"/>
      <c r="DG34" s="142"/>
      <c r="DH34" s="142"/>
      <c r="DI34" s="142"/>
      <c r="DJ34" s="142"/>
      <c r="DK34" s="142"/>
      <c r="DL34" s="142"/>
      <c r="DM34" s="142"/>
      <c r="DN34" s="142"/>
      <c r="DO34" s="142"/>
      <c r="DP34" s="142"/>
      <c r="DQ34" s="142"/>
      <c r="DR34" s="142"/>
      <c r="DS34" s="142"/>
      <c r="DT34" s="142"/>
      <c r="DU34" s="142"/>
      <c r="DV34" s="142"/>
      <c r="DW34" s="142"/>
      <c r="DX34" s="142"/>
      <c r="DY34" s="142"/>
      <c r="DZ34" s="142"/>
      <c r="EA34" s="142"/>
      <c r="EB34" s="142"/>
      <c r="EC34" s="142"/>
      <c r="ED34" s="142"/>
      <c r="EE34" s="142"/>
      <c r="EF34" s="142"/>
      <c r="EG34" s="142"/>
      <c r="EH34" s="142"/>
      <c r="EI34" s="142"/>
      <c r="EJ34" s="142"/>
      <c r="EK34" s="142"/>
      <c r="EL34" s="142"/>
      <c r="EM34" s="142"/>
      <c r="EN34" s="142"/>
      <c r="EO34" s="142"/>
      <c r="EP34" s="142"/>
      <c r="EQ34" s="142"/>
      <c r="ER34" s="142"/>
      <c r="ES34" s="142"/>
      <c r="ET34" s="142"/>
      <c r="EU34" s="142"/>
      <c r="EV34" s="142"/>
      <c r="EW34" s="142"/>
      <c r="EX34" s="142"/>
      <c r="EY34" s="142"/>
      <c r="EZ34" s="142"/>
      <c r="FA34" s="142"/>
      <c r="FB34" s="142"/>
      <c r="FC34" s="142"/>
      <c r="FD34" s="142"/>
      <c r="FE34" s="142"/>
      <c r="FF34" s="142"/>
      <c r="FG34" s="142"/>
      <c r="FH34" s="142"/>
      <c r="FI34" s="142"/>
      <c r="FJ34" s="142"/>
      <c r="FK34" s="142"/>
      <c r="FL34" s="142"/>
      <c r="FM34" s="142"/>
      <c r="FN34" s="142"/>
      <c r="FO34" s="142"/>
      <c r="FP34" s="142"/>
      <c r="FQ34" s="142"/>
      <c r="FR34" s="142"/>
      <c r="FS34" s="142"/>
      <c r="FT34" s="142"/>
      <c r="FU34" s="142"/>
      <c r="FV34" s="142"/>
      <c r="FW34" s="142"/>
      <c r="FX34" s="142"/>
      <c r="FY34" s="142"/>
      <c r="FZ34" s="142"/>
      <c r="GA34" s="142"/>
      <c r="GB34" s="142"/>
      <c r="GC34" s="142"/>
      <c r="GD34" s="142"/>
      <c r="GE34" s="142"/>
      <c r="GF34" s="142"/>
      <c r="GG34" s="142"/>
      <c r="GH34" s="142"/>
      <c r="GI34" s="142"/>
      <c r="GJ34" s="142"/>
      <c r="GK34" s="142"/>
      <c r="GL34" s="142"/>
      <c r="GM34" s="142"/>
      <c r="GN34" s="142"/>
      <c r="GO34" s="142"/>
      <c r="GP34" s="142"/>
      <c r="GQ34" s="142"/>
      <c r="GR34" s="142"/>
      <c r="GS34" s="142"/>
      <c r="GT34" s="142"/>
      <c r="GU34" s="142"/>
      <c r="GV34" s="142"/>
      <c r="GW34" s="142"/>
      <c r="GX34" s="142"/>
      <c r="GY34" s="142"/>
      <c r="GZ34" s="142"/>
      <c r="HA34" s="142"/>
      <c r="HB34" s="142"/>
      <c r="HC34" s="142"/>
      <c r="HD34" s="142"/>
      <c r="HE34" s="142"/>
      <c r="HF34" s="142"/>
      <c r="HG34" s="142"/>
      <c r="HH34" s="142"/>
      <c r="HI34" s="142"/>
      <c r="HJ34" s="142"/>
      <c r="HK34" s="142"/>
      <c r="HL34" s="142"/>
      <c r="HM34" s="142"/>
      <c r="HN34" s="142"/>
      <c r="HO34" s="142"/>
      <c r="HP34" s="142"/>
      <c r="HQ34" s="142"/>
      <c r="HR34" s="142"/>
      <c r="HS34" s="142"/>
      <c r="HT34" s="142"/>
      <c r="HU34" s="142"/>
      <c r="HV34" s="142"/>
      <c r="HW34" s="142"/>
      <c r="HX34" s="142"/>
      <c r="HY34" s="142"/>
      <c r="HZ34" s="142"/>
      <c r="IA34" s="142"/>
      <c r="IB34" s="142"/>
      <c r="IC34" s="142"/>
      <c r="ID34" s="142"/>
      <c r="IE34" s="142"/>
      <c r="IF34" s="142"/>
      <c r="IG34" s="142"/>
      <c r="IH34" s="142"/>
      <c r="II34" s="142"/>
      <c r="IJ34" s="142"/>
      <c r="IK34" s="142"/>
      <c r="IL34" s="142"/>
      <c r="IM34" s="142"/>
      <c r="IN34" s="142"/>
      <c r="IO34" s="142"/>
      <c r="IP34" s="142"/>
      <c r="IQ34" s="142"/>
      <c r="IR34" s="142"/>
      <c r="IS34" s="142"/>
      <c r="IT34" s="142"/>
      <c r="IU34" s="142"/>
      <c r="IV34" s="142"/>
      <c r="IW34" s="142"/>
    </row>
    <row r="35" customFormat="false" ht="11.25" hidden="false" customHeight="false" outlineLevel="0" collapsed="false">
      <c r="A35" s="113"/>
      <c r="B35" s="127" t="s">
        <v>532</v>
      </c>
      <c r="C35" s="571" t="n">
        <f aca="false">IF(C$5&gt;=1,INDEX(O_MTable,MATCH("Fixed",O_MColumn,0),MATCH(C$7,O_MRow,0)),0)</f>
        <v>0</v>
      </c>
      <c r="D35" s="202" t="n">
        <f aca="false">IF(D$5&gt;=1,INDEX(O_MTable,MATCH("Fixed",O_MColumn,0),MATCH(D$7,O_MRow,0)),0)</f>
        <v>220.791666666667</v>
      </c>
      <c r="E35" s="202" t="n">
        <f aca="false">IF(E$5&gt;=1,INDEX(O_MTable,MATCH("Fixed",O_MColumn,0),MATCH(E$7,O_MRow,0)),0)</f>
        <v>1351.245</v>
      </c>
      <c r="F35" s="202" t="n">
        <f aca="false">IF(F$5&gt;=1,INDEX(O_MTable,MATCH("Fixed",O_MColumn,0),MATCH(F$7,O_MRow,0)),0)</f>
        <v>1377.74</v>
      </c>
      <c r="G35" s="202" t="n">
        <f aca="false">IF(G$5&gt;=1,INDEX(O_MTable,MATCH("Fixed",O_MColumn,0),MATCH(G$7,O_MRow,0)),0)</f>
        <v>1404.235</v>
      </c>
      <c r="H35" s="202" t="n">
        <f aca="false">IF(H$5&gt;=1,INDEX(O_MTable,MATCH("Fixed",O_MColumn,0),MATCH(H$7,O_MRow,0)),0)</f>
        <v>1430.73</v>
      </c>
      <c r="I35" s="202" t="n">
        <f aca="false">IF(I$5&gt;=1,INDEX(O_MTable,MATCH("Fixed",O_MColumn,0),MATCH(I$7,O_MRow,0)),0)</f>
        <v>1457.225</v>
      </c>
      <c r="J35" s="202" t="n">
        <f aca="false">IF(J$5&gt;=1,INDEX(O_MTable,MATCH("Fixed",O_MColumn,0),MATCH(J$7,O_MRow,0)),0)</f>
        <v>1483.72</v>
      </c>
      <c r="K35" s="202" t="n">
        <f aca="false">IF(K$5&gt;=1,INDEX(O_MTable,MATCH("Fixed",O_MColumn,0),MATCH(K$7,O_MRow,0)),0)</f>
        <v>1510.215</v>
      </c>
      <c r="L35" s="202" t="n">
        <f aca="false">IF(L$5&gt;=1,INDEX(O_MTable,MATCH("Fixed",O_MColumn,0),MATCH(L$7,O_MRow,0)),0)</f>
        <v>1536.71</v>
      </c>
      <c r="M35" s="202" t="n">
        <f aca="false">IF(M$5&gt;=1,INDEX(O_MTable,MATCH("Fixed",O_MColumn,0),MATCH(M$7,O_MRow,0)),0)</f>
        <v>1563.205</v>
      </c>
      <c r="N35" s="202" t="n">
        <f aca="false">IF(N$5&gt;=1,INDEX(O_MTable,MATCH("Fixed",O_MColumn,0),MATCH(N$7,O_MRow,0)),0)</f>
        <v>1589.7</v>
      </c>
      <c r="O35" s="202" t="n">
        <f aca="false">IF(O$5&gt;=1,INDEX(O_MTable,MATCH("Fixed",O_MColumn,0),MATCH(O$7,O_MRow,0)),0)</f>
        <v>1616.195</v>
      </c>
      <c r="P35" s="202" t="n">
        <f aca="false">IF(P$5&gt;=1,INDEX(O_MTable,MATCH("Fixed",O_MColumn,0),MATCH(P$7,O_MRow,0)),0)</f>
        <v>1642.69</v>
      </c>
      <c r="Q35" s="202" t="n">
        <f aca="false">IF(Q$5&gt;=1,INDEX(O_MTable,MATCH("Fixed",O_MColumn,0),MATCH(Q$7,O_MRow,0)),0)</f>
        <v>1669.185</v>
      </c>
      <c r="R35" s="202" t="n">
        <f aca="false">IF(R$5&gt;=1,INDEX(O_MTable,MATCH("Fixed",O_MColumn,0),MATCH(R$7,O_MRow,0)),0)</f>
        <v>1695.68</v>
      </c>
      <c r="S35" s="202" t="n">
        <f aca="false">IF(S$5&gt;=1,INDEX(O_MTable,MATCH("Fixed",O_MColumn,0),MATCH(S$7,O_MRow,0)),0)</f>
        <v>1722.175</v>
      </c>
      <c r="T35" s="202" t="n">
        <f aca="false">IF(T$5&gt;=1,INDEX(O_MTable,MATCH("Fixed",O_MColumn,0),MATCH(T$7,O_MRow,0)),0)</f>
        <v>0</v>
      </c>
      <c r="U35" s="202" t="n">
        <f aca="false">IF(U$5&gt;=1,INDEX(O_MTable,MATCH("Fixed",O_MColumn,0),MATCH(U$7,O_MRow,0)),0)</f>
        <v>0</v>
      </c>
      <c r="V35" s="202" t="n">
        <f aca="false">IF(V$5&gt;=1,INDEX(O_MTable,MATCH("Fixed",O_MColumn,0),MATCH(V$7,O_MRow,0)),0)</f>
        <v>0</v>
      </c>
      <c r="W35" s="202" t="n">
        <f aca="false">IF(W$5&gt;=1,INDEX(O_MTable,MATCH("Fixed",O_MColumn,0),MATCH(W$7,O_MRow,0)),0)</f>
        <v>0</v>
      </c>
      <c r="X35" s="202" t="n">
        <f aca="false">IF(X$5&gt;=1,INDEX(O_MTable,MATCH("Fixed",O_MColumn,0),MATCH(X$7,O_MRow,0)),0)</f>
        <v>0</v>
      </c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3"/>
      <c r="GD35" s="113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3"/>
      <c r="HX35" s="113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3"/>
      <c r="IS35" s="113"/>
      <c r="IT35" s="113"/>
      <c r="IU35" s="113"/>
      <c r="IV35" s="113"/>
      <c r="IW35" s="113"/>
    </row>
    <row r="36" customFormat="false" ht="11.25" hidden="false" customHeight="false" outlineLevel="0" collapsed="false">
      <c r="A36" s="295"/>
      <c r="B36" s="578" t="s">
        <v>533</v>
      </c>
      <c r="C36" s="579" t="n">
        <f aca="false">IF(C$5&gt;=1,INDEX(OperationalDetail,MATCH("Standby Charge",ODColumn,0),MATCH(C$7,ODRow,0)),0)</f>
        <v>0</v>
      </c>
      <c r="D36" s="202" t="n">
        <f aca="false">IF(D$5&gt;=1,INDEX(OperationalDetail,MATCH("Standby Charge",ODColumn,0),MATCH(D$7,ODRow,0)),0)</f>
        <v>0</v>
      </c>
      <c r="E36" s="202" t="n">
        <f aca="false">IF(E$5&gt;=1,INDEX(OperationalDetail,MATCH("Standby Charge",ODColumn,0),MATCH(E$7,ODRow,0)),0)</f>
        <v>464.449479529808</v>
      </c>
      <c r="F36" s="202" t="n">
        <f aca="false">IF(F$5&gt;=1,INDEX(OperationalDetail,MATCH("Standby Charge",ODColumn,0),MATCH(F$7,ODRow,0)),0)</f>
        <v>450.088697690753</v>
      </c>
      <c r="G36" s="202" t="n">
        <f aca="false">IF(G$5&gt;=1,INDEX(OperationalDetail,MATCH("Standby Charge",ODColumn,0),MATCH(G$7,ODRow,0)),0)</f>
        <v>438.310736158481</v>
      </c>
      <c r="H36" s="202" t="n">
        <f aca="false">IF(H$5&gt;=1,INDEX(OperationalDetail,MATCH("Standby Charge",ODColumn,0),MATCH(H$7,ODRow,0)),0)</f>
        <v>432.964740152811</v>
      </c>
      <c r="I36" s="202" t="n">
        <f aca="false">IF(I$5&gt;=1,INDEX(OperationalDetail,MATCH("Standby Charge",ODColumn,0),MATCH(I$7,ODRow,0)),0)</f>
        <v>427.198886569865</v>
      </c>
      <c r="J36" s="202" t="n">
        <f aca="false">IF(J$5&gt;=1,INDEX(OperationalDetail,MATCH("Standby Charge",ODColumn,0),MATCH(J$7,ODRow,0)),0)</f>
        <v>425.177199655116</v>
      </c>
      <c r="K36" s="202" t="n">
        <f aca="false">IF(K$5&gt;=1,INDEX(OperationalDetail,MATCH("Standby Charge",ODColumn,0),MATCH(K$7,ODRow,0)),0)</f>
        <v>424.573510894882</v>
      </c>
      <c r="L36" s="202" t="n">
        <f aca="false">IF(L$5&gt;=1,INDEX(OperationalDetail,MATCH("Standby Charge",ODColumn,0),MATCH(L$7,ODRow,0)),0)</f>
        <v>426.767655019069</v>
      </c>
      <c r="M36" s="202" t="n">
        <f aca="false">IF(M$5&gt;=1,INDEX(OperationalDetail,MATCH("Standby Charge",ODColumn,0),MATCH(M$7,ODRow,0)),0)</f>
        <v>427.951908377865</v>
      </c>
      <c r="N36" s="202" t="n">
        <f aca="false">IF(N$5&gt;=1,INDEX(OperationalDetail,MATCH("Standby Charge",ODColumn,0),MATCH(N$7,ODRow,0)),0)</f>
        <v>432.194343838993</v>
      </c>
      <c r="O36" s="202" t="n">
        <f aca="false">IF(O$5&gt;=1,INDEX(OperationalDetail,MATCH("Standby Charge",ODColumn,0),MATCH(O$7,ODRow,0)),0)</f>
        <v>436.203961487162</v>
      </c>
      <c r="P36" s="202" t="n">
        <f aca="false">IF(P$5&gt;=1,INDEX(OperationalDetail,MATCH("Standby Charge",ODColumn,0),MATCH(P$7,ODRow,0)),0)</f>
        <v>441.398142040297</v>
      </c>
      <c r="Q36" s="202" t="n">
        <f aca="false">IF(Q$5&gt;=1,INDEX(OperationalDetail,MATCH("Standby Charge",ODColumn,0),MATCH(Q$7,ODRow,0)),0)</f>
        <v>444.189789269398</v>
      </c>
      <c r="R36" s="202" t="n">
        <f aca="false">IF(R$5&gt;=1,INDEX(OperationalDetail,MATCH("Standby Charge",ODColumn,0),MATCH(R$7,ODRow,0)),0)</f>
        <v>448.194939114451</v>
      </c>
      <c r="S36" s="202" t="n">
        <f aca="false">IF(S$5&gt;=1,INDEX(OperationalDetail,MATCH("Standby Charge",ODColumn,0),MATCH(S$7,ODRow,0)),0)</f>
        <v>224.292558111191</v>
      </c>
      <c r="T36" s="202" t="n">
        <f aca="false">IF(T$5&gt;=1,INDEX(OperationalDetail,MATCH("Standby Charge",ODColumn,0),MATCH(T$7,ODRow,0)),0)</f>
        <v>0</v>
      </c>
      <c r="U36" s="202" t="n">
        <f aca="false">IF(U$5&gt;=1,INDEX(OperationalDetail,MATCH("Standby Charge",ODColumn,0),MATCH(U$7,ODRow,0)),0)</f>
        <v>0</v>
      </c>
      <c r="V36" s="202" t="n">
        <f aca="false">IF(V$5&gt;=1,INDEX(OperationalDetail,MATCH("Standby Charge",ODColumn,0),MATCH(V$7,ODRow,0)),0)</f>
        <v>0</v>
      </c>
      <c r="W36" s="202" t="n">
        <f aca="false">IF(W$5&gt;=1,INDEX(OperationalDetail,MATCH("Standby Charge",ODColumn,0),MATCH(W$7,ODRow,0)),0)</f>
        <v>0</v>
      </c>
      <c r="X36" s="202" t="n">
        <f aca="false">IF(X$5&gt;=1,INDEX(OperationalDetail,MATCH("Standby Charge",ODColumn,0),MATCH(X$7,ODRow,0)),0)</f>
        <v>0</v>
      </c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5"/>
      <c r="BS36" s="295"/>
      <c r="BT36" s="295"/>
      <c r="BU36" s="295"/>
      <c r="BV36" s="295"/>
      <c r="BW36" s="295"/>
      <c r="BX36" s="295"/>
      <c r="BY36" s="295"/>
      <c r="BZ36" s="295"/>
      <c r="CA36" s="295"/>
      <c r="CB36" s="295"/>
      <c r="CC36" s="295"/>
      <c r="CD36" s="295"/>
      <c r="CE36" s="295"/>
      <c r="CF36" s="295"/>
      <c r="CG36" s="295"/>
      <c r="CH36" s="295"/>
      <c r="CI36" s="295"/>
      <c r="CJ36" s="295"/>
      <c r="CK36" s="295"/>
      <c r="CL36" s="295"/>
      <c r="CM36" s="295"/>
      <c r="CN36" s="295"/>
      <c r="CO36" s="295"/>
      <c r="CP36" s="295"/>
      <c r="CQ36" s="295"/>
      <c r="CR36" s="295"/>
      <c r="CS36" s="295"/>
      <c r="CT36" s="295"/>
      <c r="CU36" s="295"/>
      <c r="CV36" s="295"/>
      <c r="CW36" s="295"/>
      <c r="CX36" s="295"/>
      <c r="CY36" s="295"/>
      <c r="CZ36" s="295"/>
      <c r="DA36" s="295"/>
      <c r="DB36" s="295"/>
      <c r="DC36" s="295"/>
      <c r="DD36" s="295"/>
      <c r="DE36" s="295"/>
      <c r="DF36" s="295"/>
      <c r="DG36" s="295"/>
      <c r="DH36" s="295"/>
      <c r="DI36" s="295"/>
      <c r="DJ36" s="295"/>
      <c r="DK36" s="295"/>
      <c r="DL36" s="295"/>
      <c r="DM36" s="295"/>
      <c r="DN36" s="295"/>
      <c r="DO36" s="295"/>
      <c r="DP36" s="295"/>
      <c r="DQ36" s="295"/>
      <c r="DR36" s="295"/>
      <c r="DS36" s="295"/>
      <c r="DT36" s="295"/>
      <c r="DU36" s="295"/>
      <c r="DV36" s="295"/>
      <c r="DW36" s="295"/>
      <c r="DX36" s="295"/>
      <c r="DY36" s="295"/>
      <c r="DZ36" s="295"/>
      <c r="EA36" s="295"/>
      <c r="EB36" s="295"/>
      <c r="EC36" s="295"/>
      <c r="ED36" s="295"/>
      <c r="EE36" s="295"/>
      <c r="EF36" s="295"/>
      <c r="EG36" s="295"/>
      <c r="EH36" s="295"/>
      <c r="EI36" s="295"/>
      <c r="EJ36" s="295"/>
      <c r="EK36" s="295"/>
      <c r="EL36" s="295"/>
      <c r="EM36" s="295"/>
      <c r="EN36" s="295"/>
      <c r="EO36" s="295"/>
      <c r="EP36" s="295"/>
      <c r="EQ36" s="295"/>
      <c r="ER36" s="295"/>
      <c r="ES36" s="295"/>
      <c r="ET36" s="295"/>
      <c r="EU36" s="295"/>
      <c r="EV36" s="295"/>
      <c r="EW36" s="295"/>
      <c r="EX36" s="295"/>
      <c r="EY36" s="295"/>
      <c r="EZ36" s="295"/>
      <c r="FA36" s="295"/>
      <c r="FB36" s="295"/>
      <c r="FC36" s="295"/>
      <c r="FD36" s="295"/>
      <c r="FE36" s="295"/>
      <c r="FF36" s="295"/>
      <c r="FG36" s="295"/>
      <c r="FH36" s="295"/>
      <c r="FI36" s="295"/>
      <c r="FJ36" s="295"/>
      <c r="FK36" s="295"/>
      <c r="FL36" s="295"/>
      <c r="FM36" s="295"/>
      <c r="FN36" s="295"/>
      <c r="FO36" s="295"/>
      <c r="FP36" s="295"/>
      <c r="FQ36" s="295"/>
      <c r="FR36" s="295"/>
      <c r="FS36" s="295"/>
      <c r="FT36" s="295"/>
      <c r="FU36" s="295"/>
      <c r="FV36" s="295"/>
      <c r="FW36" s="295"/>
      <c r="FX36" s="295"/>
      <c r="FY36" s="295"/>
      <c r="FZ36" s="295"/>
      <c r="GA36" s="295"/>
      <c r="GB36" s="295"/>
      <c r="GC36" s="295"/>
      <c r="GD36" s="295"/>
      <c r="GE36" s="295"/>
      <c r="GF36" s="295"/>
      <c r="GG36" s="295"/>
      <c r="GH36" s="295"/>
      <c r="GI36" s="295"/>
      <c r="GJ36" s="295"/>
      <c r="GK36" s="295"/>
      <c r="GL36" s="295"/>
      <c r="GM36" s="295"/>
      <c r="GN36" s="295"/>
      <c r="GO36" s="295"/>
      <c r="GP36" s="295"/>
      <c r="GQ36" s="295"/>
      <c r="GR36" s="295"/>
      <c r="GS36" s="295"/>
      <c r="GT36" s="295"/>
      <c r="GU36" s="295"/>
      <c r="GV36" s="295"/>
      <c r="GW36" s="295"/>
      <c r="GX36" s="295"/>
      <c r="GY36" s="295"/>
      <c r="GZ36" s="295"/>
      <c r="HA36" s="295"/>
      <c r="HB36" s="295"/>
      <c r="HC36" s="295"/>
      <c r="HD36" s="295"/>
      <c r="HE36" s="295"/>
      <c r="HF36" s="295"/>
      <c r="HG36" s="295"/>
      <c r="HH36" s="295"/>
      <c r="HI36" s="295"/>
      <c r="HJ36" s="295"/>
      <c r="HK36" s="295"/>
      <c r="HL36" s="295"/>
      <c r="HM36" s="295"/>
      <c r="HN36" s="295"/>
      <c r="HO36" s="295"/>
      <c r="HP36" s="295"/>
      <c r="HQ36" s="295"/>
      <c r="HR36" s="295"/>
      <c r="HS36" s="295"/>
      <c r="HT36" s="295"/>
      <c r="HU36" s="295"/>
      <c r="HV36" s="295"/>
      <c r="HW36" s="295"/>
      <c r="HX36" s="295"/>
      <c r="HY36" s="295"/>
      <c r="HZ36" s="295"/>
      <c r="IA36" s="295"/>
      <c r="IB36" s="295"/>
      <c r="IC36" s="295"/>
      <c r="ID36" s="295"/>
      <c r="IE36" s="295"/>
      <c r="IF36" s="295"/>
      <c r="IG36" s="295"/>
      <c r="IH36" s="295"/>
      <c r="II36" s="295"/>
      <c r="IJ36" s="295"/>
      <c r="IK36" s="295"/>
      <c r="IL36" s="295"/>
      <c r="IM36" s="295"/>
      <c r="IN36" s="295"/>
      <c r="IO36" s="295"/>
      <c r="IP36" s="295"/>
      <c r="IQ36" s="295"/>
      <c r="IR36" s="295"/>
      <c r="IS36" s="295"/>
      <c r="IT36" s="295"/>
      <c r="IU36" s="295"/>
      <c r="IV36" s="295"/>
      <c r="IW36" s="295"/>
    </row>
    <row r="37" customFormat="false" ht="11.25" hidden="false" customHeight="false" outlineLevel="0" collapsed="false">
      <c r="A37" s="113"/>
      <c r="B37" s="127" t="s">
        <v>534</v>
      </c>
      <c r="C37" s="571" t="n">
        <f aca="false">IF(C$5&gt;=1,INDEX(O_MTable,MATCH("Property Tax",O_MColumn,0),MATCH(C$7,O_MRow,0)),0)</f>
        <v>0</v>
      </c>
      <c r="D37" s="202" t="n">
        <f aca="false">IF(D$5&gt;=1,INDEX(O_MTable,MATCH("Property Tax",O_MColumn,0),MATCH(D$7,O_MRow,0)),0)</f>
        <v>150.441708885708</v>
      </c>
      <c r="E37" s="202" t="n">
        <f aca="false">IF(E$5&gt;=1,INDEX(O_MTable,MATCH("Property Tax",O_MColumn,0),MATCH(E$7,O_MRow,0)),0)</f>
        <v>920.703258380536</v>
      </c>
      <c r="F37" s="202" t="n">
        <f aca="false">IF(F$5&gt;=1,INDEX(O_MTable,MATCH("Property Tax",O_MColumn,0),MATCH(F$7,O_MRow,0)),0)</f>
        <v>938.756263446821</v>
      </c>
      <c r="G37" s="202" t="n">
        <f aca="false">IF(G$5&gt;=1,INDEX(O_MTable,MATCH("Property Tax",O_MColumn,0),MATCH(G$7,O_MRow,0)),0)</f>
        <v>956.809268513106</v>
      </c>
      <c r="H37" s="202" t="n">
        <f aca="false">IF(H$5&gt;=1,INDEX(O_MTable,MATCH("Property Tax",O_MColumn,0),MATCH(H$7,O_MRow,0)),0)</f>
        <v>974.862273579391</v>
      </c>
      <c r="I37" s="202" t="n">
        <f aca="false">IF(I$5&gt;=1,INDEX(O_MTable,MATCH("Property Tax",O_MColumn,0),MATCH(I$7,O_MRow,0)),0)</f>
        <v>992.915278645676</v>
      </c>
      <c r="J37" s="202" t="n">
        <f aca="false">IF(J$5&gt;=1,INDEX(O_MTable,MATCH("Property Tax",O_MColumn,0),MATCH(J$7,O_MRow,0)),0)</f>
        <v>1010.96828371196</v>
      </c>
      <c r="K37" s="202" t="n">
        <f aca="false">IF(K$5&gt;=1,INDEX(O_MTable,MATCH("Property Tax",O_MColumn,0),MATCH(K$7,O_MRow,0)),0)</f>
        <v>1029.02128877825</v>
      </c>
      <c r="L37" s="202" t="n">
        <f aca="false">IF(L$5&gt;=1,INDEX(O_MTable,MATCH("Property Tax",O_MColumn,0),MATCH(L$7,O_MRow,0)),0)</f>
        <v>1047.07429384453</v>
      </c>
      <c r="M37" s="202" t="n">
        <f aca="false">IF(M$5&gt;=1,INDEX(O_MTable,MATCH("Property Tax",O_MColumn,0),MATCH(M$7,O_MRow,0)),0)</f>
        <v>1065.12729891082</v>
      </c>
      <c r="N37" s="202" t="n">
        <f aca="false">IF(N$5&gt;=1,INDEX(O_MTable,MATCH("Property Tax",O_MColumn,0),MATCH(N$7,O_MRow,0)),0)</f>
        <v>1083.1803039771</v>
      </c>
      <c r="O37" s="202" t="n">
        <f aca="false">IF(O$5&gt;=1,INDEX(O_MTable,MATCH("Property Tax",O_MColumn,0),MATCH(O$7,O_MRow,0)),0)</f>
        <v>1101.23330904339</v>
      </c>
      <c r="P37" s="202" t="n">
        <f aca="false">IF(P$5&gt;=1,INDEX(O_MTable,MATCH("Property Tax",O_MColumn,0),MATCH(P$7,O_MRow,0)),0)</f>
        <v>1119.28631410967</v>
      </c>
      <c r="Q37" s="202" t="n">
        <f aca="false">IF(Q$5&gt;=1,INDEX(O_MTable,MATCH("Property Tax",O_MColumn,0),MATCH(Q$7,O_MRow,0)),0)</f>
        <v>1137.33931917596</v>
      </c>
      <c r="R37" s="202" t="n">
        <f aca="false">IF(R$5&gt;=1,INDEX(O_MTable,MATCH("Property Tax",O_MColumn,0),MATCH(R$7,O_MRow,0)),0)</f>
        <v>1155.39232424224</v>
      </c>
      <c r="S37" s="202" t="n">
        <f aca="false">IF(S$5&gt;=1,INDEX(O_MTable,MATCH("Property Tax",O_MColumn,0),MATCH(S$7,O_MRow,0)),0)</f>
        <v>1173.44532930853</v>
      </c>
      <c r="T37" s="202" t="n">
        <f aca="false">IF(T$5&gt;=1,INDEX(O_MTable,MATCH("Property Tax",O_MColumn,0),MATCH(T$7,O_MRow,0)),0)</f>
        <v>0</v>
      </c>
      <c r="U37" s="202" t="n">
        <f aca="false">IF(U$5&gt;=1,INDEX(O_MTable,MATCH("Property Tax",O_MColumn,0),MATCH(U$7,O_MRow,0)),0)</f>
        <v>0</v>
      </c>
      <c r="V37" s="202" t="n">
        <f aca="false">IF(V$5&gt;=1,INDEX(O_MTable,MATCH("Property Tax",O_MColumn,0),MATCH(V$7,O_MRow,0)),0)</f>
        <v>0</v>
      </c>
      <c r="W37" s="202" t="n">
        <f aca="false">IF(W$5&gt;=1,INDEX(O_MTable,MATCH("Property Tax",O_MColumn,0),MATCH(W$7,O_MRow,0)),0)</f>
        <v>0</v>
      </c>
      <c r="X37" s="202" t="n">
        <f aca="false">IF(X$5&gt;=1,INDEX(O_MTable,MATCH("Property Tax",O_MColumn,0),MATCH(X$7,O_MRow,0)),0)</f>
        <v>0</v>
      </c>
      <c r="Y37" s="202"/>
      <c r="Z37" s="202"/>
      <c r="AA37" s="202"/>
      <c r="AB37" s="202"/>
      <c r="AC37" s="202"/>
      <c r="AD37" s="202"/>
      <c r="AE37" s="202"/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113"/>
      <c r="BY37" s="113"/>
      <c r="BZ37" s="113"/>
      <c r="CA37" s="113"/>
      <c r="CB37" s="113"/>
      <c r="CC37" s="113"/>
      <c r="CD37" s="113"/>
      <c r="CE37" s="113"/>
      <c r="CF37" s="113"/>
      <c r="CG37" s="113"/>
      <c r="CH37" s="113"/>
      <c r="CI37" s="113"/>
      <c r="CJ37" s="113"/>
      <c r="CK37" s="113"/>
      <c r="CL37" s="113"/>
      <c r="CM37" s="113"/>
      <c r="CN37" s="113"/>
      <c r="CO37" s="113"/>
      <c r="CP37" s="113"/>
      <c r="CQ37" s="113"/>
      <c r="CR37" s="113"/>
      <c r="CS37" s="113"/>
      <c r="CT37" s="113"/>
      <c r="CU37" s="113"/>
      <c r="CV37" s="113"/>
      <c r="CW37" s="113"/>
      <c r="CX37" s="113"/>
      <c r="CY37" s="113"/>
      <c r="CZ37" s="113"/>
      <c r="DA37" s="113"/>
      <c r="DB37" s="113"/>
      <c r="DC37" s="113"/>
      <c r="DD37" s="113"/>
      <c r="DE37" s="113"/>
      <c r="DF37" s="113"/>
      <c r="DG37" s="113"/>
      <c r="DH37" s="113"/>
      <c r="DI37" s="113"/>
      <c r="DJ37" s="113"/>
      <c r="DK37" s="113"/>
      <c r="DL37" s="113"/>
      <c r="DM37" s="113"/>
      <c r="DN37" s="113"/>
      <c r="DO37" s="113"/>
      <c r="DP37" s="113"/>
      <c r="DQ37" s="113"/>
      <c r="DR37" s="113"/>
      <c r="DS37" s="113"/>
      <c r="DT37" s="113"/>
      <c r="DU37" s="113"/>
      <c r="DV37" s="113"/>
      <c r="DW37" s="113"/>
      <c r="DX37" s="113"/>
      <c r="DY37" s="113"/>
      <c r="DZ37" s="113"/>
      <c r="EA37" s="113"/>
      <c r="EB37" s="113"/>
      <c r="EC37" s="113"/>
      <c r="ED37" s="113"/>
      <c r="EE37" s="113"/>
      <c r="EF37" s="113"/>
      <c r="EG37" s="113"/>
      <c r="EH37" s="113"/>
      <c r="EI37" s="113"/>
      <c r="EJ37" s="113"/>
      <c r="EK37" s="113"/>
      <c r="EL37" s="113"/>
      <c r="EM37" s="113"/>
      <c r="EN37" s="113"/>
      <c r="EO37" s="113"/>
      <c r="EP37" s="113"/>
      <c r="EQ37" s="113"/>
      <c r="ER37" s="113"/>
      <c r="ES37" s="113"/>
      <c r="ET37" s="113"/>
      <c r="EU37" s="113"/>
      <c r="EV37" s="113"/>
      <c r="EW37" s="113"/>
      <c r="EX37" s="113"/>
      <c r="EY37" s="113"/>
      <c r="EZ37" s="113"/>
      <c r="FA37" s="113"/>
      <c r="FB37" s="113"/>
      <c r="FC37" s="113"/>
      <c r="FD37" s="113"/>
      <c r="FE37" s="113"/>
      <c r="FF37" s="113"/>
      <c r="FG37" s="113"/>
      <c r="FH37" s="113"/>
      <c r="FI37" s="113"/>
      <c r="FJ37" s="113"/>
      <c r="FK37" s="113"/>
      <c r="FL37" s="113"/>
      <c r="FM37" s="113"/>
      <c r="FN37" s="113"/>
      <c r="FO37" s="113"/>
      <c r="FP37" s="113"/>
      <c r="FQ37" s="113"/>
      <c r="FR37" s="113"/>
      <c r="FS37" s="113"/>
      <c r="FT37" s="113"/>
      <c r="FU37" s="113"/>
      <c r="FV37" s="113"/>
      <c r="FW37" s="113"/>
      <c r="FX37" s="113"/>
      <c r="FY37" s="113"/>
      <c r="FZ37" s="113"/>
      <c r="GA37" s="113"/>
      <c r="GB37" s="113"/>
      <c r="GC37" s="113"/>
      <c r="GD37" s="113"/>
      <c r="GE37" s="113"/>
      <c r="GF37" s="113"/>
      <c r="GG37" s="113"/>
      <c r="GH37" s="113"/>
      <c r="GI37" s="113"/>
      <c r="GJ37" s="113"/>
      <c r="GK37" s="113"/>
      <c r="GL37" s="113"/>
      <c r="GM37" s="113"/>
      <c r="GN37" s="113"/>
      <c r="GO37" s="113"/>
      <c r="GP37" s="113"/>
      <c r="GQ37" s="113"/>
      <c r="GR37" s="113"/>
      <c r="GS37" s="113"/>
      <c r="GT37" s="113"/>
      <c r="GU37" s="113"/>
      <c r="GV37" s="113"/>
      <c r="GW37" s="113"/>
      <c r="GX37" s="113"/>
      <c r="GY37" s="113"/>
      <c r="GZ37" s="113"/>
      <c r="HA37" s="113"/>
      <c r="HB37" s="113"/>
      <c r="HC37" s="113"/>
      <c r="HD37" s="113"/>
      <c r="HE37" s="113"/>
      <c r="HF37" s="113"/>
      <c r="HG37" s="113"/>
      <c r="HH37" s="113"/>
      <c r="HI37" s="113"/>
      <c r="HJ37" s="113"/>
      <c r="HK37" s="113"/>
      <c r="HL37" s="113"/>
      <c r="HM37" s="113"/>
      <c r="HN37" s="113"/>
      <c r="HO37" s="113"/>
      <c r="HP37" s="113"/>
      <c r="HQ37" s="113"/>
      <c r="HR37" s="113"/>
      <c r="HS37" s="113"/>
      <c r="HT37" s="113"/>
      <c r="HU37" s="113"/>
      <c r="HV37" s="113"/>
      <c r="HW37" s="113"/>
      <c r="HX37" s="113"/>
      <c r="HY37" s="113"/>
      <c r="HZ37" s="113"/>
      <c r="IA37" s="113"/>
      <c r="IB37" s="113"/>
      <c r="IC37" s="113"/>
      <c r="ID37" s="113"/>
      <c r="IE37" s="113"/>
      <c r="IF37" s="113"/>
      <c r="IG37" s="113"/>
      <c r="IH37" s="113"/>
      <c r="II37" s="113"/>
      <c r="IJ37" s="113"/>
      <c r="IK37" s="113"/>
      <c r="IL37" s="113"/>
      <c r="IM37" s="113"/>
      <c r="IN37" s="113"/>
      <c r="IO37" s="113"/>
      <c r="IP37" s="113"/>
      <c r="IQ37" s="113"/>
      <c r="IR37" s="113"/>
      <c r="IS37" s="113"/>
      <c r="IT37" s="113"/>
      <c r="IU37" s="113"/>
      <c r="IV37" s="113"/>
      <c r="IW37" s="113"/>
    </row>
    <row r="38" customFormat="false" ht="11.25" hidden="false" customHeight="false" outlineLevel="0" collapsed="false">
      <c r="A38" s="580"/>
      <c r="B38" s="127" t="s">
        <v>535</v>
      </c>
      <c r="C38" s="581" t="n">
        <f aca="false">IF(C$5&gt;=1,INDEX(O_MTable,MATCH("Insurance",O_MColumn,0),MATCH(C$7,O_MRow,0)),0)</f>
        <v>0</v>
      </c>
      <c r="D38" s="380" t="n">
        <f aca="false">IF(D$5&gt;=1,INDEX(O_MTable,MATCH("Insurance",O_MColumn,0),MATCH(D$7,O_MRow,0)),0)</f>
        <v>75.2208544428542</v>
      </c>
      <c r="E38" s="380" t="n">
        <f aca="false">IF(E$5&gt;=1,INDEX(O_MTable,MATCH("Insurance",O_MColumn,0),MATCH(E$7,O_MRow,0)),0)</f>
        <v>460.351629190268</v>
      </c>
      <c r="F38" s="380" t="n">
        <f aca="false">IF(F$5&gt;=1,INDEX(O_MTable,MATCH("Insurance",O_MColumn,0),MATCH(F$7,O_MRow,0)),0)</f>
        <v>469.378131723411</v>
      </c>
      <c r="G38" s="380" t="n">
        <f aca="false">IF(G$5&gt;=1,INDEX(O_MTable,MATCH("Insurance",O_MColumn,0),MATCH(G$7,O_MRow,0)),0)</f>
        <v>478.404634256553</v>
      </c>
      <c r="H38" s="380" t="n">
        <f aca="false">IF(H$5&gt;=1,INDEX(O_MTable,MATCH("Insurance",O_MColumn,0),MATCH(H$7,O_MRow,0)),0)</f>
        <v>487.431136789696</v>
      </c>
      <c r="I38" s="380" t="n">
        <f aca="false">IF(I$5&gt;=1,INDEX(O_MTable,MATCH("Insurance",O_MColumn,0),MATCH(I$7,O_MRow,0)),0)</f>
        <v>496.457639322838</v>
      </c>
      <c r="J38" s="380" t="n">
        <f aca="false">IF(J$5&gt;=1,INDEX(O_MTable,MATCH("Insurance",O_MColumn,0),MATCH(J$7,O_MRow,0)),0)</f>
        <v>505.484141855981</v>
      </c>
      <c r="K38" s="380" t="n">
        <f aca="false">IF(K$5&gt;=1,INDEX(O_MTable,MATCH("Insurance",O_MColumn,0),MATCH(K$7,O_MRow,0)),0)</f>
        <v>514.510644389123</v>
      </c>
      <c r="L38" s="380" t="n">
        <f aca="false">IF(L$5&gt;=1,INDEX(O_MTable,MATCH("Insurance",O_MColumn,0),MATCH(L$7,O_MRow,0)),0)</f>
        <v>523.537146922266</v>
      </c>
      <c r="M38" s="380" t="n">
        <f aca="false">IF(M$5&gt;=1,INDEX(O_MTable,MATCH("Insurance",O_MColumn,0),MATCH(M$7,O_MRow,0)),0)</f>
        <v>532.563649455408</v>
      </c>
      <c r="N38" s="380" t="n">
        <f aca="false">IF(N$5&gt;=1,INDEX(O_MTable,MATCH("Insurance",O_MColumn,0),MATCH(N$7,O_MRow,0)),0)</f>
        <v>541.590151988551</v>
      </c>
      <c r="O38" s="380" t="n">
        <f aca="false">IF(O$5&gt;=1,INDEX(O_MTable,MATCH("Insurance",O_MColumn,0),MATCH(O$7,O_MRow,0)),0)</f>
        <v>550.616654521693</v>
      </c>
      <c r="P38" s="380" t="n">
        <f aca="false">IF(P$5&gt;=1,INDEX(O_MTable,MATCH("Insurance",O_MColumn,0),MATCH(P$7,O_MRow,0)),0)</f>
        <v>559.643157054836</v>
      </c>
      <c r="Q38" s="380" t="n">
        <f aca="false">IF(Q$5&gt;=1,INDEX(O_MTable,MATCH("Insurance",O_MColumn,0),MATCH(Q$7,O_MRow,0)),0)</f>
        <v>568.669659587978</v>
      </c>
      <c r="R38" s="380" t="n">
        <f aca="false">IF(R$5&gt;=1,INDEX(O_MTable,MATCH("Insurance",O_MColumn,0),MATCH(R$7,O_MRow,0)),0)</f>
        <v>577.696162121121</v>
      </c>
      <c r="S38" s="380" t="n">
        <f aca="false">IF(S$5&gt;=1,INDEX(O_MTable,MATCH("Insurance",O_MColumn,0),MATCH(S$7,O_MRow,0)),0)</f>
        <v>586.722664654263</v>
      </c>
      <c r="T38" s="380" t="n">
        <f aca="false">IF(T$5&gt;=1,INDEX(O_MTable,MATCH("Insurance",O_MColumn,0),MATCH(T$7,O_MRow,0)),0)</f>
        <v>0</v>
      </c>
      <c r="U38" s="380" t="n">
        <f aca="false">IF(U$5&gt;=1,INDEX(O_MTable,MATCH("Insurance",O_MColumn,0),MATCH(U$7,O_MRow,0)),0)</f>
        <v>0</v>
      </c>
      <c r="V38" s="380" t="n">
        <f aca="false">IF(V$5&gt;=1,INDEX(O_MTable,MATCH("Insurance",O_MColumn,0),MATCH(V$7,O_MRow,0)),0)</f>
        <v>0</v>
      </c>
      <c r="W38" s="380" t="n">
        <f aca="false">IF(W$5&gt;=1,INDEX(O_MTable,MATCH("Insurance",O_MColumn,0),MATCH(W$7,O_MRow,0)),0)</f>
        <v>0</v>
      </c>
      <c r="X38" s="380" t="n">
        <f aca="false">IF(X$5&gt;=1,INDEX(O_MTable,MATCH("Insurance",O_MColumn,0),MATCH(X$7,O_MRow,0)),0)</f>
        <v>0</v>
      </c>
      <c r="Y38" s="380"/>
      <c r="Z38" s="380"/>
      <c r="AA38" s="380"/>
      <c r="AB38" s="380"/>
      <c r="AC38" s="380"/>
      <c r="AD38" s="380"/>
      <c r="AE38" s="380"/>
      <c r="AF38" s="380"/>
      <c r="AG38" s="380"/>
      <c r="AH38" s="380"/>
      <c r="AI38" s="380"/>
      <c r="AJ38" s="380"/>
      <c r="AK38" s="380"/>
      <c r="AL38" s="380"/>
      <c r="AM38" s="380"/>
      <c r="AN38" s="380"/>
      <c r="AO38" s="380"/>
      <c r="AP38" s="380"/>
      <c r="AQ38" s="580"/>
      <c r="AR38" s="580"/>
      <c r="AS38" s="580"/>
      <c r="AT38" s="580"/>
      <c r="AU38" s="580"/>
      <c r="AV38" s="580"/>
      <c r="AW38" s="580"/>
      <c r="AX38" s="580"/>
      <c r="AY38" s="580"/>
      <c r="AZ38" s="580"/>
      <c r="BA38" s="580"/>
      <c r="BB38" s="580"/>
      <c r="BC38" s="580"/>
      <c r="BD38" s="580"/>
      <c r="BE38" s="580"/>
      <c r="BF38" s="580"/>
      <c r="BG38" s="580"/>
      <c r="BH38" s="580"/>
      <c r="BI38" s="580"/>
      <c r="BJ38" s="580"/>
      <c r="BK38" s="580"/>
      <c r="BL38" s="580"/>
      <c r="BM38" s="580"/>
      <c r="BN38" s="580"/>
      <c r="BO38" s="580"/>
      <c r="BP38" s="580"/>
      <c r="BQ38" s="580"/>
      <c r="BR38" s="580"/>
      <c r="BS38" s="580"/>
      <c r="BT38" s="580"/>
      <c r="BU38" s="580"/>
      <c r="BV38" s="580"/>
      <c r="BW38" s="580"/>
      <c r="BX38" s="580"/>
      <c r="BY38" s="580"/>
      <c r="BZ38" s="580"/>
      <c r="CA38" s="580"/>
      <c r="CB38" s="580"/>
      <c r="CC38" s="580"/>
      <c r="CD38" s="580"/>
      <c r="CE38" s="580"/>
      <c r="CF38" s="580"/>
      <c r="CG38" s="580"/>
      <c r="CH38" s="580"/>
      <c r="CI38" s="580"/>
      <c r="CJ38" s="580"/>
      <c r="CK38" s="580"/>
      <c r="CL38" s="580"/>
      <c r="CM38" s="580"/>
      <c r="CN38" s="580"/>
      <c r="CO38" s="580"/>
      <c r="CP38" s="580"/>
      <c r="CQ38" s="580"/>
      <c r="CR38" s="580"/>
      <c r="CS38" s="580"/>
      <c r="CT38" s="580"/>
      <c r="CU38" s="580"/>
      <c r="CV38" s="580"/>
      <c r="CW38" s="580"/>
      <c r="CX38" s="580"/>
      <c r="CY38" s="580"/>
      <c r="CZ38" s="580"/>
      <c r="DA38" s="580"/>
      <c r="DB38" s="580"/>
      <c r="DC38" s="580"/>
      <c r="DD38" s="580"/>
      <c r="DE38" s="580"/>
      <c r="DF38" s="580"/>
      <c r="DG38" s="580"/>
      <c r="DH38" s="580"/>
      <c r="DI38" s="580"/>
      <c r="DJ38" s="580"/>
      <c r="DK38" s="580"/>
      <c r="DL38" s="580"/>
      <c r="DM38" s="580"/>
      <c r="DN38" s="580"/>
      <c r="DO38" s="580"/>
      <c r="DP38" s="580"/>
      <c r="DQ38" s="580"/>
      <c r="DR38" s="580"/>
      <c r="DS38" s="580"/>
      <c r="DT38" s="580"/>
      <c r="DU38" s="580"/>
      <c r="DV38" s="580"/>
      <c r="DW38" s="580"/>
      <c r="DX38" s="580"/>
      <c r="DY38" s="580"/>
      <c r="DZ38" s="580"/>
      <c r="EA38" s="580"/>
      <c r="EB38" s="580"/>
      <c r="EC38" s="580"/>
      <c r="ED38" s="580"/>
      <c r="EE38" s="580"/>
      <c r="EF38" s="580"/>
      <c r="EG38" s="580"/>
      <c r="EH38" s="580"/>
      <c r="EI38" s="580"/>
      <c r="EJ38" s="580"/>
      <c r="EK38" s="580"/>
      <c r="EL38" s="580"/>
      <c r="EM38" s="580"/>
      <c r="EN38" s="580"/>
      <c r="EO38" s="580"/>
      <c r="EP38" s="580"/>
      <c r="EQ38" s="580"/>
      <c r="ER38" s="580"/>
      <c r="ES38" s="580"/>
      <c r="ET38" s="580"/>
      <c r="EU38" s="580"/>
      <c r="EV38" s="580"/>
      <c r="EW38" s="580"/>
      <c r="EX38" s="580"/>
      <c r="EY38" s="580"/>
      <c r="EZ38" s="580"/>
      <c r="FA38" s="580"/>
      <c r="FB38" s="580"/>
      <c r="FC38" s="580"/>
      <c r="FD38" s="580"/>
      <c r="FE38" s="580"/>
      <c r="FF38" s="580"/>
      <c r="FG38" s="580"/>
      <c r="FH38" s="580"/>
      <c r="FI38" s="580"/>
      <c r="FJ38" s="580"/>
      <c r="FK38" s="580"/>
      <c r="FL38" s="580"/>
      <c r="FM38" s="580"/>
      <c r="FN38" s="580"/>
      <c r="FO38" s="580"/>
      <c r="FP38" s="580"/>
      <c r="FQ38" s="580"/>
      <c r="FR38" s="580"/>
      <c r="FS38" s="580"/>
      <c r="FT38" s="580"/>
      <c r="FU38" s="580"/>
      <c r="FV38" s="580"/>
      <c r="FW38" s="580"/>
      <c r="FX38" s="580"/>
      <c r="FY38" s="580"/>
      <c r="FZ38" s="580"/>
      <c r="GA38" s="580"/>
      <c r="GB38" s="580"/>
      <c r="GC38" s="580"/>
      <c r="GD38" s="580"/>
      <c r="GE38" s="580"/>
      <c r="GF38" s="580"/>
      <c r="GG38" s="580"/>
      <c r="GH38" s="580"/>
      <c r="GI38" s="580"/>
      <c r="GJ38" s="580"/>
      <c r="GK38" s="580"/>
      <c r="GL38" s="580"/>
      <c r="GM38" s="580"/>
      <c r="GN38" s="580"/>
      <c r="GO38" s="580"/>
      <c r="GP38" s="580"/>
      <c r="GQ38" s="580"/>
      <c r="GR38" s="580"/>
      <c r="GS38" s="580"/>
      <c r="GT38" s="580"/>
      <c r="GU38" s="580"/>
      <c r="GV38" s="580"/>
      <c r="GW38" s="580"/>
      <c r="GX38" s="580"/>
      <c r="GY38" s="580"/>
      <c r="GZ38" s="580"/>
      <c r="HA38" s="580"/>
      <c r="HB38" s="580"/>
      <c r="HC38" s="580"/>
      <c r="HD38" s="580"/>
      <c r="HE38" s="580"/>
      <c r="HF38" s="580"/>
      <c r="HG38" s="580"/>
      <c r="HH38" s="580"/>
      <c r="HI38" s="580"/>
      <c r="HJ38" s="580"/>
      <c r="HK38" s="580"/>
      <c r="HL38" s="580"/>
      <c r="HM38" s="580"/>
      <c r="HN38" s="580"/>
      <c r="HO38" s="580"/>
      <c r="HP38" s="580"/>
      <c r="HQ38" s="580"/>
      <c r="HR38" s="580"/>
      <c r="HS38" s="580"/>
      <c r="HT38" s="580"/>
      <c r="HU38" s="580"/>
      <c r="HV38" s="580"/>
      <c r="HW38" s="580"/>
      <c r="HX38" s="580"/>
      <c r="HY38" s="580"/>
      <c r="HZ38" s="580"/>
      <c r="IA38" s="580"/>
      <c r="IB38" s="580"/>
      <c r="IC38" s="580"/>
      <c r="ID38" s="580"/>
      <c r="IE38" s="580"/>
      <c r="IF38" s="580"/>
      <c r="IG38" s="580"/>
      <c r="IH38" s="580"/>
      <c r="II38" s="580"/>
      <c r="IJ38" s="580"/>
      <c r="IK38" s="580"/>
      <c r="IL38" s="580"/>
      <c r="IM38" s="580"/>
      <c r="IN38" s="580"/>
      <c r="IO38" s="580"/>
      <c r="IP38" s="580"/>
      <c r="IQ38" s="580"/>
      <c r="IR38" s="580"/>
      <c r="IS38" s="580"/>
      <c r="IT38" s="580"/>
      <c r="IU38" s="580"/>
      <c r="IV38" s="580"/>
      <c r="IW38" s="580"/>
    </row>
    <row r="39" customFormat="false" ht="11.25" hidden="false" customHeight="false" outlineLevel="0" collapsed="false">
      <c r="C39" s="576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</row>
    <row r="40" customFormat="false" ht="11.25" hidden="false" customHeight="false" outlineLevel="0" collapsed="false">
      <c r="A40" s="580"/>
      <c r="B40" s="127"/>
      <c r="C40" s="582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580"/>
      <c r="AR40" s="580"/>
      <c r="AS40" s="580"/>
      <c r="AT40" s="580"/>
      <c r="AU40" s="580"/>
      <c r="AV40" s="580"/>
      <c r="AW40" s="580"/>
      <c r="AX40" s="580"/>
      <c r="AY40" s="580"/>
      <c r="AZ40" s="580"/>
      <c r="BA40" s="580"/>
      <c r="BB40" s="580"/>
      <c r="BC40" s="580"/>
      <c r="BD40" s="580"/>
      <c r="BE40" s="580"/>
      <c r="BF40" s="580"/>
      <c r="BG40" s="580"/>
      <c r="BH40" s="580"/>
      <c r="BI40" s="580"/>
      <c r="BJ40" s="580"/>
      <c r="BK40" s="580"/>
      <c r="BL40" s="580"/>
      <c r="BM40" s="580"/>
      <c r="BN40" s="580"/>
      <c r="BO40" s="580"/>
      <c r="BP40" s="580"/>
      <c r="BQ40" s="580"/>
      <c r="BR40" s="580"/>
      <c r="BS40" s="580"/>
      <c r="BT40" s="580"/>
      <c r="BU40" s="580"/>
      <c r="BV40" s="580"/>
      <c r="BW40" s="580"/>
      <c r="BX40" s="580"/>
      <c r="BY40" s="580"/>
      <c r="BZ40" s="580"/>
      <c r="CA40" s="580"/>
      <c r="CB40" s="580"/>
      <c r="CC40" s="580"/>
      <c r="CD40" s="580"/>
      <c r="CE40" s="580"/>
      <c r="CF40" s="580"/>
      <c r="CG40" s="580"/>
      <c r="CH40" s="580"/>
      <c r="CI40" s="580"/>
      <c r="CJ40" s="580"/>
      <c r="CK40" s="580"/>
      <c r="CL40" s="580"/>
      <c r="CM40" s="580"/>
      <c r="CN40" s="580"/>
      <c r="CO40" s="580"/>
      <c r="CP40" s="580"/>
      <c r="CQ40" s="580"/>
      <c r="CR40" s="580"/>
      <c r="CS40" s="580"/>
      <c r="CT40" s="580"/>
      <c r="CU40" s="580"/>
      <c r="CV40" s="580"/>
      <c r="CW40" s="580"/>
      <c r="CX40" s="580"/>
      <c r="CY40" s="580"/>
      <c r="CZ40" s="580"/>
      <c r="DA40" s="580"/>
      <c r="DB40" s="580"/>
      <c r="DC40" s="580"/>
      <c r="DD40" s="580"/>
      <c r="DE40" s="580"/>
      <c r="DF40" s="580"/>
      <c r="DG40" s="580"/>
      <c r="DH40" s="580"/>
      <c r="DI40" s="580"/>
      <c r="DJ40" s="580"/>
      <c r="DK40" s="580"/>
      <c r="DL40" s="580"/>
      <c r="DM40" s="580"/>
      <c r="DN40" s="580"/>
      <c r="DO40" s="580"/>
      <c r="DP40" s="580"/>
      <c r="DQ40" s="580"/>
      <c r="DR40" s="580"/>
      <c r="DS40" s="580"/>
      <c r="DT40" s="580"/>
      <c r="DU40" s="580"/>
      <c r="DV40" s="580"/>
      <c r="DW40" s="580"/>
      <c r="DX40" s="580"/>
      <c r="DY40" s="580"/>
      <c r="DZ40" s="580"/>
      <c r="EA40" s="580"/>
      <c r="EB40" s="580"/>
      <c r="EC40" s="580"/>
      <c r="ED40" s="580"/>
      <c r="EE40" s="580"/>
      <c r="EF40" s="580"/>
      <c r="EG40" s="580"/>
      <c r="EH40" s="580"/>
      <c r="EI40" s="580"/>
      <c r="EJ40" s="580"/>
      <c r="EK40" s="580"/>
      <c r="EL40" s="580"/>
      <c r="EM40" s="580"/>
      <c r="EN40" s="580"/>
      <c r="EO40" s="580"/>
      <c r="EP40" s="580"/>
      <c r="EQ40" s="580"/>
      <c r="ER40" s="580"/>
      <c r="ES40" s="580"/>
      <c r="ET40" s="580"/>
      <c r="EU40" s="580"/>
      <c r="EV40" s="580"/>
      <c r="EW40" s="580"/>
      <c r="EX40" s="580"/>
      <c r="EY40" s="580"/>
      <c r="EZ40" s="580"/>
      <c r="FA40" s="580"/>
      <c r="FB40" s="580"/>
      <c r="FC40" s="580"/>
      <c r="FD40" s="580"/>
      <c r="FE40" s="580"/>
      <c r="FF40" s="580"/>
      <c r="FG40" s="580"/>
      <c r="FH40" s="580"/>
      <c r="FI40" s="580"/>
      <c r="FJ40" s="580"/>
      <c r="FK40" s="580"/>
      <c r="FL40" s="580"/>
      <c r="FM40" s="580"/>
      <c r="FN40" s="580"/>
      <c r="FO40" s="580"/>
      <c r="FP40" s="580"/>
      <c r="FQ40" s="580"/>
      <c r="FR40" s="580"/>
      <c r="FS40" s="580"/>
      <c r="FT40" s="580"/>
      <c r="FU40" s="580"/>
      <c r="FV40" s="580"/>
      <c r="FW40" s="580"/>
      <c r="FX40" s="580"/>
      <c r="FY40" s="580"/>
      <c r="FZ40" s="580"/>
      <c r="GA40" s="580"/>
      <c r="GB40" s="580"/>
      <c r="GC40" s="580"/>
      <c r="GD40" s="580"/>
      <c r="GE40" s="580"/>
      <c r="GF40" s="580"/>
      <c r="GG40" s="580"/>
      <c r="GH40" s="580"/>
      <c r="GI40" s="580"/>
      <c r="GJ40" s="580"/>
      <c r="GK40" s="580"/>
      <c r="GL40" s="580"/>
      <c r="GM40" s="580"/>
      <c r="GN40" s="580"/>
      <c r="GO40" s="580"/>
      <c r="GP40" s="580"/>
      <c r="GQ40" s="580"/>
      <c r="GR40" s="580"/>
      <c r="GS40" s="580"/>
      <c r="GT40" s="580"/>
      <c r="GU40" s="580"/>
      <c r="GV40" s="580"/>
      <c r="GW40" s="580"/>
      <c r="GX40" s="580"/>
      <c r="GY40" s="580"/>
      <c r="GZ40" s="580"/>
      <c r="HA40" s="580"/>
      <c r="HB40" s="580"/>
      <c r="HC40" s="580"/>
      <c r="HD40" s="580"/>
      <c r="HE40" s="580"/>
      <c r="HF40" s="580"/>
      <c r="HG40" s="580"/>
      <c r="HH40" s="580"/>
      <c r="HI40" s="580"/>
      <c r="HJ40" s="580"/>
      <c r="HK40" s="580"/>
      <c r="HL40" s="580"/>
      <c r="HM40" s="580"/>
      <c r="HN40" s="580"/>
      <c r="HO40" s="580"/>
      <c r="HP40" s="580"/>
      <c r="HQ40" s="580"/>
      <c r="HR40" s="580"/>
      <c r="HS40" s="580"/>
      <c r="HT40" s="580"/>
      <c r="HU40" s="580"/>
      <c r="HV40" s="580"/>
      <c r="HW40" s="580"/>
      <c r="HX40" s="580"/>
      <c r="HY40" s="580"/>
      <c r="HZ40" s="580"/>
      <c r="IA40" s="580"/>
      <c r="IB40" s="580"/>
      <c r="IC40" s="580"/>
      <c r="ID40" s="580"/>
      <c r="IE40" s="580"/>
      <c r="IF40" s="580"/>
      <c r="IG40" s="580"/>
      <c r="IH40" s="580"/>
      <c r="II40" s="580"/>
      <c r="IJ40" s="580"/>
      <c r="IK40" s="580"/>
      <c r="IL40" s="580"/>
      <c r="IM40" s="580"/>
      <c r="IN40" s="580"/>
      <c r="IO40" s="580"/>
      <c r="IP40" s="580"/>
      <c r="IQ40" s="580"/>
      <c r="IR40" s="580"/>
      <c r="IS40" s="580"/>
      <c r="IT40" s="580"/>
      <c r="IU40" s="580"/>
      <c r="IV40" s="580"/>
      <c r="IW40" s="580"/>
    </row>
    <row r="41" customFormat="false" ht="11.25" hidden="false" customHeight="false" outlineLevel="0" collapsed="false">
      <c r="A41" s="580"/>
      <c r="B41" s="574" t="s">
        <v>536</v>
      </c>
      <c r="C41" s="581" t="n">
        <f aca="false">SUBTOTAL(9,C33:C38)</f>
        <v>0</v>
      </c>
      <c r="D41" s="380" t="n">
        <f aca="false">SUBTOTAL(9,D33:D38)</f>
        <v>446.454229995229</v>
      </c>
      <c r="E41" s="380" t="n">
        <f aca="false">SUBTOTAL(9,E33:E38)</f>
        <v>16055.1171919654</v>
      </c>
      <c r="F41" s="380" t="n">
        <f aca="false">SUBTOTAL(9,F33:F38)</f>
        <v>18581.2605751547</v>
      </c>
      <c r="G41" s="380" t="n">
        <f aca="false">SUBTOTAL(9,G33:G38)</f>
        <v>18992.8424687833</v>
      </c>
      <c r="H41" s="380" t="n">
        <f aca="false">SUBTOTAL(9,H33:H38)</f>
        <v>16199.6749942563</v>
      </c>
      <c r="I41" s="380" t="n">
        <f aca="false">SUBTOTAL(9,I33:I38)</f>
        <v>16336.0088800515</v>
      </c>
      <c r="J41" s="380" t="n">
        <f aca="false">SUBTOTAL(9,J33:J38)</f>
        <v>16561.1920727988</v>
      </c>
      <c r="K41" s="380" t="n">
        <f aca="false">SUBTOTAL(9,K33:K38)</f>
        <v>16631.3394458547</v>
      </c>
      <c r="L41" s="380" t="n">
        <f aca="false">SUBTOTAL(9,L33:L38)</f>
        <v>16886.4397504321</v>
      </c>
      <c r="M41" s="380" t="n">
        <f aca="false">SUBTOTAL(9,M33:M38)</f>
        <v>17305.5228460359</v>
      </c>
      <c r="N41" s="380" t="n">
        <f aca="false">SUBTOTAL(9,N33:N38)</f>
        <v>17755.5258659212</v>
      </c>
      <c r="O41" s="380" t="n">
        <f aca="false">SUBTOTAL(9,O33:O38)</f>
        <v>18041.7361177172</v>
      </c>
      <c r="P41" s="380" t="n">
        <f aca="false">SUBTOTAL(9,P33:P38)</f>
        <v>16435.1918914829</v>
      </c>
      <c r="Q41" s="380" t="n">
        <f aca="false">SUBTOTAL(9,Q33:Q38)</f>
        <v>16754.4434629606</v>
      </c>
      <c r="R41" s="380" t="n">
        <f aca="false">SUBTOTAL(9,R33:R38)</f>
        <v>17053.3539595973</v>
      </c>
      <c r="S41" s="380" t="n">
        <f aca="false">SUBTOTAL(9,S33:S38)</f>
        <v>17324.0209821369</v>
      </c>
      <c r="T41" s="380" t="n">
        <f aca="false">SUBTOTAL(9,T33:T38)</f>
        <v>0</v>
      </c>
      <c r="U41" s="380" t="n">
        <f aca="false">SUBTOTAL(9,U33:U38)</f>
        <v>0</v>
      </c>
      <c r="V41" s="380" t="n">
        <f aca="false">SUBTOTAL(9,V33:V38)</f>
        <v>0</v>
      </c>
      <c r="W41" s="380" t="n">
        <f aca="false">SUBTOTAL(9,W33:W38)</f>
        <v>0</v>
      </c>
      <c r="X41" s="380" t="n">
        <f aca="false">SUBTOTAL(9,X33:X38)</f>
        <v>0</v>
      </c>
      <c r="Y41" s="380"/>
      <c r="Z41" s="380"/>
      <c r="AA41" s="380"/>
      <c r="AB41" s="380"/>
      <c r="AC41" s="380"/>
      <c r="AD41" s="380"/>
      <c r="AE41" s="380"/>
      <c r="AF41" s="380"/>
      <c r="AG41" s="380"/>
      <c r="AH41" s="380"/>
      <c r="AI41" s="380"/>
      <c r="AJ41" s="380"/>
      <c r="AK41" s="380"/>
      <c r="AL41" s="380"/>
      <c r="AM41" s="380"/>
      <c r="AN41" s="380"/>
      <c r="AO41" s="380"/>
      <c r="AP41" s="380"/>
      <c r="AQ41" s="580"/>
      <c r="AR41" s="580"/>
      <c r="AS41" s="580"/>
      <c r="AT41" s="580"/>
      <c r="AU41" s="580"/>
      <c r="AV41" s="580"/>
      <c r="AW41" s="580"/>
      <c r="AX41" s="580"/>
      <c r="AY41" s="580"/>
      <c r="AZ41" s="580"/>
      <c r="BA41" s="580"/>
      <c r="BB41" s="580"/>
      <c r="BC41" s="580"/>
      <c r="BD41" s="580"/>
      <c r="BE41" s="580"/>
      <c r="BF41" s="580"/>
      <c r="BG41" s="580"/>
      <c r="BH41" s="580"/>
      <c r="BI41" s="580"/>
      <c r="BJ41" s="580"/>
      <c r="BK41" s="580"/>
      <c r="BL41" s="580"/>
      <c r="BM41" s="580"/>
      <c r="BN41" s="580"/>
      <c r="BO41" s="580"/>
      <c r="BP41" s="580"/>
      <c r="BQ41" s="580"/>
      <c r="BR41" s="580"/>
      <c r="BS41" s="580"/>
      <c r="BT41" s="580"/>
      <c r="BU41" s="580"/>
      <c r="BV41" s="580"/>
      <c r="BW41" s="580"/>
      <c r="BX41" s="580"/>
      <c r="BY41" s="580"/>
      <c r="BZ41" s="580"/>
      <c r="CA41" s="580"/>
      <c r="CB41" s="580"/>
      <c r="CC41" s="580"/>
      <c r="CD41" s="580"/>
      <c r="CE41" s="580"/>
      <c r="CF41" s="580"/>
      <c r="CG41" s="580"/>
      <c r="CH41" s="580"/>
      <c r="CI41" s="580"/>
      <c r="CJ41" s="580"/>
      <c r="CK41" s="580"/>
      <c r="CL41" s="580"/>
      <c r="CM41" s="580"/>
      <c r="CN41" s="580"/>
      <c r="CO41" s="580"/>
      <c r="CP41" s="580"/>
      <c r="CQ41" s="580"/>
      <c r="CR41" s="580"/>
      <c r="CS41" s="580"/>
      <c r="CT41" s="580"/>
      <c r="CU41" s="580"/>
      <c r="CV41" s="580"/>
      <c r="CW41" s="580"/>
      <c r="CX41" s="580"/>
      <c r="CY41" s="580"/>
      <c r="CZ41" s="580"/>
      <c r="DA41" s="580"/>
      <c r="DB41" s="580"/>
      <c r="DC41" s="580"/>
      <c r="DD41" s="580"/>
      <c r="DE41" s="580"/>
      <c r="DF41" s="580"/>
      <c r="DG41" s="580"/>
      <c r="DH41" s="580"/>
      <c r="DI41" s="580"/>
      <c r="DJ41" s="580"/>
      <c r="DK41" s="580"/>
      <c r="DL41" s="580"/>
      <c r="DM41" s="580"/>
      <c r="DN41" s="580"/>
      <c r="DO41" s="580"/>
      <c r="DP41" s="580"/>
      <c r="DQ41" s="580"/>
      <c r="DR41" s="580"/>
      <c r="DS41" s="580"/>
      <c r="DT41" s="580"/>
      <c r="DU41" s="580"/>
      <c r="DV41" s="580"/>
      <c r="DW41" s="580"/>
      <c r="DX41" s="580"/>
      <c r="DY41" s="580"/>
      <c r="DZ41" s="580"/>
      <c r="EA41" s="580"/>
      <c r="EB41" s="580"/>
      <c r="EC41" s="580"/>
      <c r="ED41" s="580"/>
      <c r="EE41" s="580"/>
      <c r="EF41" s="580"/>
      <c r="EG41" s="580"/>
      <c r="EH41" s="580"/>
      <c r="EI41" s="580"/>
      <c r="EJ41" s="580"/>
      <c r="EK41" s="580"/>
      <c r="EL41" s="580"/>
      <c r="EM41" s="580"/>
      <c r="EN41" s="580"/>
      <c r="EO41" s="580"/>
      <c r="EP41" s="580"/>
      <c r="EQ41" s="580"/>
      <c r="ER41" s="580"/>
      <c r="ES41" s="580"/>
      <c r="ET41" s="580"/>
      <c r="EU41" s="580"/>
      <c r="EV41" s="580"/>
      <c r="EW41" s="580"/>
      <c r="EX41" s="580"/>
      <c r="EY41" s="580"/>
      <c r="EZ41" s="580"/>
      <c r="FA41" s="580"/>
      <c r="FB41" s="580"/>
      <c r="FC41" s="580"/>
      <c r="FD41" s="580"/>
      <c r="FE41" s="580"/>
      <c r="FF41" s="580"/>
      <c r="FG41" s="580"/>
      <c r="FH41" s="580"/>
      <c r="FI41" s="580"/>
      <c r="FJ41" s="580"/>
      <c r="FK41" s="580"/>
      <c r="FL41" s="580"/>
      <c r="FM41" s="580"/>
      <c r="FN41" s="580"/>
      <c r="FO41" s="580"/>
      <c r="FP41" s="580"/>
      <c r="FQ41" s="580"/>
      <c r="FR41" s="580"/>
      <c r="FS41" s="580"/>
      <c r="FT41" s="580"/>
      <c r="FU41" s="580"/>
      <c r="FV41" s="580"/>
      <c r="FW41" s="580"/>
      <c r="FX41" s="580"/>
      <c r="FY41" s="580"/>
      <c r="FZ41" s="580"/>
      <c r="GA41" s="580"/>
      <c r="GB41" s="580"/>
      <c r="GC41" s="580"/>
      <c r="GD41" s="580"/>
      <c r="GE41" s="580"/>
      <c r="GF41" s="580"/>
      <c r="GG41" s="580"/>
      <c r="GH41" s="580"/>
      <c r="GI41" s="580"/>
      <c r="GJ41" s="580"/>
      <c r="GK41" s="580"/>
      <c r="GL41" s="580"/>
      <c r="GM41" s="580"/>
      <c r="GN41" s="580"/>
      <c r="GO41" s="580"/>
      <c r="GP41" s="580"/>
      <c r="GQ41" s="580"/>
      <c r="GR41" s="580"/>
      <c r="GS41" s="580"/>
      <c r="GT41" s="580"/>
      <c r="GU41" s="580"/>
      <c r="GV41" s="580"/>
      <c r="GW41" s="580"/>
      <c r="GX41" s="580"/>
      <c r="GY41" s="580"/>
      <c r="GZ41" s="580"/>
      <c r="HA41" s="580"/>
      <c r="HB41" s="580"/>
      <c r="HC41" s="580"/>
      <c r="HD41" s="580"/>
      <c r="HE41" s="580"/>
      <c r="HF41" s="580"/>
      <c r="HG41" s="580"/>
      <c r="HH41" s="580"/>
      <c r="HI41" s="580"/>
      <c r="HJ41" s="580"/>
      <c r="HK41" s="580"/>
      <c r="HL41" s="580"/>
      <c r="HM41" s="580"/>
      <c r="HN41" s="580"/>
      <c r="HO41" s="580"/>
      <c r="HP41" s="580"/>
      <c r="HQ41" s="580"/>
      <c r="HR41" s="580"/>
      <c r="HS41" s="580"/>
      <c r="HT41" s="580"/>
      <c r="HU41" s="580"/>
      <c r="HV41" s="580"/>
      <c r="HW41" s="580"/>
      <c r="HX41" s="580"/>
      <c r="HY41" s="580"/>
      <c r="HZ41" s="580"/>
      <c r="IA41" s="580"/>
      <c r="IB41" s="580"/>
      <c r="IC41" s="580"/>
      <c r="ID41" s="580"/>
      <c r="IE41" s="580"/>
      <c r="IF41" s="580"/>
      <c r="IG41" s="580"/>
      <c r="IH41" s="580"/>
      <c r="II41" s="580"/>
      <c r="IJ41" s="580"/>
      <c r="IK41" s="580"/>
      <c r="IL41" s="580"/>
      <c r="IM41" s="580"/>
      <c r="IN41" s="580"/>
      <c r="IO41" s="580"/>
      <c r="IP41" s="580"/>
      <c r="IQ41" s="580"/>
      <c r="IR41" s="580"/>
      <c r="IS41" s="580"/>
      <c r="IT41" s="580"/>
      <c r="IU41" s="580"/>
      <c r="IV41" s="580"/>
      <c r="IW41" s="580"/>
    </row>
    <row r="42" customFormat="false" ht="11.25" hidden="false" customHeight="false" outlineLevel="0" collapsed="false">
      <c r="A42" s="580"/>
      <c r="B42" s="583"/>
      <c r="C42" s="584"/>
      <c r="D42" s="583"/>
      <c r="E42" s="583"/>
      <c r="F42" s="583"/>
      <c r="G42" s="583"/>
      <c r="H42" s="583"/>
      <c r="I42" s="583"/>
      <c r="J42" s="583"/>
      <c r="K42" s="583"/>
      <c r="L42" s="583"/>
      <c r="M42" s="583"/>
      <c r="N42" s="583"/>
      <c r="O42" s="583"/>
      <c r="P42" s="583"/>
      <c r="Q42" s="583"/>
      <c r="R42" s="583"/>
      <c r="S42" s="583"/>
      <c r="T42" s="583"/>
      <c r="U42" s="583"/>
      <c r="V42" s="583"/>
      <c r="W42" s="583"/>
      <c r="X42" s="583"/>
      <c r="Y42" s="583"/>
      <c r="Z42" s="583"/>
      <c r="AA42" s="583"/>
      <c r="AB42" s="583"/>
      <c r="AC42" s="583"/>
      <c r="AD42" s="583"/>
      <c r="AE42" s="583"/>
      <c r="AF42" s="583"/>
      <c r="AG42" s="583"/>
      <c r="AH42" s="583"/>
      <c r="AI42" s="583"/>
      <c r="AJ42" s="583"/>
      <c r="AK42" s="583"/>
      <c r="AL42" s="583"/>
      <c r="AM42" s="583"/>
      <c r="AN42" s="583"/>
      <c r="AO42" s="583"/>
      <c r="AP42" s="583"/>
      <c r="AQ42" s="580"/>
      <c r="AR42" s="580"/>
      <c r="AS42" s="580"/>
      <c r="AT42" s="580"/>
      <c r="AU42" s="580"/>
      <c r="AV42" s="580"/>
      <c r="AW42" s="580"/>
      <c r="AX42" s="580"/>
      <c r="AY42" s="580"/>
      <c r="AZ42" s="580"/>
      <c r="BA42" s="580"/>
      <c r="BB42" s="580"/>
      <c r="BC42" s="580"/>
      <c r="BD42" s="580"/>
      <c r="BE42" s="580"/>
      <c r="BF42" s="580"/>
      <c r="BG42" s="580"/>
      <c r="BH42" s="580"/>
      <c r="BI42" s="580"/>
      <c r="BJ42" s="580"/>
      <c r="BK42" s="580"/>
      <c r="BL42" s="580"/>
      <c r="BM42" s="580"/>
      <c r="BN42" s="580"/>
      <c r="BO42" s="580"/>
      <c r="BP42" s="580"/>
      <c r="BQ42" s="580"/>
      <c r="BR42" s="580"/>
      <c r="BS42" s="580"/>
      <c r="BT42" s="580"/>
      <c r="BU42" s="580"/>
      <c r="BV42" s="580"/>
      <c r="BW42" s="580"/>
      <c r="BX42" s="580"/>
      <c r="BY42" s="580"/>
      <c r="BZ42" s="580"/>
      <c r="CA42" s="580"/>
      <c r="CB42" s="580"/>
      <c r="CC42" s="580"/>
      <c r="CD42" s="580"/>
      <c r="CE42" s="580"/>
      <c r="CF42" s="580"/>
      <c r="CG42" s="580"/>
      <c r="CH42" s="580"/>
      <c r="CI42" s="580"/>
      <c r="CJ42" s="580"/>
      <c r="CK42" s="580"/>
      <c r="CL42" s="580"/>
      <c r="CM42" s="580"/>
      <c r="CN42" s="580"/>
      <c r="CO42" s="580"/>
      <c r="CP42" s="580"/>
      <c r="CQ42" s="580"/>
      <c r="CR42" s="580"/>
      <c r="CS42" s="580"/>
      <c r="CT42" s="580"/>
      <c r="CU42" s="580"/>
      <c r="CV42" s="580"/>
      <c r="CW42" s="580"/>
      <c r="CX42" s="580"/>
      <c r="CY42" s="580"/>
      <c r="CZ42" s="580"/>
      <c r="DA42" s="580"/>
      <c r="DB42" s="580"/>
      <c r="DC42" s="580"/>
      <c r="DD42" s="580"/>
      <c r="DE42" s="580"/>
      <c r="DF42" s="580"/>
      <c r="DG42" s="580"/>
      <c r="DH42" s="580"/>
      <c r="DI42" s="580"/>
      <c r="DJ42" s="580"/>
      <c r="DK42" s="580"/>
      <c r="DL42" s="580"/>
      <c r="DM42" s="580"/>
      <c r="DN42" s="580"/>
      <c r="DO42" s="580"/>
      <c r="DP42" s="580"/>
      <c r="DQ42" s="580"/>
      <c r="DR42" s="580"/>
      <c r="DS42" s="580"/>
      <c r="DT42" s="580"/>
      <c r="DU42" s="580"/>
      <c r="DV42" s="580"/>
      <c r="DW42" s="580"/>
      <c r="DX42" s="580"/>
      <c r="DY42" s="580"/>
      <c r="DZ42" s="580"/>
      <c r="EA42" s="580"/>
      <c r="EB42" s="580"/>
      <c r="EC42" s="580"/>
      <c r="ED42" s="580"/>
      <c r="EE42" s="580"/>
      <c r="EF42" s="580"/>
      <c r="EG42" s="580"/>
      <c r="EH42" s="580"/>
      <c r="EI42" s="580"/>
      <c r="EJ42" s="580"/>
      <c r="EK42" s="580"/>
      <c r="EL42" s="580"/>
      <c r="EM42" s="580"/>
      <c r="EN42" s="580"/>
      <c r="EO42" s="580"/>
      <c r="EP42" s="580"/>
      <c r="EQ42" s="580"/>
      <c r="ER42" s="580"/>
      <c r="ES42" s="580"/>
      <c r="ET42" s="580"/>
      <c r="EU42" s="580"/>
      <c r="EV42" s="580"/>
      <c r="EW42" s="580"/>
      <c r="EX42" s="580"/>
      <c r="EY42" s="580"/>
      <c r="EZ42" s="580"/>
      <c r="FA42" s="580"/>
      <c r="FB42" s="580"/>
      <c r="FC42" s="580"/>
      <c r="FD42" s="580"/>
      <c r="FE42" s="580"/>
      <c r="FF42" s="580"/>
      <c r="FG42" s="580"/>
      <c r="FH42" s="580"/>
      <c r="FI42" s="580"/>
      <c r="FJ42" s="580"/>
      <c r="FK42" s="580"/>
      <c r="FL42" s="580"/>
      <c r="FM42" s="580"/>
      <c r="FN42" s="580"/>
      <c r="FO42" s="580"/>
      <c r="FP42" s="580"/>
      <c r="FQ42" s="580"/>
      <c r="FR42" s="580"/>
      <c r="FS42" s="580"/>
      <c r="FT42" s="580"/>
      <c r="FU42" s="580"/>
      <c r="FV42" s="580"/>
      <c r="FW42" s="580"/>
      <c r="FX42" s="580"/>
      <c r="FY42" s="580"/>
      <c r="FZ42" s="580"/>
      <c r="GA42" s="580"/>
      <c r="GB42" s="580"/>
      <c r="GC42" s="580"/>
      <c r="GD42" s="580"/>
      <c r="GE42" s="580"/>
      <c r="GF42" s="580"/>
      <c r="GG42" s="580"/>
      <c r="GH42" s="580"/>
      <c r="GI42" s="580"/>
      <c r="GJ42" s="580"/>
      <c r="GK42" s="580"/>
      <c r="GL42" s="580"/>
      <c r="GM42" s="580"/>
      <c r="GN42" s="580"/>
      <c r="GO42" s="580"/>
      <c r="GP42" s="580"/>
      <c r="GQ42" s="580"/>
      <c r="GR42" s="580"/>
      <c r="GS42" s="580"/>
      <c r="GT42" s="580"/>
      <c r="GU42" s="580"/>
      <c r="GV42" s="580"/>
      <c r="GW42" s="580"/>
      <c r="GX42" s="580"/>
      <c r="GY42" s="580"/>
      <c r="GZ42" s="580"/>
      <c r="HA42" s="580"/>
      <c r="HB42" s="580"/>
      <c r="HC42" s="580"/>
      <c r="HD42" s="580"/>
      <c r="HE42" s="580"/>
      <c r="HF42" s="580"/>
      <c r="HG42" s="580"/>
      <c r="HH42" s="580"/>
      <c r="HI42" s="580"/>
      <c r="HJ42" s="580"/>
      <c r="HK42" s="580"/>
      <c r="HL42" s="580"/>
      <c r="HM42" s="580"/>
      <c r="HN42" s="580"/>
      <c r="HO42" s="580"/>
      <c r="HP42" s="580"/>
      <c r="HQ42" s="580"/>
      <c r="HR42" s="580"/>
      <c r="HS42" s="580"/>
      <c r="HT42" s="580"/>
      <c r="HU42" s="580"/>
      <c r="HV42" s="580"/>
      <c r="HW42" s="580"/>
      <c r="HX42" s="580"/>
      <c r="HY42" s="580"/>
      <c r="HZ42" s="580"/>
      <c r="IA42" s="580"/>
      <c r="IB42" s="580"/>
      <c r="IC42" s="580"/>
      <c r="ID42" s="580"/>
      <c r="IE42" s="580"/>
      <c r="IF42" s="580"/>
      <c r="IG42" s="580"/>
      <c r="IH42" s="580"/>
      <c r="II42" s="580"/>
      <c r="IJ42" s="580"/>
      <c r="IK42" s="580"/>
      <c r="IL42" s="580"/>
      <c r="IM42" s="580"/>
      <c r="IN42" s="580"/>
      <c r="IO42" s="580"/>
      <c r="IP42" s="580"/>
      <c r="IQ42" s="580"/>
      <c r="IR42" s="580"/>
      <c r="IS42" s="580"/>
      <c r="IT42" s="580"/>
      <c r="IU42" s="580"/>
      <c r="IV42" s="580"/>
      <c r="IW42" s="580"/>
    </row>
    <row r="43" customFormat="false" ht="11.25" hidden="false" customHeight="false" outlineLevel="0" collapsed="false">
      <c r="A43" s="113"/>
      <c r="B43" s="574" t="s">
        <v>537</v>
      </c>
      <c r="C43" s="585" t="n">
        <f aca="false">C29-C41</f>
        <v>0</v>
      </c>
      <c r="D43" s="586" t="n">
        <f aca="false">D29-D41</f>
        <v>-446.454229995229</v>
      </c>
      <c r="E43" s="586" t="n">
        <f aca="false">E29-E41</f>
        <v>35032.8414424076</v>
      </c>
      <c r="F43" s="587" t="n">
        <f aca="false">F29-F41</f>
        <v>26366.5362958528</v>
      </c>
      <c r="G43" s="587" t="n">
        <f aca="false">G29-G41</f>
        <v>21547.0452605792</v>
      </c>
      <c r="H43" s="587" t="n">
        <f aca="false">H29-H41</f>
        <v>16446.4040526359</v>
      </c>
      <c r="I43" s="587" t="n">
        <f aca="false">I29-I41</f>
        <v>14056.6644079945</v>
      </c>
      <c r="J43" s="587" t="n">
        <f aca="false">J29-J41</f>
        <v>14909.0869558018</v>
      </c>
      <c r="K43" s="587" t="n">
        <f aca="false">K29-K41</f>
        <v>15403.3583012533</v>
      </c>
      <c r="L43" s="587" t="n">
        <f aca="false">L29-L41</f>
        <v>14567.2737568607</v>
      </c>
      <c r="M43" s="587" t="n">
        <f aca="false">M29-M41</f>
        <v>15196.6603989209</v>
      </c>
      <c r="N43" s="587" t="n">
        <f aca="false">N29-N41</f>
        <v>15171.7372499889</v>
      </c>
      <c r="O43" s="587" t="n">
        <f aca="false">O29-O41</f>
        <v>15514.5805903802</v>
      </c>
      <c r="P43" s="587" t="n">
        <f aca="false">P29-P41</f>
        <v>15852.7085360025</v>
      </c>
      <c r="Q43" s="587" t="n">
        <f aca="false">Q29-Q41</f>
        <v>16715.5253293906</v>
      </c>
      <c r="R43" s="587" t="n">
        <f aca="false">R29-R41</f>
        <v>16875.4967955408</v>
      </c>
      <c r="S43" s="587" t="n">
        <f aca="false">S29-S41</f>
        <v>17824.4277946123</v>
      </c>
      <c r="T43" s="587" t="n">
        <f aca="false">T29-T41</f>
        <v>5379.62180344061</v>
      </c>
      <c r="U43" s="587" t="n">
        <f aca="false">U29-U41</f>
        <v>5411.21218554882</v>
      </c>
      <c r="V43" s="587" t="n">
        <f aca="false">V29-V41</f>
        <v>4404.70324205983</v>
      </c>
      <c r="W43" s="587" t="e">
        <f aca="false">W29-W41</f>
        <v>#DIV/0!</v>
      </c>
      <c r="X43" s="587" t="e">
        <f aca="false">X29-X41</f>
        <v>#DIV/0!</v>
      </c>
      <c r="Y43" s="587"/>
      <c r="Z43" s="587"/>
      <c r="AA43" s="587"/>
      <c r="AB43" s="587"/>
      <c r="AC43" s="587"/>
      <c r="AD43" s="587"/>
      <c r="AE43" s="587"/>
      <c r="AF43" s="587"/>
      <c r="AG43" s="587"/>
      <c r="AH43" s="587"/>
      <c r="AI43" s="587"/>
      <c r="AJ43" s="587"/>
      <c r="AK43" s="587"/>
      <c r="AL43" s="587"/>
      <c r="AM43" s="587"/>
      <c r="AN43" s="587"/>
      <c r="AO43" s="587"/>
      <c r="AP43" s="587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113"/>
      <c r="CP43" s="113"/>
      <c r="CQ43" s="113"/>
      <c r="CR43" s="113"/>
      <c r="CS43" s="113"/>
      <c r="CT43" s="113"/>
      <c r="CU43" s="113"/>
      <c r="CV43" s="113"/>
      <c r="CW43" s="113"/>
      <c r="CX43" s="113"/>
      <c r="CY43" s="113"/>
      <c r="CZ43" s="113"/>
      <c r="DA43" s="113"/>
      <c r="DB43" s="113"/>
      <c r="DC43" s="113"/>
      <c r="DD43" s="113"/>
      <c r="DE43" s="113"/>
      <c r="DF43" s="113"/>
      <c r="DG43" s="113"/>
      <c r="DH43" s="113"/>
      <c r="DI43" s="113"/>
      <c r="DJ43" s="113"/>
      <c r="DK43" s="113"/>
      <c r="DL43" s="113"/>
      <c r="DM43" s="113"/>
      <c r="DN43" s="113"/>
      <c r="DO43" s="113"/>
      <c r="DP43" s="113"/>
      <c r="DQ43" s="113"/>
      <c r="DR43" s="113"/>
      <c r="DS43" s="113"/>
      <c r="DT43" s="113"/>
      <c r="DU43" s="113"/>
      <c r="DV43" s="113"/>
      <c r="DW43" s="113"/>
      <c r="DX43" s="113"/>
      <c r="DY43" s="113"/>
      <c r="DZ43" s="113"/>
      <c r="EA43" s="113"/>
      <c r="EB43" s="113"/>
      <c r="EC43" s="113"/>
      <c r="ED43" s="113"/>
      <c r="EE43" s="113"/>
      <c r="EF43" s="113"/>
      <c r="EG43" s="113"/>
      <c r="EH43" s="113"/>
      <c r="EI43" s="113"/>
      <c r="EJ43" s="113"/>
      <c r="EK43" s="113"/>
      <c r="EL43" s="113"/>
      <c r="EM43" s="113"/>
      <c r="EN43" s="113"/>
      <c r="EO43" s="113"/>
      <c r="EP43" s="113"/>
      <c r="EQ43" s="113"/>
      <c r="ER43" s="113"/>
      <c r="ES43" s="113"/>
      <c r="ET43" s="113"/>
      <c r="EU43" s="113"/>
      <c r="EV43" s="113"/>
      <c r="EW43" s="113"/>
      <c r="EX43" s="113"/>
      <c r="EY43" s="113"/>
      <c r="EZ43" s="113"/>
      <c r="FA43" s="113"/>
      <c r="FB43" s="113"/>
      <c r="FC43" s="113"/>
      <c r="FD43" s="113"/>
      <c r="FE43" s="113"/>
      <c r="FF43" s="113"/>
      <c r="FG43" s="113"/>
      <c r="FH43" s="113"/>
      <c r="FI43" s="113"/>
      <c r="FJ43" s="113"/>
      <c r="FK43" s="113"/>
      <c r="FL43" s="113"/>
      <c r="FM43" s="113"/>
      <c r="FN43" s="113"/>
      <c r="FO43" s="113"/>
      <c r="FP43" s="113"/>
      <c r="FQ43" s="113"/>
      <c r="FR43" s="113"/>
      <c r="FS43" s="113"/>
      <c r="FT43" s="113"/>
      <c r="FU43" s="113"/>
      <c r="FV43" s="113"/>
      <c r="FW43" s="113"/>
      <c r="FX43" s="113"/>
      <c r="FY43" s="113"/>
      <c r="FZ43" s="113"/>
      <c r="GA43" s="113"/>
      <c r="GB43" s="113"/>
      <c r="GC43" s="113"/>
      <c r="GD43" s="113"/>
      <c r="GE43" s="113"/>
      <c r="GF43" s="113"/>
      <c r="GG43" s="113"/>
      <c r="GH43" s="113"/>
      <c r="GI43" s="113"/>
      <c r="GJ43" s="113"/>
      <c r="GK43" s="113"/>
      <c r="GL43" s="113"/>
      <c r="GM43" s="113"/>
      <c r="GN43" s="113"/>
      <c r="GO43" s="113"/>
      <c r="GP43" s="113"/>
      <c r="GQ43" s="113"/>
      <c r="GR43" s="113"/>
      <c r="GS43" s="113"/>
      <c r="GT43" s="113"/>
      <c r="GU43" s="113"/>
      <c r="GV43" s="113"/>
      <c r="GW43" s="113"/>
      <c r="GX43" s="113"/>
      <c r="GY43" s="113"/>
      <c r="GZ43" s="113"/>
      <c r="HA43" s="113"/>
      <c r="HB43" s="113"/>
      <c r="HC43" s="113"/>
      <c r="HD43" s="113"/>
      <c r="HE43" s="113"/>
      <c r="HF43" s="113"/>
      <c r="HG43" s="113"/>
      <c r="HH43" s="113"/>
      <c r="HI43" s="113"/>
      <c r="HJ43" s="113"/>
      <c r="HK43" s="113"/>
      <c r="HL43" s="113"/>
      <c r="HM43" s="113"/>
      <c r="HN43" s="113"/>
      <c r="HO43" s="113"/>
      <c r="HP43" s="113"/>
      <c r="HQ43" s="113"/>
      <c r="HR43" s="113"/>
      <c r="HS43" s="113"/>
      <c r="HT43" s="113"/>
      <c r="HU43" s="113"/>
      <c r="HV43" s="113"/>
      <c r="HW43" s="113"/>
      <c r="HX43" s="113"/>
      <c r="HY43" s="113"/>
      <c r="HZ43" s="113"/>
      <c r="IA43" s="113"/>
      <c r="IB43" s="113"/>
      <c r="IC43" s="113"/>
      <c r="ID43" s="113"/>
      <c r="IE43" s="113"/>
      <c r="IF43" s="113"/>
      <c r="IG43" s="113"/>
      <c r="IH43" s="113"/>
      <c r="II43" s="113"/>
      <c r="IJ43" s="113"/>
      <c r="IK43" s="113"/>
      <c r="IL43" s="113"/>
      <c r="IM43" s="113"/>
      <c r="IN43" s="113"/>
      <c r="IO43" s="113"/>
      <c r="IP43" s="113"/>
      <c r="IQ43" s="113"/>
      <c r="IR43" s="113"/>
      <c r="IS43" s="113"/>
      <c r="IT43" s="113"/>
      <c r="IU43" s="113"/>
      <c r="IV43" s="113"/>
      <c r="IW43" s="113"/>
    </row>
    <row r="44" customFormat="false" ht="11.25" hidden="false" customHeight="false" outlineLevel="0" collapsed="false">
      <c r="A44" s="588"/>
      <c r="B44" s="589" t="s">
        <v>538</v>
      </c>
      <c r="C44" s="590"/>
      <c r="D44" s="591" t="n">
        <v>0</v>
      </c>
      <c r="E44" s="591" t="n">
        <v>0</v>
      </c>
      <c r="F44" s="591" t="n">
        <v>0</v>
      </c>
      <c r="G44" s="591" t="n">
        <f aca="false">IF(Tables!$B$21=Tables!B19,((Assumptions!$E$29*Assumptions!$E$10)-'Debt Amort'!$E$27),0)</f>
        <v>0</v>
      </c>
      <c r="H44" s="591" t="n">
        <v>0</v>
      </c>
      <c r="I44" s="591" t="n">
        <f aca="false">IF(Tables!$B$21=Tables!B15,((Assumptions!$E$29*Assumptions!$E$10)-'Debt Amort'!$H$27),0)</f>
        <v>0</v>
      </c>
      <c r="J44" s="591" t="n">
        <v>0</v>
      </c>
      <c r="K44" s="591" t="n">
        <v>0</v>
      </c>
      <c r="L44" s="591" t="n">
        <v>0</v>
      </c>
      <c r="M44" s="591" t="n">
        <v>0</v>
      </c>
      <c r="N44" s="591" t="n">
        <f aca="false">IF(Tables!B21=Tables!B16,((Assumptions!E29*Assumptions!E10)-'Debt Amort'!M27),0)</f>
        <v>0</v>
      </c>
      <c r="O44" s="591" t="n">
        <v>0</v>
      </c>
      <c r="P44" s="591" t="n">
        <v>0</v>
      </c>
      <c r="Q44" s="591" t="n">
        <v>0</v>
      </c>
      <c r="R44" s="591" t="n">
        <v>0</v>
      </c>
      <c r="S44" s="591" t="e">
        <f aca="false">IF(Tables!$B$21=Tables!$B$17,((Assumptions!$E$29*Assumptions!$E$10)-'Debt Amort'!S27),0)</f>
        <v>#VALUE!</v>
      </c>
      <c r="T44" s="591" t="n">
        <v>0</v>
      </c>
      <c r="U44" s="591" t="n">
        <v>0</v>
      </c>
      <c r="V44" s="591" t="n">
        <v>0</v>
      </c>
      <c r="W44" s="591" t="n">
        <v>0</v>
      </c>
      <c r="X44" s="591" t="n">
        <f aca="false">IF(Tables!$B$21=Tables!$B$18,((Assumptions!$E$29*Assumptions!$E$10)-'Debt Amort'!W27),0)</f>
        <v>0</v>
      </c>
      <c r="Y44" s="591"/>
      <c r="Z44" s="591"/>
      <c r="AA44" s="591"/>
      <c r="AB44" s="591"/>
      <c r="AC44" s="591"/>
      <c r="AD44" s="591"/>
      <c r="AE44" s="591"/>
      <c r="AF44" s="591"/>
      <c r="AG44" s="591"/>
      <c r="AH44" s="591"/>
      <c r="AI44" s="591"/>
      <c r="AJ44" s="591"/>
      <c r="AK44" s="591"/>
      <c r="AL44" s="591"/>
      <c r="AM44" s="591"/>
      <c r="AN44" s="591"/>
      <c r="AO44" s="591"/>
      <c r="AP44" s="591"/>
      <c r="AQ44" s="588"/>
      <c r="AR44" s="588"/>
      <c r="AS44" s="588"/>
      <c r="AT44" s="588"/>
      <c r="AU44" s="588"/>
      <c r="AV44" s="588"/>
      <c r="AW44" s="588"/>
      <c r="AX44" s="588"/>
      <c r="AY44" s="588"/>
      <c r="AZ44" s="588"/>
      <c r="BA44" s="588"/>
      <c r="BB44" s="588"/>
      <c r="BC44" s="588"/>
      <c r="BD44" s="588"/>
      <c r="BE44" s="588"/>
      <c r="BF44" s="588"/>
      <c r="BG44" s="588"/>
      <c r="BH44" s="588"/>
      <c r="BI44" s="588"/>
      <c r="BJ44" s="588"/>
      <c r="BK44" s="588"/>
      <c r="BL44" s="588"/>
      <c r="BM44" s="588"/>
      <c r="BN44" s="588"/>
      <c r="BO44" s="588"/>
      <c r="BP44" s="588"/>
      <c r="BQ44" s="588"/>
      <c r="BR44" s="588"/>
      <c r="BS44" s="588"/>
      <c r="BT44" s="588"/>
      <c r="BU44" s="588"/>
      <c r="BV44" s="588"/>
      <c r="BW44" s="588"/>
      <c r="BX44" s="588"/>
      <c r="BY44" s="588"/>
      <c r="BZ44" s="588"/>
      <c r="CA44" s="588"/>
      <c r="CB44" s="588"/>
      <c r="CC44" s="588"/>
      <c r="CD44" s="588"/>
      <c r="CE44" s="588"/>
      <c r="CF44" s="588"/>
      <c r="CG44" s="588"/>
      <c r="CH44" s="588"/>
      <c r="CI44" s="588"/>
      <c r="CJ44" s="588"/>
      <c r="CK44" s="588"/>
      <c r="CL44" s="588"/>
      <c r="CM44" s="588"/>
      <c r="CN44" s="588"/>
      <c r="CO44" s="588"/>
      <c r="CP44" s="588"/>
      <c r="CQ44" s="588"/>
      <c r="CR44" s="588"/>
      <c r="CS44" s="588"/>
      <c r="CT44" s="588"/>
      <c r="CU44" s="588"/>
      <c r="CV44" s="588"/>
      <c r="CW44" s="588"/>
      <c r="CX44" s="588"/>
      <c r="CY44" s="588"/>
      <c r="CZ44" s="588"/>
      <c r="DA44" s="588"/>
      <c r="DB44" s="588"/>
      <c r="DC44" s="588"/>
      <c r="DD44" s="588"/>
      <c r="DE44" s="588"/>
      <c r="DF44" s="588"/>
      <c r="DG44" s="588"/>
      <c r="DH44" s="588"/>
      <c r="DI44" s="588"/>
      <c r="DJ44" s="588"/>
      <c r="DK44" s="588"/>
      <c r="DL44" s="588"/>
      <c r="DM44" s="588"/>
      <c r="DN44" s="588"/>
      <c r="DO44" s="588"/>
      <c r="DP44" s="588"/>
      <c r="DQ44" s="588"/>
      <c r="DR44" s="588"/>
      <c r="DS44" s="588"/>
      <c r="DT44" s="588"/>
      <c r="DU44" s="588"/>
      <c r="DV44" s="588"/>
      <c r="DW44" s="588"/>
      <c r="DX44" s="588"/>
      <c r="DY44" s="588"/>
      <c r="DZ44" s="588"/>
      <c r="EA44" s="588"/>
      <c r="EB44" s="588"/>
      <c r="EC44" s="588"/>
      <c r="ED44" s="588"/>
      <c r="EE44" s="588"/>
      <c r="EF44" s="588"/>
      <c r="EG44" s="588"/>
      <c r="EH44" s="588"/>
      <c r="EI44" s="588"/>
      <c r="EJ44" s="588"/>
      <c r="EK44" s="588"/>
      <c r="EL44" s="588"/>
      <c r="EM44" s="588"/>
      <c r="EN44" s="588"/>
      <c r="EO44" s="588"/>
      <c r="EP44" s="588"/>
      <c r="EQ44" s="588"/>
      <c r="ER44" s="588"/>
      <c r="ES44" s="588"/>
      <c r="ET44" s="588"/>
      <c r="EU44" s="588"/>
      <c r="EV44" s="588"/>
      <c r="EW44" s="588"/>
      <c r="EX44" s="588"/>
      <c r="EY44" s="588"/>
      <c r="EZ44" s="588"/>
      <c r="FA44" s="588"/>
      <c r="FB44" s="588"/>
      <c r="FC44" s="588"/>
      <c r="FD44" s="588"/>
      <c r="FE44" s="588"/>
      <c r="FF44" s="588"/>
      <c r="FG44" s="588"/>
      <c r="FH44" s="588"/>
      <c r="FI44" s="588"/>
      <c r="FJ44" s="588"/>
      <c r="FK44" s="588"/>
      <c r="FL44" s="588"/>
      <c r="FM44" s="588"/>
      <c r="FN44" s="588"/>
      <c r="FO44" s="588"/>
      <c r="FP44" s="588"/>
      <c r="FQ44" s="588"/>
      <c r="FR44" s="588"/>
      <c r="FS44" s="588"/>
      <c r="FT44" s="588"/>
      <c r="FU44" s="588"/>
      <c r="FV44" s="588"/>
      <c r="FW44" s="588"/>
      <c r="FX44" s="588"/>
      <c r="FY44" s="588"/>
      <c r="FZ44" s="588"/>
      <c r="GA44" s="588"/>
      <c r="GB44" s="588"/>
      <c r="GC44" s="588"/>
      <c r="GD44" s="588"/>
      <c r="GE44" s="588"/>
      <c r="GF44" s="588"/>
      <c r="GG44" s="588"/>
      <c r="GH44" s="588"/>
      <c r="GI44" s="588"/>
      <c r="GJ44" s="588"/>
      <c r="GK44" s="588"/>
      <c r="GL44" s="588"/>
      <c r="GM44" s="588"/>
      <c r="GN44" s="588"/>
      <c r="GO44" s="588"/>
      <c r="GP44" s="588"/>
      <c r="GQ44" s="588"/>
      <c r="GR44" s="588"/>
      <c r="GS44" s="588"/>
      <c r="GT44" s="588"/>
      <c r="GU44" s="588"/>
      <c r="GV44" s="588"/>
      <c r="GW44" s="588"/>
      <c r="GX44" s="588"/>
      <c r="GY44" s="588"/>
      <c r="GZ44" s="588"/>
      <c r="HA44" s="588"/>
      <c r="HB44" s="588"/>
      <c r="HC44" s="588"/>
      <c r="HD44" s="588"/>
      <c r="HE44" s="588"/>
      <c r="HF44" s="588"/>
      <c r="HG44" s="588"/>
      <c r="HH44" s="588"/>
      <c r="HI44" s="588"/>
      <c r="HJ44" s="588"/>
      <c r="HK44" s="588"/>
      <c r="HL44" s="588"/>
      <c r="HM44" s="588"/>
      <c r="HN44" s="588"/>
      <c r="HO44" s="588"/>
      <c r="HP44" s="588"/>
      <c r="HQ44" s="588"/>
      <c r="HR44" s="588"/>
      <c r="HS44" s="588"/>
      <c r="HT44" s="588"/>
      <c r="HU44" s="588"/>
      <c r="HV44" s="588"/>
      <c r="HW44" s="588"/>
      <c r="HX44" s="588"/>
      <c r="HY44" s="588"/>
      <c r="HZ44" s="588"/>
      <c r="IA44" s="588"/>
      <c r="IB44" s="588"/>
      <c r="IC44" s="588"/>
      <c r="ID44" s="588"/>
      <c r="IE44" s="588"/>
      <c r="IF44" s="588"/>
      <c r="IG44" s="588"/>
      <c r="IH44" s="588"/>
      <c r="II44" s="588"/>
      <c r="IJ44" s="588"/>
      <c r="IK44" s="588"/>
      <c r="IL44" s="588"/>
      <c r="IM44" s="588"/>
      <c r="IN44" s="588"/>
      <c r="IO44" s="588"/>
      <c r="IP44" s="588"/>
      <c r="IQ44" s="588"/>
      <c r="IR44" s="588"/>
      <c r="IS44" s="588"/>
      <c r="IT44" s="588"/>
      <c r="IU44" s="588"/>
      <c r="IV44" s="588"/>
      <c r="IW44" s="588"/>
    </row>
    <row r="45" customFormat="false" ht="11.25" hidden="false" customHeight="false" outlineLevel="0" collapsed="false">
      <c r="A45" s="113"/>
      <c r="B45" s="583"/>
      <c r="C45" s="584"/>
      <c r="D45" s="583"/>
      <c r="E45" s="583"/>
      <c r="F45" s="583"/>
      <c r="G45" s="583"/>
      <c r="H45" s="583"/>
      <c r="I45" s="583"/>
      <c r="J45" s="583"/>
      <c r="K45" s="583"/>
      <c r="L45" s="583"/>
      <c r="M45" s="583"/>
      <c r="N45" s="583"/>
      <c r="O45" s="583"/>
      <c r="P45" s="583"/>
      <c r="Q45" s="583"/>
      <c r="R45" s="583"/>
      <c r="S45" s="583"/>
      <c r="T45" s="583"/>
      <c r="U45" s="583"/>
      <c r="V45" s="583"/>
      <c r="W45" s="583"/>
      <c r="X45" s="583"/>
      <c r="Y45" s="583"/>
      <c r="Z45" s="583"/>
      <c r="AA45" s="583"/>
      <c r="AB45" s="583"/>
      <c r="AC45" s="583"/>
      <c r="AD45" s="583"/>
      <c r="AE45" s="583"/>
      <c r="AF45" s="583"/>
      <c r="AG45" s="583"/>
      <c r="AH45" s="583"/>
      <c r="AI45" s="583"/>
      <c r="AJ45" s="583"/>
      <c r="AK45" s="583"/>
      <c r="AL45" s="583"/>
      <c r="AM45" s="583"/>
      <c r="AN45" s="583"/>
      <c r="AO45" s="583"/>
      <c r="AP45" s="58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113"/>
      <c r="CP45" s="113"/>
      <c r="CQ45" s="113"/>
      <c r="CR45" s="113"/>
      <c r="CS45" s="113"/>
      <c r="CT45" s="113"/>
      <c r="CU45" s="113"/>
      <c r="CV45" s="113"/>
      <c r="CW45" s="113"/>
      <c r="CX45" s="113"/>
      <c r="CY45" s="113"/>
      <c r="CZ45" s="113"/>
      <c r="DA45" s="113"/>
      <c r="DB45" s="113"/>
      <c r="DC45" s="113"/>
      <c r="DD45" s="113"/>
      <c r="DE45" s="113"/>
      <c r="DF45" s="113"/>
      <c r="DG45" s="113"/>
      <c r="DH45" s="113"/>
      <c r="DI45" s="113"/>
      <c r="DJ45" s="113"/>
      <c r="DK45" s="113"/>
      <c r="DL45" s="113"/>
      <c r="DM45" s="113"/>
      <c r="DN45" s="113"/>
      <c r="DO45" s="113"/>
      <c r="DP45" s="113"/>
      <c r="DQ45" s="113"/>
      <c r="DR45" s="113"/>
      <c r="DS45" s="113"/>
      <c r="DT45" s="113"/>
      <c r="DU45" s="113"/>
      <c r="DV45" s="113"/>
      <c r="DW45" s="113"/>
      <c r="DX45" s="113"/>
      <c r="DY45" s="113"/>
      <c r="DZ45" s="113"/>
      <c r="EA45" s="113"/>
      <c r="EB45" s="113"/>
      <c r="EC45" s="113"/>
      <c r="ED45" s="113"/>
      <c r="EE45" s="113"/>
      <c r="EF45" s="113"/>
      <c r="EG45" s="113"/>
      <c r="EH45" s="113"/>
      <c r="EI45" s="113"/>
      <c r="EJ45" s="113"/>
      <c r="EK45" s="113"/>
      <c r="EL45" s="113"/>
      <c r="EM45" s="113"/>
      <c r="EN45" s="113"/>
      <c r="EO45" s="113"/>
      <c r="EP45" s="113"/>
      <c r="EQ45" s="113"/>
      <c r="ER45" s="113"/>
      <c r="ES45" s="113"/>
      <c r="ET45" s="113"/>
      <c r="EU45" s="113"/>
      <c r="EV45" s="113"/>
      <c r="EW45" s="113"/>
      <c r="EX45" s="113"/>
      <c r="EY45" s="113"/>
      <c r="EZ45" s="113"/>
      <c r="FA45" s="113"/>
      <c r="FB45" s="113"/>
      <c r="FC45" s="113"/>
      <c r="FD45" s="113"/>
      <c r="FE45" s="113"/>
      <c r="FF45" s="113"/>
      <c r="FG45" s="113"/>
      <c r="FH45" s="113"/>
      <c r="FI45" s="113"/>
      <c r="FJ45" s="113"/>
      <c r="FK45" s="113"/>
      <c r="FL45" s="113"/>
      <c r="FM45" s="113"/>
      <c r="FN45" s="113"/>
      <c r="FO45" s="113"/>
      <c r="FP45" s="113"/>
      <c r="FQ45" s="113"/>
      <c r="FR45" s="113"/>
      <c r="FS45" s="113"/>
      <c r="FT45" s="113"/>
      <c r="FU45" s="113"/>
      <c r="FV45" s="113"/>
      <c r="FW45" s="113"/>
      <c r="FX45" s="113"/>
      <c r="FY45" s="113"/>
      <c r="FZ45" s="113"/>
      <c r="GA45" s="113"/>
      <c r="GB45" s="113"/>
      <c r="GC45" s="113"/>
      <c r="GD45" s="113"/>
      <c r="GE45" s="113"/>
      <c r="GF45" s="113"/>
      <c r="GG45" s="113"/>
      <c r="GH45" s="113"/>
      <c r="GI45" s="113"/>
      <c r="GJ45" s="113"/>
      <c r="GK45" s="113"/>
      <c r="GL45" s="113"/>
      <c r="GM45" s="113"/>
      <c r="GN45" s="113"/>
      <c r="GO45" s="113"/>
      <c r="GP45" s="113"/>
      <c r="GQ45" s="113"/>
      <c r="GR45" s="113"/>
      <c r="GS45" s="113"/>
      <c r="GT45" s="113"/>
      <c r="GU45" s="113"/>
      <c r="GV45" s="113"/>
      <c r="GW45" s="113"/>
      <c r="GX45" s="113"/>
      <c r="GY45" s="113"/>
      <c r="GZ45" s="113"/>
      <c r="HA45" s="113"/>
      <c r="HB45" s="113"/>
      <c r="HC45" s="113"/>
      <c r="HD45" s="113"/>
      <c r="HE45" s="113"/>
      <c r="HF45" s="113"/>
      <c r="HG45" s="113"/>
      <c r="HH45" s="113"/>
      <c r="HI45" s="113"/>
      <c r="HJ45" s="113"/>
      <c r="HK45" s="113"/>
      <c r="HL45" s="113"/>
      <c r="HM45" s="113"/>
      <c r="HN45" s="113"/>
      <c r="HO45" s="113"/>
      <c r="HP45" s="113"/>
      <c r="HQ45" s="113"/>
      <c r="HR45" s="113"/>
      <c r="HS45" s="113"/>
      <c r="HT45" s="113"/>
      <c r="HU45" s="113"/>
      <c r="HV45" s="113"/>
      <c r="HW45" s="113"/>
      <c r="HX45" s="113"/>
      <c r="HY45" s="113"/>
      <c r="HZ45" s="113"/>
      <c r="IA45" s="113"/>
      <c r="IB45" s="113"/>
      <c r="IC45" s="113"/>
      <c r="ID45" s="113"/>
      <c r="IE45" s="113"/>
      <c r="IF45" s="113"/>
      <c r="IG45" s="113"/>
      <c r="IH45" s="113"/>
      <c r="II45" s="113"/>
      <c r="IJ45" s="113"/>
      <c r="IK45" s="113"/>
      <c r="IL45" s="113"/>
      <c r="IM45" s="113"/>
      <c r="IN45" s="113"/>
      <c r="IO45" s="113"/>
      <c r="IP45" s="113"/>
      <c r="IQ45" s="113"/>
      <c r="IR45" s="113"/>
      <c r="IS45" s="113"/>
      <c r="IT45" s="113"/>
      <c r="IU45" s="113"/>
      <c r="IV45" s="113"/>
      <c r="IW45" s="113"/>
    </row>
    <row r="46" customFormat="false" ht="11.25" hidden="false" customHeight="false" outlineLevel="0" collapsed="false">
      <c r="A46" s="113"/>
      <c r="B46" s="592" t="s">
        <v>539</v>
      </c>
      <c r="C46" s="593"/>
      <c r="D46" s="592"/>
      <c r="E46" s="592"/>
      <c r="F46" s="592"/>
      <c r="G46" s="592"/>
      <c r="H46" s="592"/>
      <c r="I46" s="592"/>
      <c r="J46" s="592"/>
      <c r="K46" s="592"/>
      <c r="L46" s="592"/>
      <c r="M46" s="592"/>
      <c r="N46" s="592"/>
      <c r="O46" s="592"/>
      <c r="P46" s="592"/>
      <c r="Q46" s="592"/>
      <c r="R46" s="592"/>
      <c r="S46" s="592"/>
      <c r="T46" s="592"/>
      <c r="U46" s="592"/>
      <c r="V46" s="592"/>
      <c r="W46" s="592"/>
      <c r="X46" s="592"/>
      <c r="Y46" s="592"/>
      <c r="Z46" s="592"/>
      <c r="AA46" s="592"/>
      <c r="AB46" s="592"/>
      <c r="AC46" s="592"/>
      <c r="AD46" s="592"/>
      <c r="AE46" s="592"/>
      <c r="AF46" s="592"/>
      <c r="AG46" s="592"/>
      <c r="AH46" s="592"/>
      <c r="AI46" s="592"/>
      <c r="AJ46" s="592"/>
      <c r="AK46" s="592"/>
      <c r="AL46" s="592"/>
      <c r="AM46" s="592"/>
      <c r="AN46" s="592"/>
      <c r="AO46" s="592"/>
      <c r="AP46" s="592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113"/>
      <c r="CP46" s="113"/>
      <c r="CQ46" s="113"/>
      <c r="CR46" s="113"/>
      <c r="CS46" s="113"/>
      <c r="CT46" s="113"/>
      <c r="CU46" s="113"/>
      <c r="CV46" s="113"/>
      <c r="CW46" s="113"/>
      <c r="CX46" s="113"/>
      <c r="CY46" s="113"/>
      <c r="CZ46" s="113"/>
      <c r="DA46" s="113"/>
      <c r="DB46" s="113"/>
      <c r="DC46" s="113"/>
      <c r="DD46" s="113"/>
      <c r="DE46" s="113"/>
      <c r="DF46" s="113"/>
      <c r="DG46" s="113"/>
      <c r="DH46" s="113"/>
      <c r="DI46" s="113"/>
      <c r="DJ46" s="113"/>
      <c r="DK46" s="113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  <c r="IU46" s="113"/>
      <c r="IV46" s="113"/>
      <c r="IW46" s="113"/>
    </row>
    <row r="47" customFormat="false" ht="11.25" hidden="false" customHeight="false" outlineLevel="0" collapsed="false">
      <c r="A47" s="580"/>
      <c r="B47" s="127"/>
      <c r="C47" s="573"/>
      <c r="D47" s="372"/>
      <c r="E47" s="372"/>
      <c r="F47" s="372"/>
      <c r="G47" s="372"/>
      <c r="H47" s="372"/>
      <c r="I47" s="202"/>
      <c r="J47" s="372"/>
      <c r="K47" s="372"/>
      <c r="L47" s="372"/>
      <c r="M47" s="372"/>
      <c r="N47" s="372"/>
      <c r="O47" s="372"/>
      <c r="P47" s="372"/>
      <c r="Q47" s="372"/>
      <c r="R47" s="372"/>
      <c r="S47" s="372"/>
      <c r="T47" s="372"/>
      <c r="U47" s="372"/>
      <c r="V47" s="372"/>
      <c r="W47" s="372"/>
      <c r="X47" s="372"/>
      <c r="Y47" s="372"/>
      <c r="Z47" s="372"/>
      <c r="AA47" s="372"/>
      <c r="AB47" s="372"/>
      <c r="AC47" s="372"/>
      <c r="AD47" s="372"/>
      <c r="AE47" s="372"/>
      <c r="AF47" s="372"/>
      <c r="AG47" s="372"/>
      <c r="AH47" s="372"/>
      <c r="AI47" s="372"/>
      <c r="AJ47" s="372"/>
      <c r="AK47" s="372"/>
      <c r="AL47" s="372"/>
      <c r="AM47" s="372"/>
      <c r="AN47" s="372"/>
      <c r="AO47" s="372"/>
      <c r="AP47" s="372"/>
      <c r="AQ47" s="113"/>
      <c r="AR47" s="113"/>
      <c r="AS47" s="113"/>
      <c r="AT47" s="113"/>
      <c r="AU47" s="113"/>
      <c r="AV47" s="113"/>
      <c r="AW47" s="113"/>
      <c r="AX47" s="113"/>
      <c r="AY47" s="113"/>
      <c r="AZ47" s="580"/>
      <c r="BA47" s="580"/>
      <c r="BB47" s="580"/>
      <c r="BC47" s="580"/>
      <c r="BD47" s="580"/>
      <c r="BE47" s="580"/>
      <c r="BF47" s="580"/>
      <c r="BG47" s="580"/>
      <c r="BH47" s="580"/>
      <c r="BI47" s="580"/>
      <c r="BJ47" s="580"/>
      <c r="BK47" s="580"/>
      <c r="BL47" s="580"/>
      <c r="BM47" s="580"/>
      <c r="BN47" s="580"/>
      <c r="BO47" s="580"/>
      <c r="BP47" s="580"/>
      <c r="BQ47" s="580"/>
      <c r="BR47" s="580"/>
      <c r="BS47" s="580"/>
      <c r="BT47" s="580"/>
      <c r="BU47" s="580"/>
      <c r="BV47" s="580"/>
      <c r="BW47" s="580"/>
      <c r="BX47" s="580"/>
      <c r="BY47" s="580"/>
      <c r="BZ47" s="580"/>
      <c r="CA47" s="580"/>
      <c r="CB47" s="580"/>
      <c r="CC47" s="580"/>
      <c r="CD47" s="580"/>
      <c r="CE47" s="580"/>
      <c r="CF47" s="580"/>
      <c r="CG47" s="580"/>
      <c r="CH47" s="580"/>
      <c r="CI47" s="580"/>
      <c r="CJ47" s="580"/>
      <c r="CK47" s="580"/>
      <c r="CL47" s="580"/>
      <c r="CM47" s="580"/>
      <c r="CN47" s="580"/>
      <c r="CO47" s="580"/>
      <c r="CP47" s="580"/>
      <c r="CQ47" s="580"/>
      <c r="CR47" s="580"/>
      <c r="CS47" s="580"/>
      <c r="CT47" s="580"/>
      <c r="CU47" s="580"/>
      <c r="CV47" s="580"/>
      <c r="CW47" s="580"/>
      <c r="CX47" s="580"/>
      <c r="CY47" s="580"/>
      <c r="CZ47" s="580"/>
      <c r="DA47" s="580"/>
      <c r="DB47" s="580"/>
      <c r="DC47" s="580"/>
      <c r="DD47" s="580"/>
      <c r="DE47" s="580"/>
      <c r="DF47" s="580"/>
      <c r="DG47" s="580"/>
      <c r="DH47" s="580"/>
      <c r="DI47" s="580"/>
      <c r="DJ47" s="580"/>
      <c r="DK47" s="580"/>
      <c r="DL47" s="580"/>
      <c r="DM47" s="580"/>
      <c r="DN47" s="580"/>
      <c r="DO47" s="580"/>
      <c r="DP47" s="580"/>
      <c r="DQ47" s="580"/>
      <c r="DR47" s="580"/>
      <c r="DS47" s="580"/>
      <c r="DT47" s="580"/>
      <c r="DU47" s="580"/>
      <c r="DV47" s="580"/>
      <c r="DW47" s="580"/>
      <c r="DX47" s="580"/>
      <c r="DY47" s="580"/>
      <c r="DZ47" s="580"/>
      <c r="EA47" s="580"/>
      <c r="EB47" s="580"/>
      <c r="EC47" s="580"/>
      <c r="ED47" s="580"/>
      <c r="EE47" s="580"/>
      <c r="EF47" s="580"/>
      <c r="EG47" s="580"/>
      <c r="EH47" s="580"/>
      <c r="EI47" s="580"/>
      <c r="EJ47" s="580"/>
      <c r="EK47" s="580"/>
      <c r="EL47" s="580"/>
      <c r="EM47" s="580"/>
      <c r="EN47" s="580"/>
      <c r="EO47" s="580"/>
      <c r="EP47" s="580"/>
      <c r="EQ47" s="580"/>
      <c r="ER47" s="580"/>
      <c r="ES47" s="580"/>
      <c r="ET47" s="580"/>
      <c r="EU47" s="580"/>
      <c r="EV47" s="580"/>
      <c r="EW47" s="580"/>
      <c r="EX47" s="580"/>
      <c r="EY47" s="580"/>
      <c r="EZ47" s="580"/>
      <c r="FA47" s="580"/>
      <c r="FB47" s="580"/>
      <c r="FC47" s="580"/>
      <c r="FD47" s="580"/>
      <c r="FE47" s="580"/>
      <c r="FF47" s="580"/>
      <c r="FG47" s="580"/>
      <c r="FH47" s="580"/>
      <c r="FI47" s="580"/>
      <c r="FJ47" s="580"/>
      <c r="FK47" s="580"/>
      <c r="FL47" s="580"/>
      <c r="FM47" s="580"/>
      <c r="FN47" s="580"/>
      <c r="FO47" s="580"/>
      <c r="FP47" s="580"/>
      <c r="FQ47" s="580"/>
      <c r="FR47" s="580"/>
      <c r="FS47" s="580"/>
      <c r="FT47" s="580"/>
      <c r="FU47" s="580"/>
      <c r="FV47" s="580"/>
      <c r="FW47" s="580"/>
      <c r="FX47" s="580"/>
      <c r="FY47" s="580"/>
      <c r="FZ47" s="580"/>
      <c r="GA47" s="580"/>
      <c r="GB47" s="580"/>
      <c r="GC47" s="580"/>
      <c r="GD47" s="580"/>
      <c r="GE47" s="580"/>
      <c r="GF47" s="580"/>
      <c r="GG47" s="580"/>
      <c r="GH47" s="580"/>
      <c r="GI47" s="580"/>
      <c r="GJ47" s="580"/>
      <c r="GK47" s="580"/>
      <c r="GL47" s="580"/>
      <c r="GM47" s="580"/>
      <c r="GN47" s="580"/>
      <c r="GO47" s="580"/>
      <c r="GP47" s="580"/>
      <c r="GQ47" s="580"/>
      <c r="GR47" s="580"/>
      <c r="GS47" s="580"/>
      <c r="GT47" s="580"/>
      <c r="GU47" s="580"/>
      <c r="GV47" s="580"/>
      <c r="GW47" s="580"/>
      <c r="GX47" s="580"/>
      <c r="GY47" s="580"/>
      <c r="GZ47" s="580"/>
      <c r="HA47" s="580"/>
      <c r="HB47" s="580"/>
      <c r="HC47" s="580"/>
      <c r="HD47" s="580"/>
      <c r="HE47" s="580"/>
      <c r="HF47" s="580"/>
      <c r="HG47" s="580"/>
      <c r="HH47" s="580"/>
      <c r="HI47" s="580"/>
      <c r="HJ47" s="580"/>
      <c r="HK47" s="580"/>
      <c r="HL47" s="580"/>
      <c r="HM47" s="580"/>
      <c r="HN47" s="580"/>
      <c r="HO47" s="580"/>
      <c r="HP47" s="580"/>
      <c r="HQ47" s="580"/>
      <c r="HR47" s="580"/>
      <c r="HS47" s="580"/>
      <c r="HT47" s="580"/>
      <c r="HU47" s="580"/>
      <c r="HV47" s="580"/>
      <c r="HW47" s="580"/>
      <c r="HX47" s="580"/>
      <c r="HY47" s="580"/>
      <c r="HZ47" s="580"/>
      <c r="IA47" s="580"/>
      <c r="IB47" s="580"/>
      <c r="IC47" s="580"/>
      <c r="ID47" s="580"/>
      <c r="IE47" s="580"/>
      <c r="IF47" s="580"/>
      <c r="IG47" s="580"/>
      <c r="IH47" s="580"/>
      <c r="II47" s="580"/>
      <c r="IJ47" s="580"/>
      <c r="IK47" s="580"/>
      <c r="IL47" s="580"/>
      <c r="IM47" s="580"/>
      <c r="IN47" s="580"/>
      <c r="IO47" s="580"/>
      <c r="IP47" s="580"/>
      <c r="IQ47" s="580"/>
      <c r="IR47" s="580"/>
      <c r="IS47" s="580"/>
      <c r="IT47" s="580"/>
      <c r="IU47" s="580"/>
      <c r="IV47" s="580"/>
      <c r="IW47" s="580"/>
    </row>
    <row r="48" customFormat="false" ht="11.25" hidden="false" customHeight="false" outlineLevel="0" collapsed="false">
      <c r="A48" s="594"/>
      <c r="B48" s="578" t="s">
        <v>540</v>
      </c>
      <c r="C48" s="575" t="n">
        <f aca="false">IF(C$5&gt;=1,INDEX(InterestTable,MATCH("Total Interest on Term Loan",'Debt Amort'!$B$12:$B$39,0),MATCH(C$15,'Debt Amort'!$B$12:$AB$12,0)),0)</f>
        <v>0</v>
      </c>
      <c r="D48" s="202" t="n">
        <f aca="false">IF(D$5&gt;=1,IF(D29&gt;0,INDEX(InterestTable,MATCH("Total Interest on Term Loan",'Debt Amort'!$B$12:$B$39,0),MATCH(D$15,'Debt Amort'!$B$12:$AB$12,0)),0),0)</f>
        <v>0</v>
      </c>
      <c r="E48" s="202" t="n">
        <f aca="false">IF(E$5&gt;=1,IF(E29&gt;0,INDEX(InterestTable,MATCH("Total Interest on Term Loan",'Debt Amort'!$B$12:$B$39,0),MATCH(E$15,'Debt Amort'!$B$12:$AB$12,0)),0),0)</f>
        <v>4339.64911955774</v>
      </c>
      <c r="F48" s="202" t="e">
        <f aca="false">IF(F$5&gt;=1,IF(F29&gt;0,INDEX(InterestTable,MATCH("Total Interest on Term Loan",'Debt Amort'!$B$12:$B$39,0),MATCH(F$15,'Debt Amort'!$B$12:$AB$12,0)),0),0)</f>
        <v>#VALUE!</v>
      </c>
      <c r="G48" s="202" t="e">
        <f aca="false">IF(G$5&gt;=1,IF(G29&gt;0,INDEX(InterestTable,MATCH("Total Interest on Term Loan",'Debt Amort'!$B$12:$B$39,0),MATCH(G$15,'Debt Amort'!$B$12:$AB$12,0)),0),0)</f>
        <v>#VALUE!</v>
      </c>
      <c r="H48" s="202" t="e">
        <f aca="false">IF(H$5&gt;=1,IF(H29&gt;0,INDEX(InterestTable,MATCH("Total Interest on Term Loan",'Debt Amort'!$B$12:$B$39,0),MATCH(H$15,'Debt Amort'!$B$12:$AB$12,0)),0),0)</f>
        <v>#VALUE!</v>
      </c>
      <c r="I48" s="202" t="e">
        <f aca="false">IF(I$5&gt;=1,IF(I29&gt;0,INDEX(InterestTable,MATCH("Total Interest on Term Loan",'Debt Amort'!$B$12:$B$39,0),MATCH(I$15,'Debt Amort'!$B$12:$AB$12,0)),0),0)</f>
        <v>#VALUE!</v>
      </c>
      <c r="J48" s="202" t="e">
        <f aca="false">IF(J$5&gt;=1,IF(J29&gt;0,INDEX(InterestTable,MATCH("Total Interest on Term Loan",'Debt Amort'!$B$12:$B$39,0),MATCH(J$15,'Debt Amort'!$B$12:$AB$12,0)),0),0)</f>
        <v>#VALUE!</v>
      </c>
      <c r="K48" s="202" t="e">
        <f aca="false">IF(K$5&gt;=1,IF(K29&gt;0,INDEX(InterestTable,MATCH("Total Interest on Term Loan",'Debt Amort'!$B$12:$B$39,0),MATCH(K$15,'Debt Amort'!$B$12:$AB$12,0)),0),0)</f>
        <v>#VALUE!</v>
      </c>
      <c r="L48" s="202" t="e">
        <f aca="false">IF(L$5&gt;=1,IF(L29&gt;0,INDEX(InterestTable,MATCH("Total Interest on Term Loan",'Debt Amort'!$B$12:$B$39,0),MATCH(L$15,'Debt Amort'!$B$12:$AB$12,0)),0),0)</f>
        <v>#VALUE!</v>
      </c>
      <c r="M48" s="202" t="e">
        <f aca="false">IF(M$5&gt;=1,IF(M29&gt;0,INDEX(InterestTable,MATCH("Total Interest on Term Loan",'Debt Amort'!$B$12:$B$39,0),MATCH(M$15,'Debt Amort'!$B$12:$AB$12,0)),0),0)</f>
        <v>#VALUE!</v>
      </c>
      <c r="N48" s="202" t="e">
        <f aca="false">IF(N$5&gt;=1,IF(N29&gt;0,INDEX(InterestTable,MATCH("Total Interest on Term Loan",'Debt Amort'!$B$12:$B$39,0),MATCH(N$15,'Debt Amort'!$B$12:$AB$12,0)),0),0)</f>
        <v>#VALUE!</v>
      </c>
      <c r="O48" s="202" t="e">
        <f aca="false">IF(O$5&gt;=1,IF(O29&gt;0,INDEX(InterestTable,MATCH("Total Interest on Term Loan",'Debt Amort'!$B$12:$B$39,0),MATCH(O$15,'Debt Amort'!$B$12:$AB$12,0)),0),0)</f>
        <v>#VALUE!</v>
      </c>
      <c r="P48" s="202" t="e">
        <f aca="false">IF(P$5&gt;=1,IF(P29&gt;0,INDEX(InterestTable,MATCH("Total Interest on Term Loan",'Debt Amort'!$B$12:$B$39,0),MATCH(P$15,'Debt Amort'!$B$12:$AB$12,0)),0),0)</f>
        <v>#VALUE!</v>
      </c>
      <c r="Q48" s="202" t="e">
        <f aca="false">IF(Q$5&gt;=1,IF(Q29&gt;0,INDEX(InterestTable,MATCH("Total Interest on Term Loan",'Debt Amort'!$B$12:$B$39,0),MATCH(Q$15,'Debt Amort'!$B$12:$AB$12,0)),0),0)</f>
        <v>#VALUE!</v>
      </c>
      <c r="R48" s="202" t="e">
        <f aca="false">IF(R$5&gt;=1,IF(R29&gt;0,INDEX(InterestTable,MATCH("Total Interest on Term Loan",'Debt Amort'!$B$12:$B$39,0),MATCH(R$15,'Debt Amort'!$B$12:$AB$12,0)),0),0)</f>
        <v>#VALUE!</v>
      </c>
      <c r="S48" s="202" t="e">
        <f aca="false">IF(S$5&gt;=1,IF(S29&gt;0,INDEX(InterestTable,MATCH("Total Interest on Term Loan",'Debt Amort'!$B$12:$B$39,0),MATCH(S$15,'Debt Amort'!$B$12:$AB$12,0)),0),0)</f>
        <v>#VALUE!</v>
      </c>
      <c r="T48" s="202" t="e">
        <f aca="false">IF(T$5&gt;=1,IF(T29&gt;0,INDEX(InterestTable,MATCH("Total Interest on Term Loan",'Debt Amort'!$B$12:$B$39,0),MATCH(T$15,'Debt Amort'!$B$12:$AB$12,0)),0),0)</f>
        <v>#VALUE!</v>
      </c>
      <c r="U48" s="202" t="e">
        <f aca="false">IF(U$5&gt;=1,IF(U29&gt;0,INDEX(InterestTable,MATCH("Total Interest on Term Loan",'Debt Amort'!$B$12:$B$39,0),MATCH(U$15,'Debt Amort'!$B$12:$AB$12,0)),0),0)</f>
        <v>#VALUE!</v>
      </c>
      <c r="V48" s="202" t="e">
        <f aca="false">IF(V$5&gt;=1,IF(V29&gt;0,INDEX(InterestTable,MATCH("Total Interest on Term Loan",'Debt Amort'!$B$12:$B$39,0),MATCH(V$15,'Debt Amort'!$B$12:$AB$12,0)),0),0)</f>
        <v>#VALUE!</v>
      </c>
      <c r="W48" s="202" t="e">
        <f aca="false">IF(W$5&gt;=1,IF(W29&gt;0,INDEX(InterestTable,MATCH("Total Interest on Term Loan",'Debt Amort'!$B$12:$B$39,0),MATCH(W$15,'Debt Amort'!$B$12:$AB$12,0)),0),0)</f>
        <v>#DIV/0!</v>
      </c>
      <c r="X48" s="202" t="e">
        <f aca="false">IF(X$5&gt;=1,IF(X29&gt;0,INDEX(InterestTable,MATCH("Total Interest on Term Loan",'Debt Amort'!$B$12:$B$39,0),MATCH(X$15,'Debt Amort'!$B$12:$AB$12,0)),0),0)</f>
        <v>#DIV/0!</v>
      </c>
      <c r="Y48" s="571"/>
      <c r="Z48" s="571"/>
      <c r="AA48" s="571"/>
      <c r="AB48" s="571"/>
      <c r="AC48" s="571"/>
      <c r="AD48" s="571"/>
      <c r="AE48" s="571"/>
      <c r="AF48" s="571"/>
      <c r="AG48" s="571"/>
      <c r="AH48" s="571"/>
      <c r="AI48" s="571"/>
      <c r="AJ48" s="571"/>
      <c r="AK48" s="571"/>
      <c r="AL48" s="571"/>
      <c r="AM48" s="571"/>
      <c r="AN48" s="571"/>
      <c r="AO48" s="571"/>
      <c r="AP48" s="571"/>
      <c r="AQ48" s="346"/>
      <c r="AR48" s="346"/>
      <c r="AS48" s="346"/>
      <c r="AT48" s="346"/>
      <c r="AU48" s="346"/>
      <c r="AV48" s="346"/>
      <c r="AW48" s="346"/>
      <c r="AX48" s="346"/>
      <c r="AY48" s="346"/>
      <c r="AZ48" s="595"/>
      <c r="BA48" s="595"/>
      <c r="BB48" s="595"/>
      <c r="BC48" s="595"/>
      <c r="BD48" s="595"/>
      <c r="BE48" s="595"/>
      <c r="BF48" s="595"/>
      <c r="BG48" s="595"/>
      <c r="BH48" s="595"/>
      <c r="BI48" s="595"/>
      <c r="BJ48" s="595"/>
      <c r="BK48" s="595"/>
      <c r="BL48" s="595"/>
      <c r="BM48" s="595"/>
      <c r="BN48" s="595"/>
      <c r="BO48" s="594"/>
      <c r="BP48" s="594"/>
      <c r="BQ48" s="594"/>
      <c r="BR48" s="594"/>
      <c r="BS48" s="594"/>
      <c r="BT48" s="594"/>
      <c r="BU48" s="594"/>
      <c r="BV48" s="594"/>
      <c r="BW48" s="594"/>
      <c r="BX48" s="594"/>
      <c r="BY48" s="594"/>
      <c r="BZ48" s="594"/>
      <c r="CA48" s="594"/>
      <c r="CB48" s="594"/>
      <c r="CC48" s="594"/>
      <c r="CD48" s="594"/>
      <c r="CE48" s="594"/>
      <c r="CF48" s="594"/>
      <c r="CG48" s="594"/>
      <c r="CH48" s="594"/>
      <c r="CI48" s="594"/>
      <c r="CJ48" s="594"/>
      <c r="CK48" s="594"/>
      <c r="CL48" s="594"/>
      <c r="CM48" s="594"/>
      <c r="CN48" s="594"/>
      <c r="CO48" s="594"/>
      <c r="CP48" s="594"/>
      <c r="CQ48" s="594"/>
      <c r="CR48" s="594"/>
      <c r="CS48" s="594"/>
      <c r="CT48" s="594"/>
      <c r="CU48" s="594"/>
      <c r="CV48" s="594"/>
      <c r="CW48" s="594"/>
      <c r="CX48" s="594"/>
      <c r="CY48" s="594"/>
      <c r="CZ48" s="594"/>
      <c r="DA48" s="594"/>
      <c r="DB48" s="594"/>
      <c r="DC48" s="594"/>
      <c r="DD48" s="594"/>
      <c r="DE48" s="594"/>
      <c r="DF48" s="594"/>
      <c r="DG48" s="594"/>
      <c r="DH48" s="594"/>
      <c r="DI48" s="594"/>
      <c r="DJ48" s="594"/>
      <c r="DK48" s="594"/>
      <c r="DL48" s="594"/>
      <c r="DM48" s="594"/>
      <c r="DN48" s="594"/>
      <c r="DO48" s="594"/>
      <c r="DP48" s="594"/>
      <c r="DQ48" s="594"/>
      <c r="DR48" s="594"/>
      <c r="DS48" s="594"/>
      <c r="DT48" s="594"/>
      <c r="DU48" s="594"/>
      <c r="DV48" s="594"/>
      <c r="DW48" s="594"/>
      <c r="DX48" s="594"/>
      <c r="DY48" s="594"/>
      <c r="DZ48" s="594"/>
      <c r="EA48" s="594"/>
      <c r="EB48" s="594"/>
      <c r="EC48" s="594"/>
      <c r="ED48" s="594"/>
      <c r="EE48" s="594"/>
      <c r="EF48" s="594"/>
      <c r="EG48" s="594"/>
      <c r="EH48" s="594"/>
      <c r="EI48" s="594"/>
      <c r="EJ48" s="594"/>
      <c r="EK48" s="594"/>
      <c r="EL48" s="594"/>
      <c r="EM48" s="594"/>
      <c r="EN48" s="594"/>
      <c r="EO48" s="594"/>
      <c r="EP48" s="594"/>
      <c r="EQ48" s="594"/>
      <c r="ER48" s="594"/>
      <c r="ES48" s="594"/>
      <c r="ET48" s="594"/>
      <c r="EU48" s="594"/>
      <c r="EV48" s="594"/>
      <c r="EW48" s="594"/>
      <c r="EX48" s="594"/>
      <c r="EY48" s="594"/>
      <c r="EZ48" s="594"/>
      <c r="FA48" s="594"/>
      <c r="FB48" s="594"/>
      <c r="FC48" s="594"/>
      <c r="FD48" s="594"/>
      <c r="FE48" s="594"/>
      <c r="FF48" s="594"/>
      <c r="FG48" s="594"/>
      <c r="FH48" s="594"/>
      <c r="FI48" s="594"/>
      <c r="FJ48" s="594"/>
      <c r="FK48" s="594"/>
      <c r="FL48" s="594"/>
      <c r="FM48" s="594"/>
      <c r="FN48" s="594"/>
      <c r="FO48" s="594"/>
      <c r="FP48" s="594"/>
      <c r="FQ48" s="594"/>
      <c r="FR48" s="594"/>
      <c r="FS48" s="594"/>
      <c r="FT48" s="594"/>
      <c r="FU48" s="594"/>
      <c r="FV48" s="594"/>
      <c r="FW48" s="594"/>
      <c r="FX48" s="594"/>
      <c r="FY48" s="594"/>
      <c r="FZ48" s="594"/>
      <c r="GA48" s="594"/>
      <c r="GB48" s="594"/>
      <c r="GC48" s="594"/>
      <c r="GD48" s="594"/>
      <c r="GE48" s="594"/>
      <c r="GF48" s="594"/>
      <c r="GG48" s="594"/>
      <c r="GH48" s="594"/>
      <c r="GI48" s="594"/>
      <c r="GJ48" s="594"/>
      <c r="GK48" s="594"/>
      <c r="GL48" s="594"/>
      <c r="GM48" s="594"/>
      <c r="GN48" s="594"/>
      <c r="GO48" s="594"/>
      <c r="GP48" s="594"/>
      <c r="GQ48" s="594"/>
      <c r="GR48" s="594"/>
      <c r="GS48" s="594"/>
      <c r="GT48" s="594"/>
      <c r="GU48" s="594"/>
      <c r="GV48" s="594"/>
      <c r="GW48" s="594"/>
      <c r="GX48" s="594"/>
      <c r="GY48" s="594"/>
      <c r="GZ48" s="594"/>
      <c r="HA48" s="594"/>
      <c r="HB48" s="594"/>
      <c r="HC48" s="594"/>
      <c r="HD48" s="594"/>
      <c r="HE48" s="594"/>
      <c r="HF48" s="594"/>
      <c r="HG48" s="594"/>
      <c r="HH48" s="594"/>
      <c r="HI48" s="594"/>
      <c r="HJ48" s="594"/>
      <c r="HK48" s="594"/>
      <c r="HL48" s="594"/>
      <c r="HM48" s="594"/>
      <c r="HN48" s="594"/>
      <c r="HO48" s="594"/>
      <c r="HP48" s="594"/>
      <c r="HQ48" s="594"/>
      <c r="HR48" s="594"/>
      <c r="HS48" s="594"/>
      <c r="HT48" s="594"/>
      <c r="HU48" s="594"/>
      <c r="HV48" s="594"/>
      <c r="HW48" s="594"/>
      <c r="HX48" s="594"/>
      <c r="HY48" s="594"/>
      <c r="HZ48" s="594"/>
      <c r="IA48" s="594"/>
      <c r="IB48" s="594"/>
      <c r="IC48" s="594"/>
      <c r="ID48" s="594"/>
      <c r="IE48" s="594"/>
      <c r="IF48" s="594"/>
      <c r="IG48" s="594"/>
      <c r="IH48" s="594"/>
      <c r="II48" s="594"/>
      <c r="IJ48" s="594"/>
      <c r="IK48" s="594"/>
      <c r="IL48" s="594"/>
      <c r="IM48" s="594"/>
      <c r="IN48" s="594"/>
      <c r="IO48" s="594"/>
      <c r="IP48" s="594"/>
      <c r="IQ48" s="594"/>
      <c r="IR48" s="594"/>
      <c r="IS48" s="594"/>
      <c r="IT48" s="594"/>
      <c r="IU48" s="594"/>
      <c r="IV48" s="594"/>
      <c r="IW48" s="594"/>
    </row>
    <row r="49" customFormat="false" ht="11.25" hidden="false" customHeight="false" outlineLevel="0" collapsed="false">
      <c r="A49" s="594"/>
      <c r="B49" s="578" t="s">
        <v>541</v>
      </c>
      <c r="C49" s="579" t="n">
        <f aca="false">IF(C5&gt;=1,INDEX(OperatingCash,MATCH("WC Interest",OpCashColumn,0),MATCH(C$15,OpCashRow,0))+INDEX(OperatingCash,MATCH("Interest on Cash Balance",OpCashColumn,0),MATCH(C$15,OpCashRow,0)),0)</f>
        <v>0</v>
      </c>
      <c r="D49" s="202" t="n">
        <f aca="false">IF(D5&gt;=1,INDEX(OperatingCash,MATCH("WC Interest",OpCashColumn,0),MATCH(D$15,OpCashRow,0))+INDEX(OperatingCash,MATCH("Interest on Cash Balance",OpCashColumn,0),MATCH(D$15,OpCashRow,0)),0)</f>
        <v>0</v>
      </c>
      <c r="E49" s="202" t="n">
        <f aca="false">IF(E5&gt;=1,INDEX(OperatingCash,MATCH("WC Interest",OpCashColumn,0),MATCH(E$15,OpCashRow,0))+INDEX(OperatingCash,MATCH("Interest on Cash Balance",OpCashColumn,0),MATCH(E$15,OpCashRow,0)),0)</f>
        <v>0</v>
      </c>
      <c r="F49" s="202" t="n">
        <f aca="false">IF(F5&gt;=1,INDEX(OperatingCash,MATCH("WC Interest",OpCashColumn,0),MATCH(F$15,OpCashRow,0))+INDEX(OperatingCash,MATCH("Interest on Cash Balance",OpCashColumn,0),MATCH(F$15,OpCashRow,0)),0)</f>
        <v>0</v>
      </c>
      <c r="G49" s="202" t="n">
        <f aca="false">IF(G5&gt;=1,INDEX(OperatingCash,MATCH("WC Interest",OpCashColumn,0),MATCH(G$15,OpCashRow,0))+INDEX(OperatingCash,MATCH("Interest on Cash Balance",OpCashColumn,0),MATCH(G$15,OpCashRow,0)),0)</f>
        <v>0</v>
      </c>
      <c r="H49" s="202" t="n">
        <f aca="false">IF(H5&gt;=1,INDEX(OperatingCash,MATCH("WC Interest",OpCashColumn,0),MATCH(H$15,OpCashRow,0))+INDEX(OperatingCash,MATCH("Interest on Cash Balance",OpCashColumn,0),MATCH(H$15,OpCashRow,0)),0)</f>
        <v>0</v>
      </c>
      <c r="I49" s="202" t="n">
        <f aca="false">IF(I5&gt;=1,INDEX(OperatingCash,MATCH("WC Interest",OpCashColumn,0),MATCH(I$15,OpCashRow,0))+INDEX(OperatingCash,MATCH("Interest on Cash Balance",OpCashColumn,0),MATCH(I$15,OpCashRow,0)),0)</f>
        <v>0</v>
      </c>
      <c r="J49" s="202" t="n">
        <f aca="false">IF(J5&gt;=1,INDEX(OperatingCash,MATCH("WC Interest",OpCashColumn,0),MATCH(J$15,OpCashRow,0))+INDEX(OperatingCash,MATCH("Interest on Cash Balance",OpCashColumn,0),MATCH(J$15,OpCashRow,0)),0)</f>
        <v>0</v>
      </c>
      <c r="K49" s="202" t="n">
        <f aca="false">IF(K5&gt;=1,INDEX(OperatingCash,MATCH("WC Interest",OpCashColumn,0),MATCH(K$15,OpCashRow,0))+INDEX(OperatingCash,MATCH("Interest on Cash Balance",OpCashColumn,0),MATCH(K$15,OpCashRow,0)),0)</f>
        <v>0</v>
      </c>
      <c r="L49" s="202" t="n">
        <f aca="false">IF(L5&gt;=1,INDEX(OperatingCash,MATCH("WC Interest",OpCashColumn,0),MATCH(L$15,OpCashRow,0))+INDEX(OperatingCash,MATCH("Interest on Cash Balance",OpCashColumn,0),MATCH(L$15,OpCashRow,0)),0)</f>
        <v>0</v>
      </c>
      <c r="M49" s="202" t="n">
        <f aca="false">IF(M5&gt;=1,INDEX(OperatingCash,MATCH("WC Interest",OpCashColumn,0),MATCH(M$15,OpCashRow,0))+INDEX(OperatingCash,MATCH("Interest on Cash Balance",OpCashColumn,0),MATCH(M$15,OpCashRow,0)),0)</f>
        <v>0</v>
      </c>
      <c r="N49" s="202" t="n">
        <f aca="false">IF(N5&gt;=1,INDEX(OperatingCash,MATCH("WC Interest",OpCashColumn,0),MATCH(N$15,OpCashRow,0))+INDEX(OperatingCash,MATCH("Interest on Cash Balance",OpCashColumn,0),MATCH(N$15,OpCashRow,0)),0)</f>
        <v>0</v>
      </c>
      <c r="O49" s="202" t="n">
        <f aca="false">IF(O5&gt;=1,INDEX(OperatingCash,MATCH("WC Interest",OpCashColumn,0),MATCH(O$15,OpCashRow,0))+INDEX(OperatingCash,MATCH("Interest on Cash Balance",OpCashColumn,0),MATCH(O$15,OpCashRow,0)),0)</f>
        <v>0</v>
      </c>
      <c r="P49" s="202" t="n">
        <f aca="false">IF(P5&gt;=1,INDEX(OperatingCash,MATCH("WC Interest",OpCashColumn,0),MATCH(P$15,OpCashRow,0))+INDEX(OperatingCash,MATCH("Interest on Cash Balance",OpCashColumn,0),MATCH(P$15,OpCashRow,0)),0)</f>
        <v>0</v>
      </c>
      <c r="Q49" s="202" t="n">
        <f aca="false">IF(Q5&gt;=1,INDEX(OperatingCash,MATCH("WC Interest",OpCashColumn,0),MATCH(Q$15,OpCashRow,0))+INDEX(OperatingCash,MATCH("Interest on Cash Balance",OpCashColumn,0),MATCH(Q$15,OpCashRow,0)),0)</f>
        <v>0</v>
      </c>
      <c r="R49" s="202" t="n">
        <f aca="false">IF(R5&gt;=1,INDEX(OperatingCash,MATCH("WC Interest",OpCashColumn,0),MATCH(R$15,OpCashRow,0))+INDEX(OperatingCash,MATCH("Interest on Cash Balance",OpCashColumn,0),MATCH(R$15,OpCashRow,0)),0)</f>
        <v>0</v>
      </c>
      <c r="S49" s="202" t="n">
        <f aca="false">IF(S5&gt;=1,INDEX(OperatingCash,MATCH("WC Interest",OpCashColumn,0),MATCH(S$15,OpCashRow,0))+INDEX(OperatingCash,MATCH("Interest on Cash Balance",OpCashColumn,0),MATCH(S$15,OpCashRow,0)),0)</f>
        <v>0</v>
      </c>
      <c r="T49" s="202" t="n">
        <f aca="false">IF(T5&gt;=1,INDEX(OperatingCash,MATCH("WC Interest",OpCashColumn,0),MATCH(T$15,OpCashRow,0))+INDEX(OperatingCash,MATCH("Interest on Cash Balance",OpCashColumn,0),MATCH(T$15,OpCashRow,0)),0)</f>
        <v>4.94353479723839</v>
      </c>
      <c r="U49" s="202" t="n">
        <f aca="false">IF(U5&gt;=1,INDEX(OperatingCash,MATCH("WC Interest",OpCashColumn,0),MATCH(U$15,OpCashRow,0))+INDEX(OperatingCash,MATCH("Interest on Cash Balance",OpCashColumn,0),MATCH(U$15,OpCashRow,0)),0)</f>
        <v>4.97978608721347</v>
      </c>
      <c r="V49" s="202" t="n">
        <f aca="false">IF(V5&gt;=1,INDEX(OperatingCash,MATCH("WC Interest",OpCashColumn,0),MATCH(V$15,OpCashRow,0))+INDEX(OperatingCash,MATCH("Interest on Cash Balance",OpCashColumn,0),MATCH(V$15,OpCashRow,0)),0)</f>
        <v>4.04831564952563</v>
      </c>
      <c r="W49" s="202" t="e">
        <f aca="false">IF(W5&gt;=1,INDEX(OperatingCash,MATCH("WC Interest",OpCashColumn,0),MATCH(W$15,OpCashRow,0))+INDEX(OperatingCash,MATCH("Interest on Cash Balance",OpCashColumn,0),MATCH(W$15,OpCashRow,0)),0)</f>
        <v>#DIV/0!</v>
      </c>
      <c r="X49" s="202" t="e">
        <f aca="false">IF(X5&gt;=1,INDEX(OperatingCash,MATCH("WC Interest",OpCashColumn,0),MATCH(X$15,OpCashRow,0))+INDEX(OperatingCash,MATCH("Interest on Cash Balance",OpCashColumn,0),MATCH(X$15,OpCashRow,0)),0)</f>
        <v>#DIV/0!</v>
      </c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346"/>
      <c r="AR49" s="346"/>
      <c r="AS49" s="346"/>
      <c r="AT49" s="346"/>
      <c r="AU49" s="346"/>
      <c r="AV49" s="346"/>
      <c r="AW49" s="346"/>
      <c r="AX49" s="346"/>
      <c r="AY49" s="346"/>
      <c r="AZ49" s="595"/>
      <c r="BA49" s="595"/>
      <c r="BB49" s="595"/>
      <c r="BC49" s="595"/>
      <c r="BD49" s="595"/>
      <c r="BE49" s="595"/>
      <c r="BF49" s="595"/>
      <c r="BG49" s="595"/>
      <c r="BH49" s="595"/>
      <c r="BI49" s="595"/>
      <c r="BJ49" s="595"/>
      <c r="BK49" s="595"/>
      <c r="BL49" s="595"/>
      <c r="BM49" s="595"/>
      <c r="BN49" s="595"/>
      <c r="BO49" s="594"/>
      <c r="BP49" s="594"/>
      <c r="BQ49" s="594"/>
      <c r="BR49" s="594"/>
      <c r="BS49" s="594"/>
      <c r="BT49" s="594"/>
      <c r="BU49" s="594"/>
      <c r="BV49" s="594"/>
      <c r="BW49" s="594"/>
      <c r="BX49" s="594"/>
      <c r="BY49" s="594"/>
      <c r="BZ49" s="594"/>
      <c r="CA49" s="594"/>
      <c r="CB49" s="594"/>
      <c r="CC49" s="594"/>
      <c r="CD49" s="594"/>
      <c r="CE49" s="594"/>
      <c r="CF49" s="594"/>
      <c r="CG49" s="594"/>
      <c r="CH49" s="594"/>
      <c r="CI49" s="594"/>
      <c r="CJ49" s="594"/>
      <c r="CK49" s="594"/>
      <c r="CL49" s="594"/>
      <c r="CM49" s="594"/>
      <c r="CN49" s="594"/>
      <c r="CO49" s="594"/>
      <c r="CP49" s="594"/>
      <c r="CQ49" s="594"/>
      <c r="CR49" s="594"/>
      <c r="CS49" s="594"/>
      <c r="CT49" s="594"/>
      <c r="CU49" s="594"/>
      <c r="CV49" s="594"/>
      <c r="CW49" s="594"/>
      <c r="CX49" s="594"/>
      <c r="CY49" s="594"/>
      <c r="CZ49" s="594"/>
      <c r="DA49" s="594"/>
      <c r="DB49" s="594"/>
      <c r="DC49" s="594"/>
      <c r="DD49" s="594"/>
      <c r="DE49" s="594"/>
      <c r="DF49" s="594"/>
      <c r="DG49" s="594"/>
      <c r="DH49" s="594"/>
      <c r="DI49" s="594"/>
      <c r="DJ49" s="594"/>
      <c r="DK49" s="594"/>
      <c r="DL49" s="594"/>
      <c r="DM49" s="594"/>
      <c r="DN49" s="594"/>
      <c r="DO49" s="594"/>
      <c r="DP49" s="594"/>
      <c r="DQ49" s="594"/>
      <c r="DR49" s="594"/>
      <c r="DS49" s="594"/>
      <c r="DT49" s="594"/>
      <c r="DU49" s="594"/>
      <c r="DV49" s="594"/>
      <c r="DW49" s="594"/>
      <c r="DX49" s="594"/>
      <c r="DY49" s="594"/>
      <c r="DZ49" s="594"/>
      <c r="EA49" s="594"/>
      <c r="EB49" s="594"/>
      <c r="EC49" s="594"/>
      <c r="ED49" s="594"/>
      <c r="EE49" s="594"/>
      <c r="EF49" s="594"/>
      <c r="EG49" s="594"/>
      <c r="EH49" s="594"/>
      <c r="EI49" s="594"/>
      <c r="EJ49" s="594"/>
      <c r="EK49" s="594"/>
      <c r="EL49" s="594"/>
      <c r="EM49" s="594"/>
      <c r="EN49" s="594"/>
      <c r="EO49" s="594"/>
      <c r="EP49" s="594"/>
      <c r="EQ49" s="594"/>
      <c r="ER49" s="594"/>
      <c r="ES49" s="594"/>
      <c r="ET49" s="594"/>
      <c r="EU49" s="594"/>
      <c r="EV49" s="594"/>
      <c r="EW49" s="594"/>
      <c r="EX49" s="594"/>
      <c r="EY49" s="594"/>
      <c r="EZ49" s="594"/>
      <c r="FA49" s="594"/>
      <c r="FB49" s="594"/>
      <c r="FC49" s="594"/>
      <c r="FD49" s="594"/>
      <c r="FE49" s="594"/>
      <c r="FF49" s="594"/>
      <c r="FG49" s="594"/>
      <c r="FH49" s="594"/>
      <c r="FI49" s="594"/>
      <c r="FJ49" s="594"/>
      <c r="FK49" s="594"/>
      <c r="FL49" s="594"/>
      <c r="FM49" s="594"/>
      <c r="FN49" s="594"/>
      <c r="FO49" s="594"/>
      <c r="FP49" s="594"/>
      <c r="FQ49" s="594"/>
      <c r="FR49" s="594"/>
      <c r="FS49" s="594"/>
      <c r="FT49" s="594"/>
      <c r="FU49" s="594"/>
      <c r="FV49" s="594"/>
      <c r="FW49" s="594"/>
      <c r="FX49" s="594"/>
      <c r="FY49" s="594"/>
      <c r="FZ49" s="594"/>
      <c r="GA49" s="594"/>
      <c r="GB49" s="594"/>
      <c r="GC49" s="594"/>
      <c r="GD49" s="594"/>
      <c r="GE49" s="594"/>
      <c r="GF49" s="594"/>
      <c r="GG49" s="594"/>
      <c r="GH49" s="594"/>
      <c r="GI49" s="594"/>
      <c r="GJ49" s="594"/>
      <c r="GK49" s="594"/>
      <c r="GL49" s="594"/>
      <c r="GM49" s="594"/>
      <c r="GN49" s="594"/>
      <c r="GO49" s="594"/>
      <c r="GP49" s="594"/>
      <c r="GQ49" s="594"/>
      <c r="GR49" s="594"/>
      <c r="GS49" s="594"/>
      <c r="GT49" s="594"/>
      <c r="GU49" s="594"/>
      <c r="GV49" s="594"/>
      <c r="GW49" s="594"/>
      <c r="GX49" s="594"/>
      <c r="GY49" s="594"/>
      <c r="GZ49" s="594"/>
      <c r="HA49" s="594"/>
      <c r="HB49" s="594"/>
      <c r="HC49" s="594"/>
      <c r="HD49" s="594"/>
      <c r="HE49" s="594"/>
      <c r="HF49" s="594"/>
      <c r="HG49" s="594"/>
      <c r="HH49" s="594"/>
      <c r="HI49" s="594"/>
      <c r="HJ49" s="594"/>
      <c r="HK49" s="594"/>
      <c r="HL49" s="594"/>
      <c r="HM49" s="594"/>
      <c r="HN49" s="594"/>
      <c r="HO49" s="594"/>
      <c r="HP49" s="594"/>
      <c r="HQ49" s="594"/>
      <c r="HR49" s="594"/>
      <c r="HS49" s="594"/>
      <c r="HT49" s="594"/>
      <c r="HU49" s="594"/>
      <c r="HV49" s="594"/>
      <c r="HW49" s="594"/>
      <c r="HX49" s="594"/>
      <c r="HY49" s="594"/>
      <c r="HZ49" s="594"/>
      <c r="IA49" s="594"/>
      <c r="IB49" s="594"/>
      <c r="IC49" s="594"/>
      <c r="ID49" s="594"/>
      <c r="IE49" s="594"/>
      <c r="IF49" s="594"/>
      <c r="IG49" s="594"/>
      <c r="IH49" s="594"/>
      <c r="II49" s="594"/>
      <c r="IJ49" s="594"/>
      <c r="IK49" s="594"/>
      <c r="IL49" s="594"/>
      <c r="IM49" s="594"/>
      <c r="IN49" s="594"/>
      <c r="IO49" s="594"/>
      <c r="IP49" s="594"/>
      <c r="IQ49" s="594"/>
      <c r="IR49" s="594"/>
      <c r="IS49" s="594"/>
      <c r="IT49" s="594"/>
      <c r="IU49" s="594"/>
      <c r="IV49" s="594"/>
      <c r="IW49" s="594"/>
    </row>
    <row r="50" customFormat="false" ht="11.25" hidden="false" customHeight="false" outlineLevel="0" collapsed="false">
      <c r="A50" s="594"/>
      <c r="B50" s="578" t="s">
        <v>542</v>
      </c>
      <c r="C50" s="579"/>
      <c r="D50" s="202" t="n">
        <f aca="false">IF(D29&gt;0,INDEX(DebtReserveTable,MATCH("Interest Payment",DebtReserveColumn,0),MATCH(D$15,DebtReserveRow,0)),0)</f>
        <v>0</v>
      </c>
      <c r="E50" s="202" t="e">
        <f aca="false">IF(E29&gt;0,INDEX(DebtReserveTable,MATCH("Interest Payment",DebtReserveColumn,0),MATCH(E$15,DebtReserveRow,0)),0)</f>
        <v>#VALUE!</v>
      </c>
      <c r="F50" s="202" t="e">
        <f aca="false">IF(F29&gt;0,INDEX(DebtReserveTable,MATCH("Interest Payment",DebtReserveColumn,0),MATCH(F$15,DebtReserveRow,0)),0)</f>
        <v>#VALUE!</v>
      </c>
      <c r="G50" s="202" t="e">
        <f aca="false">IF(G29&gt;0,INDEX(DebtReserveTable,MATCH("Interest Payment",DebtReserveColumn,0),MATCH(G$15,DebtReserveRow,0)),0)</f>
        <v>#VALUE!</v>
      </c>
      <c r="H50" s="202" t="e">
        <f aca="false">IF(H29&gt;0,INDEX(DebtReserveTable,MATCH("Interest Payment",DebtReserveColumn,0),MATCH(H$15,DebtReserveRow,0)),0)</f>
        <v>#VALUE!</v>
      </c>
      <c r="I50" s="202" t="e">
        <f aca="false">IF(I29&gt;0,INDEX(DebtReserveTable,MATCH("Interest Payment",DebtReserveColumn,0),MATCH(I$15,DebtReserveRow,0)),0)</f>
        <v>#VALUE!</v>
      </c>
      <c r="J50" s="202" t="e">
        <f aca="false">IF(J29&gt;0,INDEX(DebtReserveTable,MATCH("Interest Payment",DebtReserveColumn,0),MATCH(J$15,DebtReserveRow,0)),0)</f>
        <v>#VALUE!</v>
      </c>
      <c r="K50" s="202" t="e">
        <f aca="false">IF(K29&gt;0,INDEX(DebtReserveTable,MATCH("Interest Payment",DebtReserveColumn,0),MATCH(K$15,DebtReserveRow,0)),0)</f>
        <v>#VALUE!</v>
      </c>
      <c r="L50" s="202" t="e">
        <f aca="false">IF(L29&gt;0,INDEX(DebtReserveTable,MATCH("Interest Payment",DebtReserveColumn,0),MATCH(L$15,DebtReserveRow,0)),0)</f>
        <v>#VALUE!</v>
      </c>
      <c r="M50" s="202" t="e">
        <f aca="false">IF(M29&gt;0,INDEX(DebtReserveTable,MATCH("Interest Payment",DebtReserveColumn,0),MATCH(M$15,DebtReserveRow,0)),0)</f>
        <v>#VALUE!</v>
      </c>
      <c r="N50" s="202" t="e">
        <f aca="false">IF(N29&gt;0,INDEX(DebtReserveTable,MATCH("Interest Payment",DebtReserveColumn,0),MATCH(N$15,DebtReserveRow,0)),0)</f>
        <v>#VALUE!</v>
      </c>
      <c r="O50" s="202" t="e">
        <f aca="false">IF(O29&gt;0,INDEX(DebtReserveTable,MATCH("Interest Payment",DebtReserveColumn,0),MATCH(O$15,DebtReserveRow,0)),0)</f>
        <v>#VALUE!</v>
      </c>
      <c r="P50" s="202" t="e">
        <f aca="false">IF(P29&gt;0,INDEX(DebtReserveTable,MATCH("Interest Payment",DebtReserveColumn,0),MATCH(P$15,DebtReserveRow,0)),0)</f>
        <v>#VALUE!</v>
      </c>
      <c r="Q50" s="202" t="e">
        <f aca="false">IF(Q29&gt;0,INDEX(DebtReserveTable,MATCH("Interest Payment",DebtReserveColumn,0),MATCH(Q$15,DebtReserveRow,0)),0)</f>
        <v>#VALUE!</v>
      </c>
      <c r="R50" s="202" t="e">
        <f aca="false">IF(R29&gt;0,INDEX(DebtReserveTable,MATCH("Interest Payment",DebtReserveColumn,0),MATCH(R$15,DebtReserveRow,0)),0)</f>
        <v>#VALUE!</v>
      </c>
      <c r="S50" s="202" t="e">
        <f aca="false">IF(S29&gt;0,INDEX(DebtReserveTable,MATCH("Interest Payment",DebtReserveColumn,0),MATCH(S$15,DebtReserveRow,0)),0)</f>
        <v>#VALUE!</v>
      </c>
      <c r="T50" s="202" t="e">
        <f aca="false">IF(T29&gt;0,INDEX(DebtReserveTable,MATCH("Interest Payment",DebtReserveColumn,0),MATCH(T$15,DebtReserveRow,0)),0)</f>
        <v>#VALUE!</v>
      </c>
      <c r="U50" s="202" t="e">
        <f aca="false">IF(U29&gt;0,INDEX(DebtReserveTable,MATCH("Interest Payment",DebtReserveColumn,0),MATCH(U$15,DebtReserveRow,0)),0)</f>
        <v>#VALUE!</v>
      </c>
      <c r="V50" s="202" t="e">
        <f aca="false">IF(V29&gt;0,INDEX(DebtReserveTable,MATCH("Interest Payment",DebtReserveColumn,0),MATCH(V$15,DebtReserveRow,0)),0)</f>
        <v>#VALUE!</v>
      </c>
      <c r="W50" s="202" t="e">
        <f aca="false">IF(W29&gt;0,INDEX(DebtReserveTable,MATCH("Interest Payment",DebtReserveColumn,0),MATCH(W$15,DebtReserveRow,0)),0)</f>
        <v>#DIV/0!</v>
      </c>
      <c r="X50" s="202" t="e">
        <f aca="false">IF(X29&gt;0,INDEX(DebtReserveTable,MATCH("Interest Payment",DebtReserveColumn,0),MATCH(X$15,DebtReserveRow,0)),0)</f>
        <v>#DIV/0!</v>
      </c>
      <c r="Y50" s="202"/>
      <c r="Z50" s="202"/>
      <c r="AA50" s="202"/>
      <c r="AB50" s="202"/>
      <c r="AC50" s="202"/>
      <c r="AD50" s="202"/>
      <c r="AE50" s="202"/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346"/>
      <c r="AR50" s="346"/>
      <c r="AS50" s="346"/>
      <c r="AT50" s="346"/>
      <c r="AU50" s="346"/>
      <c r="AV50" s="346"/>
      <c r="AW50" s="346"/>
      <c r="AX50" s="346"/>
      <c r="AY50" s="346"/>
      <c r="AZ50" s="595"/>
      <c r="BA50" s="595"/>
      <c r="BB50" s="595"/>
      <c r="BC50" s="595"/>
      <c r="BD50" s="595"/>
      <c r="BE50" s="595"/>
      <c r="BF50" s="595"/>
      <c r="BG50" s="595"/>
      <c r="BH50" s="595"/>
      <c r="BI50" s="595"/>
      <c r="BJ50" s="595"/>
      <c r="BK50" s="595"/>
      <c r="BL50" s="595"/>
      <c r="BM50" s="595"/>
      <c r="BN50" s="595"/>
      <c r="BO50" s="594"/>
      <c r="BP50" s="594"/>
      <c r="BQ50" s="594"/>
      <c r="BR50" s="594"/>
      <c r="BS50" s="594"/>
      <c r="BT50" s="594"/>
      <c r="BU50" s="594"/>
      <c r="BV50" s="594"/>
      <c r="BW50" s="594"/>
      <c r="BX50" s="594"/>
      <c r="BY50" s="594"/>
      <c r="BZ50" s="594"/>
      <c r="CA50" s="594"/>
      <c r="CB50" s="594"/>
      <c r="CC50" s="594"/>
      <c r="CD50" s="594"/>
      <c r="CE50" s="594"/>
      <c r="CF50" s="594"/>
      <c r="CG50" s="594"/>
      <c r="CH50" s="594"/>
      <c r="CI50" s="594"/>
      <c r="CJ50" s="594"/>
      <c r="CK50" s="594"/>
      <c r="CL50" s="594"/>
      <c r="CM50" s="594"/>
      <c r="CN50" s="594"/>
      <c r="CO50" s="594"/>
      <c r="CP50" s="594"/>
      <c r="CQ50" s="594"/>
      <c r="CR50" s="594"/>
      <c r="CS50" s="594"/>
      <c r="CT50" s="594"/>
      <c r="CU50" s="594"/>
      <c r="CV50" s="594"/>
      <c r="CW50" s="594"/>
      <c r="CX50" s="594"/>
      <c r="CY50" s="594"/>
      <c r="CZ50" s="594"/>
      <c r="DA50" s="594"/>
      <c r="DB50" s="594"/>
      <c r="DC50" s="594"/>
      <c r="DD50" s="594"/>
      <c r="DE50" s="594"/>
      <c r="DF50" s="594"/>
      <c r="DG50" s="594"/>
      <c r="DH50" s="594"/>
      <c r="DI50" s="594"/>
      <c r="DJ50" s="594"/>
      <c r="DK50" s="594"/>
      <c r="DL50" s="594"/>
      <c r="DM50" s="594"/>
      <c r="DN50" s="594"/>
      <c r="DO50" s="594"/>
      <c r="DP50" s="594"/>
      <c r="DQ50" s="594"/>
      <c r="DR50" s="594"/>
      <c r="DS50" s="594"/>
      <c r="DT50" s="594"/>
      <c r="DU50" s="594"/>
      <c r="DV50" s="594"/>
      <c r="DW50" s="594"/>
      <c r="DX50" s="594"/>
      <c r="DY50" s="594"/>
      <c r="DZ50" s="594"/>
      <c r="EA50" s="594"/>
      <c r="EB50" s="594"/>
      <c r="EC50" s="594"/>
      <c r="ED50" s="594"/>
      <c r="EE50" s="594"/>
      <c r="EF50" s="594"/>
      <c r="EG50" s="594"/>
      <c r="EH50" s="594"/>
      <c r="EI50" s="594"/>
      <c r="EJ50" s="594"/>
      <c r="EK50" s="594"/>
      <c r="EL50" s="594"/>
      <c r="EM50" s="594"/>
      <c r="EN50" s="594"/>
      <c r="EO50" s="594"/>
      <c r="EP50" s="594"/>
      <c r="EQ50" s="594"/>
      <c r="ER50" s="594"/>
      <c r="ES50" s="594"/>
      <c r="ET50" s="594"/>
      <c r="EU50" s="594"/>
      <c r="EV50" s="594"/>
      <c r="EW50" s="594"/>
      <c r="EX50" s="594"/>
      <c r="EY50" s="594"/>
      <c r="EZ50" s="594"/>
      <c r="FA50" s="594"/>
      <c r="FB50" s="594"/>
      <c r="FC50" s="594"/>
      <c r="FD50" s="594"/>
      <c r="FE50" s="594"/>
      <c r="FF50" s="594"/>
      <c r="FG50" s="594"/>
      <c r="FH50" s="594"/>
      <c r="FI50" s="594"/>
      <c r="FJ50" s="594"/>
      <c r="FK50" s="594"/>
      <c r="FL50" s="594"/>
      <c r="FM50" s="594"/>
      <c r="FN50" s="594"/>
      <c r="FO50" s="594"/>
      <c r="FP50" s="594"/>
      <c r="FQ50" s="594"/>
      <c r="FR50" s="594"/>
      <c r="FS50" s="594"/>
      <c r="FT50" s="594"/>
      <c r="FU50" s="594"/>
      <c r="FV50" s="594"/>
      <c r="FW50" s="594"/>
      <c r="FX50" s="594"/>
      <c r="FY50" s="594"/>
      <c r="FZ50" s="594"/>
      <c r="GA50" s="594"/>
      <c r="GB50" s="594"/>
      <c r="GC50" s="594"/>
      <c r="GD50" s="594"/>
      <c r="GE50" s="594"/>
      <c r="GF50" s="594"/>
      <c r="GG50" s="594"/>
      <c r="GH50" s="594"/>
      <c r="GI50" s="594"/>
      <c r="GJ50" s="594"/>
      <c r="GK50" s="594"/>
      <c r="GL50" s="594"/>
      <c r="GM50" s="594"/>
      <c r="GN50" s="594"/>
      <c r="GO50" s="594"/>
      <c r="GP50" s="594"/>
      <c r="GQ50" s="594"/>
      <c r="GR50" s="594"/>
      <c r="GS50" s="594"/>
      <c r="GT50" s="594"/>
      <c r="GU50" s="594"/>
      <c r="GV50" s="594"/>
      <c r="GW50" s="594"/>
      <c r="GX50" s="594"/>
      <c r="GY50" s="594"/>
      <c r="GZ50" s="594"/>
      <c r="HA50" s="594"/>
      <c r="HB50" s="594"/>
      <c r="HC50" s="594"/>
      <c r="HD50" s="594"/>
      <c r="HE50" s="594"/>
      <c r="HF50" s="594"/>
      <c r="HG50" s="594"/>
      <c r="HH50" s="594"/>
      <c r="HI50" s="594"/>
      <c r="HJ50" s="594"/>
      <c r="HK50" s="594"/>
      <c r="HL50" s="594"/>
      <c r="HM50" s="594"/>
      <c r="HN50" s="594"/>
      <c r="HO50" s="594"/>
      <c r="HP50" s="594"/>
      <c r="HQ50" s="594"/>
      <c r="HR50" s="594"/>
      <c r="HS50" s="594"/>
      <c r="HT50" s="594"/>
      <c r="HU50" s="594"/>
      <c r="HV50" s="594"/>
      <c r="HW50" s="594"/>
      <c r="HX50" s="594"/>
      <c r="HY50" s="594"/>
      <c r="HZ50" s="594"/>
      <c r="IA50" s="594"/>
      <c r="IB50" s="594"/>
      <c r="IC50" s="594"/>
      <c r="ID50" s="594"/>
      <c r="IE50" s="594"/>
      <c r="IF50" s="594"/>
      <c r="IG50" s="594"/>
      <c r="IH50" s="594"/>
      <c r="II50" s="594"/>
      <c r="IJ50" s="594"/>
      <c r="IK50" s="594"/>
      <c r="IL50" s="594"/>
      <c r="IM50" s="594"/>
      <c r="IN50" s="594"/>
      <c r="IO50" s="594"/>
      <c r="IP50" s="594"/>
      <c r="IQ50" s="594"/>
      <c r="IR50" s="594"/>
      <c r="IS50" s="594"/>
      <c r="IT50" s="594"/>
      <c r="IU50" s="594"/>
      <c r="IV50" s="594"/>
      <c r="IW50" s="594"/>
    </row>
    <row r="51" customFormat="false" ht="11.25" hidden="false" customHeight="false" outlineLevel="0" collapsed="false">
      <c r="A51" s="594"/>
      <c r="B51" s="578" t="s">
        <v>543</v>
      </c>
      <c r="C51" s="579"/>
      <c r="D51" s="202" t="n">
        <f aca="false">IF(D29&gt;0,INDEX(Tier2Debt,MATCH("Total Interest on Term Loan",Tier2Column,0),MATCH(D$15,Tier2Row,0)),0)</f>
        <v>0</v>
      </c>
      <c r="E51" s="202" t="e">
        <f aca="false">IF(E29&gt;0,INDEX(Tier2Debt,MATCH("Total Interest on Term Loan",Tier2Column,0),MATCH(E$15,Tier2Row,0)),0)</f>
        <v>#VALUE!</v>
      </c>
      <c r="F51" s="202" t="e">
        <f aca="false">IF(F29&gt;0,INDEX(Tier2Debt,MATCH("Total Interest on Term Loan",Tier2Column,0),MATCH(F$15,Tier2Row,0)),0)</f>
        <v>#VALUE!</v>
      </c>
      <c r="G51" s="202" t="n">
        <f aca="false">IF(G29&gt;0,INDEX(Tier2Debt,MATCH("Total Interest on Term Loan",Tier2Column,0),MATCH(G$15,Tier2Row,0)),0)</f>
        <v>0</v>
      </c>
      <c r="H51" s="202" t="n">
        <f aca="false">IF(H29&gt;0,INDEX(Tier2Debt,MATCH("Total Interest on Term Loan",Tier2Column,0),MATCH(H$15,Tier2Row,0)),0)</f>
        <v>0</v>
      </c>
      <c r="I51" s="202" t="n">
        <f aca="false">IF(I29&gt;0,INDEX(Tier2Debt,MATCH("Total Interest on Term Loan",Tier2Column,0),MATCH(I$15,Tier2Row,0)),0)</f>
        <v>0</v>
      </c>
      <c r="J51" s="202" t="n">
        <f aca="false">IF(J29&gt;0,INDEX(Tier2Debt,MATCH("Total Interest on Term Loan",Tier2Column,0),MATCH(J$15,Tier2Row,0)),0)</f>
        <v>0</v>
      </c>
      <c r="K51" s="202" t="n">
        <f aca="false">IF(K29&gt;0,INDEX(Tier2Debt,MATCH("Total Interest on Term Loan",Tier2Column,0),MATCH(K$15,Tier2Row,0)),0)</f>
        <v>0</v>
      </c>
      <c r="L51" s="202" t="n">
        <f aca="false">IF(L29&gt;0,INDEX(Tier2Debt,MATCH("Total Interest on Term Loan",Tier2Column,0),MATCH(L$15,Tier2Row,0)),0)</f>
        <v>0</v>
      </c>
      <c r="M51" s="202" t="n">
        <f aca="false">IF(M29&gt;0,INDEX(Tier2Debt,MATCH("Total Interest on Term Loan",Tier2Column,0),MATCH(M$15,Tier2Row,0)),0)</f>
        <v>0</v>
      </c>
      <c r="N51" s="202" t="n">
        <f aca="false">IF(N29&gt;0,INDEX(Tier2Debt,MATCH("Total Interest on Term Loan",Tier2Column,0),MATCH(N$15,Tier2Row,0)),0)</f>
        <v>0</v>
      </c>
      <c r="O51" s="202" t="n">
        <f aca="false">IF(O29&gt;0,INDEX(Tier2Debt,MATCH("Total Interest on Term Loan",Tier2Column,0),MATCH(O$15,Tier2Row,0)),0)</f>
        <v>0</v>
      </c>
      <c r="P51" s="202" t="n">
        <f aca="false">IF(P29&gt;0,INDEX(Tier2Debt,MATCH("Total Interest on Term Loan",Tier2Column,0),MATCH(P$15,Tier2Row,0)),0)</f>
        <v>0</v>
      </c>
      <c r="Q51" s="202" t="n">
        <f aca="false">IF(Q29&gt;0,INDEX(Tier2Debt,MATCH("Total Interest on Term Loan",Tier2Column,0),MATCH(Q$15,Tier2Row,0)),0)</f>
        <v>0</v>
      </c>
      <c r="R51" s="202" t="n">
        <f aca="false">IF(R29&gt;0,INDEX(Tier2Debt,MATCH("Total Interest on Term Loan",Tier2Column,0),MATCH(R$15,Tier2Row,0)),0)</f>
        <v>0</v>
      </c>
      <c r="S51" s="202" t="n">
        <f aca="false">IF(S29&gt;0,INDEX(Tier2Debt,MATCH("Total Interest on Term Loan",Tier2Column,0),MATCH(S$15,Tier2Row,0)),0)</f>
        <v>0</v>
      </c>
      <c r="T51" s="202" t="n">
        <f aca="false">IF(T29&gt;0,INDEX(Tier2Debt,MATCH("Total Interest on Term Loan",Tier2Column,0),MATCH(T$15,Tier2Row,0)),0)</f>
        <v>0</v>
      </c>
      <c r="U51" s="202" t="n">
        <f aca="false">IF(U29&gt;0,INDEX(Tier2Debt,MATCH("Total Interest on Term Loan",Tier2Column,0),MATCH(U$15,Tier2Row,0)),0)</f>
        <v>0</v>
      </c>
      <c r="V51" s="202" t="n">
        <f aca="false">IF(V29&gt;0,INDEX(Tier2Debt,MATCH("Total Interest on Term Loan",Tier2Column,0),MATCH(V$15,Tier2Row,0)),0)</f>
        <v>0</v>
      </c>
      <c r="W51" s="202" t="e">
        <f aca="false">IF(W29&gt;0,INDEX(Tier2Debt,MATCH("Total Interest on Term Loan",Tier2Column,0),MATCH(W$15,Tier2Row,0)),0)</f>
        <v>#DIV/0!</v>
      </c>
      <c r="X51" s="202" t="e">
        <f aca="false">IF(X29&gt;0,INDEX(Tier2Debt,MATCH("Total Interest on Term Loan",Tier2Column,0),MATCH(X$15,Tier2Row,0)),0)</f>
        <v>#DIV/0!</v>
      </c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346"/>
      <c r="AR51" s="346"/>
      <c r="AS51" s="346"/>
      <c r="AT51" s="346"/>
      <c r="AU51" s="346"/>
      <c r="AV51" s="346"/>
      <c r="AW51" s="346"/>
      <c r="AX51" s="346"/>
      <c r="AY51" s="346"/>
      <c r="AZ51" s="595"/>
      <c r="BA51" s="595"/>
      <c r="BB51" s="595"/>
      <c r="BC51" s="595"/>
      <c r="BD51" s="595"/>
      <c r="BE51" s="595"/>
      <c r="BF51" s="595"/>
      <c r="BG51" s="595"/>
      <c r="BH51" s="595"/>
      <c r="BI51" s="595"/>
      <c r="BJ51" s="595"/>
      <c r="BK51" s="595"/>
      <c r="BL51" s="595"/>
      <c r="BM51" s="595"/>
      <c r="BN51" s="595"/>
      <c r="BO51" s="594"/>
      <c r="BP51" s="594"/>
      <c r="BQ51" s="594"/>
      <c r="BR51" s="594"/>
      <c r="BS51" s="594"/>
      <c r="BT51" s="594"/>
      <c r="BU51" s="594"/>
      <c r="BV51" s="594"/>
      <c r="BW51" s="594"/>
      <c r="BX51" s="594"/>
      <c r="BY51" s="594"/>
      <c r="BZ51" s="594"/>
      <c r="CA51" s="594"/>
      <c r="CB51" s="594"/>
      <c r="CC51" s="594"/>
      <c r="CD51" s="594"/>
      <c r="CE51" s="594"/>
      <c r="CF51" s="594"/>
      <c r="CG51" s="594"/>
      <c r="CH51" s="594"/>
      <c r="CI51" s="594"/>
      <c r="CJ51" s="594"/>
      <c r="CK51" s="594"/>
      <c r="CL51" s="594"/>
      <c r="CM51" s="594"/>
      <c r="CN51" s="594"/>
      <c r="CO51" s="594"/>
      <c r="CP51" s="594"/>
      <c r="CQ51" s="594"/>
      <c r="CR51" s="594"/>
      <c r="CS51" s="594"/>
      <c r="CT51" s="594"/>
      <c r="CU51" s="594"/>
      <c r="CV51" s="594"/>
      <c r="CW51" s="594"/>
      <c r="CX51" s="594"/>
      <c r="CY51" s="594"/>
      <c r="CZ51" s="594"/>
      <c r="DA51" s="594"/>
      <c r="DB51" s="594"/>
      <c r="DC51" s="594"/>
      <c r="DD51" s="594"/>
      <c r="DE51" s="594"/>
      <c r="DF51" s="594"/>
      <c r="DG51" s="594"/>
      <c r="DH51" s="594"/>
      <c r="DI51" s="594"/>
      <c r="DJ51" s="594"/>
      <c r="DK51" s="594"/>
      <c r="DL51" s="594"/>
      <c r="DM51" s="594"/>
      <c r="DN51" s="594"/>
      <c r="DO51" s="594"/>
      <c r="DP51" s="594"/>
      <c r="DQ51" s="594"/>
      <c r="DR51" s="594"/>
      <c r="DS51" s="594"/>
      <c r="DT51" s="594"/>
      <c r="DU51" s="594"/>
      <c r="DV51" s="594"/>
      <c r="DW51" s="594"/>
      <c r="DX51" s="594"/>
      <c r="DY51" s="594"/>
      <c r="DZ51" s="594"/>
      <c r="EA51" s="594"/>
      <c r="EB51" s="594"/>
      <c r="EC51" s="594"/>
      <c r="ED51" s="594"/>
      <c r="EE51" s="594"/>
      <c r="EF51" s="594"/>
      <c r="EG51" s="594"/>
      <c r="EH51" s="594"/>
      <c r="EI51" s="594"/>
      <c r="EJ51" s="594"/>
      <c r="EK51" s="594"/>
      <c r="EL51" s="594"/>
      <c r="EM51" s="594"/>
      <c r="EN51" s="594"/>
      <c r="EO51" s="594"/>
      <c r="EP51" s="594"/>
      <c r="EQ51" s="594"/>
      <c r="ER51" s="594"/>
      <c r="ES51" s="594"/>
      <c r="ET51" s="594"/>
      <c r="EU51" s="594"/>
      <c r="EV51" s="594"/>
      <c r="EW51" s="594"/>
      <c r="EX51" s="594"/>
      <c r="EY51" s="594"/>
      <c r="EZ51" s="594"/>
      <c r="FA51" s="594"/>
      <c r="FB51" s="594"/>
      <c r="FC51" s="594"/>
      <c r="FD51" s="594"/>
      <c r="FE51" s="594"/>
      <c r="FF51" s="594"/>
      <c r="FG51" s="594"/>
      <c r="FH51" s="594"/>
      <c r="FI51" s="594"/>
      <c r="FJ51" s="594"/>
      <c r="FK51" s="594"/>
      <c r="FL51" s="594"/>
      <c r="FM51" s="594"/>
      <c r="FN51" s="594"/>
      <c r="FO51" s="594"/>
      <c r="FP51" s="594"/>
      <c r="FQ51" s="594"/>
      <c r="FR51" s="594"/>
      <c r="FS51" s="594"/>
      <c r="FT51" s="594"/>
      <c r="FU51" s="594"/>
      <c r="FV51" s="594"/>
      <c r="FW51" s="594"/>
      <c r="FX51" s="594"/>
      <c r="FY51" s="594"/>
      <c r="FZ51" s="594"/>
      <c r="GA51" s="594"/>
      <c r="GB51" s="594"/>
      <c r="GC51" s="594"/>
      <c r="GD51" s="594"/>
      <c r="GE51" s="594"/>
      <c r="GF51" s="594"/>
      <c r="GG51" s="594"/>
      <c r="GH51" s="594"/>
      <c r="GI51" s="594"/>
      <c r="GJ51" s="594"/>
      <c r="GK51" s="594"/>
      <c r="GL51" s="594"/>
      <c r="GM51" s="594"/>
      <c r="GN51" s="594"/>
      <c r="GO51" s="594"/>
      <c r="GP51" s="594"/>
      <c r="GQ51" s="594"/>
      <c r="GR51" s="594"/>
      <c r="GS51" s="594"/>
      <c r="GT51" s="594"/>
      <c r="GU51" s="594"/>
      <c r="GV51" s="594"/>
      <c r="GW51" s="594"/>
      <c r="GX51" s="594"/>
      <c r="GY51" s="594"/>
      <c r="GZ51" s="594"/>
      <c r="HA51" s="594"/>
      <c r="HB51" s="594"/>
      <c r="HC51" s="594"/>
      <c r="HD51" s="594"/>
      <c r="HE51" s="594"/>
      <c r="HF51" s="594"/>
      <c r="HG51" s="594"/>
      <c r="HH51" s="594"/>
      <c r="HI51" s="594"/>
      <c r="HJ51" s="594"/>
      <c r="HK51" s="594"/>
      <c r="HL51" s="594"/>
      <c r="HM51" s="594"/>
      <c r="HN51" s="594"/>
      <c r="HO51" s="594"/>
      <c r="HP51" s="594"/>
      <c r="HQ51" s="594"/>
      <c r="HR51" s="594"/>
      <c r="HS51" s="594"/>
      <c r="HT51" s="594"/>
      <c r="HU51" s="594"/>
      <c r="HV51" s="594"/>
      <c r="HW51" s="594"/>
      <c r="HX51" s="594"/>
      <c r="HY51" s="594"/>
      <c r="HZ51" s="594"/>
      <c r="IA51" s="594"/>
      <c r="IB51" s="594"/>
      <c r="IC51" s="594"/>
      <c r="ID51" s="594"/>
      <c r="IE51" s="594"/>
      <c r="IF51" s="594"/>
      <c r="IG51" s="594"/>
      <c r="IH51" s="594"/>
      <c r="II51" s="594"/>
      <c r="IJ51" s="594"/>
      <c r="IK51" s="594"/>
      <c r="IL51" s="594"/>
      <c r="IM51" s="594"/>
      <c r="IN51" s="594"/>
      <c r="IO51" s="594"/>
      <c r="IP51" s="594"/>
      <c r="IQ51" s="594"/>
      <c r="IR51" s="594"/>
      <c r="IS51" s="594"/>
      <c r="IT51" s="594"/>
      <c r="IU51" s="594"/>
      <c r="IV51" s="594"/>
      <c r="IW51" s="594"/>
    </row>
    <row r="52" customFormat="false" ht="11.25" hidden="false" customHeight="false" outlineLevel="0" collapsed="false">
      <c r="A52" s="295"/>
      <c r="B52" s="578" t="s">
        <v>544</v>
      </c>
      <c r="C52" s="571" t="n">
        <f aca="false">IF(C$5&gt;=1,INDEX(InterestTable,MATCH("Total Principal",'Debt Amort'!$B$12:$B$39,0),MATCH(C$15,'Debt Amort'!$B$12:$AB$12,0)),0)</f>
        <v>0</v>
      </c>
      <c r="D52" s="202" t="n">
        <f aca="false">IF(D$5&gt;=1,IF(D29&gt;0,INDEX(InterestTable,MATCH("Total Principal",'Debt Amort'!$B$12:$B$39,0),MATCH(D$15,'Debt Amort'!$B$12:$AB$12,0)),0),0)</f>
        <v>0</v>
      </c>
      <c r="E52" s="202" t="e">
        <f aca="false">IF(E$5&gt;=1,IF(E29&gt;0,INDEX(InterestTable,MATCH("Total Principal",'Debt Amort'!$B$12:$B$39,0),MATCH(E$15,'Debt Amort'!$B$12:$AB$12,0)),0),0)</f>
        <v>#VALUE!</v>
      </c>
      <c r="F52" s="202" t="e">
        <f aca="false">IF(F$5&gt;=1,IF(F29&gt;0,INDEX(InterestTable,MATCH("Total Principal",'Debt Amort'!$B$12:$B$39,0),MATCH(F$15,'Debt Amort'!$B$12:$AB$12,0)),0),0)</f>
        <v>#VALUE!</v>
      </c>
      <c r="G52" s="202" t="e">
        <f aca="false">IF(G$5&gt;=1,IF(G29&gt;0,INDEX(InterestTable,MATCH("Total Principal",'Debt Amort'!$B$12:$B$39,0),MATCH(G$15,'Debt Amort'!$B$12:$AB$12,0)),0),0)</f>
        <v>#VALUE!</v>
      </c>
      <c r="H52" s="202" t="e">
        <f aca="false">IF(H$5&gt;=1,IF(H29&gt;0,INDEX(InterestTable,MATCH("Total Principal",'Debt Amort'!$B$12:$B$39,0),MATCH(H$15,'Debt Amort'!$B$12:$AB$12,0)),0),0)</f>
        <v>#VALUE!</v>
      </c>
      <c r="I52" s="202" t="e">
        <f aca="false">IF(I$5&gt;=1,IF(I29&gt;0,INDEX(InterestTable,MATCH("Total Principal",'Debt Amort'!$B$12:$B$39,0),MATCH(I$15,'Debt Amort'!$B$12:$AB$12,0)),0),0)</f>
        <v>#VALUE!</v>
      </c>
      <c r="J52" s="202" t="e">
        <f aca="false">IF(J$5&gt;=1,IF(J29&gt;0,INDEX(InterestTable,MATCH("Total Principal",'Debt Amort'!$B$12:$B$39,0),MATCH(J$15,'Debt Amort'!$B$12:$AB$12,0)),0),0)</f>
        <v>#VALUE!</v>
      </c>
      <c r="K52" s="202" t="e">
        <f aca="false">IF(K$5&gt;=1,IF(K29&gt;0,INDEX(InterestTable,MATCH("Total Principal",'Debt Amort'!$B$12:$B$39,0),MATCH(K$15,'Debt Amort'!$B$12:$AB$12,0)),0),0)</f>
        <v>#VALUE!</v>
      </c>
      <c r="L52" s="202" t="e">
        <f aca="false">IF(L$5&gt;=1,IF(L29&gt;0,INDEX(InterestTable,MATCH("Total Principal",'Debt Amort'!$B$12:$B$39,0),MATCH(L$15,'Debt Amort'!$B$12:$AB$12,0)),0),0)</f>
        <v>#VALUE!</v>
      </c>
      <c r="M52" s="202" t="e">
        <f aca="false">IF(M$5&gt;=1,IF(M29&gt;0,INDEX(InterestTable,MATCH("Total Principal",'Debt Amort'!$B$12:$B$39,0),MATCH(M$15,'Debt Amort'!$B$12:$AB$12,0)),0),0)</f>
        <v>#VALUE!</v>
      </c>
      <c r="N52" s="202" t="e">
        <f aca="false">IF(N$5&gt;=1,IF(N29&gt;0,INDEX(InterestTable,MATCH("Total Principal",'Debt Amort'!$B$12:$B$39,0),MATCH(N$15,'Debt Amort'!$B$12:$AB$12,0)),0),0)</f>
        <v>#VALUE!</v>
      </c>
      <c r="O52" s="202" t="e">
        <f aca="false">IF(O$5&gt;=1,IF(O29&gt;0,INDEX(InterestTable,MATCH("Total Principal",'Debt Amort'!$B$12:$B$39,0),MATCH(O$15,'Debt Amort'!$B$12:$AB$12,0)),0),0)</f>
        <v>#VALUE!</v>
      </c>
      <c r="P52" s="202" t="e">
        <f aca="false">IF(P$5&gt;=1,IF(P29&gt;0,INDEX(InterestTable,MATCH("Total Principal",'Debt Amort'!$B$12:$B$39,0),MATCH(P$15,'Debt Amort'!$B$12:$AB$12,0)),0),0)</f>
        <v>#VALUE!</v>
      </c>
      <c r="Q52" s="202" t="e">
        <f aca="false">IF(Q$5&gt;=1,IF(Q29&gt;0,INDEX(InterestTable,MATCH("Total Principal",'Debt Amort'!$B$12:$B$39,0),MATCH(Q$15,'Debt Amort'!$B$12:$AB$12,0)),0),0)</f>
        <v>#VALUE!</v>
      </c>
      <c r="R52" s="202" t="e">
        <f aca="false">IF(R$5&gt;=1,IF(R29&gt;0,INDEX(InterestTable,MATCH("Total Principal",'Debt Amort'!$B$12:$B$39,0),MATCH(R$15,'Debt Amort'!$B$12:$AB$12,0)),0),0)</f>
        <v>#VALUE!</v>
      </c>
      <c r="S52" s="202" t="e">
        <f aca="false">IF(S$5&gt;=1,IF(S29&gt;0,INDEX(InterestTable,MATCH("Total Principal",'Debt Amort'!$B$12:$B$39,0),MATCH(S$15,'Debt Amort'!$B$12:$AB$12,0)),0),0)</f>
        <v>#VALUE!</v>
      </c>
      <c r="T52" s="202" t="e">
        <f aca="false">IF(T$5&gt;=1,IF(T29&gt;0,INDEX(InterestTable,MATCH("Total Principal",'Debt Amort'!$B$12:$B$39,0),MATCH(T$15,'Debt Amort'!$B$12:$AB$12,0)),0),0)</f>
        <v>#VALUE!</v>
      </c>
      <c r="U52" s="202" t="e">
        <f aca="false">IF(U$5&gt;=1,IF(U29&gt;0,INDEX(InterestTable,MATCH("Total Principal",'Debt Amort'!$B$12:$B$39,0),MATCH(U$15,'Debt Amort'!$B$12:$AB$12,0)),0),0)</f>
        <v>#VALUE!</v>
      </c>
      <c r="V52" s="202" t="e">
        <f aca="false">IF(V$5&gt;=1,IF(V29&gt;0,INDEX(InterestTable,MATCH("Total Principal",'Debt Amort'!$B$12:$B$39,0),MATCH(V$15,'Debt Amort'!$B$12:$AB$12,0)),0),0)</f>
        <v>#VALUE!</v>
      </c>
      <c r="W52" s="202" t="e">
        <f aca="false">IF(W$5&gt;=1,IF(W29&gt;0,INDEX(InterestTable,MATCH("Total Principal",'Debt Amort'!$B$12:$B$39,0),MATCH(W$15,'Debt Amort'!$B$12:$AB$12,0)),0),0)</f>
        <v>#DIV/0!</v>
      </c>
      <c r="X52" s="202" t="e">
        <f aca="false">IF(X$5&gt;=1,IF(X29&gt;0,INDEX(InterestTable,MATCH("Total Principal",'Debt Amort'!$B$12:$B$39,0),MATCH(X$15,'Debt Amort'!$B$12:$AB$12,0)),0),0)</f>
        <v>#DIV/0!</v>
      </c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5"/>
      <c r="BS52" s="295"/>
      <c r="BT52" s="295"/>
      <c r="BU52" s="295"/>
      <c r="BV52" s="295"/>
      <c r="BW52" s="295"/>
      <c r="BX52" s="295"/>
      <c r="BY52" s="295"/>
      <c r="BZ52" s="295"/>
      <c r="CA52" s="295"/>
      <c r="CB52" s="295"/>
      <c r="CC52" s="295"/>
      <c r="CD52" s="295"/>
      <c r="CE52" s="295"/>
      <c r="CF52" s="295"/>
      <c r="CG52" s="295"/>
      <c r="CH52" s="295"/>
      <c r="CI52" s="295"/>
      <c r="CJ52" s="295"/>
      <c r="CK52" s="295"/>
      <c r="CL52" s="295"/>
      <c r="CM52" s="295"/>
      <c r="CN52" s="295"/>
      <c r="CO52" s="295"/>
      <c r="CP52" s="295"/>
      <c r="CQ52" s="295"/>
      <c r="CR52" s="295"/>
      <c r="CS52" s="295"/>
      <c r="CT52" s="295"/>
      <c r="CU52" s="295"/>
      <c r="CV52" s="295"/>
      <c r="CW52" s="295"/>
      <c r="CX52" s="295"/>
      <c r="CY52" s="295"/>
      <c r="CZ52" s="295"/>
      <c r="DA52" s="295"/>
      <c r="DB52" s="295"/>
      <c r="DC52" s="295"/>
      <c r="DD52" s="295"/>
      <c r="DE52" s="295"/>
      <c r="DF52" s="295"/>
      <c r="DG52" s="295"/>
      <c r="DH52" s="295"/>
      <c r="DI52" s="295"/>
      <c r="DJ52" s="295"/>
      <c r="DK52" s="295"/>
      <c r="DL52" s="295"/>
      <c r="DM52" s="295"/>
      <c r="DN52" s="295"/>
      <c r="DO52" s="295"/>
      <c r="DP52" s="295"/>
      <c r="DQ52" s="295"/>
      <c r="DR52" s="295"/>
      <c r="DS52" s="295"/>
      <c r="DT52" s="295"/>
      <c r="DU52" s="295"/>
      <c r="DV52" s="295"/>
      <c r="DW52" s="295"/>
      <c r="DX52" s="295"/>
      <c r="DY52" s="295"/>
      <c r="DZ52" s="295"/>
      <c r="EA52" s="295"/>
      <c r="EB52" s="295"/>
      <c r="EC52" s="295"/>
      <c r="ED52" s="295"/>
      <c r="EE52" s="295"/>
      <c r="EF52" s="295"/>
      <c r="EG52" s="295"/>
      <c r="EH52" s="295"/>
      <c r="EI52" s="295"/>
      <c r="EJ52" s="295"/>
      <c r="EK52" s="295"/>
      <c r="EL52" s="295"/>
      <c r="EM52" s="295"/>
      <c r="EN52" s="295"/>
      <c r="EO52" s="295"/>
      <c r="EP52" s="295"/>
      <c r="EQ52" s="295"/>
      <c r="ER52" s="295"/>
      <c r="ES52" s="295"/>
      <c r="ET52" s="295"/>
      <c r="EU52" s="295"/>
      <c r="EV52" s="295"/>
      <c r="EW52" s="295"/>
      <c r="EX52" s="295"/>
      <c r="EY52" s="295"/>
      <c r="EZ52" s="295"/>
      <c r="FA52" s="295"/>
      <c r="FB52" s="295"/>
      <c r="FC52" s="295"/>
      <c r="FD52" s="295"/>
      <c r="FE52" s="295"/>
      <c r="FF52" s="295"/>
      <c r="FG52" s="295"/>
      <c r="FH52" s="295"/>
      <c r="FI52" s="295"/>
      <c r="FJ52" s="295"/>
      <c r="FK52" s="295"/>
      <c r="FL52" s="295"/>
      <c r="FM52" s="295"/>
      <c r="FN52" s="295"/>
      <c r="FO52" s="295"/>
      <c r="FP52" s="295"/>
      <c r="FQ52" s="295"/>
      <c r="FR52" s="295"/>
      <c r="FS52" s="295"/>
      <c r="FT52" s="295"/>
      <c r="FU52" s="295"/>
      <c r="FV52" s="295"/>
      <c r="FW52" s="295"/>
      <c r="FX52" s="295"/>
      <c r="FY52" s="295"/>
      <c r="FZ52" s="295"/>
      <c r="GA52" s="295"/>
      <c r="GB52" s="295"/>
      <c r="GC52" s="295"/>
      <c r="GD52" s="295"/>
      <c r="GE52" s="295"/>
      <c r="GF52" s="295"/>
      <c r="GG52" s="295"/>
      <c r="GH52" s="295"/>
      <c r="GI52" s="295"/>
      <c r="GJ52" s="295"/>
      <c r="GK52" s="295"/>
      <c r="GL52" s="295"/>
      <c r="GM52" s="295"/>
      <c r="GN52" s="295"/>
      <c r="GO52" s="295"/>
      <c r="GP52" s="295"/>
      <c r="GQ52" s="295"/>
      <c r="GR52" s="295"/>
      <c r="GS52" s="295"/>
      <c r="GT52" s="295"/>
      <c r="GU52" s="295"/>
      <c r="GV52" s="295"/>
      <c r="GW52" s="295"/>
      <c r="GX52" s="295"/>
      <c r="GY52" s="295"/>
      <c r="GZ52" s="295"/>
      <c r="HA52" s="295"/>
      <c r="HB52" s="295"/>
      <c r="HC52" s="295"/>
      <c r="HD52" s="295"/>
      <c r="HE52" s="295"/>
      <c r="HF52" s="295"/>
      <c r="HG52" s="295"/>
      <c r="HH52" s="295"/>
      <c r="HI52" s="295"/>
      <c r="HJ52" s="295"/>
      <c r="HK52" s="295"/>
      <c r="HL52" s="295"/>
      <c r="HM52" s="295"/>
      <c r="HN52" s="295"/>
      <c r="HO52" s="295"/>
      <c r="HP52" s="295"/>
      <c r="HQ52" s="295"/>
      <c r="HR52" s="295"/>
      <c r="HS52" s="295"/>
      <c r="HT52" s="295"/>
      <c r="HU52" s="295"/>
      <c r="HV52" s="295"/>
      <c r="HW52" s="295"/>
      <c r="HX52" s="295"/>
      <c r="HY52" s="295"/>
      <c r="HZ52" s="295"/>
      <c r="IA52" s="295"/>
      <c r="IB52" s="295"/>
      <c r="IC52" s="295"/>
      <c r="ID52" s="295"/>
      <c r="IE52" s="295"/>
      <c r="IF52" s="295"/>
      <c r="IG52" s="295"/>
      <c r="IH52" s="295"/>
      <c r="II52" s="295"/>
      <c r="IJ52" s="295"/>
      <c r="IK52" s="295"/>
      <c r="IL52" s="295"/>
      <c r="IM52" s="295"/>
      <c r="IN52" s="295"/>
      <c r="IO52" s="295"/>
      <c r="IP52" s="295"/>
      <c r="IQ52" s="295"/>
      <c r="IR52" s="295"/>
      <c r="IS52" s="295"/>
      <c r="IT52" s="295"/>
      <c r="IU52" s="295"/>
      <c r="IV52" s="295"/>
      <c r="IW52" s="295"/>
    </row>
    <row r="53" customFormat="false" ht="11.25" hidden="false" customHeight="false" outlineLevel="0" collapsed="false">
      <c r="A53" s="295"/>
      <c r="B53" s="508" t="s">
        <v>545</v>
      </c>
      <c r="C53" s="571"/>
      <c r="D53" s="202" t="n">
        <f aca="false">IF(D$29&gt;0,INDEX(Tier2Debt,MATCH("Total Principal",Tier2Column,0),MATCH(D$15,Tier2Row,0)),0)</f>
        <v>0</v>
      </c>
      <c r="E53" s="202" t="e">
        <f aca="false">IF(E$29&gt;0,INDEX(Tier2Debt,MATCH("Total Principal",Tier2Column,0),MATCH(E$15,Tier2Row,0)),0)</f>
        <v>#VALUE!</v>
      </c>
      <c r="F53" s="202" t="e">
        <f aca="false">IF(F$29&gt;0,INDEX(Tier2Debt,MATCH("Total Principal",Tier2Column,0),MATCH(F$15,Tier2Row,0)),0)</f>
        <v>#VALUE!</v>
      </c>
      <c r="G53" s="202" t="n">
        <f aca="false">IF(G$29&gt;0,INDEX(Tier2Debt,MATCH("Total Principal",Tier2Column,0),MATCH(G$15,Tier2Row,0)),0)</f>
        <v>0</v>
      </c>
      <c r="H53" s="202" t="n">
        <f aca="false">IF(H$29&gt;0,INDEX(Tier2Debt,MATCH("Total Principal",Tier2Column,0),MATCH(H$15,Tier2Row,0)),0)</f>
        <v>0</v>
      </c>
      <c r="I53" s="202" t="n">
        <f aca="false">IF(I$29&gt;0,INDEX(Tier2Debt,MATCH("Total Principal",Tier2Column,0),MATCH(I$15,Tier2Row,0)),0)</f>
        <v>0</v>
      </c>
      <c r="J53" s="202" t="n">
        <f aca="false">IF(J$29&gt;0,INDEX(Tier2Debt,MATCH("Total Principal",Tier2Column,0),MATCH(J$15,Tier2Row,0)),0)</f>
        <v>0</v>
      </c>
      <c r="K53" s="202" t="n">
        <f aca="false">IF(K$29&gt;0,INDEX(Tier2Debt,MATCH("Total Principal",Tier2Column,0),MATCH(K$15,Tier2Row,0)),0)</f>
        <v>0</v>
      </c>
      <c r="L53" s="202" t="n">
        <f aca="false">IF(L$29&gt;0,INDEX(Tier2Debt,MATCH("Total Principal",Tier2Column,0),MATCH(L$15,Tier2Row,0)),0)</f>
        <v>0</v>
      </c>
      <c r="M53" s="202" t="n">
        <f aca="false">IF(M$29&gt;0,INDEX(Tier2Debt,MATCH("Total Principal",Tier2Column,0),MATCH(M$15,Tier2Row,0)),0)</f>
        <v>0</v>
      </c>
      <c r="N53" s="202" t="n">
        <f aca="false">IF(N$29&gt;0,INDEX(Tier2Debt,MATCH("Total Principal",Tier2Column,0),MATCH(N$15,Tier2Row,0)),0)</f>
        <v>0</v>
      </c>
      <c r="O53" s="202" t="n">
        <f aca="false">IF(O$29&gt;0,INDEX(Tier2Debt,MATCH("Total Principal",Tier2Column,0),MATCH(O$15,Tier2Row,0)),0)</f>
        <v>0</v>
      </c>
      <c r="P53" s="202" t="n">
        <f aca="false">IF(P$29&gt;0,INDEX(Tier2Debt,MATCH("Total Principal",Tier2Column,0),MATCH(P$15,Tier2Row,0)),0)</f>
        <v>0</v>
      </c>
      <c r="Q53" s="202" t="n">
        <f aca="false">IF(Q$29&gt;0,INDEX(Tier2Debt,MATCH("Total Principal",Tier2Column,0),MATCH(Q$15,Tier2Row,0)),0)</f>
        <v>0</v>
      </c>
      <c r="R53" s="202" t="n">
        <f aca="false">IF(R$29&gt;0,INDEX(Tier2Debt,MATCH("Total Principal",Tier2Column,0),MATCH(R$15,Tier2Row,0)),0)</f>
        <v>0</v>
      </c>
      <c r="S53" s="202" t="n">
        <f aca="false">IF(S$29&gt;0,INDEX(Tier2Debt,MATCH("Total Principal",Tier2Column,0),MATCH(S$15,Tier2Row,0)),0)</f>
        <v>0</v>
      </c>
      <c r="T53" s="202" t="n">
        <f aca="false">IF(T$29&gt;0,INDEX(Tier2Debt,MATCH("Total Principal",Tier2Column,0),MATCH(T$15,Tier2Row,0)),0)</f>
        <v>0</v>
      </c>
      <c r="U53" s="202" t="n">
        <f aca="false">IF(U$29&gt;0,INDEX(Tier2Debt,MATCH("Total Principal",Tier2Column,0),MATCH(U$15,Tier2Row,0)),0)</f>
        <v>0</v>
      </c>
      <c r="V53" s="202" t="n">
        <f aca="false">IF(V$29&gt;0,INDEX(Tier2Debt,MATCH("Total Principal",Tier2Column,0),MATCH(V$15,Tier2Row,0)),0)</f>
        <v>0</v>
      </c>
      <c r="W53" s="202" t="e">
        <f aca="false">IF(W$29&gt;0,INDEX(Tier2Debt,MATCH("Total Principal",Tier2Column,0),MATCH(W$15,Tier2Row,0)),0)</f>
        <v>#DIV/0!</v>
      </c>
      <c r="X53" s="202" t="e">
        <f aca="false">IF(X$29&gt;0,INDEX(Tier2Debt,MATCH("Total Principal",Tier2Column,0),MATCH(X$15,Tier2Row,0)),0)</f>
        <v>#DIV/0!</v>
      </c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5"/>
      <c r="BS53" s="295"/>
      <c r="BT53" s="295"/>
      <c r="BU53" s="295"/>
      <c r="BV53" s="295"/>
      <c r="BW53" s="295"/>
      <c r="BX53" s="295"/>
      <c r="BY53" s="295"/>
      <c r="BZ53" s="295"/>
      <c r="CA53" s="295"/>
      <c r="CB53" s="295"/>
      <c r="CC53" s="295"/>
      <c r="CD53" s="295"/>
      <c r="CE53" s="295"/>
      <c r="CF53" s="295"/>
      <c r="CG53" s="295"/>
      <c r="CH53" s="295"/>
      <c r="CI53" s="295"/>
      <c r="CJ53" s="295"/>
      <c r="CK53" s="295"/>
      <c r="CL53" s="295"/>
      <c r="CM53" s="295"/>
      <c r="CN53" s="295"/>
      <c r="CO53" s="295"/>
      <c r="CP53" s="295"/>
      <c r="CQ53" s="295"/>
      <c r="CR53" s="295"/>
      <c r="CS53" s="295"/>
      <c r="CT53" s="295"/>
      <c r="CU53" s="295"/>
      <c r="CV53" s="295"/>
      <c r="CW53" s="295"/>
      <c r="CX53" s="295"/>
      <c r="CY53" s="295"/>
      <c r="CZ53" s="295"/>
      <c r="DA53" s="295"/>
      <c r="DB53" s="295"/>
      <c r="DC53" s="295"/>
      <c r="DD53" s="295"/>
      <c r="DE53" s="295"/>
      <c r="DF53" s="295"/>
      <c r="DG53" s="295"/>
      <c r="DH53" s="295"/>
      <c r="DI53" s="295"/>
      <c r="DJ53" s="295"/>
      <c r="DK53" s="295"/>
      <c r="DL53" s="295"/>
      <c r="DM53" s="295"/>
      <c r="DN53" s="295"/>
      <c r="DO53" s="295"/>
      <c r="DP53" s="295"/>
      <c r="DQ53" s="295"/>
      <c r="DR53" s="295"/>
      <c r="DS53" s="295"/>
      <c r="DT53" s="295"/>
      <c r="DU53" s="295"/>
      <c r="DV53" s="295"/>
      <c r="DW53" s="295"/>
      <c r="DX53" s="295"/>
      <c r="DY53" s="295"/>
      <c r="DZ53" s="295"/>
      <c r="EA53" s="295"/>
      <c r="EB53" s="295"/>
      <c r="EC53" s="295"/>
      <c r="ED53" s="295"/>
      <c r="EE53" s="295"/>
      <c r="EF53" s="295"/>
      <c r="EG53" s="295"/>
      <c r="EH53" s="295"/>
      <c r="EI53" s="295"/>
      <c r="EJ53" s="295"/>
      <c r="EK53" s="295"/>
      <c r="EL53" s="295"/>
      <c r="EM53" s="295"/>
      <c r="EN53" s="295"/>
      <c r="EO53" s="295"/>
      <c r="EP53" s="295"/>
      <c r="EQ53" s="295"/>
      <c r="ER53" s="295"/>
      <c r="ES53" s="295"/>
      <c r="ET53" s="295"/>
      <c r="EU53" s="295"/>
      <c r="EV53" s="295"/>
      <c r="EW53" s="295"/>
      <c r="EX53" s="295"/>
      <c r="EY53" s="295"/>
      <c r="EZ53" s="295"/>
      <c r="FA53" s="295"/>
      <c r="FB53" s="295"/>
      <c r="FC53" s="295"/>
      <c r="FD53" s="295"/>
      <c r="FE53" s="295"/>
      <c r="FF53" s="295"/>
      <c r="FG53" s="295"/>
      <c r="FH53" s="295"/>
      <c r="FI53" s="295"/>
      <c r="FJ53" s="295"/>
      <c r="FK53" s="295"/>
      <c r="FL53" s="295"/>
      <c r="FM53" s="295"/>
      <c r="FN53" s="295"/>
      <c r="FO53" s="295"/>
      <c r="FP53" s="295"/>
      <c r="FQ53" s="295"/>
      <c r="FR53" s="295"/>
      <c r="FS53" s="295"/>
      <c r="FT53" s="295"/>
      <c r="FU53" s="295"/>
      <c r="FV53" s="295"/>
      <c r="FW53" s="295"/>
      <c r="FX53" s="295"/>
      <c r="FY53" s="295"/>
      <c r="FZ53" s="295"/>
      <c r="GA53" s="295"/>
      <c r="GB53" s="295"/>
      <c r="GC53" s="295"/>
      <c r="GD53" s="295"/>
      <c r="GE53" s="295"/>
      <c r="GF53" s="295"/>
      <c r="GG53" s="295"/>
      <c r="GH53" s="295"/>
      <c r="GI53" s="295"/>
      <c r="GJ53" s="295"/>
      <c r="GK53" s="295"/>
      <c r="GL53" s="295"/>
      <c r="GM53" s="295"/>
      <c r="GN53" s="295"/>
      <c r="GO53" s="295"/>
      <c r="GP53" s="295"/>
      <c r="GQ53" s="295"/>
      <c r="GR53" s="295"/>
      <c r="GS53" s="295"/>
      <c r="GT53" s="295"/>
      <c r="GU53" s="295"/>
      <c r="GV53" s="295"/>
      <c r="GW53" s="295"/>
      <c r="GX53" s="295"/>
      <c r="GY53" s="295"/>
      <c r="GZ53" s="295"/>
      <c r="HA53" s="295"/>
      <c r="HB53" s="295"/>
      <c r="HC53" s="295"/>
      <c r="HD53" s="295"/>
      <c r="HE53" s="295"/>
      <c r="HF53" s="295"/>
      <c r="HG53" s="295"/>
      <c r="HH53" s="295"/>
      <c r="HI53" s="295"/>
      <c r="HJ53" s="295"/>
      <c r="HK53" s="295"/>
      <c r="HL53" s="295"/>
      <c r="HM53" s="295"/>
      <c r="HN53" s="295"/>
      <c r="HO53" s="295"/>
      <c r="HP53" s="295"/>
      <c r="HQ53" s="295"/>
      <c r="HR53" s="295"/>
      <c r="HS53" s="295"/>
      <c r="HT53" s="295"/>
      <c r="HU53" s="295"/>
      <c r="HV53" s="295"/>
      <c r="HW53" s="295"/>
      <c r="HX53" s="295"/>
      <c r="HY53" s="295"/>
      <c r="HZ53" s="295"/>
      <c r="IA53" s="295"/>
      <c r="IB53" s="295"/>
      <c r="IC53" s="295"/>
      <c r="ID53" s="295"/>
      <c r="IE53" s="295"/>
      <c r="IF53" s="295"/>
      <c r="IG53" s="295"/>
      <c r="IH53" s="295"/>
      <c r="II53" s="295"/>
      <c r="IJ53" s="295"/>
      <c r="IK53" s="295"/>
      <c r="IL53" s="295"/>
      <c r="IM53" s="295"/>
      <c r="IN53" s="295"/>
      <c r="IO53" s="295"/>
      <c r="IP53" s="295"/>
      <c r="IQ53" s="295"/>
      <c r="IR53" s="295"/>
      <c r="IS53" s="295"/>
      <c r="IT53" s="295"/>
      <c r="IU53" s="295"/>
      <c r="IV53" s="295"/>
      <c r="IW53" s="295"/>
    </row>
    <row r="54" customFormat="false" ht="11.25" hidden="false" customHeight="false" outlineLevel="0" collapsed="false">
      <c r="A54" s="295"/>
      <c r="B54" s="578"/>
      <c r="C54" s="596"/>
      <c r="D54" s="597"/>
      <c r="E54" s="597"/>
      <c r="F54" s="597"/>
      <c r="G54" s="597"/>
      <c r="H54" s="597"/>
      <c r="I54" s="597"/>
      <c r="J54" s="597"/>
      <c r="K54" s="597"/>
      <c r="L54" s="597"/>
      <c r="M54" s="597"/>
      <c r="N54" s="597"/>
      <c r="O54" s="597"/>
      <c r="P54" s="597"/>
      <c r="Q54" s="597"/>
      <c r="R54" s="597"/>
      <c r="S54" s="597"/>
      <c r="T54" s="597"/>
      <c r="U54" s="597"/>
      <c r="V54" s="597"/>
      <c r="W54" s="597"/>
      <c r="X54" s="597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5"/>
      <c r="BS54" s="295"/>
      <c r="BT54" s="295"/>
      <c r="BU54" s="295"/>
      <c r="BV54" s="295"/>
      <c r="BW54" s="295"/>
      <c r="BX54" s="295"/>
      <c r="BY54" s="295"/>
      <c r="BZ54" s="295"/>
      <c r="CA54" s="295"/>
      <c r="CB54" s="295"/>
      <c r="CC54" s="295"/>
      <c r="CD54" s="295"/>
      <c r="CE54" s="295"/>
      <c r="CF54" s="295"/>
      <c r="CG54" s="295"/>
      <c r="CH54" s="295"/>
      <c r="CI54" s="295"/>
      <c r="CJ54" s="295"/>
      <c r="CK54" s="295"/>
      <c r="CL54" s="295"/>
      <c r="CM54" s="295"/>
      <c r="CN54" s="295"/>
      <c r="CO54" s="295"/>
      <c r="CP54" s="295"/>
      <c r="CQ54" s="295"/>
      <c r="CR54" s="295"/>
      <c r="CS54" s="295"/>
      <c r="CT54" s="295"/>
      <c r="CU54" s="295"/>
      <c r="CV54" s="295"/>
      <c r="CW54" s="295"/>
      <c r="CX54" s="295"/>
      <c r="CY54" s="295"/>
      <c r="CZ54" s="295"/>
      <c r="DA54" s="295"/>
      <c r="DB54" s="295"/>
      <c r="DC54" s="295"/>
      <c r="DD54" s="295"/>
      <c r="DE54" s="295"/>
      <c r="DF54" s="295"/>
      <c r="DG54" s="295"/>
      <c r="DH54" s="295"/>
      <c r="DI54" s="295"/>
      <c r="DJ54" s="295"/>
      <c r="DK54" s="295"/>
      <c r="DL54" s="295"/>
      <c r="DM54" s="295"/>
      <c r="DN54" s="295"/>
      <c r="DO54" s="295"/>
      <c r="DP54" s="295"/>
      <c r="DQ54" s="295"/>
      <c r="DR54" s="295"/>
      <c r="DS54" s="295"/>
      <c r="DT54" s="295"/>
      <c r="DU54" s="295"/>
      <c r="DV54" s="295"/>
      <c r="DW54" s="295"/>
      <c r="DX54" s="295"/>
      <c r="DY54" s="295"/>
      <c r="DZ54" s="295"/>
      <c r="EA54" s="295"/>
      <c r="EB54" s="295"/>
      <c r="EC54" s="295"/>
      <c r="ED54" s="295"/>
      <c r="EE54" s="295"/>
      <c r="EF54" s="295"/>
      <c r="EG54" s="295"/>
      <c r="EH54" s="295"/>
      <c r="EI54" s="295"/>
      <c r="EJ54" s="295"/>
      <c r="EK54" s="295"/>
      <c r="EL54" s="295"/>
      <c r="EM54" s="295"/>
      <c r="EN54" s="295"/>
      <c r="EO54" s="295"/>
      <c r="EP54" s="295"/>
      <c r="EQ54" s="295"/>
      <c r="ER54" s="295"/>
      <c r="ES54" s="295"/>
      <c r="ET54" s="295"/>
      <c r="EU54" s="295"/>
      <c r="EV54" s="295"/>
      <c r="EW54" s="295"/>
      <c r="EX54" s="295"/>
      <c r="EY54" s="295"/>
      <c r="EZ54" s="295"/>
      <c r="FA54" s="295"/>
      <c r="FB54" s="295"/>
      <c r="FC54" s="295"/>
      <c r="FD54" s="295"/>
      <c r="FE54" s="295"/>
      <c r="FF54" s="295"/>
      <c r="FG54" s="295"/>
      <c r="FH54" s="295"/>
      <c r="FI54" s="295"/>
      <c r="FJ54" s="295"/>
      <c r="FK54" s="295"/>
      <c r="FL54" s="295"/>
      <c r="FM54" s="295"/>
      <c r="FN54" s="295"/>
      <c r="FO54" s="295"/>
      <c r="FP54" s="295"/>
      <c r="FQ54" s="295"/>
      <c r="FR54" s="295"/>
      <c r="FS54" s="295"/>
      <c r="FT54" s="295"/>
      <c r="FU54" s="295"/>
      <c r="FV54" s="295"/>
      <c r="FW54" s="295"/>
      <c r="FX54" s="295"/>
      <c r="FY54" s="295"/>
      <c r="FZ54" s="295"/>
      <c r="GA54" s="295"/>
      <c r="GB54" s="295"/>
      <c r="GC54" s="295"/>
      <c r="GD54" s="295"/>
      <c r="GE54" s="295"/>
      <c r="GF54" s="295"/>
      <c r="GG54" s="295"/>
      <c r="GH54" s="295"/>
      <c r="GI54" s="295"/>
      <c r="GJ54" s="295"/>
      <c r="GK54" s="295"/>
      <c r="GL54" s="295"/>
      <c r="GM54" s="295"/>
      <c r="GN54" s="295"/>
      <c r="GO54" s="295"/>
      <c r="GP54" s="295"/>
      <c r="GQ54" s="295"/>
      <c r="GR54" s="295"/>
      <c r="GS54" s="295"/>
      <c r="GT54" s="295"/>
      <c r="GU54" s="295"/>
      <c r="GV54" s="295"/>
      <c r="GW54" s="295"/>
      <c r="GX54" s="295"/>
      <c r="GY54" s="295"/>
      <c r="GZ54" s="295"/>
      <c r="HA54" s="295"/>
      <c r="HB54" s="295"/>
      <c r="HC54" s="295"/>
      <c r="HD54" s="295"/>
      <c r="HE54" s="295"/>
      <c r="HF54" s="295"/>
      <c r="HG54" s="295"/>
      <c r="HH54" s="295"/>
      <c r="HI54" s="295"/>
      <c r="HJ54" s="295"/>
      <c r="HK54" s="295"/>
      <c r="HL54" s="295"/>
      <c r="HM54" s="295"/>
      <c r="HN54" s="295"/>
      <c r="HO54" s="295"/>
      <c r="HP54" s="295"/>
      <c r="HQ54" s="295"/>
      <c r="HR54" s="295"/>
      <c r="HS54" s="295"/>
      <c r="HT54" s="295"/>
      <c r="HU54" s="295"/>
      <c r="HV54" s="295"/>
      <c r="HW54" s="295"/>
      <c r="HX54" s="295"/>
      <c r="HY54" s="295"/>
      <c r="HZ54" s="295"/>
      <c r="IA54" s="295"/>
      <c r="IB54" s="295"/>
      <c r="IC54" s="295"/>
      <c r="ID54" s="295"/>
      <c r="IE54" s="295"/>
      <c r="IF54" s="295"/>
      <c r="IG54" s="295"/>
      <c r="IH54" s="295"/>
      <c r="II54" s="295"/>
      <c r="IJ54" s="295"/>
      <c r="IK54" s="295"/>
      <c r="IL54" s="295"/>
      <c r="IM54" s="295"/>
      <c r="IN54" s="295"/>
      <c r="IO54" s="295"/>
      <c r="IP54" s="295"/>
      <c r="IQ54" s="295"/>
      <c r="IR54" s="295"/>
      <c r="IS54" s="295"/>
      <c r="IT54" s="295"/>
      <c r="IU54" s="295"/>
      <c r="IV54" s="295"/>
      <c r="IW54" s="295"/>
    </row>
    <row r="55" customFormat="false" ht="11.25" hidden="false" customHeight="false" outlineLevel="0" collapsed="false">
      <c r="A55" s="113"/>
      <c r="B55" s="127"/>
      <c r="C55" s="598" t="n">
        <f aca="false">SUM(C48:C54)</f>
        <v>0</v>
      </c>
      <c r="D55" s="599" t="n">
        <f aca="false">SUM(D48:D54)</f>
        <v>0</v>
      </c>
      <c r="E55" s="599" t="e">
        <f aca="false">SUM(E48:E54)</f>
        <v>#VALUE!</v>
      </c>
      <c r="F55" s="599" t="e">
        <f aca="false">SUM(F48:F54)</f>
        <v>#VALUE!</v>
      </c>
      <c r="G55" s="599" t="e">
        <f aca="false">SUM(G48:G54)</f>
        <v>#VALUE!</v>
      </c>
      <c r="H55" s="599" t="e">
        <f aca="false">SUM(H48:H54)</f>
        <v>#VALUE!</v>
      </c>
      <c r="I55" s="600" t="e">
        <f aca="false">SUM(I48:I54)</f>
        <v>#VALUE!</v>
      </c>
      <c r="J55" s="599" t="e">
        <f aca="false">SUM(J48:J54)</f>
        <v>#VALUE!</v>
      </c>
      <c r="K55" s="599" t="e">
        <f aca="false">SUM(K48:K54)</f>
        <v>#VALUE!</v>
      </c>
      <c r="L55" s="599" t="e">
        <f aca="false">SUM(L48:L54)</f>
        <v>#VALUE!</v>
      </c>
      <c r="M55" s="599" t="e">
        <f aca="false">SUM(M48:M54)</f>
        <v>#VALUE!</v>
      </c>
      <c r="N55" s="599" t="e">
        <f aca="false">SUM(N48:N54)</f>
        <v>#VALUE!</v>
      </c>
      <c r="O55" s="599" t="e">
        <f aca="false">SUM(O48:O54)</f>
        <v>#VALUE!</v>
      </c>
      <c r="P55" s="599" t="e">
        <f aca="false">SUM(P48:P54)</f>
        <v>#VALUE!</v>
      </c>
      <c r="Q55" s="599" t="e">
        <f aca="false">SUM(Q48:Q54)</f>
        <v>#VALUE!</v>
      </c>
      <c r="R55" s="599" t="e">
        <f aca="false">SUM(R48:R54)</f>
        <v>#VALUE!</v>
      </c>
      <c r="S55" s="599" t="e">
        <f aca="false">SUM(S48:S54)</f>
        <v>#VALUE!</v>
      </c>
      <c r="T55" s="599" t="e">
        <f aca="false">SUM(T48:T54)</f>
        <v>#VALUE!</v>
      </c>
      <c r="U55" s="599" t="e">
        <f aca="false">SUM(U48:U54)</f>
        <v>#VALUE!</v>
      </c>
      <c r="V55" s="599" t="e">
        <f aca="false">SUM(V48:V54)</f>
        <v>#VALUE!</v>
      </c>
      <c r="W55" s="599" t="e">
        <f aca="false">SUM(W48:W54)</f>
        <v>#DIV/0!</v>
      </c>
      <c r="X55" s="599" t="e">
        <f aca="false">SUM(X48:X54)</f>
        <v>#DIV/0!</v>
      </c>
      <c r="Y55" s="599"/>
      <c r="Z55" s="599"/>
      <c r="AA55" s="599"/>
      <c r="AB55" s="599"/>
      <c r="AC55" s="599"/>
      <c r="AD55" s="599"/>
      <c r="AE55" s="599"/>
      <c r="AF55" s="599"/>
      <c r="AG55" s="599"/>
      <c r="AH55" s="599"/>
      <c r="AI55" s="599"/>
      <c r="AJ55" s="599"/>
      <c r="AK55" s="599"/>
      <c r="AL55" s="599"/>
      <c r="AM55" s="599"/>
      <c r="AN55" s="599"/>
      <c r="AO55" s="599"/>
      <c r="AP55" s="599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  <c r="BZ55" s="113"/>
      <c r="CA55" s="113"/>
      <c r="CB55" s="113"/>
      <c r="CC55" s="113"/>
      <c r="CD55" s="113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3"/>
      <c r="FE55" s="113"/>
      <c r="FF55" s="113"/>
      <c r="FG55" s="113"/>
      <c r="FH55" s="113"/>
      <c r="FI55" s="113"/>
      <c r="FJ55" s="113"/>
      <c r="FK55" s="113"/>
      <c r="FL55" s="113"/>
      <c r="FM55" s="113"/>
      <c r="FN55" s="113"/>
      <c r="FO55" s="113"/>
      <c r="FP55" s="113"/>
      <c r="FQ55" s="113"/>
      <c r="FR55" s="113"/>
      <c r="FS55" s="113"/>
      <c r="FT55" s="113"/>
      <c r="FU55" s="113"/>
      <c r="FV55" s="113"/>
      <c r="FW55" s="113"/>
      <c r="FX55" s="113"/>
      <c r="FY55" s="113"/>
      <c r="FZ55" s="113"/>
      <c r="GA55" s="113"/>
      <c r="GB55" s="113"/>
      <c r="GC55" s="113"/>
      <c r="GD55" s="113"/>
      <c r="GE55" s="113"/>
      <c r="GF55" s="113"/>
      <c r="GG55" s="113"/>
      <c r="GH55" s="113"/>
      <c r="GI55" s="113"/>
      <c r="GJ55" s="113"/>
      <c r="GK55" s="113"/>
      <c r="GL55" s="113"/>
      <c r="GM55" s="113"/>
      <c r="GN55" s="113"/>
      <c r="GO55" s="113"/>
      <c r="GP55" s="113"/>
      <c r="GQ55" s="113"/>
      <c r="GR55" s="113"/>
      <c r="GS55" s="113"/>
      <c r="GT55" s="113"/>
      <c r="GU55" s="113"/>
      <c r="GV55" s="113"/>
      <c r="GW55" s="113"/>
      <c r="GX55" s="113"/>
      <c r="GY55" s="113"/>
      <c r="GZ55" s="113"/>
      <c r="HA55" s="113"/>
      <c r="HB55" s="113"/>
      <c r="HC55" s="113"/>
      <c r="HD55" s="113"/>
      <c r="HE55" s="113"/>
      <c r="HF55" s="113"/>
      <c r="HG55" s="113"/>
      <c r="HH55" s="113"/>
      <c r="HI55" s="113"/>
      <c r="HJ55" s="113"/>
      <c r="HK55" s="113"/>
      <c r="HL55" s="113"/>
      <c r="HM55" s="113"/>
      <c r="HN55" s="113"/>
      <c r="HO55" s="113"/>
      <c r="HP55" s="113"/>
      <c r="HQ55" s="113"/>
      <c r="HR55" s="113"/>
      <c r="HS55" s="113"/>
      <c r="HT55" s="113"/>
      <c r="HU55" s="113"/>
      <c r="HV55" s="113"/>
      <c r="HW55" s="113"/>
      <c r="HX55" s="113"/>
      <c r="HY55" s="113"/>
      <c r="HZ55" s="113"/>
      <c r="IA55" s="113"/>
      <c r="IB55" s="113"/>
      <c r="IC55" s="113"/>
      <c r="ID55" s="113"/>
      <c r="IE55" s="113"/>
      <c r="IF55" s="113"/>
      <c r="IG55" s="113"/>
      <c r="IH55" s="113"/>
      <c r="II55" s="113"/>
      <c r="IJ55" s="113"/>
      <c r="IK55" s="113"/>
      <c r="IL55" s="113"/>
      <c r="IM55" s="113"/>
      <c r="IN55" s="113"/>
      <c r="IO55" s="113"/>
      <c r="IP55" s="113"/>
      <c r="IQ55" s="113"/>
      <c r="IR55" s="113"/>
      <c r="IS55" s="113"/>
      <c r="IT55" s="113"/>
      <c r="IU55" s="113"/>
      <c r="IV55" s="113"/>
      <c r="IW55" s="113"/>
    </row>
    <row r="56" customFormat="false" ht="11.25" hidden="false" customHeight="false" outlineLevel="0" collapsed="false">
      <c r="A56" s="113"/>
      <c r="B56" s="127"/>
      <c r="C56" s="582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  <c r="AO56" s="127"/>
      <c r="AP56" s="127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113"/>
      <c r="BL56" s="113"/>
      <c r="BM56" s="113"/>
      <c r="BN56" s="113"/>
      <c r="BO56" s="113"/>
      <c r="BP56" s="113"/>
      <c r="BQ56" s="113"/>
      <c r="BR56" s="113"/>
      <c r="BS56" s="113"/>
      <c r="BT56" s="113"/>
      <c r="BU56" s="113"/>
      <c r="BV56" s="113"/>
      <c r="BW56" s="113"/>
      <c r="BX56" s="113"/>
      <c r="BY56" s="113"/>
      <c r="BZ56" s="113"/>
      <c r="CA56" s="113"/>
      <c r="CB56" s="113"/>
      <c r="CC56" s="113"/>
      <c r="CD56" s="113"/>
      <c r="CE56" s="113"/>
      <c r="CF56" s="113"/>
      <c r="CG56" s="113"/>
      <c r="CH56" s="113"/>
      <c r="CI56" s="113"/>
      <c r="CJ56" s="113"/>
      <c r="CK56" s="113"/>
      <c r="CL56" s="113"/>
      <c r="CM56" s="113"/>
      <c r="CN56" s="113"/>
      <c r="CO56" s="113"/>
      <c r="CP56" s="113"/>
      <c r="CQ56" s="113"/>
      <c r="CR56" s="113"/>
      <c r="CS56" s="113"/>
      <c r="CT56" s="113"/>
      <c r="CU56" s="113"/>
      <c r="CV56" s="113"/>
      <c r="CW56" s="113"/>
      <c r="CX56" s="113"/>
      <c r="CY56" s="113"/>
      <c r="CZ56" s="113"/>
      <c r="DA56" s="113"/>
      <c r="DB56" s="113"/>
      <c r="DC56" s="113"/>
      <c r="DD56" s="113"/>
      <c r="DE56" s="113"/>
      <c r="DF56" s="113"/>
      <c r="DG56" s="113"/>
      <c r="DH56" s="113"/>
      <c r="DI56" s="113"/>
      <c r="DJ56" s="113"/>
      <c r="DK56" s="113"/>
      <c r="DL56" s="113"/>
      <c r="DM56" s="113"/>
      <c r="DN56" s="113"/>
      <c r="DO56" s="113"/>
      <c r="DP56" s="113"/>
      <c r="DQ56" s="113"/>
      <c r="DR56" s="113"/>
      <c r="DS56" s="113"/>
      <c r="DT56" s="113"/>
      <c r="DU56" s="113"/>
      <c r="DV56" s="113"/>
      <c r="DW56" s="113"/>
      <c r="DX56" s="113"/>
      <c r="DY56" s="113"/>
      <c r="DZ56" s="113"/>
      <c r="EA56" s="113"/>
      <c r="EB56" s="113"/>
      <c r="EC56" s="113"/>
      <c r="ED56" s="113"/>
      <c r="EE56" s="113"/>
      <c r="EF56" s="113"/>
      <c r="EG56" s="113"/>
      <c r="EH56" s="113"/>
      <c r="EI56" s="113"/>
      <c r="EJ56" s="113"/>
      <c r="EK56" s="113"/>
      <c r="EL56" s="113"/>
      <c r="EM56" s="113"/>
      <c r="EN56" s="113"/>
      <c r="EO56" s="113"/>
      <c r="EP56" s="113"/>
      <c r="EQ56" s="113"/>
      <c r="ER56" s="113"/>
      <c r="ES56" s="113"/>
      <c r="ET56" s="113"/>
      <c r="EU56" s="113"/>
      <c r="EV56" s="113"/>
      <c r="EW56" s="113"/>
      <c r="EX56" s="113"/>
      <c r="EY56" s="113"/>
      <c r="EZ56" s="113"/>
      <c r="FA56" s="113"/>
      <c r="FB56" s="113"/>
      <c r="FC56" s="113"/>
      <c r="FD56" s="113"/>
      <c r="FE56" s="113"/>
      <c r="FF56" s="113"/>
      <c r="FG56" s="113"/>
      <c r="FH56" s="113"/>
      <c r="FI56" s="113"/>
      <c r="FJ56" s="113"/>
      <c r="FK56" s="113"/>
      <c r="FL56" s="113"/>
      <c r="FM56" s="113"/>
      <c r="FN56" s="113"/>
      <c r="FO56" s="113"/>
      <c r="FP56" s="113"/>
      <c r="FQ56" s="113"/>
      <c r="FR56" s="113"/>
      <c r="FS56" s="113"/>
      <c r="FT56" s="113"/>
      <c r="FU56" s="113"/>
      <c r="FV56" s="113"/>
      <c r="FW56" s="113"/>
      <c r="FX56" s="113"/>
      <c r="FY56" s="113"/>
      <c r="FZ56" s="113"/>
      <c r="GA56" s="113"/>
      <c r="GB56" s="113"/>
      <c r="GC56" s="113"/>
      <c r="GD56" s="113"/>
      <c r="GE56" s="113"/>
      <c r="GF56" s="113"/>
      <c r="GG56" s="113"/>
      <c r="GH56" s="113"/>
      <c r="GI56" s="113"/>
      <c r="GJ56" s="113"/>
      <c r="GK56" s="113"/>
      <c r="GL56" s="113"/>
      <c r="GM56" s="113"/>
      <c r="GN56" s="113"/>
      <c r="GO56" s="113"/>
      <c r="GP56" s="113"/>
      <c r="GQ56" s="113"/>
      <c r="GR56" s="113"/>
      <c r="GS56" s="113"/>
      <c r="GT56" s="113"/>
      <c r="GU56" s="113"/>
      <c r="GV56" s="113"/>
      <c r="GW56" s="113"/>
      <c r="GX56" s="113"/>
      <c r="GY56" s="113"/>
      <c r="GZ56" s="113"/>
      <c r="HA56" s="113"/>
      <c r="HB56" s="113"/>
      <c r="HC56" s="113"/>
      <c r="HD56" s="113"/>
      <c r="HE56" s="113"/>
      <c r="HF56" s="113"/>
      <c r="HG56" s="113"/>
      <c r="HH56" s="113"/>
      <c r="HI56" s="113"/>
      <c r="HJ56" s="113"/>
      <c r="HK56" s="113"/>
      <c r="HL56" s="113"/>
      <c r="HM56" s="113"/>
      <c r="HN56" s="113"/>
      <c r="HO56" s="113"/>
      <c r="HP56" s="113"/>
      <c r="HQ56" s="113"/>
      <c r="HR56" s="113"/>
      <c r="HS56" s="113"/>
      <c r="HT56" s="113"/>
      <c r="HU56" s="113"/>
      <c r="HV56" s="113"/>
      <c r="HW56" s="113"/>
      <c r="HX56" s="113"/>
      <c r="HY56" s="113"/>
      <c r="HZ56" s="113"/>
      <c r="IA56" s="113"/>
      <c r="IB56" s="113"/>
      <c r="IC56" s="113"/>
      <c r="ID56" s="113"/>
      <c r="IE56" s="113"/>
      <c r="IF56" s="113"/>
      <c r="IG56" s="113"/>
      <c r="IH56" s="113"/>
      <c r="II56" s="113"/>
      <c r="IJ56" s="113"/>
      <c r="IK56" s="113"/>
      <c r="IL56" s="113"/>
      <c r="IM56" s="113"/>
      <c r="IN56" s="113"/>
      <c r="IO56" s="113"/>
      <c r="IP56" s="113"/>
      <c r="IQ56" s="113"/>
      <c r="IR56" s="113"/>
      <c r="IS56" s="113"/>
      <c r="IT56" s="113"/>
      <c r="IU56" s="113"/>
      <c r="IV56" s="113"/>
      <c r="IW56" s="113"/>
    </row>
    <row r="57" customFormat="false" ht="11.25" hidden="false" customHeight="false" outlineLevel="0" collapsed="false">
      <c r="A57" s="113"/>
      <c r="B57" s="574" t="s">
        <v>546</v>
      </c>
      <c r="C57" s="421" t="n">
        <f aca="false">-IF(C15&gt;Assumptions!$E$49,0,SUMIF(Construction!$A19:$IV19,YEAR(Cashflow!C13),Construction!$A43:$IV43))-IF(C15+1=Assumptions!$E$49,SUM(Construction!$A55:$IV55),0)</f>
        <v>-121897.846528664</v>
      </c>
      <c r="D57" s="334" t="n">
        <f aca="false">-IF(D15&gt;Assumptions!$E$49,0,SUMIF(Construction!$A19:$IV19,YEAR(Cashflow!D13),Construction!$A43:$IV43))-IF(D15+1=Assumptions!$E$49,SUM(Construction!$A55:$IV55),0)</f>
        <v>-0</v>
      </c>
      <c r="E57" s="334" t="n">
        <f aca="false">-IF(E15&gt;Assumptions!$E$49,0,SUMIF(Construction!$A19:$IV19,YEAR(Cashflow!E13),Construction!$A43:$IV43))-IF(E15+1=Assumptions!$E$49,SUM(Construction!$A55:$IV55),0)</f>
        <v>-0</v>
      </c>
      <c r="F57" s="334" t="n">
        <f aca="false">-IF(F15&gt;Assumptions!$E$49,0,SUMIF(Construction!$A19:$IV19,YEAR(Cashflow!F13),Construction!$A43:$IV43))-IF(F15+1=Assumptions!$E$49,SUM(Construction!$A55:$IV55),0)</f>
        <v>-0</v>
      </c>
      <c r="G57" s="334" t="n">
        <f aca="false">IF(Tables!B21&gt;2,-Assumptions!E17*Assumptions!E36,0)</f>
        <v>-0</v>
      </c>
      <c r="H57" s="334" t="n">
        <f aca="false">-IF(H15&gt;Assumptions!$E$49,0,SUMIF(Construction!$A19:$IV19,YEAR(Cashflow!H13),Construction!$A43:$IV43))-IF(H15+1=Assumptions!$E$49,SUM(Construction!$A55:$IV55),0)</f>
        <v>-0</v>
      </c>
      <c r="I57" s="334" t="n">
        <f aca="false">-IF(I15&gt;Assumptions!$E$49,0,SUMIF(Construction!$A19:$IV19,YEAR(Cashflow!I13),Construction!$A43:$IV43))-IF(I15+1=Assumptions!$E$49,SUM(Construction!$A55:$IV55),0)</f>
        <v>-0</v>
      </c>
      <c r="J57" s="334" t="n">
        <f aca="false">-IF(J15&gt;Assumptions!$E$49,0,SUMIF(Construction!$A19:$IV19,YEAR(Cashflow!J13),Construction!$A43:$IV43))-IF(J15+1=Assumptions!$E$49,SUM(Construction!$A55:$IV55),0)</f>
        <v>-0</v>
      </c>
      <c r="K57" s="334" t="n">
        <f aca="false">-IF(K15&gt;Assumptions!$E$49,0,SUMIF(Construction!$A19:$IV19,YEAR(Cashflow!K13),Construction!$A43:$IV43))-IF(K15+1=Assumptions!$E$49,SUM(Construction!$A55:$IV55),0)</f>
        <v>-0</v>
      </c>
      <c r="L57" s="334" t="n">
        <f aca="false">-IF(L15&gt;Assumptions!$E$49,0,SUMIF(Construction!$A19:$IV19,YEAR(Cashflow!L13),Construction!$A43:$IV43))-IF(L15+1=Assumptions!$E$49,SUM(Construction!$A55:$IV55),0)</f>
        <v>-0</v>
      </c>
      <c r="M57" s="334" t="n">
        <f aca="false">-IF(M15&gt;Assumptions!$E$49,0,SUMIF(Construction!$A19:$IV19,YEAR(Cashflow!M13),Construction!$A43:$IV43))-IF(M15+1=Assumptions!$E$49,SUM(Construction!$A55:$IV55),0)</f>
        <v>-0</v>
      </c>
      <c r="N57" s="334" t="n">
        <f aca="false">-IF(N15&gt;Assumptions!$E$49,0,SUMIF(Construction!$A19:$IV19,YEAR(Cashflow!N13),Construction!$A43:$IV43))-IF(N15+1=Assumptions!$E$49,SUM(Construction!$A55:$IV55),0)</f>
        <v>-0</v>
      </c>
      <c r="O57" s="334" t="n">
        <f aca="false">-IF(O15&gt;Assumptions!$E$49,0,SUMIF(Construction!$A19:$IV19,YEAR(Cashflow!O13),Construction!$A43:$IV43))-IF(O15+1=Assumptions!$E$49,SUM(Construction!$A55:$IV55),0)</f>
        <v>-0</v>
      </c>
      <c r="P57" s="334" t="n">
        <f aca="false">-IF(P15&gt;Assumptions!$E$49,0,SUMIF(Construction!$A19:$IV19,YEAR(Cashflow!P13),Construction!$A43:$IV43))-IF(P15+1=Assumptions!$E$49,SUM(Construction!$A55:$IV55),0)</f>
        <v>-0</v>
      </c>
      <c r="Q57" s="334" t="n">
        <f aca="false">-IF(Q15&gt;Assumptions!$E$49,0,SUMIF(Construction!$A19:$IV19,YEAR(Cashflow!Q13),Construction!$A43:$IV43))-IF(Q15+1=Assumptions!$E$49,SUM(Construction!$A55:$IV55),0)</f>
        <v>-0</v>
      </c>
      <c r="R57" s="334" t="n">
        <f aca="false">-IF(R15&gt;Assumptions!$E$49,0,SUMIF(Construction!$A19:$IV19,YEAR(Cashflow!R13),Construction!$A43:$IV43))-IF(R15+1=Assumptions!$E$49,SUM(Construction!$A55:$IV55),0)</f>
        <v>-0</v>
      </c>
      <c r="S57" s="334" t="n">
        <f aca="false">-IF(S15&gt;Assumptions!$E$49,0,SUMIF(Construction!$A19:$IV19,YEAR(Cashflow!S13),Construction!$A43:$IV43))-IF(S15+1=Assumptions!$E$49,SUM(Construction!$A55:$IV55),0)</f>
        <v>-0</v>
      </c>
      <c r="T57" s="334" t="n">
        <f aca="false">-IF(T15&gt;Assumptions!$E$49,0,SUMIF(Construction!$A19:$IV19,YEAR(Cashflow!T13),Construction!$A43:$IV43))-IF(T15+1=Assumptions!$E$49,SUM(Construction!$A55:$IV55),0)</f>
        <v>-0</v>
      </c>
      <c r="U57" s="334" t="n">
        <f aca="false">-IF(U15&gt;Assumptions!$E$49,0,SUMIF(Construction!$A19:$IV19,YEAR(Cashflow!U13),Construction!$A43:$IV43))-IF(U15+1=Assumptions!$E$49,SUM(Construction!$A55:$IV55),0)</f>
        <v>-0</v>
      </c>
      <c r="V57" s="334" t="n">
        <f aca="false">-IF(V15&gt;Assumptions!$E$49,0,SUMIF(Construction!$A19:$IV19,YEAR(Cashflow!V13),Construction!$A43:$IV43))-IF(V15+1=Assumptions!$E$49,SUM(Construction!$A55:$IV55),0)</f>
        <v>-0</v>
      </c>
      <c r="W57" s="334" t="n">
        <f aca="false">-IF(W15&gt;Assumptions!$E$49,0,SUMIF(Construction!$A19:$IV19,YEAR(Cashflow!W13),Construction!$A43:$IV43))-IF(W15+1=Assumptions!$E$49,SUM(Construction!$A55:$IV55),0)</f>
        <v>-0</v>
      </c>
      <c r="X57" s="334" t="n">
        <f aca="false">-IF(X15&gt;Assumptions!$E$49,0,SUMIF(Construction!$A19:$IV19,YEAR(Cashflow!X13),Construction!$A43:$IV43))-IF(X15+1=Assumptions!$E$49,SUM(Construction!$A55:$IV55),0)</f>
        <v>-0</v>
      </c>
      <c r="Y57" s="334"/>
      <c r="Z57" s="334"/>
      <c r="AA57" s="334"/>
      <c r="AB57" s="334"/>
      <c r="AC57" s="334"/>
      <c r="AD57" s="334"/>
      <c r="AE57" s="334"/>
      <c r="AF57" s="334"/>
      <c r="AG57" s="334"/>
      <c r="AH57" s="334"/>
      <c r="AI57" s="334"/>
      <c r="AJ57" s="334"/>
      <c r="AK57" s="334"/>
      <c r="AL57" s="334"/>
      <c r="AM57" s="334"/>
      <c r="AN57" s="334"/>
      <c r="AO57" s="334"/>
      <c r="AP57" s="334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113"/>
      <c r="BL57" s="113"/>
      <c r="BM57" s="113"/>
      <c r="BN57" s="113"/>
      <c r="BO57" s="113"/>
      <c r="BP57" s="113"/>
      <c r="BQ57" s="113"/>
      <c r="BR57" s="113"/>
      <c r="BS57" s="113"/>
      <c r="BT57" s="113"/>
      <c r="BU57" s="113"/>
      <c r="BV57" s="113"/>
      <c r="BW57" s="113"/>
      <c r="BX57" s="113"/>
      <c r="BY57" s="113"/>
      <c r="BZ57" s="113"/>
      <c r="CA57" s="113"/>
      <c r="CB57" s="113"/>
      <c r="CC57" s="113"/>
      <c r="CD57" s="113"/>
      <c r="CE57" s="113"/>
      <c r="CF57" s="113"/>
      <c r="CG57" s="113"/>
      <c r="CH57" s="113"/>
      <c r="CI57" s="113"/>
      <c r="CJ57" s="113"/>
      <c r="CK57" s="113"/>
      <c r="CL57" s="113"/>
      <c r="CM57" s="113"/>
      <c r="CN57" s="113"/>
      <c r="CO57" s="113"/>
      <c r="CP57" s="113"/>
      <c r="CQ57" s="113"/>
      <c r="CR57" s="113"/>
      <c r="CS57" s="113"/>
      <c r="CT57" s="113"/>
      <c r="CU57" s="113"/>
      <c r="CV57" s="113"/>
      <c r="CW57" s="113"/>
      <c r="CX57" s="113"/>
      <c r="CY57" s="113"/>
      <c r="CZ57" s="113"/>
      <c r="DA57" s="113"/>
      <c r="DB57" s="113"/>
      <c r="DC57" s="113"/>
      <c r="DD57" s="113"/>
      <c r="DE57" s="113"/>
      <c r="DF57" s="113"/>
      <c r="DG57" s="113"/>
      <c r="DH57" s="113"/>
      <c r="DI57" s="113"/>
      <c r="DJ57" s="113"/>
      <c r="DK57" s="113"/>
      <c r="DL57" s="113"/>
      <c r="DM57" s="113"/>
      <c r="DN57" s="113"/>
      <c r="DO57" s="113"/>
      <c r="DP57" s="113"/>
      <c r="DQ57" s="113"/>
      <c r="DR57" s="113"/>
      <c r="DS57" s="113"/>
      <c r="DT57" s="113"/>
      <c r="DU57" s="113"/>
      <c r="DV57" s="113"/>
      <c r="DW57" s="113"/>
      <c r="DX57" s="113"/>
      <c r="DY57" s="113"/>
      <c r="DZ57" s="113"/>
      <c r="EA57" s="113"/>
      <c r="EB57" s="113"/>
      <c r="EC57" s="113"/>
      <c r="ED57" s="113"/>
      <c r="EE57" s="113"/>
      <c r="EF57" s="113"/>
      <c r="EG57" s="113"/>
      <c r="EH57" s="113"/>
      <c r="EI57" s="113"/>
      <c r="EJ57" s="113"/>
      <c r="EK57" s="113"/>
      <c r="EL57" s="113"/>
      <c r="EM57" s="113"/>
      <c r="EN57" s="113"/>
      <c r="EO57" s="113"/>
      <c r="EP57" s="113"/>
      <c r="EQ57" s="113"/>
      <c r="ER57" s="113"/>
      <c r="ES57" s="113"/>
      <c r="ET57" s="113"/>
      <c r="EU57" s="113"/>
      <c r="EV57" s="113"/>
      <c r="EW57" s="113"/>
      <c r="EX57" s="113"/>
      <c r="EY57" s="113"/>
      <c r="EZ57" s="113"/>
      <c r="FA57" s="113"/>
      <c r="FB57" s="113"/>
      <c r="FC57" s="113"/>
      <c r="FD57" s="113"/>
      <c r="FE57" s="113"/>
      <c r="FF57" s="113"/>
      <c r="FG57" s="113"/>
      <c r="FH57" s="113"/>
      <c r="FI57" s="113"/>
      <c r="FJ57" s="113"/>
      <c r="FK57" s="113"/>
      <c r="FL57" s="113"/>
      <c r="FM57" s="113"/>
      <c r="FN57" s="113"/>
      <c r="FO57" s="113"/>
      <c r="FP57" s="113"/>
      <c r="FQ57" s="113"/>
      <c r="FR57" s="113"/>
      <c r="FS57" s="113"/>
      <c r="FT57" s="113"/>
      <c r="FU57" s="113"/>
      <c r="FV57" s="113"/>
      <c r="FW57" s="113"/>
      <c r="FX57" s="113"/>
      <c r="FY57" s="113"/>
      <c r="FZ57" s="113"/>
      <c r="GA57" s="113"/>
      <c r="GB57" s="113"/>
      <c r="GC57" s="113"/>
      <c r="GD57" s="113"/>
      <c r="GE57" s="113"/>
      <c r="GF57" s="113"/>
      <c r="GG57" s="113"/>
      <c r="GH57" s="113"/>
      <c r="GI57" s="113"/>
      <c r="GJ57" s="113"/>
      <c r="GK57" s="113"/>
      <c r="GL57" s="113"/>
      <c r="GM57" s="113"/>
      <c r="GN57" s="113"/>
      <c r="GO57" s="113"/>
      <c r="GP57" s="113"/>
      <c r="GQ57" s="113"/>
      <c r="GR57" s="113"/>
      <c r="GS57" s="113"/>
      <c r="GT57" s="113"/>
      <c r="GU57" s="113"/>
      <c r="GV57" s="113"/>
      <c r="GW57" s="113"/>
      <c r="GX57" s="113"/>
      <c r="GY57" s="113"/>
      <c r="GZ57" s="113"/>
      <c r="HA57" s="113"/>
      <c r="HB57" s="113"/>
      <c r="HC57" s="113"/>
      <c r="HD57" s="113"/>
      <c r="HE57" s="113"/>
      <c r="HF57" s="113"/>
      <c r="HG57" s="113"/>
      <c r="HH57" s="113"/>
      <c r="HI57" s="113"/>
      <c r="HJ57" s="113"/>
      <c r="HK57" s="113"/>
      <c r="HL57" s="113"/>
      <c r="HM57" s="113"/>
      <c r="HN57" s="113"/>
      <c r="HO57" s="113"/>
      <c r="HP57" s="113"/>
      <c r="HQ57" s="113"/>
      <c r="HR57" s="113"/>
      <c r="HS57" s="113"/>
      <c r="HT57" s="113"/>
      <c r="HU57" s="113"/>
      <c r="HV57" s="113"/>
      <c r="HW57" s="113"/>
      <c r="HX57" s="113"/>
      <c r="HY57" s="113"/>
      <c r="HZ57" s="113"/>
      <c r="IA57" s="113"/>
      <c r="IB57" s="113"/>
      <c r="IC57" s="113"/>
      <c r="ID57" s="113"/>
      <c r="IE57" s="113"/>
      <c r="IF57" s="113"/>
      <c r="IG57" s="113"/>
      <c r="IH57" s="113"/>
      <c r="II57" s="113"/>
      <c r="IJ57" s="113"/>
      <c r="IK57" s="113"/>
      <c r="IL57" s="113"/>
      <c r="IM57" s="113"/>
      <c r="IN57" s="113"/>
      <c r="IO57" s="113"/>
      <c r="IP57" s="113"/>
      <c r="IQ57" s="113"/>
      <c r="IR57" s="113"/>
      <c r="IS57" s="113"/>
      <c r="IT57" s="113"/>
      <c r="IU57" s="113"/>
      <c r="IV57" s="113"/>
      <c r="IW57" s="113"/>
    </row>
    <row r="58" customFormat="false" ht="11.25" hidden="false" customHeight="false" outlineLevel="0" collapsed="false">
      <c r="A58" s="113"/>
      <c r="B58" s="127"/>
      <c r="C58" s="582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  <c r="AO58" s="127"/>
      <c r="AP58" s="127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113"/>
      <c r="BL58" s="113"/>
      <c r="BM58" s="113"/>
      <c r="BN58" s="113"/>
      <c r="BO58" s="113"/>
      <c r="BP58" s="113"/>
      <c r="BQ58" s="113"/>
      <c r="BR58" s="113"/>
      <c r="BS58" s="113"/>
      <c r="BT58" s="113"/>
      <c r="BU58" s="113"/>
      <c r="BV58" s="113"/>
      <c r="BW58" s="113"/>
      <c r="BX58" s="113"/>
      <c r="BY58" s="113"/>
      <c r="BZ58" s="113"/>
      <c r="CA58" s="113"/>
      <c r="CB58" s="113"/>
      <c r="CC58" s="113"/>
      <c r="CD58" s="113"/>
      <c r="CE58" s="113"/>
      <c r="CF58" s="113"/>
      <c r="CG58" s="113"/>
      <c r="CH58" s="113"/>
      <c r="CI58" s="113"/>
      <c r="CJ58" s="113"/>
      <c r="CK58" s="113"/>
      <c r="CL58" s="113"/>
      <c r="CM58" s="113"/>
      <c r="CN58" s="113"/>
      <c r="CO58" s="113"/>
      <c r="CP58" s="113"/>
      <c r="CQ58" s="113"/>
      <c r="CR58" s="113"/>
      <c r="CS58" s="113"/>
      <c r="CT58" s="113"/>
      <c r="CU58" s="113"/>
      <c r="CV58" s="113"/>
      <c r="CW58" s="113"/>
      <c r="CX58" s="113"/>
      <c r="CY58" s="113"/>
      <c r="CZ58" s="113"/>
      <c r="DA58" s="113"/>
      <c r="DB58" s="113"/>
      <c r="DC58" s="113"/>
      <c r="DD58" s="113"/>
      <c r="DE58" s="113"/>
      <c r="DF58" s="113"/>
      <c r="DG58" s="113"/>
      <c r="DH58" s="113"/>
      <c r="DI58" s="113"/>
      <c r="DJ58" s="113"/>
      <c r="DK58" s="113"/>
      <c r="DL58" s="113"/>
      <c r="DM58" s="113"/>
      <c r="DN58" s="113"/>
      <c r="DO58" s="113"/>
      <c r="DP58" s="113"/>
      <c r="DQ58" s="113"/>
      <c r="DR58" s="113"/>
      <c r="DS58" s="113"/>
      <c r="DT58" s="113"/>
      <c r="DU58" s="113"/>
      <c r="DV58" s="113"/>
      <c r="DW58" s="113"/>
      <c r="DX58" s="113"/>
      <c r="DY58" s="113"/>
      <c r="DZ58" s="113"/>
      <c r="EA58" s="113"/>
      <c r="EB58" s="113"/>
      <c r="EC58" s="113"/>
      <c r="ED58" s="113"/>
      <c r="EE58" s="113"/>
      <c r="EF58" s="113"/>
      <c r="EG58" s="113"/>
      <c r="EH58" s="113"/>
      <c r="EI58" s="113"/>
      <c r="EJ58" s="113"/>
      <c r="EK58" s="113"/>
      <c r="EL58" s="113"/>
      <c r="EM58" s="113"/>
      <c r="EN58" s="113"/>
      <c r="EO58" s="113"/>
      <c r="EP58" s="113"/>
      <c r="EQ58" s="113"/>
      <c r="ER58" s="113"/>
      <c r="ES58" s="113"/>
      <c r="ET58" s="113"/>
      <c r="EU58" s="113"/>
      <c r="EV58" s="113"/>
      <c r="EW58" s="113"/>
      <c r="EX58" s="113"/>
      <c r="EY58" s="113"/>
      <c r="EZ58" s="113"/>
      <c r="FA58" s="113"/>
      <c r="FB58" s="113"/>
      <c r="FC58" s="113"/>
      <c r="FD58" s="113"/>
      <c r="FE58" s="113"/>
      <c r="FF58" s="113"/>
      <c r="FG58" s="113"/>
      <c r="FH58" s="113"/>
      <c r="FI58" s="113"/>
      <c r="FJ58" s="113"/>
      <c r="FK58" s="113"/>
      <c r="FL58" s="113"/>
      <c r="FM58" s="113"/>
      <c r="FN58" s="113"/>
      <c r="FO58" s="113"/>
      <c r="FP58" s="113"/>
      <c r="FQ58" s="113"/>
      <c r="FR58" s="113"/>
      <c r="FS58" s="113"/>
      <c r="FT58" s="113"/>
      <c r="FU58" s="113"/>
      <c r="FV58" s="113"/>
      <c r="FW58" s="113"/>
      <c r="FX58" s="113"/>
      <c r="FY58" s="113"/>
      <c r="FZ58" s="113"/>
      <c r="GA58" s="113"/>
      <c r="GB58" s="113"/>
      <c r="GC58" s="113"/>
      <c r="GD58" s="113"/>
      <c r="GE58" s="113"/>
      <c r="GF58" s="113"/>
      <c r="GG58" s="113"/>
      <c r="GH58" s="113"/>
      <c r="GI58" s="113"/>
      <c r="GJ58" s="113"/>
      <c r="GK58" s="113"/>
      <c r="GL58" s="113"/>
      <c r="GM58" s="113"/>
      <c r="GN58" s="113"/>
      <c r="GO58" s="113"/>
      <c r="GP58" s="113"/>
      <c r="GQ58" s="113"/>
      <c r="GR58" s="113"/>
      <c r="GS58" s="113"/>
      <c r="GT58" s="113"/>
      <c r="GU58" s="113"/>
      <c r="GV58" s="113"/>
      <c r="GW58" s="113"/>
      <c r="GX58" s="113"/>
      <c r="GY58" s="113"/>
      <c r="GZ58" s="113"/>
      <c r="HA58" s="113"/>
      <c r="HB58" s="113"/>
      <c r="HC58" s="113"/>
      <c r="HD58" s="113"/>
      <c r="HE58" s="113"/>
      <c r="HF58" s="113"/>
      <c r="HG58" s="113"/>
      <c r="HH58" s="113"/>
      <c r="HI58" s="113"/>
      <c r="HJ58" s="113"/>
      <c r="HK58" s="113"/>
      <c r="HL58" s="113"/>
      <c r="HM58" s="113"/>
      <c r="HN58" s="113"/>
      <c r="HO58" s="113"/>
      <c r="HP58" s="113"/>
      <c r="HQ58" s="113"/>
      <c r="HR58" s="113"/>
      <c r="HS58" s="113"/>
      <c r="HT58" s="113"/>
      <c r="HU58" s="113"/>
      <c r="HV58" s="113"/>
      <c r="HW58" s="113"/>
      <c r="HX58" s="113"/>
      <c r="HY58" s="113"/>
      <c r="HZ58" s="113"/>
      <c r="IA58" s="113"/>
      <c r="IB58" s="113"/>
      <c r="IC58" s="113"/>
      <c r="ID58" s="113"/>
      <c r="IE58" s="113"/>
      <c r="IF58" s="113"/>
      <c r="IG58" s="113"/>
      <c r="IH58" s="113"/>
      <c r="II58" s="113"/>
      <c r="IJ58" s="113"/>
      <c r="IK58" s="113"/>
      <c r="IL58" s="113"/>
      <c r="IM58" s="113"/>
      <c r="IN58" s="113"/>
      <c r="IO58" s="113"/>
      <c r="IP58" s="113"/>
      <c r="IQ58" s="113"/>
      <c r="IR58" s="113"/>
      <c r="IS58" s="113"/>
      <c r="IT58" s="113"/>
      <c r="IU58" s="113"/>
      <c r="IV58" s="113"/>
      <c r="IW58" s="113"/>
    </row>
    <row r="59" customFormat="false" ht="11.25" hidden="false" customHeight="false" outlineLevel="0" collapsed="false">
      <c r="A59" s="113"/>
      <c r="B59" s="601"/>
      <c r="C59" s="602"/>
      <c r="D59" s="601"/>
      <c r="E59" s="601"/>
      <c r="F59" s="601"/>
      <c r="G59" s="601"/>
      <c r="H59" s="601"/>
      <c r="I59" s="601"/>
      <c r="J59" s="601"/>
      <c r="K59" s="601"/>
      <c r="L59" s="601"/>
      <c r="M59" s="601"/>
      <c r="N59" s="601"/>
      <c r="O59" s="601"/>
      <c r="P59" s="601"/>
      <c r="Q59" s="601"/>
      <c r="R59" s="601"/>
      <c r="S59" s="601"/>
      <c r="T59" s="601"/>
      <c r="U59" s="601"/>
      <c r="V59" s="601"/>
      <c r="W59" s="601"/>
      <c r="X59" s="601"/>
      <c r="Y59" s="601"/>
      <c r="Z59" s="601"/>
      <c r="AA59" s="601"/>
      <c r="AB59" s="601"/>
      <c r="AC59" s="601"/>
      <c r="AD59" s="601"/>
      <c r="AE59" s="601"/>
      <c r="AF59" s="601"/>
      <c r="AG59" s="601"/>
      <c r="AH59" s="601"/>
      <c r="AI59" s="601"/>
      <c r="AJ59" s="601"/>
      <c r="AK59" s="601"/>
      <c r="AL59" s="601"/>
      <c r="AM59" s="601"/>
      <c r="AN59" s="601"/>
      <c r="AO59" s="601"/>
      <c r="AP59" s="601"/>
      <c r="AQ59" s="113"/>
      <c r="AR59" s="113"/>
      <c r="AS59" s="113"/>
      <c r="AT59" s="113"/>
      <c r="AU59" s="113"/>
      <c r="AV59" s="113"/>
      <c r="AW59" s="113"/>
      <c r="AX59" s="113"/>
      <c r="AY59" s="113"/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113"/>
      <c r="BL59" s="113"/>
      <c r="BM59" s="113"/>
      <c r="BN59" s="113"/>
      <c r="BO59" s="113"/>
      <c r="BP59" s="113"/>
      <c r="BQ59" s="113"/>
      <c r="BR59" s="113"/>
      <c r="BS59" s="113"/>
      <c r="BT59" s="113"/>
      <c r="BU59" s="113"/>
      <c r="BV59" s="113"/>
      <c r="BW59" s="113"/>
      <c r="BX59" s="113"/>
      <c r="BY59" s="113"/>
      <c r="BZ59" s="113"/>
      <c r="CA59" s="113"/>
      <c r="CB59" s="113"/>
      <c r="CC59" s="113"/>
      <c r="CD59" s="113"/>
      <c r="CE59" s="113"/>
      <c r="CF59" s="113"/>
      <c r="CG59" s="113"/>
      <c r="CH59" s="113"/>
      <c r="CI59" s="113"/>
      <c r="CJ59" s="113"/>
      <c r="CK59" s="113"/>
      <c r="CL59" s="113"/>
      <c r="CM59" s="113"/>
      <c r="CN59" s="113"/>
      <c r="CO59" s="113"/>
      <c r="CP59" s="113"/>
      <c r="CQ59" s="113"/>
      <c r="CR59" s="113"/>
      <c r="CS59" s="113"/>
      <c r="CT59" s="113"/>
      <c r="CU59" s="113"/>
      <c r="CV59" s="113"/>
      <c r="CW59" s="113"/>
      <c r="CX59" s="113"/>
      <c r="CY59" s="113"/>
      <c r="CZ59" s="113"/>
      <c r="DA59" s="113"/>
      <c r="DB59" s="113"/>
      <c r="DC59" s="113"/>
      <c r="DD59" s="113"/>
      <c r="DE59" s="113"/>
      <c r="DF59" s="113"/>
      <c r="DG59" s="113"/>
      <c r="DH59" s="113"/>
      <c r="DI59" s="113"/>
      <c r="DJ59" s="113"/>
      <c r="DK59" s="113"/>
      <c r="DL59" s="113"/>
      <c r="DM59" s="113"/>
      <c r="DN59" s="113"/>
      <c r="DO59" s="113"/>
      <c r="DP59" s="113"/>
      <c r="DQ59" s="113"/>
      <c r="DR59" s="113"/>
      <c r="DS59" s="113"/>
      <c r="DT59" s="113"/>
      <c r="DU59" s="113"/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3"/>
      <c r="EJ59" s="113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3"/>
      <c r="FE59" s="113"/>
      <c r="FF59" s="113"/>
      <c r="FG59" s="113"/>
      <c r="FH59" s="113"/>
      <c r="FI59" s="113"/>
      <c r="FJ59" s="113"/>
      <c r="FK59" s="113"/>
      <c r="FL59" s="113"/>
      <c r="FM59" s="113"/>
      <c r="FN59" s="113"/>
      <c r="FO59" s="113"/>
      <c r="FP59" s="113"/>
      <c r="FQ59" s="113"/>
      <c r="FR59" s="113"/>
      <c r="FS59" s="113"/>
      <c r="FT59" s="113"/>
      <c r="FU59" s="113"/>
      <c r="FV59" s="113"/>
      <c r="FW59" s="113"/>
      <c r="FX59" s="113"/>
      <c r="FY59" s="113"/>
      <c r="FZ59" s="113"/>
      <c r="GA59" s="113"/>
      <c r="GB59" s="113"/>
      <c r="GC59" s="113"/>
      <c r="GD59" s="113"/>
      <c r="GE59" s="113"/>
      <c r="GF59" s="113"/>
      <c r="GG59" s="113"/>
      <c r="GH59" s="113"/>
      <c r="GI59" s="113"/>
      <c r="GJ59" s="113"/>
      <c r="GK59" s="113"/>
      <c r="GL59" s="113"/>
      <c r="GM59" s="113"/>
      <c r="GN59" s="113"/>
      <c r="GO59" s="113"/>
      <c r="GP59" s="113"/>
      <c r="GQ59" s="113"/>
      <c r="GR59" s="113"/>
      <c r="GS59" s="113"/>
      <c r="GT59" s="113"/>
      <c r="GU59" s="113"/>
      <c r="GV59" s="113"/>
      <c r="GW59" s="113"/>
      <c r="GX59" s="113"/>
      <c r="GY59" s="113"/>
      <c r="GZ59" s="113"/>
      <c r="HA59" s="113"/>
      <c r="HB59" s="113"/>
      <c r="HC59" s="113"/>
      <c r="HD59" s="113"/>
      <c r="HE59" s="113"/>
      <c r="HF59" s="113"/>
      <c r="HG59" s="113"/>
      <c r="HH59" s="113"/>
      <c r="HI59" s="113"/>
      <c r="HJ59" s="113"/>
      <c r="HK59" s="113"/>
      <c r="HL59" s="113"/>
      <c r="HM59" s="113"/>
      <c r="HN59" s="113"/>
      <c r="HO59" s="113"/>
      <c r="HP59" s="113"/>
      <c r="HQ59" s="113"/>
      <c r="HR59" s="113"/>
      <c r="HS59" s="113"/>
      <c r="HT59" s="113"/>
      <c r="HU59" s="113"/>
      <c r="HV59" s="113"/>
      <c r="HW59" s="113"/>
      <c r="HX59" s="113"/>
      <c r="HY59" s="113"/>
      <c r="HZ59" s="113"/>
      <c r="IA59" s="113"/>
      <c r="IB59" s="113"/>
      <c r="IC59" s="113"/>
      <c r="ID59" s="113"/>
      <c r="IE59" s="113"/>
      <c r="IF59" s="113"/>
      <c r="IG59" s="113"/>
      <c r="IH59" s="113"/>
      <c r="II59" s="113"/>
      <c r="IJ59" s="113"/>
      <c r="IK59" s="113"/>
      <c r="IL59" s="113"/>
      <c r="IM59" s="113"/>
      <c r="IN59" s="113"/>
      <c r="IO59" s="113"/>
      <c r="IP59" s="113"/>
      <c r="IQ59" s="113"/>
      <c r="IR59" s="113"/>
      <c r="IS59" s="113"/>
      <c r="IT59" s="113"/>
      <c r="IU59" s="113"/>
      <c r="IV59" s="113"/>
      <c r="IW59" s="113"/>
    </row>
    <row r="60" customFormat="false" ht="22.5" hidden="false" customHeight="false" outlineLevel="0" collapsed="false">
      <c r="A60" s="113"/>
      <c r="B60" s="603" t="s">
        <v>547</v>
      </c>
      <c r="C60" s="604" t="n">
        <f aca="false">C43-C55+C57</f>
        <v>-121897.846528664</v>
      </c>
      <c r="D60" s="332" t="n">
        <f aca="false">D43-D55+D57</f>
        <v>-446.454229995229</v>
      </c>
      <c r="E60" s="332" t="e">
        <f aca="false">E43-E55+E57</f>
        <v>#VALUE!</v>
      </c>
      <c r="F60" s="332" t="e">
        <f aca="false">F43-F55+F57</f>
        <v>#VALUE!</v>
      </c>
      <c r="G60" s="332" t="e">
        <f aca="false">G43-G55+G57</f>
        <v>#VALUE!</v>
      </c>
      <c r="H60" s="332" t="e">
        <f aca="false">H43-H55+H57</f>
        <v>#VALUE!</v>
      </c>
      <c r="I60" s="332" t="e">
        <f aca="false">I43-I55+I57</f>
        <v>#VALUE!</v>
      </c>
      <c r="J60" s="332" t="e">
        <f aca="false">J43-J55+J57</f>
        <v>#VALUE!</v>
      </c>
      <c r="K60" s="332" t="e">
        <f aca="false">K43-K55+K57</f>
        <v>#VALUE!</v>
      </c>
      <c r="L60" s="332" t="e">
        <f aca="false">L43-L55+L57</f>
        <v>#VALUE!</v>
      </c>
      <c r="M60" s="332" t="e">
        <f aca="false">M43-M55+M57</f>
        <v>#VALUE!</v>
      </c>
      <c r="N60" s="332" t="e">
        <f aca="false">N43-N55+N57</f>
        <v>#VALUE!</v>
      </c>
      <c r="O60" s="332" t="e">
        <f aca="false">O43-O55+O57</f>
        <v>#VALUE!</v>
      </c>
      <c r="P60" s="332" t="e">
        <f aca="false">P43-P55+P57</f>
        <v>#VALUE!</v>
      </c>
      <c r="Q60" s="332" t="e">
        <f aca="false">Q43-Q55+Q57</f>
        <v>#VALUE!</v>
      </c>
      <c r="R60" s="332" t="e">
        <f aca="false">R43-R55+R57</f>
        <v>#VALUE!</v>
      </c>
      <c r="S60" s="332" t="e">
        <f aca="false">S43-S55+S57</f>
        <v>#VALUE!</v>
      </c>
      <c r="T60" s="332" t="e">
        <f aca="false">T43-T55+T57</f>
        <v>#VALUE!</v>
      </c>
      <c r="U60" s="332" t="e">
        <f aca="false">U43-U55+U57</f>
        <v>#VALUE!</v>
      </c>
      <c r="V60" s="332" t="e">
        <f aca="false">V43-V55+V57</f>
        <v>#VALUE!</v>
      </c>
      <c r="W60" s="332" t="e">
        <f aca="false">W43-W55+W57</f>
        <v>#DIV/0!</v>
      </c>
      <c r="X60" s="332" t="e">
        <f aca="false">X43-X55+X57</f>
        <v>#DIV/0!</v>
      </c>
      <c r="Y60" s="332"/>
      <c r="Z60" s="332"/>
      <c r="AA60" s="332"/>
      <c r="AB60" s="332"/>
      <c r="AC60" s="332"/>
      <c r="AD60" s="332"/>
      <c r="AE60" s="332"/>
      <c r="AF60" s="332"/>
      <c r="AG60" s="332"/>
      <c r="AH60" s="332"/>
      <c r="AI60" s="332"/>
      <c r="AJ60" s="332"/>
      <c r="AK60" s="332"/>
      <c r="AL60" s="332"/>
      <c r="AM60" s="332"/>
      <c r="AN60" s="332"/>
      <c r="AO60" s="332"/>
      <c r="AP60" s="332"/>
      <c r="AQ60" s="113"/>
      <c r="AR60" s="113"/>
      <c r="AS60" s="113"/>
      <c r="AT60" s="113"/>
      <c r="AU60" s="113"/>
      <c r="AV60" s="113"/>
      <c r="AW60" s="113"/>
      <c r="AX60" s="113"/>
      <c r="AY60" s="113"/>
      <c r="AZ60" s="113"/>
      <c r="BA60" s="113"/>
      <c r="BB60" s="113"/>
      <c r="BC60" s="113"/>
      <c r="BD60" s="113"/>
      <c r="BE60" s="113"/>
      <c r="BF60" s="113"/>
      <c r="BG60" s="113"/>
      <c r="BH60" s="113"/>
      <c r="BI60" s="113"/>
      <c r="BJ60" s="113"/>
      <c r="BK60" s="113"/>
      <c r="BL60" s="113"/>
      <c r="BM60" s="113"/>
      <c r="BN60" s="113"/>
      <c r="BO60" s="113"/>
      <c r="BP60" s="113"/>
      <c r="BQ60" s="113"/>
      <c r="BR60" s="113"/>
      <c r="BS60" s="113"/>
      <c r="BT60" s="113"/>
      <c r="BU60" s="113"/>
      <c r="BV60" s="113"/>
      <c r="BW60" s="113"/>
      <c r="BX60" s="113"/>
      <c r="BY60" s="113"/>
      <c r="BZ60" s="113"/>
      <c r="CA60" s="113"/>
      <c r="CB60" s="113"/>
      <c r="CC60" s="113"/>
      <c r="CD60" s="113"/>
      <c r="CE60" s="113"/>
      <c r="CF60" s="113"/>
      <c r="CG60" s="113"/>
      <c r="CH60" s="113"/>
      <c r="CI60" s="113"/>
      <c r="CJ60" s="113"/>
      <c r="CK60" s="113"/>
      <c r="CL60" s="113"/>
      <c r="CM60" s="113"/>
      <c r="CN60" s="113"/>
      <c r="CO60" s="113"/>
      <c r="CP60" s="113"/>
      <c r="CQ60" s="113"/>
      <c r="CR60" s="113"/>
      <c r="CS60" s="113"/>
      <c r="CT60" s="113"/>
      <c r="CU60" s="113"/>
      <c r="CV60" s="113"/>
      <c r="CW60" s="113"/>
      <c r="CX60" s="113"/>
      <c r="CY60" s="113"/>
      <c r="CZ60" s="113"/>
      <c r="DA60" s="113"/>
      <c r="DB60" s="113"/>
      <c r="DC60" s="113"/>
      <c r="DD60" s="113"/>
      <c r="DE60" s="113"/>
      <c r="DF60" s="113"/>
      <c r="DG60" s="113"/>
      <c r="DH60" s="113"/>
      <c r="DI60" s="113"/>
      <c r="DJ60" s="113"/>
      <c r="DK60" s="113"/>
      <c r="DL60" s="113"/>
      <c r="DM60" s="113"/>
      <c r="DN60" s="113"/>
      <c r="DO60" s="113"/>
      <c r="DP60" s="113"/>
      <c r="DQ60" s="113"/>
      <c r="DR60" s="113"/>
      <c r="DS60" s="113"/>
      <c r="DT60" s="113"/>
      <c r="DU60" s="113"/>
      <c r="DV60" s="113"/>
      <c r="DW60" s="113"/>
      <c r="DX60" s="113"/>
      <c r="DY60" s="113"/>
      <c r="DZ60" s="113"/>
      <c r="EA60" s="113"/>
      <c r="EB60" s="113"/>
      <c r="EC60" s="113"/>
      <c r="ED60" s="113"/>
      <c r="EE60" s="113"/>
      <c r="EF60" s="113"/>
      <c r="EG60" s="113"/>
      <c r="EH60" s="113"/>
      <c r="EI60" s="113"/>
      <c r="EJ60" s="113"/>
      <c r="EK60" s="113"/>
      <c r="EL60" s="113"/>
      <c r="EM60" s="113"/>
      <c r="EN60" s="113"/>
      <c r="EO60" s="113"/>
      <c r="EP60" s="113"/>
      <c r="EQ60" s="113"/>
      <c r="ER60" s="113"/>
      <c r="ES60" s="113"/>
      <c r="ET60" s="113"/>
      <c r="EU60" s="113"/>
      <c r="EV60" s="113"/>
      <c r="EW60" s="113"/>
      <c r="EX60" s="113"/>
      <c r="EY60" s="113"/>
      <c r="EZ60" s="113"/>
      <c r="FA60" s="113"/>
      <c r="FB60" s="113"/>
      <c r="FC60" s="113"/>
      <c r="FD60" s="113"/>
      <c r="FE60" s="113"/>
      <c r="FF60" s="113"/>
      <c r="FG60" s="113"/>
      <c r="FH60" s="113"/>
      <c r="FI60" s="113"/>
      <c r="FJ60" s="113"/>
      <c r="FK60" s="113"/>
      <c r="FL60" s="113"/>
      <c r="FM60" s="113"/>
      <c r="FN60" s="113"/>
      <c r="FO60" s="113"/>
      <c r="FP60" s="113"/>
      <c r="FQ60" s="113"/>
      <c r="FR60" s="113"/>
      <c r="FS60" s="113"/>
      <c r="FT60" s="113"/>
      <c r="FU60" s="113"/>
      <c r="FV60" s="113"/>
      <c r="FW60" s="113"/>
      <c r="FX60" s="113"/>
      <c r="FY60" s="113"/>
      <c r="FZ60" s="113"/>
      <c r="GA60" s="113"/>
      <c r="GB60" s="113"/>
      <c r="GC60" s="113"/>
      <c r="GD60" s="113"/>
      <c r="GE60" s="113"/>
      <c r="GF60" s="113"/>
      <c r="GG60" s="113"/>
      <c r="GH60" s="113"/>
      <c r="GI60" s="113"/>
      <c r="GJ60" s="113"/>
      <c r="GK60" s="113"/>
      <c r="GL60" s="113"/>
      <c r="GM60" s="113"/>
      <c r="GN60" s="113"/>
      <c r="GO60" s="113"/>
      <c r="GP60" s="113"/>
      <c r="GQ60" s="113"/>
      <c r="GR60" s="113"/>
      <c r="GS60" s="113"/>
      <c r="GT60" s="113"/>
      <c r="GU60" s="113"/>
      <c r="GV60" s="113"/>
      <c r="GW60" s="113"/>
      <c r="GX60" s="113"/>
      <c r="GY60" s="113"/>
      <c r="GZ60" s="113"/>
      <c r="HA60" s="113"/>
      <c r="HB60" s="113"/>
      <c r="HC60" s="113"/>
      <c r="HD60" s="113"/>
      <c r="HE60" s="113"/>
      <c r="HF60" s="113"/>
      <c r="HG60" s="113"/>
      <c r="HH60" s="113"/>
      <c r="HI60" s="113"/>
      <c r="HJ60" s="113"/>
      <c r="HK60" s="113"/>
      <c r="HL60" s="113"/>
      <c r="HM60" s="113"/>
      <c r="HN60" s="113"/>
      <c r="HO60" s="113"/>
      <c r="HP60" s="113"/>
      <c r="HQ60" s="113"/>
      <c r="HR60" s="113"/>
      <c r="HS60" s="113"/>
      <c r="HT60" s="113"/>
      <c r="HU60" s="113"/>
      <c r="HV60" s="113"/>
      <c r="HW60" s="113"/>
      <c r="HX60" s="113"/>
      <c r="HY60" s="113"/>
      <c r="HZ60" s="113"/>
      <c r="IA60" s="113"/>
      <c r="IB60" s="113"/>
      <c r="IC60" s="113"/>
      <c r="ID60" s="113"/>
      <c r="IE60" s="113"/>
      <c r="IF60" s="113"/>
      <c r="IG60" s="113"/>
      <c r="IH60" s="113"/>
      <c r="II60" s="113"/>
      <c r="IJ60" s="113"/>
      <c r="IK60" s="113"/>
      <c r="IL60" s="113"/>
      <c r="IM60" s="113"/>
      <c r="IN60" s="113"/>
      <c r="IO60" s="113"/>
      <c r="IP60" s="113"/>
      <c r="IQ60" s="113"/>
      <c r="IR60" s="113"/>
      <c r="IS60" s="113"/>
      <c r="IT60" s="113"/>
      <c r="IU60" s="113"/>
      <c r="IV60" s="113"/>
      <c r="IW60" s="113"/>
    </row>
    <row r="61" customFormat="false" ht="11.25" hidden="false" customHeight="false" outlineLevel="0" collapsed="false">
      <c r="A61" s="113"/>
      <c r="B61" s="572"/>
      <c r="C61" s="584"/>
      <c r="D61" s="583"/>
      <c r="E61" s="583"/>
      <c r="F61" s="583"/>
      <c r="G61" s="583"/>
      <c r="H61" s="583"/>
      <c r="I61" s="583"/>
      <c r="J61" s="583"/>
      <c r="K61" s="583"/>
      <c r="L61" s="583"/>
      <c r="M61" s="583"/>
      <c r="N61" s="583"/>
      <c r="O61" s="583"/>
      <c r="P61" s="583"/>
      <c r="Q61" s="583"/>
      <c r="R61" s="583"/>
      <c r="S61" s="583"/>
      <c r="T61" s="583"/>
      <c r="U61" s="583"/>
      <c r="V61" s="583"/>
      <c r="W61" s="583"/>
      <c r="X61" s="583"/>
      <c r="Y61" s="583"/>
      <c r="Z61" s="583"/>
      <c r="AA61" s="583"/>
      <c r="AB61" s="583"/>
      <c r="AC61" s="583"/>
      <c r="AD61" s="583"/>
      <c r="AE61" s="583"/>
      <c r="AF61" s="583"/>
      <c r="AG61" s="583"/>
      <c r="AH61" s="583"/>
      <c r="AI61" s="583"/>
      <c r="AJ61" s="583"/>
      <c r="AK61" s="583"/>
      <c r="AL61" s="583"/>
      <c r="AM61" s="583"/>
      <c r="AN61" s="583"/>
      <c r="AO61" s="583"/>
      <c r="AP61" s="583"/>
      <c r="AQ61" s="332"/>
      <c r="AR61" s="332"/>
      <c r="AS61" s="332"/>
      <c r="AT61" s="332"/>
      <c r="AU61" s="332"/>
      <c r="AV61" s="332"/>
      <c r="AW61" s="113"/>
      <c r="AX61" s="113"/>
      <c r="AY61" s="113"/>
      <c r="AZ61" s="113"/>
      <c r="BA61" s="113"/>
      <c r="BB61" s="113"/>
      <c r="BC61" s="113"/>
      <c r="BD61" s="113"/>
      <c r="BE61" s="113"/>
      <c r="BF61" s="113"/>
      <c r="BG61" s="113"/>
      <c r="BH61" s="113"/>
      <c r="BI61" s="113"/>
      <c r="BJ61" s="113"/>
      <c r="BK61" s="113"/>
      <c r="BL61" s="113"/>
      <c r="BM61" s="113"/>
      <c r="BN61" s="113"/>
      <c r="BO61" s="113"/>
      <c r="BP61" s="113"/>
      <c r="BQ61" s="113"/>
      <c r="BR61" s="113"/>
      <c r="BS61" s="113"/>
      <c r="BT61" s="113"/>
      <c r="BU61" s="113"/>
      <c r="BV61" s="113"/>
      <c r="BW61" s="113"/>
      <c r="BX61" s="113"/>
      <c r="BY61" s="113"/>
      <c r="BZ61" s="113"/>
      <c r="CA61" s="113"/>
      <c r="CB61" s="113"/>
      <c r="CC61" s="113"/>
      <c r="CD61" s="113"/>
      <c r="CE61" s="113"/>
      <c r="CF61" s="113"/>
      <c r="CG61" s="113"/>
      <c r="CH61" s="113"/>
      <c r="CI61" s="113"/>
      <c r="CJ61" s="113"/>
      <c r="CK61" s="113"/>
      <c r="CL61" s="113"/>
      <c r="CM61" s="113"/>
      <c r="CN61" s="113"/>
      <c r="CO61" s="113"/>
      <c r="CP61" s="113"/>
      <c r="CQ61" s="113"/>
      <c r="CR61" s="113"/>
      <c r="CS61" s="113"/>
      <c r="CT61" s="113"/>
      <c r="CU61" s="113"/>
      <c r="CV61" s="113"/>
      <c r="CW61" s="113"/>
      <c r="CX61" s="113"/>
      <c r="CY61" s="113"/>
      <c r="CZ61" s="113"/>
      <c r="DA61" s="113"/>
      <c r="DB61" s="113"/>
      <c r="DC61" s="113"/>
      <c r="DD61" s="113"/>
      <c r="DE61" s="113"/>
      <c r="DF61" s="113"/>
      <c r="DG61" s="113"/>
      <c r="DH61" s="113"/>
      <c r="DI61" s="113"/>
      <c r="DJ61" s="113"/>
      <c r="DK61" s="113"/>
      <c r="DL61" s="113"/>
      <c r="DM61" s="113"/>
      <c r="DN61" s="113"/>
      <c r="DO61" s="113"/>
      <c r="DP61" s="113"/>
      <c r="DQ61" s="113"/>
      <c r="DR61" s="113"/>
      <c r="DS61" s="113"/>
      <c r="DT61" s="113"/>
      <c r="DU61" s="113"/>
      <c r="DV61" s="113"/>
      <c r="DW61" s="113"/>
      <c r="DX61" s="113"/>
      <c r="DY61" s="113"/>
      <c r="DZ61" s="113"/>
      <c r="EA61" s="113"/>
      <c r="EB61" s="113"/>
      <c r="EC61" s="113"/>
      <c r="ED61" s="113"/>
      <c r="EE61" s="113"/>
      <c r="EF61" s="113"/>
      <c r="EG61" s="113"/>
      <c r="EH61" s="113"/>
      <c r="EI61" s="113"/>
      <c r="EJ61" s="113"/>
      <c r="EK61" s="113"/>
      <c r="EL61" s="113"/>
      <c r="EM61" s="113"/>
      <c r="EN61" s="113"/>
      <c r="EO61" s="113"/>
      <c r="EP61" s="113"/>
      <c r="EQ61" s="113"/>
      <c r="ER61" s="113"/>
      <c r="ES61" s="113"/>
      <c r="ET61" s="113"/>
      <c r="EU61" s="113"/>
      <c r="EV61" s="113"/>
      <c r="EW61" s="113"/>
      <c r="EX61" s="113"/>
      <c r="EY61" s="113"/>
      <c r="EZ61" s="113"/>
      <c r="FA61" s="113"/>
      <c r="FB61" s="113"/>
      <c r="FC61" s="113"/>
      <c r="FD61" s="113"/>
      <c r="FE61" s="113"/>
      <c r="FF61" s="113"/>
      <c r="FG61" s="113"/>
      <c r="FH61" s="113"/>
      <c r="FI61" s="113"/>
      <c r="FJ61" s="113"/>
      <c r="FK61" s="113"/>
      <c r="FL61" s="113"/>
      <c r="FM61" s="113"/>
      <c r="FN61" s="113"/>
      <c r="FO61" s="113"/>
      <c r="FP61" s="113"/>
      <c r="FQ61" s="113"/>
      <c r="FR61" s="113"/>
      <c r="FS61" s="113"/>
      <c r="FT61" s="113"/>
      <c r="FU61" s="113"/>
      <c r="FV61" s="113"/>
      <c r="FW61" s="113"/>
      <c r="FX61" s="113"/>
      <c r="FY61" s="113"/>
      <c r="FZ61" s="113"/>
      <c r="GA61" s="113"/>
      <c r="GB61" s="113"/>
      <c r="GC61" s="113"/>
      <c r="GD61" s="113"/>
      <c r="GE61" s="113"/>
      <c r="GF61" s="113"/>
      <c r="GG61" s="113"/>
      <c r="GH61" s="113"/>
      <c r="GI61" s="113"/>
      <c r="GJ61" s="113"/>
      <c r="GK61" s="113"/>
      <c r="GL61" s="113"/>
      <c r="GM61" s="113"/>
      <c r="GN61" s="113"/>
      <c r="GO61" s="113"/>
      <c r="GP61" s="113"/>
      <c r="GQ61" s="113"/>
      <c r="GR61" s="113"/>
      <c r="GS61" s="113"/>
      <c r="GT61" s="113"/>
      <c r="GU61" s="113"/>
      <c r="GV61" s="113"/>
      <c r="GW61" s="113"/>
      <c r="GX61" s="113"/>
      <c r="GY61" s="113"/>
      <c r="GZ61" s="113"/>
      <c r="HA61" s="113"/>
      <c r="HB61" s="113"/>
      <c r="HC61" s="113"/>
      <c r="HD61" s="113"/>
      <c r="HE61" s="113"/>
      <c r="HF61" s="113"/>
      <c r="HG61" s="113"/>
      <c r="HH61" s="113"/>
      <c r="HI61" s="113"/>
      <c r="HJ61" s="113"/>
      <c r="HK61" s="113"/>
      <c r="HL61" s="113"/>
      <c r="HM61" s="113"/>
      <c r="HN61" s="113"/>
      <c r="HO61" s="113"/>
      <c r="HP61" s="113"/>
      <c r="HQ61" s="113"/>
      <c r="HR61" s="113"/>
      <c r="HS61" s="113"/>
      <c r="HT61" s="113"/>
      <c r="HU61" s="113"/>
      <c r="HV61" s="113"/>
      <c r="HW61" s="113"/>
      <c r="HX61" s="113"/>
      <c r="HY61" s="113"/>
      <c r="HZ61" s="113"/>
      <c r="IA61" s="113"/>
      <c r="IB61" s="113"/>
      <c r="IC61" s="113"/>
      <c r="ID61" s="113"/>
      <c r="IE61" s="113"/>
      <c r="IF61" s="113"/>
      <c r="IG61" s="113"/>
      <c r="IH61" s="113"/>
      <c r="II61" s="113"/>
      <c r="IJ61" s="113"/>
      <c r="IK61" s="113"/>
      <c r="IL61" s="113"/>
      <c r="IM61" s="113"/>
      <c r="IN61" s="113"/>
      <c r="IO61" s="113"/>
      <c r="IP61" s="113"/>
      <c r="IQ61" s="113"/>
      <c r="IR61" s="113"/>
      <c r="IS61" s="113"/>
      <c r="IT61" s="113"/>
      <c r="IU61" s="113"/>
      <c r="IV61" s="113"/>
      <c r="IW61" s="113"/>
    </row>
    <row r="62" customFormat="false" ht="11.25" hidden="false" customHeight="false" outlineLevel="0" collapsed="false">
      <c r="A62" s="295"/>
      <c r="B62" s="578" t="s">
        <v>548</v>
      </c>
      <c r="C62" s="549" t="n">
        <f aca="false">IF(C$5&gt;=1,IF(NOT(ABS(C60)=0),INDEX(TaxTable,MATCH("Total Cash Taxes",TaxColumn,0),MATCH(C$7,TaxRow,0)),0),0)</f>
        <v>0</v>
      </c>
      <c r="D62" s="549" t="e">
        <f aca="false">IF(D$5&gt;=1,IF(NOT(ABS(D60)=0),INDEX(TaxTable,MATCH("Total Cash Taxes",TaxColumn,0),MATCH(D$7,TaxRow,0)),0),0)</f>
        <v>#VALUE!</v>
      </c>
      <c r="E62" s="549" t="e">
        <f aca="false">IF(E$5&gt;=1,IF(NOT(ABS(E60)=0),INDEX(TaxTable,MATCH("Total Cash Taxes",TaxColumn,0),MATCH(E$7,TaxRow,0)),0),0)</f>
        <v>#VALUE!</v>
      </c>
      <c r="F62" s="549" t="e">
        <f aca="false">IF(F$5&gt;=1,IF(NOT(ABS(F60)=0),INDEX(TaxTable,MATCH("Total Cash Taxes",TaxColumn,0),MATCH(F$7,TaxRow,0)),0),0)</f>
        <v>#VALUE!</v>
      </c>
      <c r="G62" s="549" t="e">
        <f aca="false">IF(G$5&gt;=1,IF(NOT(ABS(G60)=0),INDEX(TaxTable,MATCH("Total Cash Taxes",TaxColumn,0),MATCH(G$7,TaxRow,0)),0),0)</f>
        <v>#VALUE!</v>
      </c>
      <c r="H62" s="549" t="e">
        <f aca="false">IF(H$5&gt;=1,IF(NOT(ABS(H60)=0),INDEX(TaxTable,MATCH("Total Cash Taxes",TaxColumn,0),MATCH(H$7,TaxRow,0)),0),0)</f>
        <v>#VALUE!</v>
      </c>
      <c r="I62" s="549" t="e">
        <f aca="false">IF(I$5&gt;=1,IF(NOT(ABS(I60)=0),INDEX(TaxTable,MATCH("Total Cash Taxes",TaxColumn,0),MATCH(I$7,TaxRow,0)),0),0)</f>
        <v>#VALUE!</v>
      </c>
      <c r="J62" s="549" t="e">
        <f aca="false">IF(J$5&gt;=1,IF(NOT(ABS(J60)=0),INDEX(TaxTable,MATCH("Total Cash Taxes",TaxColumn,0),MATCH(J$7,TaxRow,0)),0),0)</f>
        <v>#VALUE!</v>
      </c>
      <c r="K62" s="549" t="e">
        <f aca="false">IF(K$5&gt;=1,IF(NOT(ABS(K60)=0),INDEX(TaxTable,MATCH("Total Cash Taxes",TaxColumn,0),MATCH(K$7,TaxRow,0)),0),0)</f>
        <v>#VALUE!</v>
      </c>
      <c r="L62" s="549" t="e">
        <f aca="false">IF(L$5&gt;=1,IF(NOT(ABS(L60)=0),INDEX(TaxTable,MATCH("Total Cash Taxes",TaxColumn,0),MATCH(L$7,TaxRow,0)),0),0)</f>
        <v>#VALUE!</v>
      </c>
      <c r="M62" s="549" t="e">
        <f aca="false">IF(M$5&gt;=1,IF(NOT(ABS(M60)=0),INDEX(TaxTable,MATCH("Total Cash Taxes",TaxColumn,0),MATCH(M$7,TaxRow,0)),0),0)</f>
        <v>#VALUE!</v>
      </c>
      <c r="N62" s="549" t="e">
        <f aca="false">IF(N$5&gt;=1,IF(NOT(ABS(N60)=0),INDEX(TaxTable,MATCH("Total Cash Taxes",TaxColumn,0),MATCH(N$7,TaxRow,0)),0),0)</f>
        <v>#VALUE!</v>
      </c>
      <c r="O62" s="549" t="e">
        <f aca="false">IF(O$5&gt;=1,IF(NOT(ABS(O60)=0),INDEX(TaxTable,MATCH("Total Cash Taxes",TaxColumn,0),MATCH(O$7,TaxRow,0)),0),0)</f>
        <v>#VALUE!</v>
      </c>
      <c r="P62" s="549" t="e">
        <f aca="false">IF(P$5&gt;=1,IF(NOT(ABS(P60)=0),INDEX(TaxTable,MATCH("Total Cash Taxes",TaxColumn,0),MATCH(P$7,TaxRow,0)),0),0)</f>
        <v>#VALUE!</v>
      </c>
      <c r="Q62" s="549" t="e">
        <f aca="false">IF(Q$5&gt;=1,IF(NOT(ABS(Q60)=0),INDEX(TaxTable,MATCH("Total Cash Taxes",TaxColumn,0),MATCH(Q$7,TaxRow,0)),0),0)</f>
        <v>#VALUE!</v>
      </c>
      <c r="R62" s="549" t="e">
        <f aca="false">IF(R$5&gt;=1,IF(NOT(ABS(R60)=0),INDEX(TaxTable,MATCH("Total Cash Taxes",TaxColumn,0),MATCH(R$7,TaxRow,0)),0),0)</f>
        <v>#VALUE!</v>
      </c>
      <c r="S62" s="549" t="e">
        <f aca="false">IF(S$5&gt;=1,IF(NOT(ABS(S60)=0),INDEX(TaxTable,MATCH("Total Cash Taxes",TaxColumn,0),MATCH(S$7,TaxRow,0)),0),0)</f>
        <v>#VALUE!</v>
      </c>
      <c r="T62" s="549" t="e">
        <f aca="false">IF(T$5&gt;=1,IF(NOT(ABS(T60)=0),INDEX(TaxTable,MATCH("Total Cash Taxes",TaxColumn,0),MATCH(T$7,TaxRow,0)),0),0)</f>
        <v>#VALUE!</v>
      </c>
      <c r="U62" s="549" t="e">
        <f aca="false">IF(U$5&gt;=1,IF(NOT(ABS(U60)=0),INDEX(TaxTable,MATCH("Total Cash Taxes",TaxColumn,0),MATCH(U$7,TaxRow,0)),0),0)</f>
        <v>#VALUE!</v>
      </c>
      <c r="V62" s="549" t="e">
        <f aca="false">IF(V$5&gt;=1,IF(NOT(ABS(V60)=0),INDEX(TaxTable,MATCH("Total Cash Taxes",TaxColumn,0),MATCH(V$7,TaxRow,0)),0),0)</f>
        <v>#VALUE!</v>
      </c>
      <c r="W62" s="549" t="e">
        <f aca="false">IF(W$5&gt;=1,IF(NOT(ABS(W60)=0),INDEX(TaxTable,MATCH("Total Cash Taxes",TaxColumn,0),MATCH(W$7,TaxRow,0)),0),0)</f>
        <v>#DIV/0!</v>
      </c>
      <c r="X62" s="549" t="e">
        <f aca="false">IF(X$5&gt;=1,IF(NOT(ABS(X60)=0),INDEX(TaxTable,MATCH("Total Cash Taxes",TaxColumn,0),MATCH(X$7,TaxRow,0)),0),0)</f>
        <v>#DIV/0!</v>
      </c>
      <c r="Y62" s="346"/>
      <c r="Z62" s="346"/>
      <c r="AA62" s="346"/>
      <c r="AB62" s="346"/>
      <c r="AC62" s="346"/>
      <c r="AD62" s="346"/>
      <c r="AE62" s="346"/>
      <c r="AF62" s="346"/>
      <c r="AG62" s="346"/>
      <c r="AH62" s="346"/>
      <c r="AI62" s="346"/>
      <c r="AJ62" s="346"/>
      <c r="AK62" s="346"/>
      <c r="AL62" s="346"/>
      <c r="AM62" s="346"/>
      <c r="AN62" s="346"/>
      <c r="AO62" s="346"/>
      <c r="AP62" s="346"/>
      <c r="AQ62" s="346"/>
      <c r="AR62" s="346"/>
      <c r="AS62" s="346"/>
      <c r="AT62" s="346"/>
      <c r="AU62" s="346"/>
      <c r="AV62" s="346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5"/>
      <c r="BS62" s="295"/>
      <c r="BT62" s="295"/>
      <c r="BU62" s="295"/>
      <c r="BV62" s="295"/>
      <c r="BW62" s="295"/>
      <c r="BX62" s="295"/>
      <c r="BY62" s="295"/>
      <c r="BZ62" s="295"/>
      <c r="CA62" s="295"/>
      <c r="CB62" s="295"/>
      <c r="CC62" s="295"/>
      <c r="CD62" s="295"/>
      <c r="CE62" s="295"/>
      <c r="CF62" s="295"/>
      <c r="CG62" s="295"/>
      <c r="CH62" s="295"/>
      <c r="CI62" s="295"/>
      <c r="CJ62" s="295"/>
      <c r="CK62" s="295"/>
      <c r="CL62" s="295"/>
      <c r="CM62" s="295"/>
      <c r="CN62" s="295"/>
      <c r="CO62" s="295"/>
      <c r="CP62" s="295"/>
      <c r="CQ62" s="295"/>
      <c r="CR62" s="295"/>
      <c r="CS62" s="295"/>
      <c r="CT62" s="295"/>
      <c r="CU62" s="295"/>
      <c r="CV62" s="295"/>
      <c r="CW62" s="295"/>
      <c r="CX62" s="295"/>
      <c r="CY62" s="295"/>
      <c r="CZ62" s="295"/>
      <c r="DA62" s="295"/>
      <c r="DB62" s="295"/>
      <c r="DC62" s="295"/>
      <c r="DD62" s="295"/>
      <c r="DE62" s="295"/>
      <c r="DF62" s="295"/>
      <c r="DG62" s="295"/>
      <c r="DH62" s="295"/>
      <c r="DI62" s="295"/>
      <c r="DJ62" s="295"/>
      <c r="DK62" s="295"/>
      <c r="DL62" s="295"/>
      <c r="DM62" s="295"/>
      <c r="DN62" s="295"/>
      <c r="DO62" s="295"/>
      <c r="DP62" s="295"/>
      <c r="DQ62" s="295"/>
      <c r="DR62" s="295"/>
      <c r="DS62" s="295"/>
      <c r="DT62" s="295"/>
      <c r="DU62" s="295"/>
      <c r="DV62" s="295"/>
      <c r="DW62" s="295"/>
      <c r="DX62" s="295"/>
      <c r="DY62" s="295"/>
      <c r="DZ62" s="295"/>
      <c r="EA62" s="295"/>
      <c r="EB62" s="295"/>
      <c r="EC62" s="295"/>
      <c r="ED62" s="295"/>
      <c r="EE62" s="295"/>
      <c r="EF62" s="295"/>
      <c r="EG62" s="295"/>
      <c r="EH62" s="295"/>
      <c r="EI62" s="295"/>
      <c r="EJ62" s="295"/>
      <c r="EK62" s="295"/>
      <c r="EL62" s="295"/>
      <c r="EM62" s="295"/>
      <c r="EN62" s="295"/>
      <c r="EO62" s="295"/>
      <c r="EP62" s="295"/>
      <c r="EQ62" s="295"/>
      <c r="ER62" s="295"/>
      <c r="ES62" s="295"/>
      <c r="ET62" s="295"/>
      <c r="EU62" s="295"/>
      <c r="EV62" s="295"/>
      <c r="EW62" s="295"/>
      <c r="EX62" s="295"/>
      <c r="EY62" s="295"/>
      <c r="EZ62" s="295"/>
      <c r="FA62" s="295"/>
      <c r="FB62" s="295"/>
      <c r="FC62" s="295"/>
      <c r="FD62" s="295"/>
      <c r="FE62" s="295"/>
      <c r="FF62" s="295"/>
      <c r="FG62" s="295"/>
      <c r="FH62" s="295"/>
      <c r="FI62" s="295"/>
      <c r="FJ62" s="295"/>
      <c r="FK62" s="295"/>
      <c r="FL62" s="295"/>
      <c r="FM62" s="295"/>
      <c r="FN62" s="295"/>
      <c r="FO62" s="295"/>
      <c r="FP62" s="295"/>
      <c r="FQ62" s="295"/>
      <c r="FR62" s="295"/>
      <c r="FS62" s="295"/>
      <c r="FT62" s="295"/>
      <c r="FU62" s="295"/>
      <c r="FV62" s="295"/>
      <c r="FW62" s="295"/>
      <c r="FX62" s="295"/>
      <c r="FY62" s="295"/>
      <c r="FZ62" s="295"/>
      <c r="GA62" s="295"/>
      <c r="GB62" s="295"/>
      <c r="GC62" s="295"/>
      <c r="GD62" s="295"/>
      <c r="GE62" s="295"/>
      <c r="GF62" s="295"/>
      <c r="GG62" s="295"/>
      <c r="GH62" s="295"/>
      <c r="GI62" s="295"/>
      <c r="GJ62" s="295"/>
      <c r="GK62" s="295"/>
      <c r="GL62" s="295"/>
      <c r="GM62" s="295"/>
      <c r="GN62" s="295"/>
      <c r="GO62" s="295"/>
      <c r="GP62" s="295"/>
      <c r="GQ62" s="295"/>
      <c r="GR62" s="295"/>
      <c r="GS62" s="295"/>
      <c r="GT62" s="295"/>
      <c r="GU62" s="295"/>
      <c r="GV62" s="295"/>
      <c r="GW62" s="295"/>
      <c r="GX62" s="295"/>
      <c r="GY62" s="295"/>
      <c r="GZ62" s="295"/>
      <c r="HA62" s="295"/>
      <c r="HB62" s="295"/>
      <c r="HC62" s="295"/>
      <c r="HD62" s="295"/>
      <c r="HE62" s="295"/>
      <c r="HF62" s="295"/>
      <c r="HG62" s="295"/>
      <c r="HH62" s="295"/>
      <c r="HI62" s="295"/>
      <c r="HJ62" s="295"/>
      <c r="HK62" s="295"/>
      <c r="HL62" s="295"/>
      <c r="HM62" s="295"/>
      <c r="HN62" s="295"/>
      <c r="HO62" s="295"/>
      <c r="HP62" s="295"/>
      <c r="HQ62" s="295"/>
      <c r="HR62" s="295"/>
      <c r="HS62" s="295"/>
      <c r="HT62" s="295"/>
      <c r="HU62" s="295"/>
      <c r="HV62" s="295"/>
      <c r="HW62" s="295"/>
      <c r="HX62" s="295"/>
      <c r="HY62" s="295"/>
      <c r="HZ62" s="295"/>
      <c r="IA62" s="295"/>
      <c r="IB62" s="295"/>
      <c r="IC62" s="295"/>
      <c r="ID62" s="295"/>
      <c r="IE62" s="295"/>
      <c r="IF62" s="295"/>
      <c r="IG62" s="295"/>
      <c r="IH62" s="295"/>
      <c r="II62" s="295"/>
      <c r="IJ62" s="295"/>
      <c r="IK62" s="295"/>
      <c r="IL62" s="295"/>
      <c r="IM62" s="295"/>
      <c r="IN62" s="295"/>
      <c r="IO62" s="295"/>
      <c r="IP62" s="295"/>
      <c r="IQ62" s="295"/>
      <c r="IR62" s="295"/>
      <c r="IS62" s="295"/>
      <c r="IT62" s="295"/>
      <c r="IU62" s="295"/>
      <c r="IV62" s="295"/>
      <c r="IW62" s="295"/>
    </row>
    <row r="63" customFormat="false" ht="11.25" hidden="false" customHeight="false" outlineLevel="0" collapsed="false">
      <c r="A63" s="605"/>
      <c r="B63" s="606"/>
      <c r="C63" s="576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605"/>
      <c r="AR63" s="605"/>
      <c r="AS63" s="605"/>
      <c r="AT63" s="605"/>
      <c r="AU63" s="605"/>
      <c r="AV63" s="605"/>
      <c r="AW63" s="605"/>
      <c r="AX63" s="605"/>
      <c r="AY63" s="605"/>
      <c r="AZ63" s="605"/>
      <c r="BA63" s="605"/>
      <c r="BB63" s="605"/>
      <c r="BC63" s="605"/>
      <c r="BD63" s="605"/>
      <c r="BE63" s="605"/>
      <c r="BF63" s="605"/>
      <c r="BG63" s="605"/>
      <c r="BH63" s="605"/>
      <c r="BI63" s="605"/>
      <c r="BJ63" s="605"/>
      <c r="BK63" s="605"/>
      <c r="BL63" s="605"/>
      <c r="BM63" s="605"/>
      <c r="BN63" s="605"/>
      <c r="BO63" s="605"/>
      <c r="BP63" s="605"/>
      <c r="BQ63" s="605"/>
      <c r="BR63" s="605"/>
      <c r="BS63" s="605"/>
      <c r="BT63" s="605"/>
      <c r="BU63" s="605"/>
      <c r="BV63" s="605"/>
      <c r="BW63" s="605"/>
      <c r="BX63" s="605"/>
      <c r="BY63" s="605"/>
      <c r="BZ63" s="605"/>
      <c r="CA63" s="605"/>
      <c r="CB63" s="605"/>
      <c r="CC63" s="605"/>
      <c r="CD63" s="605"/>
      <c r="CE63" s="605"/>
      <c r="CF63" s="605"/>
      <c r="CG63" s="605"/>
      <c r="CH63" s="605"/>
      <c r="CI63" s="605"/>
      <c r="CJ63" s="605"/>
      <c r="CK63" s="605"/>
      <c r="CL63" s="605"/>
      <c r="CM63" s="605"/>
      <c r="CN63" s="605"/>
      <c r="CO63" s="605"/>
      <c r="CP63" s="605"/>
      <c r="CQ63" s="605"/>
      <c r="CR63" s="605"/>
      <c r="CS63" s="605"/>
      <c r="CT63" s="605"/>
      <c r="CU63" s="605"/>
      <c r="CV63" s="605"/>
      <c r="CW63" s="605"/>
      <c r="CX63" s="605"/>
      <c r="CY63" s="605"/>
      <c r="CZ63" s="605"/>
      <c r="DA63" s="605"/>
      <c r="DB63" s="605"/>
      <c r="DC63" s="605"/>
      <c r="DD63" s="605"/>
      <c r="DE63" s="605"/>
      <c r="DF63" s="605"/>
      <c r="DG63" s="605"/>
      <c r="DH63" s="605"/>
      <c r="DI63" s="605"/>
      <c r="DJ63" s="605"/>
      <c r="DK63" s="605"/>
      <c r="DL63" s="605"/>
      <c r="DM63" s="605"/>
      <c r="DN63" s="605"/>
      <c r="DO63" s="605"/>
      <c r="DP63" s="605"/>
      <c r="DQ63" s="605"/>
      <c r="DR63" s="605"/>
      <c r="DS63" s="605"/>
      <c r="DT63" s="605"/>
      <c r="DU63" s="605"/>
      <c r="DV63" s="605"/>
      <c r="DW63" s="605"/>
      <c r="DX63" s="605"/>
      <c r="DY63" s="605"/>
      <c r="DZ63" s="605"/>
      <c r="EA63" s="605"/>
      <c r="EB63" s="605"/>
      <c r="EC63" s="605"/>
      <c r="ED63" s="605"/>
      <c r="EE63" s="605"/>
      <c r="EF63" s="605"/>
      <c r="EG63" s="605"/>
      <c r="EH63" s="605"/>
      <c r="EI63" s="605"/>
      <c r="EJ63" s="605"/>
      <c r="EK63" s="605"/>
      <c r="EL63" s="605"/>
      <c r="EM63" s="605"/>
      <c r="EN63" s="605"/>
      <c r="EO63" s="605"/>
      <c r="EP63" s="605"/>
      <c r="EQ63" s="605"/>
      <c r="ER63" s="605"/>
      <c r="ES63" s="605"/>
      <c r="ET63" s="605"/>
      <c r="EU63" s="605"/>
      <c r="EV63" s="605"/>
      <c r="EW63" s="605"/>
      <c r="EX63" s="605"/>
      <c r="EY63" s="605"/>
      <c r="EZ63" s="605"/>
      <c r="FA63" s="605"/>
      <c r="FB63" s="605"/>
      <c r="FC63" s="605"/>
      <c r="FD63" s="605"/>
      <c r="FE63" s="605"/>
      <c r="FF63" s="605"/>
      <c r="FG63" s="605"/>
      <c r="FH63" s="605"/>
      <c r="FI63" s="605"/>
      <c r="FJ63" s="605"/>
      <c r="FK63" s="605"/>
      <c r="FL63" s="605"/>
      <c r="FM63" s="605"/>
      <c r="FN63" s="605"/>
      <c r="FO63" s="605"/>
      <c r="FP63" s="605"/>
      <c r="FQ63" s="605"/>
      <c r="FR63" s="605"/>
      <c r="FS63" s="605"/>
      <c r="FT63" s="605"/>
      <c r="FU63" s="605"/>
      <c r="FV63" s="605"/>
      <c r="FW63" s="605"/>
      <c r="FX63" s="605"/>
      <c r="FY63" s="605"/>
      <c r="FZ63" s="605"/>
      <c r="GA63" s="605"/>
      <c r="GB63" s="605"/>
      <c r="GC63" s="605"/>
      <c r="GD63" s="605"/>
      <c r="GE63" s="605"/>
      <c r="GF63" s="605"/>
      <c r="GG63" s="605"/>
      <c r="GH63" s="605"/>
      <c r="GI63" s="605"/>
      <c r="GJ63" s="605"/>
      <c r="GK63" s="605"/>
      <c r="GL63" s="605"/>
      <c r="GM63" s="605"/>
      <c r="GN63" s="605"/>
      <c r="GO63" s="605"/>
      <c r="GP63" s="605"/>
      <c r="GQ63" s="605"/>
      <c r="GR63" s="605"/>
      <c r="GS63" s="605"/>
      <c r="GT63" s="605"/>
      <c r="GU63" s="605"/>
      <c r="GV63" s="605"/>
      <c r="GW63" s="605"/>
      <c r="GX63" s="605"/>
      <c r="GY63" s="605"/>
      <c r="GZ63" s="605"/>
      <c r="HA63" s="605"/>
      <c r="HB63" s="605"/>
      <c r="HC63" s="605"/>
      <c r="HD63" s="605"/>
      <c r="HE63" s="605"/>
      <c r="HF63" s="605"/>
      <c r="HG63" s="605"/>
      <c r="HH63" s="605"/>
      <c r="HI63" s="605"/>
      <c r="HJ63" s="605"/>
      <c r="HK63" s="605"/>
      <c r="HL63" s="605"/>
      <c r="HM63" s="605"/>
      <c r="HN63" s="605"/>
      <c r="HO63" s="605"/>
      <c r="HP63" s="605"/>
      <c r="HQ63" s="605"/>
      <c r="HR63" s="605"/>
      <c r="HS63" s="605"/>
      <c r="HT63" s="605"/>
      <c r="HU63" s="605"/>
      <c r="HV63" s="605"/>
      <c r="HW63" s="605"/>
      <c r="HX63" s="605"/>
      <c r="HY63" s="605"/>
      <c r="HZ63" s="605"/>
      <c r="IA63" s="605"/>
      <c r="IB63" s="605"/>
      <c r="IC63" s="605"/>
      <c r="ID63" s="605"/>
      <c r="IE63" s="605"/>
      <c r="IF63" s="605"/>
      <c r="IG63" s="605"/>
      <c r="IH63" s="605"/>
      <c r="II63" s="605"/>
      <c r="IJ63" s="605"/>
      <c r="IK63" s="605"/>
      <c r="IL63" s="605"/>
      <c r="IM63" s="605"/>
      <c r="IN63" s="605"/>
      <c r="IO63" s="605"/>
      <c r="IP63" s="605"/>
      <c r="IQ63" s="605"/>
      <c r="IR63" s="605"/>
      <c r="IS63" s="605"/>
      <c r="IT63" s="605"/>
      <c r="IU63" s="605"/>
      <c r="IV63" s="605"/>
      <c r="IW63" s="605"/>
    </row>
    <row r="64" customFormat="false" ht="12" hidden="false" customHeight="false" outlineLevel="0" collapsed="false">
      <c r="A64" s="113"/>
      <c r="B64" s="124" t="s">
        <v>549</v>
      </c>
      <c r="C64" s="607" t="n">
        <f aca="false">C60-C62</f>
        <v>-121897.846528664</v>
      </c>
      <c r="D64" s="608" t="e">
        <f aca="false">D60-D62</f>
        <v>#VALUE!</v>
      </c>
      <c r="E64" s="608" t="e">
        <f aca="false">E60-E62</f>
        <v>#VALUE!</v>
      </c>
      <c r="F64" s="608" t="e">
        <f aca="false">F60-F62</f>
        <v>#VALUE!</v>
      </c>
      <c r="G64" s="608" t="e">
        <f aca="false">G60-G62</f>
        <v>#VALUE!</v>
      </c>
      <c r="H64" s="608" t="e">
        <f aca="false">H60-H62</f>
        <v>#VALUE!</v>
      </c>
      <c r="I64" s="608" t="e">
        <f aca="false">I60-I62</f>
        <v>#VALUE!</v>
      </c>
      <c r="J64" s="608" t="e">
        <f aca="false">J60-J62</f>
        <v>#VALUE!</v>
      </c>
      <c r="K64" s="608" t="e">
        <f aca="false">K60-K62</f>
        <v>#VALUE!</v>
      </c>
      <c r="L64" s="608" t="e">
        <f aca="false">L60-L62</f>
        <v>#VALUE!</v>
      </c>
      <c r="M64" s="608" t="e">
        <f aca="false">M60-M62</f>
        <v>#VALUE!</v>
      </c>
      <c r="N64" s="608" t="e">
        <f aca="false">N60-N62</f>
        <v>#VALUE!</v>
      </c>
      <c r="O64" s="608" t="e">
        <f aca="false">O60-O62</f>
        <v>#VALUE!</v>
      </c>
      <c r="P64" s="608" t="e">
        <f aca="false">P60-P62</f>
        <v>#VALUE!</v>
      </c>
      <c r="Q64" s="608" t="e">
        <f aca="false">Q60-Q62</f>
        <v>#VALUE!</v>
      </c>
      <c r="R64" s="608" t="e">
        <f aca="false">R60-R62</f>
        <v>#VALUE!</v>
      </c>
      <c r="S64" s="608" t="e">
        <f aca="false">S60-S62</f>
        <v>#VALUE!</v>
      </c>
      <c r="T64" s="608" t="e">
        <f aca="false">T60-T62</f>
        <v>#VALUE!</v>
      </c>
      <c r="U64" s="608" t="e">
        <f aca="false">U60-U62</f>
        <v>#VALUE!</v>
      </c>
      <c r="V64" s="608" t="e">
        <f aca="false">V60-V62</f>
        <v>#VALUE!</v>
      </c>
      <c r="W64" s="608" t="e">
        <f aca="false">W60-W62</f>
        <v>#DIV/0!</v>
      </c>
      <c r="X64" s="608" t="e">
        <f aca="false">X60-X62</f>
        <v>#DIV/0!</v>
      </c>
      <c r="Y64" s="608"/>
      <c r="Z64" s="608"/>
      <c r="AA64" s="608"/>
      <c r="AB64" s="608"/>
      <c r="AC64" s="608"/>
      <c r="AD64" s="608"/>
      <c r="AE64" s="608"/>
      <c r="AF64" s="608"/>
      <c r="AG64" s="608"/>
      <c r="AH64" s="608"/>
      <c r="AI64" s="608"/>
      <c r="AJ64" s="608"/>
      <c r="AK64" s="608"/>
      <c r="AL64" s="608"/>
      <c r="AM64" s="608"/>
      <c r="AN64" s="608"/>
      <c r="AO64" s="608"/>
      <c r="AP64" s="608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3"/>
      <c r="CQ64" s="113"/>
      <c r="CR64" s="113"/>
      <c r="CS64" s="113"/>
      <c r="CT64" s="113"/>
      <c r="CU64" s="113"/>
      <c r="CV64" s="113"/>
      <c r="CW64" s="113"/>
      <c r="CX64" s="113"/>
      <c r="CY64" s="113"/>
      <c r="CZ64" s="113"/>
      <c r="DA64" s="113"/>
      <c r="DB64" s="113"/>
      <c r="DC64" s="113"/>
      <c r="DD64" s="113"/>
      <c r="DE64" s="113"/>
      <c r="DF64" s="113"/>
      <c r="DG64" s="113"/>
      <c r="DH64" s="113"/>
      <c r="DI64" s="113"/>
      <c r="DJ64" s="113"/>
      <c r="DK64" s="113"/>
      <c r="DL64" s="113"/>
      <c r="DM64" s="113"/>
      <c r="DN64" s="113"/>
      <c r="DO64" s="113"/>
      <c r="DP64" s="113"/>
      <c r="DQ64" s="113"/>
      <c r="DR64" s="113"/>
      <c r="DS64" s="113"/>
      <c r="DT64" s="113"/>
      <c r="DU64" s="113"/>
      <c r="DV64" s="113"/>
      <c r="DW64" s="113"/>
      <c r="DX64" s="113"/>
      <c r="DY64" s="113"/>
      <c r="DZ64" s="113"/>
      <c r="EA64" s="113"/>
      <c r="EB64" s="113"/>
      <c r="EC64" s="113"/>
      <c r="ED64" s="113"/>
      <c r="EE64" s="113"/>
      <c r="EF64" s="113"/>
      <c r="EG64" s="113"/>
      <c r="EH64" s="113"/>
      <c r="EI64" s="113"/>
      <c r="EJ64" s="113"/>
      <c r="EK64" s="113"/>
      <c r="EL64" s="113"/>
      <c r="EM64" s="113"/>
      <c r="EN64" s="113"/>
      <c r="EO64" s="113"/>
      <c r="EP64" s="113"/>
      <c r="EQ64" s="113"/>
      <c r="ER64" s="113"/>
      <c r="ES64" s="113"/>
      <c r="ET64" s="113"/>
      <c r="EU64" s="113"/>
      <c r="EV64" s="113"/>
      <c r="EW64" s="113"/>
      <c r="EX64" s="113"/>
      <c r="EY64" s="113"/>
      <c r="EZ64" s="113"/>
      <c r="FA64" s="113"/>
      <c r="FB64" s="113"/>
      <c r="FC64" s="113"/>
      <c r="FD64" s="113"/>
      <c r="FE64" s="113"/>
      <c r="FF64" s="113"/>
      <c r="FG64" s="113"/>
      <c r="FH64" s="113"/>
      <c r="FI64" s="113"/>
      <c r="FJ64" s="113"/>
      <c r="FK64" s="113"/>
      <c r="FL64" s="113"/>
      <c r="FM64" s="113"/>
      <c r="FN64" s="113"/>
      <c r="FO64" s="113"/>
      <c r="FP64" s="113"/>
      <c r="FQ64" s="113"/>
      <c r="FR64" s="113"/>
      <c r="FS64" s="113"/>
      <c r="FT64" s="113"/>
      <c r="FU64" s="113"/>
      <c r="FV64" s="113"/>
      <c r="FW64" s="113"/>
      <c r="FX64" s="113"/>
      <c r="FY64" s="113"/>
      <c r="FZ64" s="113"/>
      <c r="GA64" s="113"/>
      <c r="GB64" s="113"/>
      <c r="GC64" s="113"/>
      <c r="GD64" s="113"/>
      <c r="GE64" s="113"/>
      <c r="GF64" s="113"/>
      <c r="GG64" s="113"/>
      <c r="GH64" s="113"/>
      <c r="GI64" s="113"/>
      <c r="GJ64" s="113"/>
      <c r="GK64" s="113"/>
      <c r="GL64" s="113"/>
      <c r="GM64" s="113"/>
      <c r="GN64" s="113"/>
      <c r="GO64" s="113"/>
      <c r="GP64" s="113"/>
      <c r="GQ64" s="113"/>
      <c r="GR64" s="113"/>
      <c r="GS64" s="113"/>
      <c r="GT64" s="113"/>
      <c r="GU64" s="113"/>
      <c r="GV64" s="113"/>
      <c r="GW64" s="113"/>
      <c r="GX64" s="113"/>
      <c r="GY64" s="113"/>
      <c r="GZ64" s="113"/>
      <c r="HA64" s="113"/>
      <c r="HB64" s="113"/>
      <c r="HC64" s="113"/>
      <c r="HD64" s="113"/>
      <c r="HE64" s="113"/>
      <c r="HF64" s="113"/>
      <c r="HG64" s="113"/>
      <c r="HH64" s="113"/>
      <c r="HI64" s="113"/>
      <c r="HJ64" s="113"/>
      <c r="HK64" s="113"/>
      <c r="HL64" s="113"/>
      <c r="HM64" s="113"/>
      <c r="HN64" s="113"/>
      <c r="HO64" s="113"/>
      <c r="HP64" s="113"/>
      <c r="HQ64" s="113"/>
      <c r="HR64" s="113"/>
      <c r="HS64" s="113"/>
      <c r="HT64" s="113"/>
      <c r="HU64" s="113"/>
      <c r="HV64" s="113"/>
      <c r="HW64" s="113"/>
      <c r="HX64" s="113"/>
      <c r="HY64" s="113"/>
      <c r="HZ64" s="113"/>
      <c r="IA64" s="113"/>
      <c r="IB64" s="113"/>
      <c r="IC64" s="113"/>
      <c r="ID64" s="113"/>
      <c r="IE64" s="113"/>
      <c r="IF64" s="113"/>
      <c r="IG64" s="113"/>
      <c r="IH64" s="113"/>
      <c r="II64" s="113"/>
      <c r="IJ64" s="113"/>
      <c r="IK64" s="113"/>
      <c r="IL64" s="113"/>
      <c r="IM64" s="113"/>
      <c r="IN64" s="113"/>
      <c r="IO64" s="113"/>
      <c r="IP64" s="113"/>
      <c r="IQ64" s="113"/>
      <c r="IR64" s="113"/>
      <c r="IS64" s="113"/>
      <c r="IT64" s="113"/>
      <c r="IU64" s="113"/>
      <c r="IV64" s="113"/>
      <c r="IW64" s="113"/>
    </row>
    <row r="65" customFormat="false" ht="12" hidden="false" customHeight="false" outlineLevel="0" collapsed="false">
      <c r="A65" s="113"/>
      <c r="B65" s="124"/>
      <c r="C65" s="609"/>
      <c r="D65" s="610"/>
      <c r="E65" s="610"/>
      <c r="F65" s="610"/>
      <c r="G65" s="610"/>
      <c r="H65" s="610"/>
      <c r="I65" s="610"/>
      <c r="J65" s="610"/>
      <c r="K65" s="610"/>
      <c r="L65" s="610"/>
      <c r="M65" s="610"/>
      <c r="N65" s="610"/>
      <c r="O65" s="610"/>
      <c r="P65" s="610"/>
      <c r="Q65" s="610"/>
      <c r="R65" s="610"/>
      <c r="S65" s="610"/>
      <c r="T65" s="610"/>
      <c r="U65" s="610"/>
      <c r="V65" s="610"/>
      <c r="W65" s="610"/>
      <c r="X65" s="610"/>
      <c r="Y65" s="610"/>
      <c r="Z65" s="610"/>
      <c r="AA65" s="610"/>
      <c r="AB65" s="610"/>
      <c r="AC65" s="610"/>
      <c r="AD65" s="610"/>
      <c r="AE65" s="610"/>
      <c r="AF65" s="610"/>
      <c r="AG65" s="610"/>
      <c r="AH65" s="610"/>
      <c r="AI65" s="610"/>
      <c r="AJ65" s="610"/>
      <c r="AK65" s="610"/>
      <c r="AL65" s="610"/>
      <c r="AM65" s="610"/>
      <c r="AN65" s="610"/>
      <c r="AO65" s="610"/>
      <c r="AP65" s="610"/>
      <c r="AQ65" s="113"/>
      <c r="AR65" s="113"/>
      <c r="AS65" s="113"/>
      <c r="AT65" s="113"/>
      <c r="AU65" s="113"/>
      <c r="AV65" s="113"/>
      <c r="AW65" s="113"/>
      <c r="AX65" s="113"/>
      <c r="AY65" s="113"/>
      <c r="AZ65" s="113"/>
      <c r="BA65" s="113"/>
      <c r="BB65" s="113"/>
      <c r="BC65" s="113"/>
      <c r="BD65" s="113"/>
      <c r="BE65" s="113"/>
      <c r="BF65" s="113"/>
      <c r="BG65" s="113"/>
      <c r="BH65" s="113"/>
      <c r="BI65" s="113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3"/>
      <c r="CP65" s="113"/>
      <c r="CQ65" s="113"/>
      <c r="CR65" s="113"/>
      <c r="CS65" s="113"/>
      <c r="CT65" s="113"/>
      <c r="CU65" s="113"/>
      <c r="CV65" s="113"/>
      <c r="CW65" s="113"/>
      <c r="CX65" s="113"/>
      <c r="CY65" s="113"/>
      <c r="CZ65" s="113"/>
      <c r="DA65" s="113"/>
      <c r="DB65" s="113"/>
      <c r="DC65" s="113"/>
      <c r="DD65" s="113"/>
      <c r="DE65" s="113"/>
      <c r="DF65" s="113"/>
      <c r="DG65" s="113"/>
      <c r="DH65" s="113"/>
      <c r="DI65" s="113"/>
      <c r="DJ65" s="113"/>
      <c r="DK65" s="113"/>
      <c r="DL65" s="113"/>
      <c r="DM65" s="113"/>
      <c r="DN65" s="113"/>
      <c r="DO65" s="113"/>
      <c r="DP65" s="113"/>
      <c r="DQ65" s="113"/>
      <c r="DR65" s="113"/>
      <c r="DS65" s="113"/>
      <c r="DT65" s="113"/>
      <c r="DU65" s="113"/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3"/>
      <c r="EJ65" s="113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3"/>
      <c r="FE65" s="113"/>
      <c r="FF65" s="113"/>
      <c r="FG65" s="113"/>
      <c r="FH65" s="113"/>
      <c r="FI65" s="113"/>
      <c r="FJ65" s="113"/>
      <c r="FK65" s="113"/>
      <c r="FL65" s="113"/>
      <c r="FM65" s="113"/>
      <c r="FN65" s="113"/>
      <c r="FO65" s="113"/>
      <c r="FP65" s="113"/>
      <c r="FQ65" s="113"/>
      <c r="FR65" s="113"/>
      <c r="FS65" s="113"/>
      <c r="FT65" s="113"/>
      <c r="FU65" s="113"/>
      <c r="FV65" s="113"/>
      <c r="FW65" s="113"/>
      <c r="FX65" s="113"/>
      <c r="FY65" s="113"/>
      <c r="FZ65" s="113"/>
      <c r="GA65" s="113"/>
      <c r="GB65" s="113"/>
      <c r="GC65" s="113"/>
      <c r="GD65" s="113"/>
      <c r="GE65" s="113"/>
      <c r="GF65" s="113"/>
      <c r="GG65" s="113"/>
      <c r="GH65" s="113"/>
      <c r="GI65" s="113"/>
      <c r="GJ65" s="113"/>
      <c r="GK65" s="113"/>
      <c r="GL65" s="113"/>
      <c r="GM65" s="113"/>
      <c r="GN65" s="113"/>
      <c r="GO65" s="113"/>
      <c r="GP65" s="113"/>
      <c r="GQ65" s="113"/>
      <c r="GR65" s="113"/>
      <c r="GS65" s="113"/>
      <c r="GT65" s="113"/>
      <c r="GU65" s="113"/>
      <c r="GV65" s="113"/>
      <c r="GW65" s="113"/>
      <c r="GX65" s="113"/>
      <c r="GY65" s="113"/>
      <c r="GZ65" s="113"/>
      <c r="HA65" s="113"/>
      <c r="HB65" s="113"/>
      <c r="HC65" s="113"/>
      <c r="HD65" s="113"/>
      <c r="HE65" s="113"/>
      <c r="HF65" s="113"/>
      <c r="HG65" s="113"/>
      <c r="HH65" s="113"/>
      <c r="HI65" s="113"/>
      <c r="HJ65" s="113"/>
      <c r="HK65" s="113"/>
      <c r="HL65" s="113"/>
      <c r="HM65" s="113"/>
      <c r="HN65" s="113"/>
      <c r="HO65" s="113"/>
      <c r="HP65" s="113"/>
      <c r="HQ65" s="113"/>
      <c r="HR65" s="113"/>
      <c r="HS65" s="113"/>
      <c r="HT65" s="113"/>
      <c r="HU65" s="113"/>
      <c r="HV65" s="113"/>
      <c r="HW65" s="113"/>
      <c r="HX65" s="113"/>
      <c r="HY65" s="113"/>
      <c r="HZ65" s="113"/>
      <c r="IA65" s="113"/>
      <c r="IB65" s="113"/>
      <c r="IC65" s="113"/>
      <c r="ID65" s="113"/>
      <c r="IE65" s="113"/>
      <c r="IF65" s="113"/>
      <c r="IG65" s="113"/>
      <c r="IH65" s="113"/>
      <c r="II65" s="113"/>
      <c r="IJ65" s="113"/>
      <c r="IK65" s="113"/>
      <c r="IL65" s="113"/>
      <c r="IM65" s="113"/>
      <c r="IN65" s="113"/>
      <c r="IO65" s="113"/>
      <c r="IP65" s="113"/>
      <c r="IQ65" s="113"/>
      <c r="IR65" s="113"/>
      <c r="IS65" s="113"/>
      <c r="IT65" s="113"/>
      <c r="IU65" s="113"/>
      <c r="IV65" s="113"/>
      <c r="IW65" s="113"/>
    </row>
    <row r="66" customFormat="false" ht="11.25" hidden="false" customHeight="false" outlineLevel="0" collapsed="false">
      <c r="A66" s="113"/>
      <c r="B66" s="124"/>
      <c r="C66" s="611"/>
      <c r="D66" s="334"/>
      <c r="E66" s="334"/>
      <c r="F66" s="334"/>
      <c r="G66" s="334"/>
      <c r="H66" s="334"/>
      <c r="I66" s="334"/>
      <c r="J66" s="334"/>
      <c r="K66" s="334"/>
      <c r="L66" s="334"/>
      <c r="M66" s="334"/>
      <c r="N66" s="334"/>
      <c r="O66" s="334"/>
      <c r="P66" s="334"/>
      <c r="Q66" s="334"/>
      <c r="R66" s="334"/>
      <c r="S66" s="334"/>
      <c r="T66" s="334"/>
      <c r="U66" s="334"/>
      <c r="V66" s="334"/>
      <c r="W66" s="334"/>
      <c r="X66" s="334"/>
      <c r="Y66" s="334"/>
      <c r="Z66" s="334"/>
      <c r="AA66" s="334"/>
      <c r="AB66" s="334"/>
      <c r="AC66" s="334"/>
      <c r="AD66" s="334"/>
      <c r="AE66" s="334"/>
      <c r="AF66" s="334"/>
      <c r="AG66" s="334"/>
      <c r="AH66" s="334"/>
      <c r="AI66" s="334"/>
      <c r="AJ66" s="334"/>
      <c r="AK66" s="334"/>
      <c r="AL66" s="334"/>
      <c r="AM66" s="334"/>
      <c r="AN66" s="334"/>
      <c r="AO66" s="334"/>
      <c r="AP66" s="334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113"/>
      <c r="BC66" s="113"/>
      <c r="BD66" s="113"/>
      <c r="BE66" s="113"/>
      <c r="BF66" s="113"/>
      <c r="BG66" s="113"/>
      <c r="BH66" s="113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3"/>
      <c r="CQ66" s="113"/>
      <c r="CR66" s="113"/>
      <c r="CS66" s="113"/>
      <c r="CT66" s="113"/>
      <c r="CU66" s="113"/>
      <c r="CV66" s="113"/>
      <c r="CW66" s="113"/>
      <c r="CX66" s="113"/>
      <c r="CY66" s="113"/>
      <c r="CZ66" s="113"/>
      <c r="DA66" s="113"/>
      <c r="DB66" s="113"/>
      <c r="DC66" s="113"/>
      <c r="DD66" s="113"/>
      <c r="DE66" s="113"/>
      <c r="DF66" s="113"/>
      <c r="DG66" s="113"/>
      <c r="DH66" s="113"/>
      <c r="DI66" s="113"/>
      <c r="DJ66" s="113"/>
      <c r="DK66" s="113"/>
      <c r="DL66" s="113"/>
      <c r="DM66" s="113"/>
      <c r="DN66" s="113"/>
      <c r="DO66" s="113"/>
      <c r="DP66" s="113"/>
      <c r="DQ66" s="113"/>
      <c r="DR66" s="113"/>
      <c r="DS66" s="113"/>
      <c r="DT66" s="113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3"/>
      <c r="FE66" s="113"/>
      <c r="FF66" s="113"/>
      <c r="FG66" s="113"/>
      <c r="FH66" s="113"/>
      <c r="FI66" s="113"/>
      <c r="FJ66" s="113"/>
      <c r="FK66" s="113"/>
      <c r="FL66" s="113"/>
      <c r="FM66" s="113"/>
      <c r="FN66" s="113"/>
      <c r="FO66" s="113"/>
      <c r="FP66" s="113"/>
      <c r="FQ66" s="113"/>
      <c r="FR66" s="113"/>
      <c r="FS66" s="113"/>
      <c r="FT66" s="113"/>
      <c r="FU66" s="113"/>
      <c r="FV66" s="113"/>
      <c r="FW66" s="113"/>
      <c r="FX66" s="113"/>
      <c r="FY66" s="113"/>
      <c r="FZ66" s="113"/>
      <c r="GA66" s="113"/>
      <c r="GB66" s="113"/>
      <c r="GC66" s="113"/>
      <c r="GD66" s="113"/>
      <c r="GE66" s="113"/>
      <c r="GF66" s="113"/>
      <c r="GG66" s="113"/>
      <c r="GH66" s="113"/>
      <c r="GI66" s="113"/>
      <c r="GJ66" s="113"/>
      <c r="GK66" s="113"/>
      <c r="GL66" s="113"/>
      <c r="GM66" s="113"/>
      <c r="GN66" s="113"/>
      <c r="GO66" s="113"/>
      <c r="GP66" s="113"/>
      <c r="GQ66" s="113"/>
      <c r="GR66" s="113"/>
      <c r="GS66" s="113"/>
      <c r="GT66" s="113"/>
      <c r="GU66" s="113"/>
      <c r="GV66" s="113"/>
      <c r="GW66" s="113"/>
      <c r="GX66" s="113"/>
      <c r="GY66" s="113"/>
      <c r="GZ66" s="113"/>
      <c r="HA66" s="113"/>
      <c r="HB66" s="113"/>
      <c r="HC66" s="113"/>
      <c r="HD66" s="113"/>
      <c r="HE66" s="113"/>
      <c r="HF66" s="113"/>
      <c r="HG66" s="113"/>
      <c r="HH66" s="113"/>
      <c r="HI66" s="113"/>
      <c r="HJ66" s="113"/>
      <c r="HK66" s="113"/>
      <c r="HL66" s="113"/>
      <c r="HM66" s="113"/>
      <c r="HN66" s="113"/>
      <c r="HO66" s="113"/>
      <c r="HP66" s="113"/>
      <c r="HQ66" s="113"/>
      <c r="HR66" s="113"/>
      <c r="HS66" s="113"/>
      <c r="HT66" s="113"/>
      <c r="HU66" s="113"/>
      <c r="HV66" s="113"/>
      <c r="HW66" s="113"/>
      <c r="HX66" s="113"/>
      <c r="HY66" s="113"/>
      <c r="HZ66" s="113"/>
      <c r="IA66" s="113"/>
      <c r="IB66" s="113"/>
      <c r="IC66" s="113"/>
      <c r="ID66" s="113"/>
      <c r="IE66" s="113"/>
      <c r="IF66" s="113"/>
      <c r="IG66" s="113"/>
      <c r="IH66" s="113"/>
      <c r="II66" s="113"/>
      <c r="IJ66" s="113"/>
      <c r="IK66" s="113"/>
      <c r="IL66" s="113"/>
      <c r="IM66" s="113"/>
      <c r="IN66" s="113"/>
      <c r="IO66" s="113"/>
      <c r="IP66" s="113"/>
      <c r="IQ66" s="113"/>
      <c r="IR66" s="113"/>
      <c r="IS66" s="113"/>
      <c r="IT66" s="113"/>
      <c r="IU66" s="113"/>
      <c r="IV66" s="113"/>
      <c r="IW66" s="113"/>
    </row>
    <row r="67" customFormat="false" ht="11.25" hidden="false" customHeight="false" outlineLevel="0" collapsed="false">
      <c r="A67" s="113"/>
      <c r="B67" s="124"/>
      <c r="C67" s="612"/>
      <c r="D67" s="610"/>
      <c r="E67" s="610"/>
      <c r="F67" s="610"/>
      <c r="G67" s="610"/>
      <c r="H67" s="610"/>
      <c r="I67" s="610"/>
      <c r="J67" s="610"/>
      <c r="K67" s="610"/>
      <c r="L67" s="610"/>
      <c r="M67" s="610"/>
      <c r="N67" s="610"/>
      <c r="O67" s="610"/>
      <c r="P67" s="610"/>
      <c r="Q67" s="610"/>
      <c r="R67" s="610"/>
      <c r="S67" s="610"/>
      <c r="T67" s="610"/>
      <c r="U67" s="610"/>
      <c r="V67" s="610"/>
      <c r="W67" s="610"/>
      <c r="X67" s="610"/>
      <c r="Y67" s="610"/>
      <c r="Z67" s="610"/>
      <c r="AA67" s="610"/>
      <c r="AB67" s="610"/>
      <c r="AC67" s="610"/>
      <c r="AD67" s="610"/>
      <c r="AE67" s="610"/>
      <c r="AF67" s="610"/>
      <c r="AG67" s="610"/>
      <c r="AH67" s="610"/>
      <c r="AI67" s="610"/>
      <c r="AJ67" s="610"/>
      <c r="AK67" s="610"/>
      <c r="AL67" s="610"/>
      <c r="AM67" s="610"/>
      <c r="AN67" s="610"/>
      <c r="AO67" s="610"/>
      <c r="AP67" s="610"/>
      <c r="AQ67" s="113"/>
      <c r="AR67" s="113"/>
      <c r="AS67" s="113"/>
      <c r="AT67" s="113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3"/>
      <c r="BG67" s="113"/>
      <c r="BH67" s="113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3"/>
      <c r="CQ67" s="113"/>
      <c r="CR67" s="113"/>
      <c r="CS67" s="113"/>
      <c r="CT67" s="113"/>
      <c r="CU67" s="113"/>
      <c r="CV67" s="113"/>
      <c r="CW67" s="113"/>
      <c r="CX67" s="113"/>
      <c r="CY67" s="113"/>
      <c r="CZ67" s="113"/>
      <c r="DA67" s="113"/>
      <c r="DB67" s="113"/>
      <c r="DC67" s="113"/>
      <c r="DD67" s="113"/>
      <c r="DE67" s="113"/>
      <c r="DF67" s="113"/>
      <c r="DG67" s="113"/>
      <c r="DH67" s="113"/>
      <c r="DI67" s="113"/>
      <c r="DJ67" s="113"/>
      <c r="DK67" s="113"/>
      <c r="DL67" s="113"/>
      <c r="DM67" s="113"/>
      <c r="DN67" s="113"/>
      <c r="DO67" s="113"/>
      <c r="DP67" s="113"/>
      <c r="DQ67" s="113"/>
      <c r="DR67" s="113"/>
      <c r="DS67" s="113"/>
      <c r="DT67" s="113"/>
      <c r="DU67" s="113"/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3"/>
      <c r="FE67" s="113"/>
      <c r="FF67" s="113"/>
      <c r="FG67" s="113"/>
      <c r="FH67" s="113"/>
      <c r="FI67" s="113"/>
      <c r="FJ67" s="113"/>
      <c r="FK67" s="113"/>
      <c r="FL67" s="113"/>
      <c r="FM67" s="113"/>
      <c r="FN67" s="113"/>
      <c r="FO67" s="113"/>
      <c r="FP67" s="113"/>
      <c r="FQ67" s="113"/>
      <c r="FR67" s="113"/>
      <c r="FS67" s="113"/>
      <c r="FT67" s="113"/>
      <c r="FU67" s="113"/>
      <c r="FV67" s="113"/>
      <c r="FW67" s="113"/>
      <c r="FX67" s="113"/>
      <c r="FY67" s="113"/>
      <c r="FZ67" s="113"/>
      <c r="GA67" s="113"/>
      <c r="GB67" s="113"/>
      <c r="GC67" s="113"/>
      <c r="GD67" s="113"/>
      <c r="GE67" s="113"/>
      <c r="GF67" s="113"/>
      <c r="GG67" s="113"/>
      <c r="GH67" s="113"/>
      <c r="GI67" s="113"/>
      <c r="GJ67" s="113"/>
      <c r="GK67" s="113"/>
      <c r="GL67" s="113"/>
      <c r="GM67" s="113"/>
      <c r="GN67" s="113"/>
      <c r="GO67" s="113"/>
      <c r="GP67" s="113"/>
      <c r="GQ67" s="113"/>
      <c r="GR67" s="113"/>
      <c r="GS67" s="113"/>
      <c r="GT67" s="113"/>
      <c r="GU67" s="113"/>
      <c r="GV67" s="113"/>
      <c r="GW67" s="113"/>
      <c r="GX67" s="113"/>
      <c r="GY67" s="113"/>
      <c r="GZ67" s="113"/>
      <c r="HA67" s="113"/>
      <c r="HB67" s="113"/>
      <c r="HC67" s="113"/>
      <c r="HD67" s="113"/>
      <c r="HE67" s="113"/>
      <c r="HF67" s="113"/>
      <c r="HG67" s="113"/>
      <c r="HH67" s="113"/>
      <c r="HI67" s="113"/>
      <c r="HJ67" s="113"/>
      <c r="HK67" s="113"/>
      <c r="HL67" s="113"/>
      <c r="HM67" s="113"/>
      <c r="HN67" s="113"/>
      <c r="HO67" s="113"/>
      <c r="HP67" s="113"/>
      <c r="HQ67" s="113"/>
      <c r="HR67" s="113"/>
      <c r="HS67" s="113"/>
      <c r="HT67" s="113"/>
      <c r="HU67" s="113"/>
      <c r="HV67" s="113"/>
      <c r="HW67" s="113"/>
      <c r="HX67" s="113"/>
      <c r="HY67" s="113"/>
      <c r="HZ67" s="113"/>
      <c r="IA67" s="113"/>
      <c r="IB67" s="113"/>
      <c r="IC67" s="113"/>
      <c r="ID67" s="113"/>
      <c r="IE67" s="113"/>
      <c r="IF67" s="113"/>
      <c r="IG67" s="113"/>
      <c r="IH67" s="113"/>
      <c r="II67" s="113"/>
      <c r="IJ67" s="113"/>
      <c r="IK67" s="113"/>
      <c r="IL67" s="113"/>
      <c r="IM67" s="113"/>
      <c r="IN67" s="113"/>
      <c r="IO67" s="113"/>
      <c r="IP67" s="113"/>
      <c r="IQ67" s="113"/>
      <c r="IR67" s="113"/>
      <c r="IS67" s="113"/>
      <c r="IT67" s="113"/>
      <c r="IU67" s="113"/>
      <c r="IV67" s="113"/>
      <c r="IW67" s="113"/>
    </row>
    <row r="68" customFormat="false" ht="11.25" hidden="false" customHeight="false" outlineLevel="0" collapsed="false">
      <c r="A68" s="295"/>
      <c r="B68" s="613" t="s">
        <v>550</v>
      </c>
      <c r="C68" s="612"/>
      <c r="D68" s="510" t="n">
        <f aca="false">IF(D48&gt;0,D43/(SUM(D48:D49)+D52),0)</f>
        <v>0</v>
      </c>
      <c r="E68" s="510" t="e">
        <f aca="false">IF(E48&gt;0,E43/(SUM(E48:E49)+E52),0)</f>
        <v>#VALUE!</v>
      </c>
      <c r="F68" s="510" t="e">
        <f aca="false">IF(F48&gt;0,F43/(SUM(F48:F49)+F52),0)</f>
        <v>#VALUE!</v>
      </c>
      <c r="G68" s="510" t="e">
        <f aca="false">IF(G48&gt;0,G43/(SUM(G48:G49)+G52),0)</f>
        <v>#VALUE!</v>
      </c>
      <c r="H68" s="510" t="e">
        <f aca="false">IF(H48&gt;0,H43/(SUM(H48:H49)+H52),0)</f>
        <v>#VALUE!</v>
      </c>
      <c r="I68" s="510" t="e">
        <f aca="false">IF(I48&gt;0,I43/(SUM(I48:I49)+I52),0)</f>
        <v>#VALUE!</v>
      </c>
      <c r="J68" s="510" t="e">
        <f aca="false">IF(J48&gt;0,J43/(SUM(J48:J49)+J52),0)</f>
        <v>#VALUE!</v>
      </c>
      <c r="K68" s="510" t="e">
        <f aca="false">IF(K48&gt;0,K43/(SUM(K48:K49)+K52),0)</f>
        <v>#VALUE!</v>
      </c>
      <c r="L68" s="510" t="e">
        <f aca="false">IF(L48&gt;0,L43/(SUM(L48:L49)+L52),0)</f>
        <v>#VALUE!</v>
      </c>
      <c r="M68" s="510" t="e">
        <f aca="false">IF(M48&gt;0,M43/(SUM(M48:M49)+M52),0)</f>
        <v>#VALUE!</v>
      </c>
      <c r="N68" s="510" t="e">
        <f aca="false">IF(N48&gt;0,N43/(SUM(N48:N49)+N52),0)</f>
        <v>#VALUE!</v>
      </c>
      <c r="O68" s="510" t="e">
        <f aca="false">IF(O48&gt;0,O43/(SUM(O48:O49)+O52),0)</f>
        <v>#VALUE!</v>
      </c>
      <c r="P68" s="510" t="e">
        <f aca="false">IF(P48&gt;0,P43/(SUM(P48:P49)+P52),0)</f>
        <v>#VALUE!</v>
      </c>
      <c r="Q68" s="510"/>
      <c r="R68" s="510"/>
      <c r="S68" s="510" t="e">
        <f aca="false">IF(S48&gt;0,S43/(SUM(S48:S49)+S52),0)</f>
        <v>#VALUE!</v>
      </c>
      <c r="T68" s="510" t="e">
        <f aca="false">IF(T48&gt;0,T43/(SUM(T48:T49)+T52),0)</f>
        <v>#VALUE!</v>
      </c>
      <c r="U68" s="510" t="e">
        <f aca="false">IF(U48&gt;0,U43/(SUM(U48:U49)+U52),0)</f>
        <v>#VALUE!</v>
      </c>
      <c r="V68" s="510" t="e">
        <f aca="false">IF(V48&gt;0,V43/(SUM(V48:V49)+V52),0)</f>
        <v>#VALUE!</v>
      </c>
      <c r="W68" s="510" t="e">
        <f aca="false">IF(W48&gt;0,W43/(SUM(W48:W49)+W52),0)</f>
        <v>#DIV/0!</v>
      </c>
      <c r="X68" s="510" t="e">
        <f aca="false">IF(X48&gt;0,X43/(SUM(X48:X49)+X52),0)</f>
        <v>#DIV/0!</v>
      </c>
      <c r="Y68" s="334"/>
      <c r="Z68" s="334"/>
      <c r="AA68" s="334"/>
      <c r="AB68" s="334"/>
      <c r="AC68" s="334"/>
      <c r="AD68" s="334"/>
      <c r="AE68" s="334"/>
      <c r="AF68" s="334"/>
      <c r="AG68" s="334"/>
      <c r="AH68" s="334"/>
      <c r="AI68" s="334"/>
      <c r="AJ68" s="334"/>
      <c r="AK68" s="334"/>
      <c r="AL68" s="334"/>
      <c r="AM68" s="334"/>
      <c r="AN68" s="334"/>
      <c r="AO68" s="334"/>
      <c r="AP68" s="334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295"/>
      <c r="BS68" s="295"/>
      <c r="BT68" s="295"/>
      <c r="BU68" s="295"/>
      <c r="BV68" s="295"/>
      <c r="BW68" s="295"/>
      <c r="BX68" s="295"/>
      <c r="BY68" s="295"/>
      <c r="BZ68" s="295"/>
      <c r="CA68" s="295"/>
      <c r="CB68" s="295"/>
      <c r="CC68" s="295"/>
      <c r="CD68" s="295"/>
      <c r="CE68" s="295"/>
      <c r="CF68" s="295"/>
      <c r="CG68" s="295"/>
      <c r="CH68" s="295"/>
      <c r="CI68" s="295"/>
      <c r="CJ68" s="295"/>
      <c r="CK68" s="295"/>
      <c r="CL68" s="295"/>
      <c r="CM68" s="295"/>
      <c r="CN68" s="295"/>
      <c r="CO68" s="295"/>
      <c r="CP68" s="295"/>
      <c r="CQ68" s="295"/>
      <c r="CR68" s="295"/>
      <c r="CS68" s="295"/>
      <c r="CT68" s="295"/>
      <c r="CU68" s="295"/>
      <c r="CV68" s="295"/>
      <c r="CW68" s="295"/>
      <c r="CX68" s="295"/>
      <c r="CY68" s="295"/>
      <c r="CZ68" s="295"/>
      <c r="DA68" s="295"/>
      <c r="DB68" s="295"/>
      <c r="DC68" s="295"/>
      <c r="DD68" s="295"/>
      <c r="DE68" s="295"/>
      <c r="DF68" s="295"/>
      <c r="DG68" s="295"/>
      <c r="DH68" s="295"/>
      <c r="DI68" s="295"/>
      <c r="DJ68" s="295"/>
      <c r="DK68" s="295"/>
      <c r="DL68" s="295"/>
      <c r="DM68" s="295"/>
      <c r="DN68" s="295"/>
      <c r="DO68" s="295"/>
      <c r="DP68" s="295"/>
      <c r="DQ68" s="295"/>
      <c r="DR68" s="295"/>
      <c r="DS68" s="295"/>
      <c r="DT68" s="295"/>
      <c r="DU68" s="295"/>
      <c r="DV68" s="295"/>
      <c r="DW68" s="295"/>
      <c r="DX68" s="295"/>
      <c r="DY68" s="295"/>
      <c r="DZ68" s="295"/>
      <c r="EA68" s="295"/>
      <c r="EB68" s="295"/>
      <c r="EC68" s="295"/>
      <c r="ED68" s="295"/>
      <c r="EE68" s="295"/>
      <c r="EF68" s="295"/>
      <c r="EG68" s="295"/>
      <c r="EH68" s="295"/>
      <c r="EI68" s="295"/>
      <c r="EJ68" s="295"/>
      <c r="EK68" s="295"/>
      <c r="EL68" s="295"/>
      <c r="EM68" s="295"/>
      <c r="EN68" s="295"/>
      <c r="EO68" s="295"/>
      <c r="EP68" s="295"/>
      <c r="EQ68" s="295"/>
      <c r="ER68" s="295"/>
      <c r="ES68" s="295"/>
      <c r="ET68" s="295"/>
      <c r="EU68" s="295"/>
      <c r="EV68" s="295"/>
      <c r="EW68" s="295"/>
      <c r="EX68" s="295"/>
      <c r="EY68" s="295"/>
      <c r="EZ68" s="295"/>
      <c r="FA68" s="295"/>
      <c r="FB68" s="295"/>
      <c r="FC68" s="295"/>
      <c r="FD68" s="295"/>
      <c r="FE68" s="295"/>
      <c r="FF68" s="295"/>
      <c r="FG68" s="295"/>
      <c r="FH68" s="295"/>
      <c r="FI68" s="295"/>
      <c r="FJ68" s="295"/>
      <c r="FK68" s="295"/>
      <c r="FL68" s="295"/>
      <c r="FM68" s="295"/>
      <c r="FN68" s="295"/>
      <c r="FO68" s="295"/>
      <c r="FP68" s="295"/>
      <c r="FQ68" s="295"/>
      <c r="FR68" s="295"/>
      <c r="FS68" s="295"/>
      <c r="FT68" s="295"/>
      <c r="FU68" s="295"/>
      <c r="FV68" s="295"/>
      <c r="FW68" s="295"/>
      <c r="FX68" s="295"/>
      <c r="FY68" s="295"/>
      <c r="FZ68" s="295"/>
      <c r="GA68" s="295"/>
      <c r="GB68" s="295"/>
      <c r="GC68" s="295"/>
      <c r="GD68" s="295"/>
      <c r="GE68" s="295"/>
      <c r="GF68" s="295"/>
      <c r="GG68" s="295"/>
      <c r="GH68" s="295"/>
      <c r="GI68" s="295"/>
      <c r="GJ68" s="295"/>
      <c r="GK68" s="295"/>
      <c r="GL68" s="295"/>
      <c r="GM68" s="295"/>
      <c r="GN68" s="295"/>
      <c r="GO68" s="295"/>
      <c r="GP68" s="295"/>
      <c r="GQ68" s="295"/>
      <c r="GR68" s="295"/>
      <c r="GS68" s="295"/>
      <c r="GT68" s="295"/>
      <c r="GU68" s="295"/>
      <c r="GV68" s="295"/>
      <c r="GW68" s="295"/>
      <c r="GX68" s="295"/>
      <c r="GY68" s="295"/>
      <c r="GZ68" s="295"/>
      <c r="HA68" s="295"/>
      <c r="HB68" s="295"/>
      <c r="HC68" s="295"/>
      <c r="HD68" s="295"/>
      <c r="HE68" s="295"/>
      <c r="HF68" s="295"/>
      <c r="HG68" s="295"/>
      <c r="HH68" s="295"/>
      <c r="HI68" s="295"/>
      <c r="HJ68" s="295"/>
      <c r="HK68" s="295"/>
      <c r="HL68" s="295"/>
      <c r="HM68" s="295"/>
      <c r="HN68" s="295"/>
      <c r="HO68" s="295"/>
      <c r="HP68" s="295"/>
      <c r="HQ68" s="295"/>
      <c r="HR68" s="295"/>
      <c r="HS68" s="295"/>
      <c r="HT68" s="295"/>
      <c r="HU68" s="295"/>
      <c r="HV68" s="295"/>
      <c r="HW68" s="295"/>
      <c r="HX68" s="295"/>
      <c r="HY68" s="295"/>
      <c r="HZ68" s="295"/>
      <c r="IA68" s="295"/>
      <c r="IB68" s="295"/>
      <c r="IC68" s="295"/>
      <c r="ID68" s="295"/>
      <c r="IE68" s="295"/>
      <c r="IF68" s="295"/>
      <c r="IG68" s="295"/>
      <c r="IH68" s="295"/>
      <c r="II68" s="295"/>
      <c r="IJ68" s="295"/>
      <c r="IK68" s="295"/>
      <c r="IL68" s="295"/>
      <c r="IM68" s="295"/>
      <c r="IN68" s="295"/>
      <c r="IO68" s="295"/>
      <c r="IP68" s="295"/>
      <c r="IQ68" s="295"/>
      <c r="IR68" s="295"/>
      <c r="IS68" s="295"/>
      <c r="IT68" s="295"/>
      <c r="IU68" s="295"/>
      <c r="IV68" s="295"/>
      <c r="IW68" s="295"/>
    </row>
    <row r="69" customFormat="false" ht="11.25" hidden="false" customHeight="false" outlineLevel="0" collapsed="false">
      <c r="A69" s="295"/>
      <c r="B69" s="613" t="s">
        <v>551</v>
      </c>
      <c r="C69" s="611"/>
      <c r="D69" s="510" t="n">
        <f aca="false">IF(D55=0,0,D43/SUM(D48:D49))</f>
        <v>0</v>
      </c>
      <c r="E69" s="510" t="e">
        <f aca="false">IF(E55=0,0,E43/SUM(E48:E49))</f>
        <v>#VALUE!</v>
      </c>
      <c r="F69" s="510" t="e">
        <f aca="false">IF(F55=0,0,F43/SUM(F48:F49))</f>
        <v>#VALUE!</v>
      </c>
      <c r="G69" s="510" t="e">
        <f aca="false">IF(G55=0,0,G43/SUM(G48:G49))</f>
        <v>#VALUE!</v>
      </c>
      <c r="H69" s="510" t="e">
        <f aca="false">IF(H55=0,0,H43/SUM(H48:H49))</f>
        <v>#VALUE!</v>
      </c>
      <c r="I69" s="510" t="e">
        <f aca="false">IF(I55=0,0,I43/SUM(I48:I49))</f>
        <v>#VALUE!</v>
      </c>
      <c r="J69" s="510" t="e">
        <f aca="false">IF(J55=0,0,J43/SUM(J48:J49))</f>
        <v>#VALUE!</v>
      </c>
      <c r="K69" s="510" t="e">
        <f aca="false">IF(K55=0,0,K43/SUM(K48:K49))</f>
        <v>#VALUE!</v>
      </c>
      <c r="L69" s="510" t="e">
        <f aca="false">IF(L55=0,0,L43/SUM(L48:L49))</f>
        <v>#VALUE!</v>
      </c>
      <c r="M69" s="510" t="e">
        <f aca="false">IF(M55=0,0,M43/SUM(M48:M49))</f>
        <v>#VALUE!</v>
      </c>
      <c r="N69" s="510" t="e">
        <f aca="false">IF(N55=0,0,N43/SUM(N48:N49))</f>
        <v>#VALUE!</v>
      </c>
      <c r="O69" s="510" t="e">
        <f aca="false">IF(O55=0,0,O43/SUM(O48:O49))</f>
        <v>#VALUE!</v>
      </c>
      <c r="P69" s="510" t="e">
        <f aca="false">IF(P55=0,0,P43/SUM(P48:P49))</f>
        <v>#VALUE!</v>
      </c>
      <c r="Q69" s="510"/>
      <c r="R69" s="510"/>
      <c r="S69" s="334"/>
      <c r="T69" s="334"/>
      <c r="U69" s="334"/>
      <c r="V69" s="334"/>
      <c r="W69" s="334"/>
      <c r="X69" s="334"/>
      <c r="Y69" s="334"/>
      <c r="Z69" s="334"/>
      <c r="AA69" s="334"/>
      <c r="AB69" s="334"/>
      <c r="AC69" s="334"/>
      <c r="AD69" s="334"/>
      <c r="AE69" s="334"/>
      <c r="AF69" s="334"/>
      <c r="AG69" s="334"/>
      <c r="AH69" s="334"/>
      <c r="AI69" s="334"/>
      <c r="AJ69" s="334"/>
      <c r="AK69" s="334"/>
      <c r="AL69" s="334"/>
      <c r="AM69" s="334"/>
      <c r="AN69" s="334"/>
      <c r="AO69" s="334"/>
      <c r="AP69" s="334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5"/>
      <c r="BQ69" s="295"/>
      <c r="BR69" s="295"/>
      <c r="BS69" s="295"/>
      <c r="BT69" s="295"/>
      <c r="BU69" s="295"/>
      <c r="BV69" s="295"/>
      <c r="BW69" s="295"/>
      <c r="BX69" s="295"/>
      <c r="BY69" s="295"/>
      <c r="BZ69" s="295"/>
      <c r="CA69" s="295"/>
      <c r="CB69" s="295"/>
      <c r="CC69" s="295"/>
      <c r="CD69" s="295"/>
      <c r="CE69" s="295"/>
      <c r="CF69" s="295"/>
      <c r="CG69" s="295"/>
      <c r="CH69" s="295"/>
      <c r="CI69" s="295"/>
      <c r="CJ69" s="295"/>
      <c r="CK69" s="295"/>
      <c r="CL69" s="295"/>
      <c r="CM69" s="295"/>
      <c r="CN69" s="295"/>
      <c r="CO69" s="295"/>
      <c r="CP69" s="295"/>
      <c r="CQ69" s="295"/>
      <c r="CR69" s="295"/>
      <c r="CS69" s="295"/>
      <c r="CT69" s="295"/>
      <c r="CU69" s="295"/>
      <c r="CV69" s="295"/>
      <c r="CW69" s="295"/>
      <c r="CX69" s="295"/>
      <c r="CY69" s="295"/>
      <c r="CZ69" s="295"/>
      <c r="DA69" s="295"/>
      <c r="DB69" s="295"/>
      <c r="DC69" s="295"/>
      <c r="DD69" s="295"/>
      <c r="DE69" s="295"/>
      <c r="DF69" s="295"/>
      <c r="DG69" s="295"/>
      <c r="DH69" s="295"/>
      <c r="DI69" s="295"/>
      <c r="DJ69" s="295"/>
      <c r="DK69" s="295"/>
      <c r="DL69" s="295"/>
      <c r="DM69" s="295"/>
      <c r="DN69" s="295"/>
      <c r="DO69" s="295"/>
      <c r="DP69" s="295"/>
      <c r="DQ69" s="295"/>
      <c r="DR69" s="295"/>
      <c r="DS69" s="295"/>
      <c r="DT69" s="295"/>
      <c r="DU69" s="295"/>
      <c r="DV69" s="295"/>
      <c r="DW69" s="295"/>
      <c r="DX69" s="295"/>
      <c r="DY69" s="295"/>
      <c r="DZ69" s="295"/>
      <c r="EA69" s="295"/>
      <c r="EB69" s="295"/>
      <c r="EC69" s="295"/>
      <c r="ED69" s="295"/>
      <c r="EE69" s="295"/>
      <c r="EF69" s="295"/>
      <c r="EG69" s="295"/>
      <c r="EH69" s="295"/>
      <c r="EI69" s="295"/>
      <c r="EJ69" s="295"/>
      <c r="EK69" s="295"/>
      <c r="EL69" s="295"/>
      <c r="EM69" s="295"/>
      <c r="EN69" s="295"/>
      <c r="EO69" s="295"/>
      <c r="EP69" s="295"/>
      <c r="EQ69" s="295"/>
      <c r="ER69" s="295"/>
      <c r="ES69" s="295"/>
      <c r="ET69" s="295"/>
      <c r="EU69" s="295"/>
      <c r="EV69" s="295"/>
      <c r="EW69" s="295"/>
      <c r="EX69" s="295"/>
      <c r="EY69" s="295"/>
      <c r="EZ69" s="295"/>
      <c r="FA69" s="295"/>
      <c r="FB69" s="295"/>
      <c r="FC69" s="295"/>
      <c r="FD69" s="295"/>
      <c r="FE69" s="295"/>
      <c r="FF69" s="295"/>
      <c r="FG69" s="295"/>
      <c r="FH69" s="295"/>
      <c r="FI69" s="295"/>
      <c r="FJ69" s="295"/>
      <c r="FK69" s="295"/>
      <c r="FL69" s="295"/>
      <c r="FM69" s="295"/>
      <c r="FN69" s="295"/>
      <c r="FO69" s="295"/>
      <c r="FP69" s="295"/>
      <c r="FQ69" s="295"/>
      <c r="FR69" s="295"/>
      <c r="FS69" s="295"/>
      <c r="FT69" s="295"/>
      <c r="FU69" s="295"/>
      <c r="FV69" s="295"/>
      <c r="FW69" s="295"/>
      <c r="FX69" s="295"/>
      <c r="FY69" s="295"/>
      <c r="FZ69" s="295"/>
      <c r="GA69" s="295"/>
      <c r="GB69" s="295"/>
      <c r="GC69" s="295"/>
      <c r="GD69" s="295"/>
      <c r="GE69" s="295"/>
      <c r="GF69" s="295"/>
      <c r="GG69" s="295"/>
      <c r="GH69" s="295"/>
      <c r="GI69" s="295"/>
      <c r="GJ69" s="295"/>
      <c r="GK69" s="295"/>
      <c r="GL69" s="295"/>
      <c r="GM69" s="295"/>
      <c r="GN69" s="295"/>
      <c r="GO69" s="295"/>
      <c r="GP69" s="295"/>
      <c r="GQ69" s="295"/>
      <c r="GR69" s="295"/>
      <c r="GS69" s="295"/>
      <c r="GT69" s="295"/>
      <c r="GU69" s="295"/>
      <c r="GV69" s="295"/>
      <c r="GW69" s="295"/>
      <c r="GX69" s="295"/>
      <c r="GY69" s="295"/>
      <c r="GZ69" s="295"/>
      <c r="HA69" s="295"/>
      <c r="HB69" s="295"/>
      <c r="HC69" s="295"/>
      <c r="HD69" s="295"/>
      <c r="HE69" s="295"/>
      <c r="HF69" s="295"/>
      <c r="HG69" s="295"/>
      <c r="HH69" s="295"/>
      <c r="HI69" s="295"/>
      <c r="HJ69" s="295"/>
      <c r="HK69" s="295"/>
      <c r="HL69" s="295"/>
      <c r="HM69" s="295"/>
      <c r="HN69" s="295"/>
      <c r="HO69" s="295"/>
      <c r="HP69" s="295"/>
      <c r="HQ69" s="295"/>
      <c r="HR69" s="295"/>
      <c r="HS69" s="295"/>
      <c r="HT69" s="295"/>
      <c r="HU69" s="295"/>
      <c r="HV69" s="295"/>
      <c r="HW69" s="295"/>
      <c r="HX69" s="295"/>
      <c r="HY69" s="295"/>
      <c r="HZ69" s="295"/>
      <c r="IA69" s="295"/>
      <c r="IB69" s="295"/>
      <c r="IC69" s="295"/>
      <c r="ID69" s="295"/>
      <c r="IE69" s="295"/>
      <c r="IF69" s="295"/>
      <c r="IG69" s="295"/>
      <c r="IH69" s="295"/>
      <c r="II69" s="295"/>
      <c r="IJ69" s="295"/>
      <c r="IK69" s="295"/>
      <c r="IL69" s="295"/>
      <c r="IM69" s="295"/>
      <c r="IN69" s="295"/>
      <c r="IO69" s="295"/>
      <c r="IP69" s="295"/>
      <c r="IQ69" s="295"/>
      <c r="IR69" s="295"/>
      <c r="IS69" s="295"/>
      <c r="IT69" s="295"/>
      <c r="IU69" s="295"/>
      <c r="IV69" s="295"/>
      <c r="IW69" s="295"/>
    </row>
    <row r="70" customFormat="false" ht="11.25" hidden="false" customHeight="false" outlineLevel="0" collapsed="false">
      <c r="A70" s="295"/>
      <c r="B70" s="613" t="s">
        <v>552</v>
      </c>
      <c r="C70" s="575"/>
      <c r="D70" s="510" t="n">
        <f aca="false">(IF(D$5&gt;=1,INDEX(InterestTable,MATCH("End of Year Debt",'Debt Amort'!$B$12:$B$39,0),MATCH(D$15,'Debt Amort'!$B$12:$AB$12,0)),0))/D43</f>
        <v>-0</v>
      </c>
      <c r="E70" s="510" t="e">
        <f aca="false">(IF(E$5&gt;=1,INDEX(InterestTable,MATCH("End of Year Debt",'Debt Amort'!$B$12:$B$39,0),MATCH(E$15,'Debt Amort'!$B$12:$AB$12,0)),0))/E43</f>
        <v>#VALUE!</v>
      </c>
      <c r="F70" s="510" t="e">
        <f aca="false">(IF(F$5&gt;=1,INDEX(InterestTable,MATCH("End of Year Debt",'Debt Amort'!$B$12:$B$39,0),MATCH(F$15,'Debt Amort'!$B$12:$AB$12,0)),0))/F43</f>
        <v>#VALUE!</v>
      </c>
      <c r="G70" s="510" t="e">
        <f aca="false">(IF(G$5&gt;=1,INDEX(InterestTable,MATCH("End of Year Debt",'Debt Amort'!$B$12:$B$39,0),MATCH(G$15,'Debt Amort'!$B$12:$AB$12,0)),0))/G43</f>
        <v>#VALUE!</v>
      </c>
      <c r="H70" s="510" t="e">
        <f aca="false">(IF(H$5&gt;=1,INDEX(InterestTable,MATCH("End of Year Debt",'Debt Amort'!$B$12:$B$39,0),MATCH(H$15,'Debt Amort'!$B$12:$AB$12,0)),0))/H43</f>
        <v>#VALUE!</v>
      </c>
      <c r="I70" s="510" t="e">
        <f aca="false">(IF(I$5&gt;=1,INDEX(InterestTable,MATCH("End of Year Debt",'Debt Amort'!$B$12:$B$39,0),MATCH(I$15,'Debt Amort'!$B$12:$AB$12,0)),0))/I43</f>
        <v>#VALUE!</v>
      </c>
      <c r="J70" s="510" t="e">
        <f aca="false">(IF(J$5&gt;=1,INDEX(InterestTable,MATCH("End of Year Debt",'Debt Amort'!$B$12:$B$39,0),MATCH(J$15,'Debt Amort'!$B$12:$AB$12,0)),0))/J43</f>
        <v>#VALUE!</v>
      </c>
      <c r="K70" s="510" t="e">
        <f aca="false">(IF(K$5&gt;=1,INDEX(InterestTable,MATCH("End of Year Debt",'Debt Amort'!$B$12:$B$39,0),MATCH(K$15,'Debt Amort'!$B$12:$AB$12,0)),0))/K43</f>
        <v>#VALUE!</v>
      </c>
      <c r="L70" s="510" t="e">
        <f aca="false">(IF(L$5&gt;=1,INDEX(InterestTable,MATCH("End of Year Debt",'Debt Amort'!$B$12:$B$39,0),MATCH(L$15,'Debt Amort'!$B$12:$AB$12,0)),0))/L43</f>
        <v>#VALUE!</v>
      </c>
      <c r="M70" s="510" t="e">
        <f aca="false">(IF(M$5&gt;=1,INDEX(InterestTable,MATCH("End of Year Debt",'Debt Amort'!$B$12:$B$39,0),MATCH(M$15,'Debt Amort'!$B$12:$AB$12,0)),0))/M43</f>
        <v>#VALUE!</v>
      </c>
      <c r="N70" s="510" t="e">
        <f aca="false">(IF(N$5&gt;=1,INDEX(InterestTable,MATCH("End of Year Debt",'Debt Amort'!$B$12:$B$39,0),MATCH(N$15,'Debt Amort'!$B$12:$AB$12,0)),0))/N43</f>
        <v>#VALUE!</v>
      </c>
      <c r="O70" s="510" t="e">
        <f aca="false">(IF(O$5&gt;=1,INDEX(InterestTable,MATCH("End of Year Debt",'Debt Amort'!$B$12:$B$39,0),MATCH(O$15,'Debt Amort'!$B$12:$AB$12,0)),0))/O43</f>
        <v>#VALUE!</v>
      </c>
      <c r="P70" s="510" t="e">
        <f aca="false">(IF(P$5&gt;=1,INDEX(InterestTable,MATCH("End of Year Debt",'Debt Amort'!$B$12:$B$39,0),MATCH(P$15,'Debt Amort'!$B$12:$AB$12,0)),0))/P43</f>
        <v>#VALUE!</v>
      </c>
      <c r="Q70" s="510"/>
      <c r="R70" s="510"/>
      <c r="S70" s="510" t="e">
        <f aca="false">(IF(S$5&gt;=1,INDEX(InterestTable,MATCH("End of Year Debt",'Debt Amort'!$B$12:$B$39,0),MATCH(S$15,'Debt Amort'!$B$12:$AB$12,0)),0))/S43</f>
        <v>#VALUE!</v>
      </c>
      <c r="T70" s="510" t="e">
        <f aca="false">(IF(T$5&gt;=1,INDEX(InterestTable,MATCH("End of Year Debt",'Debt Amort'!$B$12:$B$39,0),MATCH(T$15,'Debt Amort'!$B$12:$AB$12,0)),0))/T43</f>
        <v>#VALUE!</v>
      </c>
      <c r="U70" s="510" t="e">
        <f aca="false">(IF(U$5&gt;=1,INDEX(InterestTable,MATCH("End of Year Debt",'Debt Amort'!$B$12:$B$39,0),MATCH(U$15,'Debt Amort'!$B$12:$AB$12,0)),0))/U43</f>
        <v>#VALUE!</v>
      </c>
      <c r="V70" s="510" t="e">
        <f aca="false">(IF(V$5&gt;=1,INDEX(InterestTable,MATCH("End of Year Debt",'Debt Amort'!$B$12:$B$39,0),MATCH(V$15,'Debt Amort'!$B$12:$AB$12,0)),0))/V43</f>
        <v>#VALUE!</v>
      </c>
      <c r="W70" s="510" t="e">
        <f aca="false">(IF(W$5&gt;=1,INDEX(InterestTable,MATCH("End of Year Debt",'Debt Amort'!$B$12:$B$39,0),MATCH(W$15,'Debt Amort'!$B$12:$AB$12,0)),0))/W43</f>
        <v>#DIV/0!</v>
      </c>
      <c r="X70" s="510" t="e">
        <f aca="false">(IF(X$5&gt;=1,INDEX(InterestTable,MATCH("End of Year Debt",'Debt Amort'!$B$12:$B$39,0),MATCH(X$15,'Debt Amort'!$B$12:$AB$12,0)),0))/X43</f>
        <v>#DIV/0!</v>
      </c>
      <c r="Y70" s="510"/>
      <c r="Z70" s="510"/>
      <c r="AA70" s="510"/>
      <c r="AB70" s="510"/>
      <c r="AC70" s="510"/>
      <c r="AD70" s="510"/>
      <c r="AE70" s="510"/>
      <c r="AF70" s="510"/>
      <c r="AG70" s="510"/>
      <c r="AH70" s="510"/>
      <c r="AI70" s="510"/>
      <c r="AJ70" s="510"/>
      <c r="AK70" s="510"/>
      <c r="AL70" s="510"/>
      <c r="AM70" s="510"/>
      <c r="AN70" s="510"/>
      <c r="AO70" s="510"/>
      <c r="AP70" s="510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5"/>
      <c r="BQ70" s="295"/>
      <c r="BR70" s="295"/>
      <c r="BS70" s="295"/>
      <c r="BT70" s="295"/>
      <c r="BU70" s="295"/>
      <c r="BV70" s="295"/>
      <c r="BW70" s="295"/>
      <c r="BX70" s="295"/>
      <c r="BY70" s="295"/>
      <c r="BZ70" s="295"/>
      <c r="CA70" s="295"/>
      <c r="CB70" s="295"/>
      <c r="CC70" s="295"/>
      <c r="CD70" s="295"/>
      <c r="CE70" s="295"/>
      <c r="CF70" s="295"/>
      <c r="CG70" s="295"/>
      <c r="CH70" s="295"/>
      <c r="CI70" s="295"/>
      <c r="CJ70" s="295"/>
      <c r="CK70" s="295"/>
      <c r="CL70" s="295"/>
      <c r="CM70" s="295"/>
      <c r="CN70" s="295"/>
      <c r="CO70" s="295"/>
      <c r="CP70" s="295"/>
      <c r="CQ70" s="295"/>
      <c r="CR70" s="295"/>
      <c r="CS70" s="295"/>
      <c r="CT70" s="295"/>
      <c r="CU70" s="295"/>
      <c r="CV70" s="295"/>
      <c r="CW70" s="295"/>
      <c r="CX70" s="295"/>
      <c r="CY70" s="295"/>
      <c r="CZ70" s="295"/>
      <c r="DA70" s="295"/>
      <c r="DB70" s="295"/>
      <c r="DC70" s="295"/>
      <c r="DD70" s="295"/>
      <c r="DE70" s="295"/>
      <c r="DF70" s="295"/>
      <c r="DG70" s="295"/>
      <c r="DH70" s="295"/>
      <c r="DI70" s="295"/>
      <c r="DJ70" s="295"/>
      <c r="DK70" s="295"/>
      <c r="DL70" s="295"/>
      <c r="DM70" s="295"/>
      <c r="DN70" s="295"/>
      <c r="DO70" s="295"/>
      <c r="DP70" s="295"/>
      <c r="DQ70" s="295"/>
      <c r="DR70" s="295"/>
      <c r="DS70" s="295"/>
      <c r="DT70" s="295"/>
      <c r="DU70" s="295"/>
      <c r="DV70" s="295"/>
      <c r="DW70" s="295"/>
      <c r="DX70" s="295"/>
      <c r="DY70" s="295"/>
      <c r="DZ70" s="295"/>
      <c r="EA70" s="295"/>
      <c r="EB70" s="295"/>
      <c r="EC70" s="295"/>
      <c r="ED70" s="295"/>
      <c r="EE70" s="295"/>
      <c r="EF70" s="295"/>
      <c r="EG70" s="295"/>
      <c r="EH70" s="295"/>
      <c r="EI70" s="295"/>
      <c r="EJ70" s="295"/>
      <c r="EK70" s="295"/>
      <c r="EL70" s="295"/>
      <c r="EM70" s="295"/>
      <c r="EN70" s="295"/>
      <c r="EO70" s="295"/>
      <c r="EP70" s="295"/>
      <c r="EQ70" s="295"/>
      <c r="ER70" s="295"/>
      <c r="ES70" s="295"/>
      <c r="ET70" s="295"/>
      <c r="EU70" s="295"/>
      <c r="EV70" s="295"/>
      <c r="EW70" s="295"/>
      <c r="EX70" s="295"/>
      <c r="EY70" s="295"/>
      <c r="EZ70" s="295"/>
      <c r="FA70" s="295"/>
      <c r="FB70" s="295"/>
      <c r="FC70" s="295"/>
      <c r="FD70" s="295"/>
      <c r="FE70" s="295"/>
      <c r="FF70" s="295"/>
      <c r="FG70" s="295"/>
      <c r="FH70" s="295"/>
      <c r="FI70" s="295"/>
      <c r="FJ70" s="295"/>
      <c r="FK70" s="295"/>
      <c r="FL70" s="295"/>
      <c r="FM70" s="295"/>
      <c r="FN70" s="295"/>
      <c r="FO70" s="295"/>
      <c r="FP70" s="295"/>
      <c r="FQ70" s="295"/>
      <c r="FR70" s="295"/>
      <c r="FS70" s="295"/>
      <c r="FT70" s="295"/>
      <c r="FU70" s="295"/>
      <c r="FV70" s="295"/>
      <c r="FW70" s="295"/>
      <c r="FX70" s="295"/>
      <c r="FY70" s="295"/>
      <c r="FZ70" s="295"/>
      <c r="GA70" s="295"/>
      <c r="GB70" s="295"/>
      <c r="GC70" s="295"/>
      <c r="GD70" s="295"/>
      <c r="GE70" s="295"/>
      <c r="GF70" s="295"/>
      <c r="GG70" s="295"/>
      <c r="GH70" s="295"/>
      <c r="GI70" s="295"/>
      <c r="GJ70" s="295"/>
      <c r="GK70" s="295"/>
      <c r="GL70" s="295"/>
      <c r="GM70" s="295"/>
      <c r="GN70" s="295"/>
      <c r="GO70" s="295"/>
      <c r="GP70" s="295"/>
      <c r="GQ70" s="295"/>
      <c r="GR70" s="295"/>
      <c r="GS70" s="295"/>
      <c r="GT70" s="295"/>
      <c r="GU70" s="295"/>
      <c r="GV70" s="295"/>
      <c r="GW70" s="295"/>
      <c r="GX70" s="295"/>
      <c r="GY70" s="295"/>
      <c r="GZ70" s="295"/>
      <c r="HA70" s="295"/>
      <c r="HB70" s="295"/>
      <c r="HC70" s="295"/>
      <c r="HD70" s="295"/>
      <c r="HE70" s="295"/>
      <c r="HF70" s="295"/>
      <c r="HG70" s="295"/>
      <c r="HH70" s="295"/>
      <c r="HI70" s="295"/>
      <c r="HJ70" s="295"/>
      <c r="HK70" s="295"/>
      <c r="HL70" s="295"/>
      <c r="HM70" s="295"/>
      <c r="HN70" s="295"/>
      <c r="HO70" s="295"/>
      <c r="HP70" s="295"/>
      <c r="HQ70" s="295"/>
      <c r="HR70" s="295"/>
      <c r="HS70" s="295"/>
      <c r="HT70" s="295"/>
      <c r="HU70" s="295"/>
      <c r="HV70" s="295"/>
      <c r="HW70" s="295"/>
      <c r="HX70" s="295"/>
      <c r="HY70" s="295"/>
      <c r="HZ70" s="295"/>
      <c r="IA70" s="295"/>
      <c r="IB70" s="295"/>
      <c r="IC70" s="295"/>
      <c r="ID70" s="295"/>
      <c r="IE70" s="295"/>
      <c r="IF70" s="295"/>
      <c r="IG70" s="295"/>
      <c r="IH70" s="295"/>
      <c r="II70" s="295"/>
      <c r="IJ70" s="295"/>
      <c r="IK70" s="295"/>
      <c r="IL70" s="295"/>
      <c r="IM70" s="295"/>
      <c r="IN70" s="295"/>
      <c r="IO70" s="295"/>
      <c r="IP70" s="295"/>
      <c r="IQ70" s="295"/>
      <c r="IR70" s="295"/>
      <c r="IS70" s="295"/>
      <c r="IT70" s="295"/>
      <c r="IU70" s="295"/>
      <c r="IV70" s="295"/>
      <c r="IW70" s="295"/>
    </row>
    <row r="71" customFormat="false" ht="11.25" hidden="false" customHeight="false" outlineLevel="0" collapsed="false">
      <c r="A71" s="295"/>
      <c r="B71" s="549"/>
      <c r="C71" s="614"/>
      <c r="D71" s="350"/>
      <c r="E71" s="350"/>
      <c r="F71" s="350"/>
      <c r="G71" s="350"/>
      <c r="H71" s="350"/>
      <c r="I71" s="350"/>
      <c r="J71" s="350"/>
      <c r="K71" s="350"/>
      <c r="L71" s="350"/>
      <c r="M71" s="350"/>
      <c r="N71" s="350"/>
      <c r="O71" s="350"/>
      <c r="P71" s="350"/>
      <c r="Q71" s="350"/>
      <c r="R71" s="350"/>
      <c r="S71" s="350"/>
      <c r="T71" s="350"/>
      <c r="U71" s="350"/>
      <c r="V71" s="350"/>
      <c r="W71" s="350"/>
      <c r="X71" s="350"/>
      <c r="Y71" s="350"/>
      <c r="Z71" s="350"/>
      <c r="AA71" s="350"/>
      <c r="AB71" s="350"/>
      <c r="AC71" s="350"/>
      <c r="AD71" s="350"/>
      <c r="AE71" s="350"/>
      <c r="AF71" s="350"/>
      <c r="AG71" s="350"/>
      <c r="AH71" s="350"/>
      <c r="AI71" s="350"/>
      <c r="AJ71" s="350"/>
      <c r="AK71" s="350"/>
      <c r="AL71" s="350"/>
      <c r="AM71" s="350"/>
      <c r="AN71" s="350"/>
      <c r="AO71" s="350"/>
      <c r="AP71" s="350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5"/>
      <c r="BS71" s="295"/>
      <c r="BT71" s="295"/>
      <c r="BU71" s="295"/>
      <c r="BV71" s="295"/>
      <c r="BW71" s="295"/>
      <c r="BX71" s="295"/>
      <c r="BY71" s="295"/>
      <c r="BZ71" s="295"/>
      <c r="CA71" s="295"/>
      <c r="CB71" s="295"/>
      <c r="CC71" s="295"/>
      <c r="CD71" s="295"/>
      <c r="CE71" s="295"/>
      <c r="CF71" s="295"/>
      <c r="CG71" s="295"/>
      <c r="CH71" s="295"/>
      <c r="CI71" s="295"/>
      <c r="CJ71" s="295"/>
      <c r="CK71" s="295"/>
      <c r="CL71" s="295"/>
      <c r="CM71" s="295"/>
      <c r="CN71" s="295"/>
      <c r="CO71" s="295"/>
      <c r="CP71" s="295"/>
      <c r="CQ71" s="295"/>
      <c r="CR71" s="295"/>
      <c r="CS71" s="295"/>
      <c r="CT71" s="295"/>
      <c r="CU71" s="295"/>
      <c r="CV71" s="295"/>
      <c r="CW71" s="295"/>
      <c r="CX71" s="295"/>
      <c r="CY71" s="295"/>
      <c r="CZ71" s="295"/>
      <c r="DA71" s="295"/>
      <c r="DB71" s="295"/>
      <c r="DC71" s="295"/>
      <c r="DD71" s="295"/>
      <c r="DE71" s="295"/>
      <c r="DF71" s="295"/>
      <c r="DG71" s="295"/>
      <c r="DH71" s="295"/>
      <c r="DI71" s="295"/>
      <c r="DJ71" s="295"/>
      <c r="DK71" s="295"/>
      <c r="DL71" s="295"/>
      <c r="DM71" s="295"/>
      <c r="DN71" s="295"/>
      <c r="DO71" s="295"/>
      <c r="DP71" s="295"/>
      <c r="DQ71" s="295"/>
      <c r="DR71" s="295"/>
      <c r="DS71" s="295"/>
      <c r="DT71" s="295"/>
      <c r="DU71" s="295"/>
      <c r="DV71" s="295"/>
      <c r="DW71" s="295"/>
      <c r="DX71" s="295"/>
      <c r="DY71" s="295"/>
      <c r="DZ71" s="295"/>
      <c r="EA71" s="295"/>
      <c r="EB71" s="295"/>
      <c r="EC71" s="295"/>
      <c r="ED71" s="295"/>
      <c r="EE71" s="295"/>
      <c r="EF71" s="295"/>
      <c r="EG71" s="295"/>
      <c r="EH71" s="295"/>
      <c r="EI71" s="295"/>
      <c r="EJ71" s="295"/>
      <c r="EK71" s="295"/>
      <c r="EL71" s="295"/>
      <c r="EM71" s="295"/>
      <c r="EN71" s="295"/>
      <c r="EO71" s="295"/>
      <c r="EP71" s="295"/>
      <c r="EQ71" s="295"/>
      <c r="ER71" s="295"/>
      <c r="ES71" s="295"/>
      <c r="ET71" s="295"/>
      <c r="EU71" s="295"/>
      <c r="EV71" s="295"/>
      <c r="EW71" s="295"/>
      <c r="EX71" s="295"/>
      <c r="EY71" s="295"/>
      <c r="EZ71" s="295"/>
      <c r="FA71" s="295"/>
      <c r="FB71" s="295"/>
      <c r="FC71" s="295"/>
      <c r="FD71" s="295"/>
      <c r="FE71" s="295"/>
      <c r="FF71" s="295"/>
      <c r="FG71" s="295"/>
      <c r="FH71" s="295"/>
      <c r="FI71" s="295"/>
      <c r="FJ71" s="295"/>
      <c r="FK71" s="295"/>
      <c r="FL71" s="295"/>
      <c r="FM71" s="295"/>
      <c r="FN71" s="295"/>
      <c r="FO71" s="295"/>
      <c r="FP71" s="295"/>
      <c r="FQ71" s="295"/>
      <c r="FR71" s="295"/>
      <c r="FS71" s="295"/>
      <c r="FT71" s="295"/>
      <c r="FU71" s="295"/>
      <c r="FV71" s="295"/>
      <c r="FW71" s="295"/>
      <c r="FX71" s="295"/>
      <c r="FY71" s="295"/>
      <c r="FZ71" s="295"/>
      <c r="GA71" s="295"/>
      <c r="GB71" s="295"/>
      <c r="GC71" s="295"/>
      <c r="GD71" s="295"/>
      <c r="GE71" s="295"/>
      <c r="GF71" s="295"/>
      <c r="GG71" s="295"/>
      <c r="GH71" s="295"/>
      <c r="GI71" s="295"/>
      <c r="GJ71" s="295"/>
      <c r="GK71" s="295"/>
      <c r="GL71" s="295"/>
      <c r="GM71" s="295"/>
      <c r="GN71" s="295"/>
      <c r="GO71" s="295"/>
      <c r="GP71" s="295"/>
      <c r="GQ71" s="295"/>
      <c r="GR71" s="295"/>
      <c r="GS71" s="295"/>
      <c r="GT71" s="295"/>
      <c r="GU71" s="295"/>
      <c r="GV71" s="295"/>
      <c r="GW71" s="295"/>
      <c r="GX71" s="295"/>
      <c r="GY71" s="295"/>
      <c r="GZ71" s="295"/>
      <c r="HA71" s="295"/>
      <c r="HB71" s="295"/>
      <c r="HC71" s="295"/>
      <c r="HD71" s="295"/>
      <c r="HE71" s="295"/>
      <c r="HF71" s="295"/>
      <c r="HG71" s="295"/>
      <c r="HH71" s="295"/>
      <c r="HI71" s="295"/>
      <c r="HJ71" s="295"/>
      <c r="HK71" s="295"/>
      <c r="HL71" s="295"/>
      <c r="HM71" s="295"/>
      <c r="HN71" s="295"/>
      <c r="HO71" s="295"/>
      <c r="HP71" s="295"/>
      <c r="HQ71" s="295"/>
      <c r="HR71" s="295"/>
      <c r="HS71" s="295"/>
      <c r="HT71" s="295"/>
      <c r="HU71" s="295"/>
      <c r="HV71" s="295"/>
      <c r="HW71" s="295"/>
      <c r="HX71" s="295"/>
      <c r="HY71" s="295"/>
      <c r="HZ71" s="295"/>
      <c r="IA71" s="295"/>
      <c r="IB71" s="295"/>
      <c r="IC71" s="295"/>
      <c r="ID71" s="295"/>
      <c r="IE71" s="295"/>
      <c r="IF71" s="295"/>
      <c r="IG71" s="295"/>
      <c r="IH71" s="295"/>
      <c r="II71" s="295"/>
      <c r="IJ71" s="295"/>
      <c r="IK71" s="295"/>
      <c r="IL71" s="295"/>
      <c r="IM71" s="295"/>
      <c r="IN71" s="295"/>
      <c r="IO71" s="295"/>
      <c r="IP71" s="295"/>
      <c r="IQ71" s="295"/>
      <c r="IR71" s="295"/>
      <c r="IS71" s="295"/>
      <c r="IT71" s="295"/>
      <c r="IU71" s="295"/>
      <c r="IV71" s="295"/>
      <c r="IW71" s="295"/>
    </row>
    <row r="72" customFormat="false" ht="11.25" hidden="true" customHeight="false" outlineLevel="0" collapsed="false">
      <c r="A72" s="295"/>
      <c r="B72" s="615"/>
      <c r="C72" s="615"/>
      <c r="D72" s="615"/>
      <c r="E72" s="615"/>
      <c r="F72" s="615"/>
      <c r="G72" s="615"/>
      <c r="H72" s="615"/>
      <c r="I72" s="615"/>
      <c r="J72" s="615"/>
      <c r="K72" s="615"/>
      <c r="L72" s="615"/>
      <c r="M72" s="615"/>
      <c r="N72" s="615"/>
      <c r="O72" s="615"/>
      <c r="P72" s="615"/>
      <c r="Q72" s="615"/>
      <c r="R72" s="615"/>
      <c r="S72" s="615"/>
      <c r="T72" s="615"/>
      <c r="U72" s="615"/>
      <c r="V72" s="615"/>
      <c r="W72" s="615"/>
      <c r="X72" s="615"/>
      <c r="Y72" s="615"/>
      <c r="Z72" s="615"/>
      <c r="AA72" s="615"/>
      <c r="AB72" s="615"/>
      <c r="AC72" s="615"/>
      <c r="AD72" s="615"/>
      <c r="AE72" s="615"/>
      <c r="AF72" s="615"/>
      <c r="AG72" s="615"/>
      <c r="AH72" s="615"/>
      <c r="AI72" s="615"/>
      <c r="AJ72" s="615"/>
      <c r="AK72" s="615"/>
      <c r="AL72" s="615"/>
      <c r="AM72" s="615"/>
      <c r="AN72" s="615"/>
      <c r="AO72" s="615"/>
      <c r="AP72" s="61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5"/>
      <c r="BS72" s="295"/>
      <c r="BT72" s="295"/>
      <c r="BU72" s="295"/>
      <c r="BV72" s="295"/>
      <c r="BW72" s="295"/>
      <c r="BX72" s="295"/>
      <c r="BY72" s="295"/>
      <c r="BZ72" s="295"/>
      <c r="CA72" s="295"/>
      <c r="CB72" s="295"/>
      <c r="CC72" s="295"/>
      <c r="CD72" s="295"/>
      <c r="CE72" s="295"/>
      <c r="CF72" s="295"/>
      <c r="CG72" s="295"/>
      <c r="CH72" s="295"/>
      <c r="CI72" s="295"/>
      <c r="CJ72" s="295"/>
      <c r="CK72" s="295"/>
      <c r="CL72" s="295"/>
      <c r="CM72" s="295"/>
      <c r="CN72" s="295"/>
      <c r="CO72" s="295"/>
      <c r="CP72" s="295"/>
      <c r="CQ72" s="295"/>
      <c r="CR72" s="295"/>
      <c r="CS72" s="295"/>
      <c r="CT72" s="295"/>
      <c r="CU72" s="295"/>
      <c r="CV72" s="295"/>
      <c r="CW72" s="295"/>
      <c r="CX72" s="295"/>
      <c r="CY72" s="295"/>
      <c r="CZ72" s="295"/>
      <c r="DA72" s="295"/>
      <c r="DB72" s="295"/>
      <c r="DC72" s="295"/>
      <c r="DD72" s="295"/>
      <c r="DE72" s="295"/>
      <c r="DF72" s="295"/>
      <c r="DG72" s="295"/>
      <c r="DH72" s="295"/>
      <c r="DI72" s="295"/>
      <c r="DJ72" s="295"/>
      <c r="DK72" s="295"/>
      <c r="DL72" s="295"/>
      <c r="DM72" s="295"/>
      <c r="DN72" s="295"/>
      <c r="DO72" s="295"/>
      <c r="DP72" s="295"/>
      <c r="DQ72" s="295"/>
      <c r="DR72" s="295"/>
      <c r="DS72" s="295"/>
      <c r="DT72" s="295"/>
      <c r="DU72" s="295"/>
      <c r="DV72" s="295"/>
      <c r="DW72" s="295"/>
      <c r="DX72" s="295"/>
      <c r="DY72" s="295"/>
      <c r="DZ72" s="295"/>
      <c r="EA72" s="295"/>
      <c r="EB72" s="295"/>
      <c r="EC72" s="295"/>
      <c r="ED72" s="295"/>
      <c r="EE72" s="295"/>
      <c r="EF72" s="295"/>
      <c r="EG72" s="295"/>
      <c r="EH72" s="295"/>
      <c r="EI72" s="295"/>
      <c r="EJ72" s="295"/>
      <c r="EK72" s="295"/>
      <c r="EL72" s="295"/>
      <c r="EM72" s="295"/>
      <c r="EN72" s="295"/>
      <c r="EO72" s="295"/>
      <c r="EP72" s="295"/>
      <c r="EQ72" s="295"/>
      <c r="ER72" s="295"/>
      <c r="ES72" s="295"/>
      <c r="ET72" s="295"/>
      <c r="EU72" s="295"/>
      <c r="EV72" s="295"/>
      <c r="EW72" s="295"/>
      <c r="EX72" s="295"/>
      <c r="EY72" s="295"/>
      <c r="EZ72" s="295"/>
      <c r="FA72" s="295"/>
      <c r="FB72" s="295"/>
      <c r="FC72" s="295"/>
      <c r="FD72" s="295"/>
      <c r="FE72" s="295"/>
      <c r="FF72" s="295"/>
      <c r="FG72" s="295"/>
      <c r="FH72" s="295"/>
      <c r="FI72" s="295"/>
      <c r="FJ72" s="295"/>
      <c r="FK72" s="295"/>
      <c r="FL72" s="295"/>
      <c r="FM72" s="295"/>
      <c r="FN72" s="295"/>
      <c r="FO72" s="295"/>
      <c r="FP72" s="295"/>
      <c r="FQ72" s="295"/>
      <c r="FR72" s="295"/>
      <c r="FS72" s="295"/>
      <c r="FT72" s="295"/>
      <c r="FU72" s="295"/>
      <c r="FV72" s="295"/>
      <c r="FW72" s="295"/>
      <c r="FX72" s="295"/>
      <c r="FY72" s="295"/>
      <c r="FZ72" s="295"/>
      <c r="GA72" s="295"/>
      <c r="GB72" s="295"/>
      <c r="GC72" s="295"/>
      <c r="GD72" s="295"/>
      <c r="GE72" s="295"/>
      <c r="GF72" s="295"/>
      <c r="GG72" s="295"/>
      <c r="GH72" s="295"/>
      <c r="GI72" s="295"/>
      <c r="GJ72" s="295"/>
      <c r="GK72" s="295"/>
      <c r="GL72" s="295"/>
      <c r="GM72" s="295"/>
      <c r="GN72" s="295"/>
      <c r="GO72" s="295"/>
      <c r="GP72" s="295"/>
      <c r="GQ72" s="295"/>
      <c r="GR72" s="295"/>
      <c r="GS72" s="295"/>
      <c r="GT72" s="295"/>
      <c r="GU72" s="295"/>
      <c r="GV72" s="295"/>
      <c r="GW72" s="295"/>
      <c r="GX72" s="295"/>
      <c r="GY72" s="295"/>
      <c r="GZ72" s="295"/>
      <c r="HA72" s="295"/>
      <c r="HB72" s="295"/>
      <c r="HC72" s="295"/>
      <c r="HD72" s="295"/>
      <c r="HE72" s="295"/>
      <c r="HF72" s="295"/>
      <c r="HG72" s="295"/>
      <c r="HH72" s="295"/>
      <c r="HI72" s="295"/>
      <c r="HJ72" s="295"/>
      <c r="HK72" s="295"/>
      <c r="HL72" s="295"/>
      <c r="HM72" s="295"/>
      <c r="HN72" s="295"/>
      <c r="HO72" s="295"/>
      <c r="HP72" s="295"/>
      <c r="HQ72" s="295"/>
      <c r="HR72" s="295"/>
      <c r="HS72" s="295"/>
      <c r="HT72" s="295"/>
      <c r="HU72" s="295"/>
      <c r="HV72" s="295"/>
      <c r="HW72" s="295"/>
      <c r="HX72" s="295"/>
      <c r="HY72" s="295"/>
      <c r="HZ72" s="295"/>
      <c r="IA72" s="295"/>
      <c r="IB72" s="295"/>
      <c r="IC72" s="295"/>
      <c r="ID72" s="295"/>
      <c r="IE72" s="295"/>
      <c r="IF72" s="295"/>
      <c r="IG72" s="295"/>
      <c r="IH72" s="295"/>
      <c r="II72" s="295"/>
      <c r="IJ72" s="295"/>
      <c r="IK72" s="295"/>
      <c r="IL72" s="295"/>
      <c r="IM72" s="295"/>
      <c r="IN72" s="295"/>
      <c r="IO72" s="295"/>
      <c r="IP72" s="295"/>
      <c r="IQ72" s="295"/>
      <c r="IR72" s="295"/>
      <c r="IS72" s="295"/>
      <c r="IT72" s="295"/>
      <c r="IU72" s="295"/>
      <c r="IV72" s="295"/>
      <c r="IW72" s="295"/>
    </row>
    <row r="73" customFormat="false" ht="11.25" hidden="true" customHeight="false" outlineLevel="0" collapsed="false">
      <c r="A73" s="295"/>
      <c r="B73" s="295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5"/>
      <c r="BQ73" s="295"/>
      <c r="BR73" s="295"/>
      <c r="BS73" s="295"/>
      <c r="BT73" s="295"/>
      <c r="BU73" s="295"/>
      <c r="BV73" s="295"/>
      <c r="BW73" s="295"/>
      <c r="BX73" s="295"/>
      <c r="BY73" s="295"/>
      <c r="BZ73" s="295"/>
      <c r="CA73" s="295"/>
      <c r="CB73" s="295"/>
      <c r="CC73" s="295"/>
      <c r="CD73" s="295"/>
      <c r="CE73" s="295"/>
      <c r="CF73" s="295"/>
      <c r="CG73" s="295"/>
      <c r="CH73" s="295"/>
      <c r="CI73" s="295"/>
      <c r="CJ73" s="295"/>
      <c r="CK73" s="295"/>
      <c r="CL73" s="295"/>
      <c r="CM73" s="295"/>
      <c r="CN73" s="295"/>
      <c r="CO73" s="295"/>
      <c r="CP73" s="295"/>
      <c r="CQ73" s="295"/>
      <c r="CR73" s="295"/>
      <c r="CS73" s="295"/>
      <c r="CT73" s="295"/>
      <c r="CU73" s="295"/>
      <c r="CV73" s="295"/>
      <c r="CW73" s="295"/>
      <c r="CX73" s="295"/>
      <c r="CY73" s="295"/>
      <c r="CZ73" s="295"/>
      <c r="DA73" s="295"/>
      <c r="DB73" s="295"/>
      <c r="DC73" s="295"/>
      <c r="DD73" s="295"/>
      <c r="DE73" s="295"/>
      <c r="DF73" s="295"/>
      <c r="DG73" s="295"/>
      <c r="DH73" s="295"/>
      <c r="DI73" s="295"/>
      <c r="DJ73" s="295"/>
      <c r="DK73" s="295"/>
      <c r="DL73" s="295"/>
      <c r="DM73" s="295"/>
      <c r="DN73" s="295"/>
      <c r="DO73" s="295"/>
      <c r="DP73" s="295"/>
      <c r="DQ73" s="295"/>
      <c r="DR73" s="295"/>
      <c r="DS73" s="295"/>
      <c r="DT73" s="295"/>
      <c r="DU73" s="295"/>
      <c r="DV73" s="295"/>
      <c r="DW73" s="295"/>
      <c r="DX73" s="295"/>
      <c r="DY73" s="295"/>
      <c r="DZ73" s="295"/>
      <c r="EA73" s="295"/>
      <c r="EB73" s="295"/>
      <c r="EC73" s="295"/>
      <c r="ED73" s="295"/>
      <c r="EE73" s="295"/>
      <c r="EF73" s="295"/>
      <c r="EG73" s="295"/>
      <c r="EH73" s="295"/>
      <c r="EI73" s="295"/>
      <c r="EJ73" s="295"/>
      <c r="EK73" s="295"/>
      <c r="EL73" s="295"/>
      <c r="EM73" s="295"/>
      <c r="EN73" s="295"/>
      <c r="EO73" s="295"/>
      <c r="EP73" s="295"/>
      <c r="EQ73" s="295"/>
      <c r="ER73" s="295"/>
      <c r="ES73" s="295"/>
      <c r="ET73" s="295"/>
      <c r="EU73" s="295"/>
      <c r="EV73" s="295"/>
      <c r="EW73" s="295"/>
      <c r="EX73" s="295"/>
      <c r="EY73" s="295"/>
      <c r="EZ73" s="295"/>
      <c r="FA73" s="295"/>
      <c r="FB73" s="295"/>
      <c r="FC73" s="295"/>
      <c r="FD73" s="295"/>
      <c r="FE73" s="295"/>
      <c r="FF73" s="295"/>
      <c r="FG73" s="295"/>
      <c r="FH73" s="295"/>
      <c r="FI73" s="295"/>
      <c r="FJ73" s="295"/>
      <c r="FK73" s="295"/>
      <c r="FL73" s="295"/>
      <c r="FM73" s="295"/>
      <c r="FN73" s="295"/>
      <c r="FO73" s="295"/>
      <c r="FP73" s="295"/>
      <c r="FQ73" s="295"/>
      <c r="FR73" s="295"/>
      <c r="FS73" s="295"/>
      <c r="FT73" s="295"/>
      <c r="FU73" s="295"/>
      <c r="FV73" s="295"/>
      <c r="FW73" s="295"/>
      <c r="FX73" s="295"/>
      <c r="FY73" s="295"/>
      <c r="FZ73" s="295"/>
      <c r="GA73" s="295"/>
      <c r="GB73" s="295"/>
      <c r="GC73" s="295"/>
      <c r="GD73" s="295"/>
      <c r="GE73" s="295"/>
      <c r="GF73" s="295"/>
      <c r="GG73" s="295"/>
      <c r="GH73" s="295"/>
      <c r="GI73" s="295"/>
      <c r="GJ73" s="295"/>
      <c r="GK73" s="295"/>
      <c r="GL73" s="295"/>
      <c r="GM73" s="295"/>
      <c r="GN73" s="295"/>
      <c r="GO73" s="295"/>
      <c r="GP73" s="295"/>
      <c r="GQ73" s="295"/>
      <c r="GR73" s="295"/>
      <c r="GS73" s="295"/>
      <c r="GT73" s="295"/>
      <c r="GU73" s="295"/>
      <c r="GV73" s="295"/>
      <c r="GW73" s="295"/>
      <c r="GX73" s="295"/>
      <c r="GY73" s="295"/>
      <c r="GZ73" s="295"/>
      <c r="HA73" s="295"/>
      <c r="HB73" s="295"/>
      <c r="HC73" s="295"/>
      <c r="HD73" s="295"/>
      <c r="HE73" s="295"/>
      <c r="HF73" s="295"/>
      <c r="HG73" s="295"/>
      <c r="HH73" s="295"/>
      <c r="HI73" s="295"/>
      <c r="HJ73" s="295"/>
      <c r="HK73" s="295"/>
      <c r="HL73" s="295"/>
      <c r="HM73" s="295"/>
      <c r="HN73" s="295"/>
      <c r="HO73" s="295"/>
      <c r="HP73" s="295"/>
      <c r="HQ73" s="295"/>
      <c r="HR73" s="295"/>
      <c r="HS73" s="295"/>
      <c r="HT73" s="295"/>
      <c r="HU73" s="295"/>
      <c r="HV73" s="295"/>
      <c r="HW73" s="295"/>
      <c r="HX73" s="295"/>
      <c r="HY73" s="295"/>
      <c r="HZ73" s="295"/>
      <c r="IA73" s="295"/>
      <c r="IB73" s="295"/>
      <c r="IC73" s="295"/>
      <c r="ID73" s="295"/>
      <c r="IE73" s="295"/>
      <c r="IF73" s="295"/>
      <c r="IG73" s="295"/>
      <c r="IH73" s="295"/>
      <c r="II73" s="295"/>
      <c r="IJ73" s="295"/>
      <c r="IK73" s="295"/>
      <c r="IL73" s="295"/>
      <c r="IM73" s="295"/>
      <c r="IN73" s="295"/>
      <c r="IO73" s="295"/>
      <c r="IP73" s="295"/>
      <c r="IQ73" s="295"/>
      <c r="IR73" s="295"/>
      <c r="IS73" s="295"/>
      <c r="IT73" s="295"/>
      <c r="IU73" s="295"/>
      <c r="IV73" s="295"/>
      <c r="IW73" s="295"/>
    </row>
    <row r="74" customFormat="false" ht="11.25" hidden="false" customHeight="false" outlineLevel="0" collapsed="false">
      <c r="A74" s="295"/>
      <c r="B74" s="295"/>
      <c r="C74" s="616"/>
      <c r="D74" s="549"/>
      <c r="E74" s="616"/>
      <c r="F74" s="616"/>
      <c r="G74" s="616"/>
      <c r="H74" s="510"/>
      <c r="I74" s="616"/>
      <c r="J74" s="616"/>
      <c r="K74" s="616"/>
      <c r="L74" s="616"/>
      <c r="M74" s="616"/>
      <c r="N74" s="616"/>
      <c r="O74" s="616"/>
      <c r="P74" s="616"/>
      <c r="Q74" s="616"/>
      <c r="R74" s="616"/>
      <c r="S74" s="616"/>
      <c r="T74" s="616"/>
      <c r="U74" s="616"/>
      <c r="V74" s="616"/>
      <c r="W74" s="616"/>
      <c r="X74" s="616"/>
      <c r="Y74" s="616"/>
      <c r="Z74" s="616"/>
      <c r="AA74" s="616"/>
      <c r="AB74" s="616"/>
      <c r="AC74" s="616"/>
      <c r="AD74" s="616"/>
      <c r="AE74" s="616"/>
      <c r="AF74" s="616"/>
      <c r="AG74" s="616"/>
      <c r="AH74" s="616"/>
      <c r="AI74" s="616"/>
      <c r="AJ74" s="616"/>
      <c r="AK74" s="616"/>
      <c r="AL74" s="616"/>
      <c r="AM74" s="616"/>
      <c r="AN74" s="616"/>
      <c r="AO74" s="616"/>
      <c r="AP74" s="616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5"/>
      <c r="BQ74" s="295"/>
      <c r="BR74" s="295"/>
      <c r="BS74" s="295"/>
      <c r="BT74" s="295"/>
      <c r="BU74" s="295"/>
      <c r="BV74" s="295"/>
      <c r="BW74" s="295"/>
      <c r="BX74" s="295"/>
      <c r="BY74" s="295"/>
      <c r="BZ74" s="295"/>
      <c r="CA74" s="295"/>
      <c r="CB74" s="295"/>
      <c r="CC74" s="295"/>
      <c r="CD74" s="295"/>
      <c r="CE74" s="295"/>
      <c r="CF74" s="295"/>
      <c r="CG74" s="295"/>
      <c r="CH74" s="295"/>
      <c r="CI74" s="295"/>
      <c r="CJ74" s="295"/>
      <c r="CK74" s="295"/>
      <c r="CL74" s="295"/>
      <c r="CM74" s="295"/>
      <c r="CN74" s="295"/>
      <c r="CO74" s="295"/>
      <c r="CP74" s="295"/>
      <c r="CQ74" s="295"/>
      <c r="CR74" s="295"/>
      <c r="CS74" s="295"/>
      <c r="CT74" s="295"/>
      <c r="CU74" s="295"/>
      <c r="CV74" s="295"/>
      <c r="CW74" s="295"/>
      <c r="CX74" s="295"/>
      <c r="CY74" s="295"/>
      <c r="CZ74" s="295"/>
      <c r="DA74" s="295"/>
      <c r="DB74" s="295"/>
      <c r="DC74" s="295"/>
      <c r="DD74" s="295"/>
      <c r="DE74" s="295"/>
      <c r="DF74" s="295"/>
      <c r="DG74" s="295"/>
      <c r="DH74" s="295"/>
      <c r="DI74" s="295"/>
      <c r="DJ74" s="295"/>
      <c r="DK74" s="295"/>
      <c r="DL74" s="295"/>
      <c r="DM74" s="295"/>
      <c r="DN74" s="295"/>
      <c r="DO74" s="295"/>
      <c r="DP74" s="295"/>
      <c r="DQ74" s="295"/>
      <c r="DR74" s="295"/>
      <c r="DS74" s="295"/>
      <c r="DT74" s="295"/>
      <c r="DU74" s="295"/>
      <c r="DV74" s="295"/>
      <c r="DW74" s="295"/>
      <c r="DX74" s="295"/>
      <c r="DY74" s="295"/>
      <c r="DZ74" s="295"/>
      <c r="EA74" s="295"/>
      <c r="EB74" s="295"/>
      <c r="EC74" s="295"/>
      <c r="ED74" s="295"/>
      <c r="EE74" s="295"/>
      <c r="EF74" s="295"/>
      <c r="EG74" s="295"/>
      <c r="EH74" s="295"/>
      <c r="EI74" s="295"/>
      <c r="EJ74" s="295"/>
      <c r="EK74" s="295"/>
      <c r="EL74" s="295"/>
      <c r="EM74" s="295"/>
      <c r="EN74" s="295"/>
      <c r="EO74" s="295"/>
      <c r="EP74" s="295"/>
      <c r="EQ74" s="295"/>
      <c r="ER74" s="295"/>
      <c r="ES74" s="295"/>
      <c r="ET74" s="295"/>
      <c r="EU74" s="295"/>
      <c r="EV74" s="295"/>
      <c r="EW74" s="295"/>
      <c r="EX74" s="295"/>
      <c r="EY74" s="295"/>
      <c r="EZ74" s="295"/>
      <c r="FA74" s="295"/>
      <c r="FB74" s="295"/>
      <c r="FC74" s="295"/>
      <c r="FD74" s="295"/>
      <c r="FE74" s="295"/>
      <c r="FF74" s="295"/>
      <c r="FG74" s="295"/>
      <c r="FH74" s="295"/>
      <c r="FI74" s="295"/>
      <c r="FJ74" s="295"/>
      <c r="FK74" s="295"/>
      <c r="FL74" s="295"/>
      <c r="FM74" s="295"/>
      <c r="FN74" s="295"/>
      <c r="FO74" s="295"/>
      <c r="FP74" s="295"/>
      <c r="FQ74" s="295"/>
      <c r="FR74" s="295"/>
      <c r="FS74" s="295"/>
      <c r="FT74" s="295"/>
      <c r="FU74" s="295"/>
      <c r="FV74" s="295"/>
      <c r="FW74" s="295"/>
      <c r="FX74" s="295"/>
      <c r="FY74" s="295"/>
      <c r="FZ74" s="295"/>
      <c r="GA74" s="295"/>
      <c r="GB74" s="295"/>
      <c r="GC74" s="295"/>
      <c r="GD74" s="295"/>
      <c r="GE74" s="295"/>
      <c r="GF74" s="295"/>
      <c r="GG74" s="295"/>
      <c r="GH74" s="295"/>
      <c r="GI74" s="295"/>
      <c r="GJ74" s="295"/>
      <c r="GK74" s="295"/>
      <c r="GL74" s="295"/>
      <c r="GM74" s="295"/>
      <c r="GN74" s="295"/>
      <c r="GO74" s="295"/>
      <c r="GP74" s="295"/>
      <c r="GQ74" s="295"/>
      <c r="GR74" s="295"/>
      <c r="GS74" s="295"/>
      <c r="GT74" s="295"/>
      <c r="GU74" s="295"/>
      <c r="GV74" s="295"/>
      <c r="GW74" s="295"/>
      <c r="GX74" s="295"/>
      <c r="GY74" s="295"/>
      <c r="GZ74" s="295"/>
      <c r="HA74" s="295"/>
      <c r="HB74" s="295"/>
      <c r="HC74" s="295"/>
      <c r="HD74" s="295"/>
      <c r="HE74" s="295"/>
      <c r="HF74" s="295"/>
      <c r="HG74" s="295"/>
      <c r="HH74" s="295"/>
      <c r="HI74" s="295"/>
      <c r="HJ74" s="295"/>
      <c r="HK74" s="295"/>
      <c r="HL74" s="295"/>
      <c r="HM74" s="295"/>
      <c r="HN74" s="295"/>
      <c r="HO74" s="295"/>
      <c r="HP74" s="295"/>
      <c r="HQ74" s="295"/>
      <c r="HR74" s="295"/>
      <c r="HS74" s="295"/>
      <c r="HT74" s="295"/>
      <c r="HU74" s="295"/>
      <c r="HV74" s="295"/>
      <c r="HW74" s="295"/>
      <c r="HX74" s="295"/>
      <c r="HY74" s="295"/>
      <c r="HZ74" s="295"/>
      <c r="IA74" s="295"/>
      <c r="IB74" s="295"/>
      <c r="IC74" s="295"/>
      <c r="ID74" s="295"/>
      <c r="IE74" s="295"/>
      <c r="IF74" s="295"/>
      <c r="IG74" s="295"/>
      <c r="IH74" s="295"/>
      <c r="II74" s="295"/>
      <c r="IJ74" s="295"/>
      <c r="IK74" s="295"/>
      <c r="IL74" s="295"/>
      <c r="IM74" s="295"/>
      <c r="IN74" s="295"/>
      <c r="IO74" s="295"/>
      <c r="IP74" s="295"/>
      <c r="IQ74" s="295"/>
      <c r="IR74" s="295"/>
      <c r="IS74" s="295"/>
      <c r="IT74" s="295"/>
      <c r="IU74" s="295"/>
      <c r="IV74" s="295"/>
      <c r="IW74" s="295"/>
    </row>
    <row r="75" customFormat="false" ht="11.25" hidden="false" customHeight="false" outlineLevel="0" collapsed="false">
      <c r="A75" s="295"/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5"/>
      <c r="BQ75" s="295"/>
      <c r="BR75" s="295"/>
      <c r="BS75" s="295"/>
      <c r="BT75" s="295"/>
      <c r="BU75" s="295"/>
      <c r="BV75" s="295"/>
      <c r="BW75" s="295"/>
      <c r="BX75" s="295"/>
      <c r="BY75" s="295"/>
      <c r="BZ75" s="295"/>
      <c r="CA75" s="295"/>
      <c r="CB75" s="295"/>
      <c r="CC75" s="295"/>
      <c r="CD75" s="295"/>
      <c r="CE75" s="295"/>
      <c r="CF75" s="295"/>
      <c r="CG75" s="295"/>
      <c r="CH75" s="295"/>
      <c r="CI75" s="295"/>
      <c r="CJ75" s="295"/>
      <c r="CK75" s="295"/>
      <c r="CL75" s="295"/>
      <c r="CM75" s="295"/>
      <c r="CN75" s="295"/>
      <c r="CO75" s="295"/>
      <c r="CP75" s="295"/>
      <c r="CQ75" s="295"/>
      <c r="CR75" s="295"/>
      <c r="CS75" s="295"/>
      <c r="CT75" s="295"/>
      <c r="CU75" s="295"/>
      <c r="CV75" s="295"/>
      <c r="CW75" s="295"/>
      <c r="CX75" s="295"/>
      <c r="CY75" s="295"/>
      <c r="CZ75" s="295"/>
      <c r="DA75" s="295"/>
      <c r="DB75" s="295"/>
      <c r="DC75" s="295"/>
      <c r="DD75" s="295"/>
      <c r="DE75" s="295"/>
      <c r="DF75" s="295"/>
      <c r="DG75" s="295"/>
      <c r="DH75" s="295"/>
      <c r="DI75" s="295"/>
      <c r="DJ75" s="295"/>
      <c r="DK75" s="295"/>
      <c r="DL75" s="295"/>
      <c r="DM75" s="295"/>
      <c r="DN75" s="295"/>
      <c r="DO75" s="295"/>
      <c r="DP75" s="295"/>
      <c r="DQ75" s="295"/>
      <c r="DR75" s="295"/>
      <c r="DS75" s="295"/>
      <c r="DT75" s="295"/>
      <c r="DU75" s="295"/>
      <c r="DV75" s="295"/>
      <c r="DW75" s="295"/>
      <c r="DX75" s="295"/>
      <c r="DY75" s="295"/>
      <c r="DZ75" s="295"/>
      <c r="EA75" s="295"/>
      <c r="EB75" s="295"/>
      <c r="EC75" s="295"/>
      <c r="ED75" s="295"/>
      <c r="EE75" s="295"/>
      <c r="EF75" s="295"/>
      <c r="EG75" s="295"/>
      <c r="EH75" s="295"/>
      <c r="EI75" s="295"/>
      <c r="EJ75" s="295"/>
      <c r="EK75" s="295"/>
      <c r="EL75" s="295"/>
      <c r="EM75" s="295"/>
      <c r="EN75" s="295"/>
      <c r="EO75" s="295"/>
      <c r="EP75" s="295"/>
      <c r="EQ75" s="295"/>
      <c r="ER75" s="295"/>
      <c r="ES75" s="295"/>
      <c r="ET75" s="295"/>
      <c r="EU75" s="295"/>
      <c r="EV75" s="295"/>
      <c r="EW75" s="295"/>
      <c r="EX75" s="295"/>
      <c r="EY75" s="295"/>
      <c r="EZ75" s="295"/>
      <c r="FA75" s="295"/>
      <c r="FB75" s="295"/>
      <c r="FC75" s="295"/>
      <c r="FD75" s="295"/>
      <c r="FE75" s="295"/>
      <c r="FF75" s="295"/>
      <c r="FG75" s="295"/>
      <c r="FH75" s="295"/>
      <c r="FI75" s="295"/>
      <c r="FJ75" s="295"/>
      <c r="FK75" s="295"/>
      <c r="FL75" s="295"/>
      <c r="FM75" s="295"/>
      <c r="FN75" s="295"/>
      <c r="FO75" s="295"/>
      <c r="FP75" s="295"/>
      <c r="FQ75" s="295"/>
      <c r="FR75" s="295"/>
      <c r="FS75" s="295"/>
      <c r="FT75" s="295"/>
      <c r="FU75" s="295"/>
      <c r="FV75" s="295"/>
      <c r="FW75" s="295"/>
      <c r="FX75" s="295"/>
      <c r="FY75" s="295"/>
      <c r="FZ75" s="295"/>
      <c r="GA75" s="295"/>
      <c r="GB75" s="295"/>
      <c r="GC75" s="295"/>
      <c r="GD75" s="295"/>
      <c r="GE75" s="295"/>
      <c r="GF75" s="295"/>
      <c r="GG75" s="295"/>
      <c r="GH75" s="295"/>
      <c r="GI75" s="295"/>
      <c r="GJ75" s="295"/>
      <c r="GK75" s="295"/>
      <c r="GL75" s="295"/>
      <c r="GM75" s="295"/>
      <c r="GN75" s="295"/>
      <c r="GO75" s="295"/>
      <c r="GP75" s="295"/>
      <c r="GQ75" s="295"/>
      <c r="GR75" s="295"/>
      <c r="GS75" s="295"/>
      <c r="GT75" s="295"/>
      <c r="GU75" s="295"/>
      <c r="GV75" s="295"/>
      <c r="GW75" s="295"/>
      <c r="GX75" s="295"/>
      <c r="GY75" s="295"/>
      <c r="GZ75" s="295"/>
      <c r="HA75" s="295"/>
      <c r="HB75" s="295"/>
      <c r="HC75" s="295"/>
      <c r="HD75" s="295"/>
      <c r="HE75" s="295"/>
      <c r="HF75" s="295"/>
      <c r="HG75" s="295"/>
      <c r="HH75" s="295"/>
      <c r="HI75" s="295"/>
      <c r="HJ75" s="295"/>
      <c r="HK75" s="295"/>
      <c r="HL75" s="295"/>
      <c r="HM75" s="295"/>
      <c r="HN75" s="295"/>
      <c r="HO75" s="295"/>
      <c r="HP75" s="295"/>
      <c r="HQ75" s="295"/>
      <c r="HR75" s="295"/>
      <c r="HS75" s="295"/>
      <c r="HT75" s="295"/>
      <c r="HU75" s="295"/>
      <c r="HV75" s="295"/>
      <c r="HW75" s="295"/>
      <c r="HX75" s="295"/>
      <c r="HY75" s="295"/>
      <c r="HZ75" s="295"/>
      <c r="IA75" s="295"/>
      <c r="IB75" s="295"/>
      <c r="IC75" s="295"/>
      <c r="ID75" s="295"/>
      <c r="IE75" s="295"/>
      <c r="IF75" s="295"/>
      <c r="IG75" s="295"/>
      <c r="IH75" s="295"/>
      <c r="II75" s="295"/>
      <c r="IJ75" s="295"/>
      <c r="IK75" s="295"/>
      <c r="IL75" s="295"/>
      <c r="IM75" s="295"/>
      <c r="IN75" s="295"/>
      <c r="IO75" s="295"/>
      <c r="IP75" s="295"/>
      <c r="IQ75" s="295"/>
      <c r="IR75" s="295"/>
      <c r="IS75" s="295"/>
      <c r="IT75" s="295"/>
      <c r="IU75" s="295"/>
      <c r="IV75" s="295"/>
      <c r="IW75" s="295"/>
    </row>
    <row r="76" customFormat="false" ht="11.25" hidden="false" customHeight="false" outlineLevel="0" collapsed="false">
      <c r="A76" s="295"/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5"/>
      <c r="BN76" s="295"/>
      <c r="BO76" s="295"/>
      <c r="BP76" s="295"/>
      <c r="BQ76" s="295"/>
      <c r="BR76" s="295"/>
      <c r="BS76" s="295"/>
      <c r="BT76" s="295"/>
      <c r="BU76" s="295"/>
      <c r="BV76" s="295"/>
      <c r="BW76" s="295"/>
      <c r="BX76" s="295"/>
      <c r="BY76" s="295"/>
      <c r="BZ76" s="295"/>
      <c r="CA76" s="295"/>
      <c r="CB76" s="295"/>
      <c r="CC76" s="295"/>
      <c r="CD76" s="295"/>
      <c r="CE76" s="295"/>
      <c r="CF76" s="295"/>
      <c r="CG76" s="295"/>
      <c r="CH76" s="295"/>
      <c r="CI76" s="295"/>
      <c r="CJ76" s="295"/>
      <c r="CK76" s="295"/>
      <c r="CL76" s="295"/>
      <c r="CM76" s="295"/>
      <c r="CN76" s="295"/>
      <c r="CO76" s="295"/>
      <c r="CP76" s="295"/>
      <c r="CQ76" s="295"/>
      <c r="CR76" s="295"/>
      <c r="CS76" s="295"/>
      <c r="CT76" s="295"/>
      <c r="CU76" s="295"/>
      <c r="CV76" s="295"/>
      <c r="CW76" s="295"/>
      <c r="CX76" s="295"/>
      <c r="CY76" s="295"/>
      <c r="CZ76" s="295"/>
      <c r="DA76" s="295"/>
      <c r="DB76" s="295"/>
      <c r="DC76" s="295"/>
      <c r="DD76" s="295"/>
      <c r="DE76" s="295"/>
      <c r="DF76" s="295"/>
      <c r="DG76" s="295"/>
      <c r="DH76" s="295"/>
      <c r="DI76" s="295"/>
      <c r="DJ76" s="295"/>
      <c r="DK76" s="295"/>
      <c r="DL76" s="295"/>
      <c r="DM76" s="295"/>
      <c r="DN76" s="295"/>
      <c r="DO76" s="295"/>
      <c r="DP76" s="295"/>
      <c r="DQ76" s="295"/>
      <c r="DR76" s="295"/>
      <c r="DS76" s="295"/>
      <c r="DT76" s="295"/>
      <c r="DU76" s="295"/>
      <c r="DV76" s="295"/>
      <c r="DW76" s="295"/>
      <c r="DX76" s="295"/>
      <c r="DY76" s="295"/>
      <c r="DZ76" s="295"/>
      <c r="EA76" s="295"/>
      <c r="EB76" s="295"/>
      <c r="EC76" s="295"/>
      <c r="ED76" s="295"/>
      <c r="EE76" s="295"/>
      <c r="EF76" s="295"/>
      <c r="EG76" s="295"/>
      <c r="EH76" s="295"/>
      <c r="EI76" s="295"/>
      <c r="EJ76" s="295"/>
      <c r="EK76" s="295"/>
      <c r="EL76" s="295"/>
      <c r="EM76" s="295"/>
      <c r="EN76" s="295"/>
      <c r="EO76" s="295"/>
      <c r="EP76" s="295"/>
      <c r="EQ76" s="295"/>
      <c r="ER76" s="295"/>
      <c r="ES76" s="295"/>
      <c r="ET76" s="295"/>
      <c r="EU76" s="295"/>
      <c r="EV76" s="295"/>
      <c r="EW76" s="295"/>
      <c r="EX76" s="295"/>
      <c r="EY76" s="295"/>
      <c r="EZ76" s="295"/>
      <c r="FA76" s="295"/>
      <c r="FB76" s="295"/>
      <c r="FC76" s="295"/>
      <c r="FD76" s="295"/>
      <c r="FE76" s="295"/>
      <c r="FF76" s="295"/>
      <c r="FG76" s="295"/>
      <c r="FH76" s="295"/>
      <c r="FI76" s="295"/>
      <c r="FJ76" s="295"/>
      <c r="FK76" s="295"/>
      <c r="FL76" s="295"/>
      <c r="FM76" s="295"/>
      <c r="FN76" s="295"/>
      <c r="FO76" s="295"/>
      <c r="FP76" s="295"/>
      <c r="FQ76" s="295"/>
      <c r="FR76" s="295"/>
      <c r="FS76" s="295"/>
      <c r="FT76" s="295"/>
      <c r="FU76" s="295"/>
      <c r="FV76" s="295"/>
      <c r="FW76" s="295"/>
      <c r="FX76" s="295"/>
      <c r="FY76" s="295"/>
      <c r="FZ76" s="295"/>
      <c r="GA76" s="295"/>
      <c r="GB76" s="295"/>
      <c r="GC76" s="295"/>
      <c r="GD76" s="295"/>
      <c r="GE76" s="295"/>
      <c r="GF76" s="295"/>
      <c r="GG76" s="295"/>
      <c r="GH76" s="295"/>
      <c r="GI76" s="295"/>
      <c r="GJ76" s="295"/>
      <c r="GK76" s="295"/>
      <c r="GL76" s="295"/>
      <c r="GM76" s="295"/>
      <c r="GN76" s="295"/>
      <c r="GO76" s="295"/>
      <c r="GP76" s="295"/>
      <c r="GQ76" s="295"/>
      <c r="GR76" s="295"/>
      <c r="GS76" s="295"/>
      <c r="GT76" s="295"/>
      <c r="GU76" s="295"/>
      <c r="GV76" s="295"/>
      <c r="GW76" s="295"/>
      <c r="GX76" s="295"/>
      <c r="GY76" s="295"/>
      <c r="GZ76" s="295"/>
      <c r="HA76" s="295"/>
      <c r="HB76" s="295"/>
      <c r="HC76" s="295"/>
      <c r="HD76" s="295"/>
      <c r="HE76" s="295"/>
      <c r="HF76" s="295"/>
      <c r="HG76" s="295"/>
      <c r="HH76" s="295"/>
      <c r="HI76" s="295"/>
      <c r="HJ76" s="295"/>
      <c r="HK76" s="295"/>
      <c r="HL76" s="295"/>
      <c r="HM76" s="295"/>
      <c r="HN76" s="295"/>
      <c r="HO76" s="295"/>
      <c r="HP76" s="295"/>
      <c r="HQ76" s="295"/>
      <c r="HR76" s="295"/>
      <c r="HS76" s="295"/>
      <c r="HT76" s="295"/>
      <c r="HU76" s="295"/>
      <c r="HV76" s="295"/>
      <c r="HW76" s="295"/>
      <c r="HX76" s="295"/>
      <c r="HY76" s="295"/>
      <c r="HZ76" s="295"/>
      <c r="IA76" s="295"/>
      <c r="IB76" s="295"/>
      <c r="IC76" s="295"/>
      <c r="ID76" s="295"/>
      <c r="IE76" s="295"/>
      <c r="IF76" s="295"/>
      <c r="IG76" s="295"/>
      <c r="IH76" s="295"/>
      <c r="II76" s="295"/>
      <c r="IJ76" s="295"/>
      <c r="IK76" s="295"/>
      <c r="IL76" s="295"/>
      <c r="IM76" s="295"/>
      <c r="IN76" s="295"/>
      <c r="IO76" s="295"/>
      <c r="IP76" s="295"/>
      <c r="IQ76" s="295"/>
      <c r="IR76" s="295"/>
      <c r="IS76" s="295"/>
      <c r="IT76" s="295"/>
      <c r="IU76" s="295"/>
      <c r="IV76" s="295"/>
      <c r="IW76" s="295"/>
    </row>
    <row r="77" customFormat="false" ht="11.25" hidden="false" customHeight="false" outlineLevel="0" collapsed="false">
      <c r="A77" s="563"/>
      <c r="B77" s="563"/>
      <c r="C77" s="563"/>
      <c r="D77" s="434"/>
      <c r="E77" s="434"/>
      <c r="F77" s="434"/>
      <c r="G77" s="434"/>
      <c r="H77" s="434"/>
      <c r="I77" s="434"/>
      <c r="J77" s="434"/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  <c r="Z77" s="434"/>
      <c r="AA77" s="434"/>
      <c r="AB77" s="434"/>
      <c r="AC77" s="434"/>
      <c r="AD77" s="434"/>
      <c r="AE77" s="434"/>
      <c r="AF77" s="434"/>
      <c r="AG77" s="434"/>
      <c r="AH77" s="434"/>
      <c r="AI77" s="434"/>
      <c r="AJ77" s="434"/>
      <c r="AK77" s="434"/>
      <c r="AL77" s="434"/>
      <c r="AM77" s="434"/>
      <c r="AN77" s="434"/>
      <c r="AO77" s="434"/>
      <c r="AP77" s="434"/>
      <c r="AQ77" s="563"/>
      <c r="AR77" s="563"/>
      <c r="AS77" s="563"/>
      <c r="AT77" s="563"/>
      <c r="AU77" s="563"/>
      <c r="AV77" s="563"/>
      <c r="AW77" s="563"/>
      <c r="AX77" s="563"/>
      <c r="AY77" s="563"/>
      <c r="AZ77" s="563"/>
      <c r="BA77" s="563"/>
      <c r="BB77" s="563"/>
      <c r="BC77" s="563"/>
      <c r="BD77" s="563"/>
      <c r="BE77" s="563"/>
      <c r="BF77" s="563"/>
      <c r="BG77" s="563"/>
      <c r="BH77" s="563"/>
      <c r="BI77" s="563"/>
      <c r="BJ77" s="563"/>
      <c r="BK77" s="563"/>
      <c r="BL77" s="563"/>
      <c r="BM77" s="563"/>
      <c r="BN77" s="563"/>
      <c r="BO77" s="563"/>
      <c r="BP77" s="563"/>
      <c r="BQ77" s="563"/>
      <c r="BR77" s="563"/>
      <c r="BS77" s="563"/>
      <c r="BT77" s="563"/>
      <c r="BU77" s="563"/>
      <c r="BV77" s="563"/>
      <c r="BW77" s="563"/>
      <c r="BX77" s="563"/>
      <c r="BY77" s="563"/>
      <c r="BZ77" s="563"/>
      <c r="CA77" s="563"/>
      <c r="CB77" s="563"/>
      <c r="CC77" s="563"/>
      <c r="CD77" s="563"/>
      <c r="CE77" s="563"/>
      <c r="CF77" s="563"/>
      <c r="CG77" s="563"/>
      <c r="CH77" s="563"/>
      <c r="CI77" s="563"/>
      <c r="CJ77" s="563"/>
      <c r="CK77" s="563"/>
      <c r="CL77" s="563"/>
      <c r="CM77" s="563"/>
      <c r="CN77" s="563"/>
      <c r="CO77" s="563"/>
      <c r="CP77" s="563"/>
      <c r="CQ77" s="563"/>
      <c r="CR77" s="563"/>
      <c r="CS77" s="563"/>
      <c r="CT77" s="563"/>
      <c r="CU77" s="563"/>
      <c r="CV77" s="563"/>
      <c r="CW77" s="563"/>
      <c r="CX77" s="563"/>
      <c r="CY77" s="563"/>
      <c r="CZ77" s="563"/>
      <c r="DA77" s="563"/>
      <c r="DB77" s="563"/>
      <c r="DC77" s="563"/>
      <c r="DD77" s="563"/>
      <c r="DE77" s="563"/>
      <c r="DF77" s="563"/>
      <c r="DG77" s="563"/>
      <c r="DH77" s="563"/>
      <c r="DI77" s="563"/>
      <c r="DJ77" s="563"/>
      <c r="DK77" s="563"/>
      <c r="DL77" s="563"/>
      <c r="DM77" s="563"/>
      <c r="DN77" s="563"/>
      <c r="DO77" s="563"/>
      <c r="DP77" s="563"/>
      <c r="DQ77" s="563"/>
      <c r="DR77" s="563"/>
      <c r="DS77" s="563"/>
      <c r="DT77" s="563"/>
      <c r="DU77" s="563"/>
      <c r="DV77" s="563"/>
      <c r="DW77" s="563"/>
      <c r="DX77" s="563"/>
      <c r="DY77" s="563"/>
      <c r="DZ77" s="563"/>
      <c r="EA77" s="563"/>
      <c r="EB77" s="563"/>
      <c r="EC77" s="563"/>
      <c r="ED77" s="563"/>
      <c r="EE77" s="563"/>
      <c r="EF77" s="563"/>
      <c r="EG77" s="563"/>
      <c r="EH77" s="563"/>
      <c r="EI77" s="563"/>
      <c r="EJ77" s="563"/>
      <c r="EK77" s="563"/>
      <c r="EL77" s="563"/>
      <c r="EM77" s="563"/>
      <c r="EN77" s="563"/>
      <c r="EO77" s="563"/>
      <c r="EP77" s="563"/>
      <c r="EQ77" s="563"/>
      <c r="ER77" s="563"/>
      <c r="ES77" s="563"/>
      <c r="ET77" s="563"/>
      <c r="EU77" s="563"/>
      <c r="EV77" s="563"/>
      <c r="EW77" s="563"/>
      <c r="EX77" s="563"/>
      <c r="EY77" s="563"/>
      <c r="EZ77" s="563"/>
      <c r="FA77" s="563"/>
      <c r="FB77" s="563"/>
      <c r="FC77" s="563"/>
      <c r="FD77" s="563"/>
      <c r="FE77" s="563"/>
      <c r="FF77" s="563"/>
      <c r="FG77" s="563"/>
      <c r="FH77" s="563"/>
      <c r="FI77" s="563"/>
      <c r="FJ77" s="563"/>
      <c r="FK77" s="563"/>
      <c r="FL77" s="563"/>
      <c r="FM77" s="563"/>
      <c r="FN77" s="563"/>
      <c r="FO77" s="563"/>
      <c r="FP77" s="563"/>
      <c r="FQ77" s="563"/>
      <c r="FR77" s="563"/>
      <c r="FS77" s="563"/>
      <c r="FT77" s="563"/>
      <c r="FU77" s="563"/>
      <c r="FV77" s="563"/>
      <c r="FW77" s="563"/>
      <c r="FX77" s="563"/>
      <c r="FY77" s="563"/>
      <c r="FZ77" s="563"/>
      <c r="GA77" s="563"/>
      <c r="GB77" s="563"/>
      <c r="GC77" s="563"/>
      <c r="GD77" s="563"/>
      <c r="GE77" s="563"/>
      <c r="GF77" s="563"/>
      <c r="GG77" s="563"/>
      <c r="GH77" s="563"/>
      <c r="GI77" s="563"/>
      <c r="GJ77" s="563"/>
      <c r="GK77" s="563"/>
      <c r="GL77" s="563"/>
      <c r="GM77" s="563"/>
      <c r="GN77" s="563"/>
      <c r="GO77" s="563"/>
      <c r="GP77" s="563"/>
      <c r="GQ77" s="563"/>
      <c r="GR77" s="563"/>
      <c r="GS77" s="563"/>
      <c r="GT77" s="563"/>
      <c r="GU77" s="563"/>
      <c r="GV77" s="563"/>
      <c r="GW77" s="563"/>
      <c r="GX77" s="563"/>
      <c r="GY77" s="563"/>
      <c r="GZ77" s="563"/>
      <c r="HA77" s="563"/>
      <c r="HB77" s="563"/>
      <c r="HC77" s="563"/>
      <c r="HD77" s="563"/>
      <c r="HE77" s="563"/>
      <c r="HF77" s="563"/>
      <c r="HG77" s="563"/>
      <c r="HH77" s="563"/>
      <c r="HI77" s="563"/>
      <c r="HJ77" s="563"/>
      <c r="HK77" s="563"/>
      <c r="HL77" s="563"/>
      <c r="HM77" s="563"/>
      <c r="HN77" s="563"/>
      <c r="HO77" s="563"/>
      <c r="HP77" s="563"/>
      <c r="HQ77" s="563"/>
      <c r="HR77" s="563"/>
      <c r="HS77" s="563"/>
      <c r="HT77" s="563"/>
      <c r="HU77" s="563"/>
      <c r="HV77" s="563"/>
      <c r="HW77" s="563"/>
      <c r="HX77" s="563"/>
      <c r="HY77" s="563"/>
      <c r="HZ77" s="563"/>
      <c r="IA77" s="563"/>
      <c r="IB77" s="563"/>
      <c r="IC77" s="563"/>
      <c r="ID77" s="563"/>
      <c r="IE77" s="563"/>
      <c r="IF77" s="563"/>
      <c r="IG77" s="563"/>
      <c r="IH77" s="563"/>
      <c r="II77" s="563"/>
      <c r="IJ77" s="563"/>
      <c r="IK77" s="563"/>
      <c r="IL77" s="563"/>
      <c r="IM77" s="563"/>
      <c r="IN77" s="563"/>
      <c r="IO77" s="563"/>
      <c r="IP77" s="563"/>
      <c r="IQ77" s="563"/>
      <c r="IR77" s="563"/>
      <c r="IS77" s="563"/>
      <c r="IT77" s="563"/>
      <c r="IU77" s="563"/>
      <c r="IV77" s="563"/>
      <c r="IW77" s="563"/>
    </row>
    <row r="78" customFormat="false" ht="11.25" hidden="false" customHeight="false" outlineLevel="0" collapsed="false">
      <c r="A78" s="295"/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5"/>
      <c r="BN78" s="295"/>
      <c r="BO78" s="295"/>
      <c r="BP78" s="295"/>
      <c r="BQ78" s="295"/>
      <c r="BR78" s="295"/>
      <c r="BS78" s="295"/>
      <c r="BT78" s="295"/>
      <c r="BU78" s="295"/>
      <c r="BV78" s="295"/>
      <c r="BW78" s="295"/>
      <c r="BX78" s="295"/>
      <c r="BY78" s="295"/>
      <c r="BZ78" s="295"/>
      <c r="CA78" s="295"/>
      <c r="CB78" s="295"/>
      <c r="CC78" s="295"/>
      <c r="CD78" s="295"/>
      <c r="CE78" s="295"/>
      <c r="CF78" s="295"/>
      <c r="CG78" s="295"/>
      <c r="CH78" s="295"/>
      <c r="CI78" s="295"/>
      <c r="CJ78" s="295"/>
      <c r="CK78" s="295"/>
      <c r="CL78" s="295"/>
      <c r="CM78" s="295"/>
      <c r="CN78" s="295"/>
      <c r="CO78" s="295"/>
      <c r="CP78" s="295"/>
      <c r="CQ78" s="295"/>
      <c r="CR78" s="295"/>
      <c r="CS78" s="295"/>
      <c r="CT78" s="295"/>
      <c r="CU78" s="295"/>
      <c r="CV78" s="295"/>
      <c r="CW78" s="295"/>
      <c r="CX78" s="295"/>
      <c r="CY78" s="295"/>
      <c r="CZ78" s="295"/>
      <c r="DA78" s="295"/>
      <c r="DB78" s="295"/>
      <c r="DC78" s="295"/>
      <c r="DD78" s="295"/>
      <c r="DE78" s="295"/>
      <c r="DF78" s="295"/>
      <c r="DG78" s="295"/>
      <c r="DH78" s="295"/>
      <c r="DI78" s="295"/>
      <c r="DJ78" s="295"/>
      <c r="DK78" s="295"/>
      <c r="DL78" s="295"/>
      <c r="DM78" s="295"/>
      <c r="DN78" s="295"/>
      <c r="DO78" s="295"/>
      <c r="DP78" s="295"/>
      <c r="DQ78" s="295"/>
      <c r="DR78" s="295"/>
      <c r="DS78" s="295"/>
      <c r="DT78" s="295"/>
      <c r="DU78" s="295"/>
      <c r="DV78" s="295"/>
      <c r="DW78" s="295"/>
      <c r="DX78" s="295"/>
      <c r="DY78" s="295"/>
      <c r="DZ78" s="295"/>
      <c r="EA78" s="295"/>
      <c r="EB78" s="295"/>
      <c r="EC78" s="295"/>
      <c r="ED78" s="295"/>
      <c r="EE78" s="295"/>
      <c r="EF78" s="295"/>
      <c r="EG78" s="295"/>
      <c r="EH78" s="295"/>
      <c r="EI78" s="295"/>
      <c r="EJ78" s="295"/>
      <c r="EK78" s="295"/>
      <c r="EL78" s="295"/>
      <c r="EM78" s="295"/>
      <c r="EN78" s="295"/>
      <c r="EO78" s="295"/>
      <c r="EP78" s="295"/>
      <c r="EQ78" s="295"/>
      <c r="ER78" s="295"/>
      <c r="ES78" s="295"/>
      <c r="ET78" s="295"/>
      <c r="EU78" s="295"/>
      <c r="EV78" s="295"/>
      <c r="EW78" s="295"/>
      <c r="EX78" s="295"/>
      <c r="EY78" s="295"/>
      <c r="EZ78" s="295"/>
      <c r="FA78" s="295"/>
      <c r="FB78" s="295"/>
      <c r="FC78" s="295"/>
      <c r="FD78" s="295"/>
      <c r="FE78" s="295"/>
      <c r="FF78" s="295"/>
      <c r="FG78" s="295"/>
      <c r="FH78" s="295"/>
      <c r="FI78" s="295"/>
      <c r="FJ78" s="295"/>
      <c r="FK78" s="295"/>
      <c r="FL78" s="295"/>
      <c r="FM78" s="295"/>
      <c r="FN78" s="295"/>
      <c r="FO78" s="295"/>
      <c r="FP78" s="295"/>
      <c r="FQ78" s="295"/>
      <c r="FR78" s="295"/>
      <c r="FS78" s="295"/>
      <c r="FT78" s="295"/>
      <c r="FU78" s="295"/>
      <c r="FV78" s="295"/>
      <c r="FW78" s="295"/>
      <c r="FX78" s="295"/>
      <c r="FY78" s="295"/>
      <c r="FZ78" s="295"/>
      <c r="GA78" s="295"/>
      <c r="GB78" s="295"/>
      <c r="GC78" s="295"/>
      <c r="GD78" s="295"/>
      <c r="GE78" s="295"/>
      <c r="GF78" s="295"/>
      <c r="GG78" s="295"/>
      <c r="GH78" s="295"/>
      <c r="GI78" s="295"/>
      <c r="GJ78" s="295"/>
      <c r="GK78" s="295"/>
      <c r="GL78" s="295"/>
      <c r="GM78" s="295"/>
      <c r="GN78" s="295"/>
      <c r="GO78" s="295"/>
      <c r="GP78" s="295"/>
      <c r="GQ78" s="295"/>
      <c r="GR78" s="295"/>
      <c r="GS78" s="295"/>
      <c r="GT78" s="295"/>
      <c r="GU78" s="295"/>
      <c r="GV78" s="295"/>
      <c r="GW78" s="295"/>
      <c r="GX78" s="295"/>
      <c r="GY78" s="295"/>
      <c r="GZ78" s="295"/>
      <c r="HA78" s="295"/>
      <c r="HB78" s="295"/>
      <c r="HC78" s="295"/>
      <c r="HD78" s="295"/>
      <c r="HE78" s="295"/>
      <c r="HF78" s="295"/>
      <c r="HG78" s="295"/>
      <c r="HH78" s="295"/>
      <c r="HI78" s="295"/>
      <c r="HJ78" s="295"/>
      <c r="HK78" s="295"/>
      <c r="HL78" s="295"/>
      <c r="HM78" s="295"/>
      <c r="HN78" s="295"/>
      <c r="HO78" s="295"/>
      <c r="HP78" s="295"/>
      <c r="HQ78" s="295"/>
      <c r="HR78" s="295"/>
      <c r="HS78" s="295"/>
      <c r="HT78" s="295"/>
      <c r="HU78" s="295"/>
      <c r="HV78" s="295"/>
      <c r="HW78" s="295"/>
      <c r="HX78" s="295"/>
      <c r="HY78" s="295"/>
      <c r="HZ78" s="295"/>
      <c r="IA78" s="295"/>
      <c r="IB78" s="295"/>
      <c r="IC78" s="295"/>
      <c r="ID78" s="295"/>
      <c r="IE78" s="295"/>
      <c r="IF78" s="295"/>
      <c r="IG78" s="295"/>
      <c r="IH78" s="295"/>
      <c r="II78" s="295"/>
      <c r="IJ78" s="295"/>
      <c r="IK78" s="295"/>
      <c r="IL78" s="295"/>
      <c r="IM78" s="295"/>
      <c r="IN78" s="295"/>
      <c r="IO78" s="295"/>
      <c r="IP78" s="295"/>
      <c r="IQ78" s="295"/>
      <c r="IR78" s="295"/>
      <c r="IS78" s="295"/>
      <c r="IT78" s="295"/>
      <c r="IU78" s="295"/>
      <c r="IV78" s="295"/>
      <c r="IW78" s="295"/>
    </row>
    <row r="79" customFormat="false" ht="11.25" hidden="false" customHeight="false" outlineLevel="0" collapsed="false">
      <c r="A79" s="113"/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42"/>
      <c r="AR79" s="142"/>
      <c r="AS79" s="142"/>
      <c r="AT79" s="142"/>
      <c r="AU79" s="142"/>
      <c r="AV79" s="142"/>
      <c r="AW79" s="142"/>
      <c r="AX79" s="142"/>
      <c r="AY79" s="142"/>
      <c r="AZ79" s="142"/>
      <c r="BA79" s="142"/>
      <c r="BB79" s="142"/>
      <c r="BC79" s="113"/>
      <c r="BD79" s="113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3"/>
      <c r="CA79" s="113"/>
      <c r="CB79" s="113"/>
      <c r="CC79" s="113"/>
      <c r="CD79" s="113"/>
      <c r="CE79" s="113"/>
      <c r="CF79" s="113"/>
      <c r="CG79" s="113"/>
      <c r="CH79" s="113"/>
      <c r="CI79" s="113"/>
      <c r="CJ79" s="113"/>
      <c r="CK79" s="113"/>
      <c r="CL79" s="113"/>
      <c r="CM79" s="113"/>
      <c r="CN79" s="113"/>
      <c r="CO79" s="113"/>
      <c r="CP79" s="113"/>
      <c r="CQ79" s="113"/>
      <c r="CR79" s="113"/>
      <c r="CS79" s="113"/>
      <c r="CT79" s="113"/>
      <c r="CU79" s="113"/>
      <c r="CV79" s="113"/>
      <c r="CW79" s="113"/>
      <c r="CX79" s="113"/>
      <c r="CY79" s="113"/>
      <c r="CZ79" s="113"/>
      <c r="DA79" s="113"/>
      <c r="DB79" s="113"/>
      <c r="DC79" s="113"/>
      <c r="DD79" s="113"/>
      <c r="DE79" s="113"/>
      <c r="DF79" s="113"/>
      <c r="DG79" s="113"/>
      <c r="DH79" s="113"/>
      <c r="DI79" s="113"/>
      <c r="DJ79" s="113"/>
      <c r="DK79" s="113"/>
      <c r="DL79" s="113"/>
      <c r="DM79" s="113"/>
      <c r="DN79" s="113"/>
      <c r="DO79" s="113"/>
      <c r="DP79" s="113"/>
      <c r="DQ79" s="113"/>
      <c r="DR79" s="113"/>
      <c r="DS79" s="113"/>
      <c r="DT79" s="113"/>
      <c r="DU79" s="113"/>
      <c r="DV79" s="113"/>
      <c r="DW79" s="113"/>
      <c r="DX79" s="113"/>
      <c r="DY79" s="113"/>
      <c r="DZ79" s="113"/>
      <c r="EA79" s="113"/>
      <c r="EB79" s="113"/>
      <c r="EC79" s="113"/>
      <c r="ED79" s="113"/>
      <c r="EE79" s="113"/>
      <c r="EF79" s="113"/>
      <c r="EG79" s="113"/>
      <c r="EH79" s="113"/>
      <c r="EI79" s="113"/>
      <c r="EJ79" s="113"/>
      <c r="EK79" s="113"/>
      <c r="EL79" s="113"/>
      <c r="EM79" s="113"/>
      <c r="EN79" s="113"/>
      <c r="EO79" s="113"/>
      <c r="EP79" s="113"/>
      <c r="EQ79" s="113"/>
      <c r="ER79" s="113"/>
      <c r="ES79" s="113"/>
      <c r="ET79" s="113"/>
      <c r="EU79" s="113"/>
      <c r="EV79" s="113"/>
      <c r="EW79" s="113"/>
      <c r="EX79" s="113"/>
      <c r="EY79" s="113"/>
      <c r="EZ79" s="113"/>
      <c r="FA79" s="113"/>
      <c r="FB79" s="113"/>
      <c r="FC79" s="113"/>
      <c r="FD79" s="113"/>
      <c r="FE79" s="113"/>
      <c r="FF79" s="113"/>
      <c r="FG79" s="113"/>
      <c r="FH79" s="113"/>
      <c r="FI79" s="113"/>
      <c r="FJ79" s="113"/>
      <c r="FK79" s="113"/>
      <c r="FL79" s="113"/>
      <c r="FM79" s="113"/>
      <c r="FN79" s="113"/>
      <c r="FO79" s="113"/>
      <c r="FP79" s="113"/>
      <c r="FQ79" s="113"/>
      <c r="FR79" s="113"/>
      <c r="FS79" s="113"/>
      <c r="FT79" s="113"/>
      <c r="FU79" s="113"/>
      <c r="FV79" s="113"/>
      <c r="FW79" s="113"/>
      <c r="FX79" s="113"/>
      <c r="FY79" s="113"/>
      <c r="FZ79" s="113"/>
      <c r="GA79" s="113"/>
      <c r="GB79" s="113"/>
      <c r="GC79" s="113"/>
      <c r="GD79" s="113"/>
      <c r="GE79" s="113"/>
      <c r="GF79" s="113"/>
      <c r="GG79" s="113"/>
      <c r="GH79" s="113"/>
      <c r="GI79" s="113"/>
      <c r="GJ79" s="113"/>
      <c r="GK79" s="113"/>
      <c r="GL79" s="113"/>
      <c r="GM79" s="113"/>
      <c r="GN79" s="113"/>
      <c r="GO79" s="113"/>
      <c r="GP79" s="113"/>
      <c r="GQ79" s="113"/>
      <c r="GR79" s="113"/>
      <c r="GS79" s="113"/>
      <c r="GT79" s="113"/>
      <c r="GU79" s="113"/>
      <c r="GV79" s="113"/>
      <c r="GW79" s="113"/>
      <c r="GX79" s="113"/>
      <c r="GY79" s="113"/>
      <c r="GZ79" s="113"/>
      <c r="HA79" s="113"/>
      <c r="HB79" s="113"/>
      <c r="HC79" s="113"/>
      <c r="HD79" s="113"/>
      <c r="HE79" s="113"/>
      <c r="HF79" s="113"/>
      <c r="HG79" s="113"/>
      <c r="HH79" s="113"/>
      <c r="HI79" s="113"/>
      <c r="HJ79" s="113"/>
      <c r="HK79" s="113"/>
      <c r="HL79" s="113"/>
      <c r="HM79" s="113"/>
      <c r="HN79" s="113"/>
      <c r="HO79" s="113"/>
      <c r="HP79" s="113"/>
      <c r="HQ79" s="113"/>
      <c r="HR79" s="113"/>
      <c r="HS79" s="113"/>
      <c r="HT79" s="113"/>
      <c r="HU79" s="113"/>
      <c r="HV79" s="113"/>
      <c r="HW79" s="113"/>
      <c r="HX79" s="113"/>
      <c r="HY79" s="113"/>
      <c r="HZ79" s="113"/>
      <c r="IA79" s="113"/>
      <c r="IB79" s="113"/>
      <c r="IC79" s="113"/>
      <c r="ID79" s="113"/>
      <c r="IE79" s="113"/>
      <c r="IF79" s="113"/>
      <c r="IG79" s="113"/>
      <c r="IH79" s="113"/>
      <c r="II79" s="113"/>
      <c r="IJ79" s="113"/>
      <c r="IK79" s="113"/>
      <c r="IL79" s="113"/>
      <c r="IM79" s="113"/>
      <c r="IN79" s="113"/>
      <c r="IO79" s="113"/>
      <c r="IP79" s="113"/>
      <c r="IQ79" s="113"/>
      <c r="IR79" s="113"/>
      <c r="IS79" s="113"/>
      <c r="IT79" s="113"/>
      <c r="IU79" s="113"/>
      <c r="IV79" s="113"/>
      <c r="IW79" s="113"/>
    </row>
    <row r="80" customFormat="false" ht="11.25" hidden="false" customHeight="false" outlineLevel="0" collapsed="false">
      <c r="A80" s="113"/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3"/>
      <c r="CA80" s="113"/>
      <c r="CB80" s="113"/>
      <c r="CC80" s="113"/>
      <c r="CD80" s="113"/>
      <c r="CE80" s="113"/>
      <c r="CF80" s="113"/>
      <c r="CG80" s="113"/>
      <c r="CH80" s="113"/>
      <c r="CI80" s="113"/>
      <c r="CJ80" s="113"/>
      <c r="CK80" s="113"/>
      <c r="CL80" s="113"/>
      <c r="CM80" s="113"/>
      <c r="CN80" s="113"/>
      <c r="CO80" s="113"/>
      <c r="CP80" s="113"/>
      <c r="CQ80" s="113"/>
      <c r="CR80" s="113"/>
      <c r="CS80" s="113"/>
      <c r="CT80" s="113"/>
      <c r="CU80" s="113"/>
      <c r="CV80" s="113"/>
      <c r="CW80" s="113"/>
      <c r="CX80" s="113"/>
      <c r="CY80" s="113"/>
      <c r="CZ80" s="113"/>
      <c r="DA80" s="113"/>
      <c r="DB80" s="113"/>
      <c r="DC80" s="113"/>
      <c r="DD80" s="113"/>
      <c r="DE80" s="113"/>
      <c r="DF80" s="113"/>
      <c r="DG80" s="113"/>
      <c r="DH80" s="113"/>
      <c r="DI80" s="113"/>
      <c r="DJ80" s="113"/>
      <c r="DK80" s="113"/>
      <c r="DL80" s="113"/>
      <c r="DM80" s="113"/>
      <c r="DN80" s="113"/>
      <c r="DO80" s="113"/>
      <c r="DP80" s="113"/>
      <c r="DQ80" s="113"/>
      <c r="DR80" s="113"/>
      <c r="DS80" s="113"/>
      <c r="DT80" s="113"/>
      <c r="DU80" s="113"/>
      <c r="DV80" s="113"/>
      <c r="DW80" s="113"/>
      <c r="DX80" s="113"/>
      <c r="DY80" s="113"/>
      <c r="DZ80" s="113"/>
      <c r="EA80" s="113"/>
      <c r="EB80" s="113"/>
      <c r="EC80" s="113"/>
      <c r="ED80" s="113"/>
      <c r="EE80" s="113"/>
      <c r="EF80" s="113"/>
      <c r="EG80" s="113"/>
      <c r="EH80" s="113"/>
      <c r="EI80" s="113"/>
      <c r="EJ80" s="113"/>
      <c r="EK80" s="113"/>
      <c r="EL80" s="113"/>
      <c r="EM80" s="113"/>
      <c r="EN80" s="113"/>
      <c r="EO80" s="113"/>
      <c r="EP80" s="113"/>
      <c r="EQ80" s="113"/>
      <c r="ER80" s="113"/>
      <c r="ES80" s="113"/>
      <c r="ET80" s="113"/>
      <c r="EU80" s="113"/>
      <c r="EV80" s="113"/>
      <c r="EW80" s="113"/>
      <c r="EX80" s="113"/>
      <c r="EY80" s="113"/>
      <c r="EZ80" s="113"/>
      <c r="FA80" s="113"/>
      <c r="FB80" s="113"/>
      <c r="FC80" s="113"/>
      <c r="FD80" s="113"/>
      <c r="FE80" s="113"/>
      <c r="FF80" s="113"/>
      <c r="FG80" s="113"/>
      <c r="FH80" s="113"/>
      <c r="FI80" s="113"/>
      <c r="FJ80" s="113"/>
      <c r="FK80" s="113"/>
      <c r="FL80" s="113"/>
      <c r="FM80" s="113"/>
      <c r="FN80" s="113"/>
      <c r="FO80" s="113"/>
      <c r="FP80" s="113"/>
      <c r="FQ80" s="113"/>
      <c r="FR80" s="113"/>
      <c r="FS80" s="113"/>
      <c r="FT80" s="113"/>
      <c r="FU80" s="113"/>
      <c r="FV80" s="113"/>
      <c r="FW80" s="113"/>
      <c r="FX80" s="113"/>
      <c r="FY80" s="113"/>
      <c r="FZ80" s="113"/>
      <c r="GA80" s="113"/>
      <c r="GB80" s="113"/>
      <c r="GC80" s="113"/>
      <c r="GD80" s="113"/>
      <c r="GE80" s="113"/>
      <c r="GF80" s="113"/>
      <c r="GG80" s="113"/>
      <c r="GH80" s="113"/>
      <c r="GI80" s="113"/>
      <c r="GJ80" s="113"/>
      <c r="GK80" s="113"/>
      <c r="GL80" s="113"/>
      <c r="GM80" s="113"/>
      <c r="GN80" s="113"/>
      <c r="GO80" s="113"/>
      <c r="GP80" s="113"/>
      <c r="GQ80" s="113"/>
      <c r="GR80" s="113"/>
      <c r="GS80" s="113"/>
      <c r="GT80" s="113"/>
      <c r="GU80" s="113"/>
      <c r="GV80" s="113"/>
      <c r="GW80" s="113"/>
      <c r="GX80" s="113"/>
      <c r="GY80" s="113"/>
      <c r="GZ80" s="113"/>
      <c r="HA80" s="113"/>
      <c r="HB80" s="113"/>
      <c r="HC80" s="113"/>
      <c r="HD80" s="113"/>
      <c r="HE80" s="113"/>
      <c r="HF80" s="113"/>
      <c r="HG80" s="113"/>
      <c r="HH80" s="113"/>
      <c r="HI80" s="113"/>
      <c r="HJ80" s="113"/>
      <c r="HK80" s="113"/>
      <c r="HL80" s="113"/>
      <c r="HM80" s="113"/>
      <c r="HN80" s="113"/>
      <c r="HO80" s="113"/>
      <c r="HP80" s="113"/>
      <c r="HQ80" s="113"/>
      <c r="HR80" s="113"/>
      <c r="HS80" s="113"/>
      <c r="HT80" s="113"/>
      <c r="HU80" s="113"/>
      <c r="HV80" s="113"/>
      <c r="HW80" s="113"/>
      <c r="HX80" s="113"/>
      <c r="HY80" s="113"/>
      <c r="HZ80" s="113"/>
      <c r="IA80" s="113"/>
      <c r="IB80" s="113"/>
      <c r="IC80" s="113"/>
      <c r="ID80" s="113"/>
      <c r="IE80" s="113"/>
      <c r="IF80" s="113"/>
      <c r="IG80" s="113"/>
      <c r="IH80" s="113"/>
      <c r="II80" s="113"/>
      <c r="IJ80" s="113"/>
      <c r="IK80" s="113"/>
      <c r="IL80" s="113"/>
      <c r="IM80" s="113"/>
      <c r="IN80" s="113"/>
      <c r="IO80" s="113"/>
      <c r="IP80" s="113"/>
      <c r="IQ80" s="113"/>
      <c r="IR80" s="113"/>
      <c r="IS80" s="113"/>
      <c r="IT80" s="113"/>
      <c r="IU80" s="113"/>
      <c r="IV80" s="113"/>
      <c r="IW80" s="113"/>
    </row>
    <row r="81" customFormat="false" ht="11.25" hidden="false" customHeight="false" outlineLevel="0" collapsed="false">
      <c r="A81" s="295"/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5"/>
      <c r="BN81" s="295"/>
      <c r="BO81" s="295"/>
      <c r="BP81" s="295"/>
      <c r="BQ81" s="295"/>
      <c r="BR81" s="295"/>
      <c r="BS81" s="295"/>
      <c r="BT81" s="295"/>
      <c r="BU81" s="295"/>
      <c r="BV81" s="295"/>
      <c r="BW81" s="295"/>
      <c r="BX81" s="295"/>
      <c r="BY81" s="295"/>
      <c r="BZ81" s="295"/>
      <c r="CA81" s="295"/>
      <c r="CB81" s="295"/>
      <c r="CC81" s="295"/>
      <c r="CD81" s="295"/>
      <c r="CE81" s="295"/>
      <c r="CF81" s="295"/>
      <c r="CG81" s="295"/>
      <c r="CH81" s="295"/>
      <c r="CI81" s="295"/>
      <c r="CJ81" s="295"/>
      <c r="CK81" s="295"/>
      <c r="CL81" s="295"/>
      <c r="CM81" s="295"/>
      <c r="CN81" s="295"/>
      <c r="CO81" s="295"/>
      <c r="CP81" s="295"/>
      <c r="CQ81" s="295"/>
      <c r="CR81" s="295"/>
      <c r="CS81" s="295"/>
      <c r="CT81" s="295"/>
      <c r="CU81" s="295"/>
      <c r="CV81" s="295"/>
      <c r="CW81" s="295"/>
      <c r="CX81" s="295"/>
      <c r="CY81" s="295"/>
      <c r="CZ81" s="295"/>
      <c r="DA81" s="295"/>
      <c r="DB81" s="295"/>
      <c r="DC81" s="295"/>
      <c r="DD81" s="295"/>
      <c r="DE81" s="295"/>
      <c r="DF81" s="295"/>
      <c r="DG81" s="295"/>
      <c r="DH81" s="295"/>
      <c r="DI81" s="295"/>
      <c r="DJ81" s="295"/>
      <c r="DK81" s="295"/>
      <c r="DL81" s="295"/>
      <c r="DM81" s="295"/>
      <c r="DN81" s="295"/>
      <c r="DO81" s="295"/>
      <c r="DP81" s="295"/>
      <c r="DQ81" s="295"/>
      <c r="DR81" s="295"/>
      <c r="DS81" s="295"/>
      <c r="DT81" s="295"/>
      <c r="DU81" s="295"/>
      <c r="DV81" s="295"/>
      <c r="DW81" s="295"/>
      <c r="DX81" s="295"/>
      <c r="DY81" s="295"/>
      <c r="DZ81" s="295"/>
      <c r="EA81" s="295"/>
      <c r="EB81" s="295"/>
      <c r="EC81" s="295"/>
      <c r="ED81" s="295"/>
      <c r="EE81" s="295"/>
      <c r="EF81" s="295"/>
      <c r="EG81" s="295"/>
      <c r="EH81" s="295"/>
      <c r="EI81" s="295"/>
      <c r="EJ81" s="295"/>
      <c r="EK81" s="295"/>
      <c r="EL81" s="295"/>
      <c r="EM81" s="295"/>
      <c r="EN81" s="295"/>
      <c r="EO81" s="295"/>
      <c r="EP81" s="295"/>
      <c r="EQ81" s="295"/>
      <c r="ER81" s="295"/>
      <c r="ES81" s="295"/>
      <c r="ET81" s="295"/>
      <c r="EU81" s="295"/>
      <c r="EV81" s="295"/>
      <c r="EW81" s="295"/>
      <c r="EX81" s="295"/>
      <c r="EY81" s="295"/>
      <c r="EZ81" s="295"/>
      <c r="FA81" s="295"/>
      <c r="FB81" s="295"/>
      <c r="FC81" s="295"/>
      <c r="FD81" s="295"/>
      <c r="FE81" s="295"/>
      <c r="FF81" s="295"/>
      <c r="FG81" s="295"/>
      <c r="FH81" s="295"/>
      <c r="FI81" s="295"/>
      <c r="FJ81" s="295"/>
      <c r="FK81" s="295"/>
      <c r="FL81" s="295"/>
      <c r="FM81" s="295"/>
      <c r="FN81" s="295"/>
      <c r="FO81" s="295"/>
      <c r="FP81" s="295"/>
      <c r="FQ81" s="295"/>
      <c r="FR81" s="295"/>
      <c r="FS81" s="295"/>
      <c r="FT81" s="295"/>
      <c r="FU81" s="295"/>
      <c r="FV81" s="295"/>
      <c r="FW81" s="295"/>
      <c r="FX81" s="295"/>
      <c r="FY81" s="295"/>
      <c r="FZ81" s="295"/>
      <c r="GA81" s="295"/>
      <c r="GB81" s="295"/>
      <c r="GC81" s="295"/>
      <c r="GD81" s="295"/>
      <c r="GE81" s="295"/>
      <c r="GF81" s="295"/>
      <c r="GG81" s="295"/>
      <c r="GH81" s="295"/>
      <c r="GI81" s="295"/>
      <c r="GJ81" s="295"/>
      <c r="GK81" s="295"/>
      <c r="GL81" s="295"/>
      <c r="GM81" s="295"/>
      <c r="GN81" s="295"/>
      <c r="GO81" s="295"/>
      <c r="GP81" s="295"/>
      <c r="GQ81" s="295"/>
      <c r="GR81" s="295"/>
      <c r="GS81" s="295"/>
      <c r="GT81" s="295"/>
      <c r="GU81" s="295"/>
      <c r="GV81" s="295"/>
      <c r="GW81" s="295"/>
      <c r="GX81" s="295"/>
      <c r="GY81" s="295"/>
      <c r="GZ81" s="295"/>
      <c r="HA81" s="295"/>
      <c r="HB81" s="295"/>
      <c r="HC81" s="295"/>
      <c r="HD81" s="295"/>
      <c r="HE81" s="295"/>
      <c r="HF81" s="295"/>
      <c r="HG81" s="295"/>
      <c r="HH81" s="295"/>
      <c r="HI81" s="295"/>
      <c r="HJ81" s="295"/>
      <c r="HK81" s="295"/>
      <c r="HL81" s="295"/>
      <c r="HM81" s="295"/>
      <c r="HN81" s="295"/>
      <c r="HO81" s="295"/>
      <c r="HP81" s="295"/>
      <c r="HQ81" s="295"/>
      <c r="HR81" s="295"/>
      <c r="HS81" s="295"/>
      <c r="HT81" s="295"/>
      <c r="HU81" s="295"/>
      <c r="HV81" s="295"/>
      <c r="HW81" s="295"/>
      <c r="HX81" s="295"/>
      <c r="HY81" s="295"/>
      <c r="HZ81" s="295"/>
      <c r="IA81" s="295"/>
      <c r="IB81" s="295"/>
      <c r="IC81" s="295"/>
      <c r="ID81" s="295"/>
      <c r="IE81" s="295"/>
      <c r="IF81" s="295"/>
      <c r="IG81" s="295"/>
      <c r="IH81" s="295"/>
      <c r="II81" s="295"/>
      <c r="IJ81" s="295"/>
      <c r="IK81" s="295"/>
      <c r="IL81" s="295"/>
      <c r="IM81" s="295"/>
      <c r="IN81" s="295"/>
      <c r="IO81" s="295"/>
      <c r="IP81" s="295"/>
      <c r="IQ81" s="295"/>
      <c r="IR81" s="295"/>
      <c r="IS81" s="295"/>
      <c r="IT81" s="295"/>
      <c r="IU81" s="295"/>
      <c r="IV81" s="295"/>
      <c r="IW81" s="295"/>
    </row>
    <row r="82" customFormat="false" ht="11.25" hidden="false" customHeight="false" outlineLevel="0" collapsed="false">
      <c r="A82" s="113"/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42"/>
      <c r="AR82" s="142"/>
      <c r="AS82" s="142"/>
      <c r="AT82" s="142"/>
      <c r="AU82" s="142"/>
      <c r="AV82" s="142"/>
      <c r="AW82" s="142"/>
      <c r="AX82" s="142"/>
      <c r="AY82" s="142"/>
      <c r="AZ82" s="142"/>
      <c r="BA82" s="142"/>
      <c r="BB82" s="142"/>
      <c r="BC82" s="113"/>
      <c r="BD82" s="113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3"/>
      <c r="CA82" s="113"/>
      <c r="CB82" s="113"/>
      <c r="CC82" s="113"/>
      <c r="CD82" s="113"/>
      <c r="CE82" s="113"/>
      <c r="CF82" s="113"/>
      <c r="CG82" s="113"/>
      <c r="CH82" s="113"/>
      <c r="CI82" s="113"/>
      <c r="CJ82" s="113"/>
      <c r="CK82" s="113"/>
      <c r="CL82" s="113"/>
      <c r="CM82" s="113"/>
      <c r="CN82" s="113"/>
      <c r="CO82" s="113"/>
      <c r="CP82" s="113"/>
      <c r="CQ82" s="113"/>
      <c r="CR82" s="113"/>
      <c r="CS82" s="113"/>
      <c r="CT82" s="113"/>
      <c r="CU82" s="113"/>
      <c r="CV82" s="113"/>
      <c r="CW82" s="113"/>
      <c r="CX82" s="113"/>
      <c r="CY82" s="113"/>
      <c r="CZ82" s="113"/>
      <c r="DA82" s="113"/>
      <c r="DB82" s="113"/>
      <c r="DC82" s="113"/>
      <c r="DD82" s="113"/>
      <c r="DE82" s="113"/>
      <c r="DF82" s="113"/>
      <c r="DG82" s="113"/>
      <c r="DH82" s="113"/>
      <c r="DI82" s="113"/>
      <c r="DJ82" s="113"/>
      <c r="DK82" s="113"/>
      <c r="DL82" s="113"/>
      <c r="DM82" s="113"/>
      <c r="DN82" s="113"/>
      <c r="DO82" s="113"/>
      <c r="DP82" s="113"/>
      <c r="DQ82" s="113"/>
      <c r="DR82" s="113"/>
      <c r="DS82" s="113"/>
      <c r="DT82" s="113"/>
      <c r="DU82" s="113"/>
      <c r="DV82" s="113"/>
      <c r="DW82" s="113"/>
      <c r="DX82" s="113"/>
      <c r="DY82" s="113"/>
      <c r="DZ82" s="113"/>
      <c r="EA82" s="113"/>
      <c r="EB82" s="113"/>
      <c r="EC82" s="113"/>
      <c r="ED82" s="113"/>
      <c r="EE82" s="113"/>
      <c r="EF82" s="113"/>
      <c r="EG82" s="113"/>
      <c r="EH82" s="113"/>
      <c r="EI82" s="113"/>
      <c r="EJ82" s="113"/>
      <c r="EK82" s="113"/>
      <c r="EL82" s="113"/>
      <c r="EM82" s="113"/>
      <c r="EN82" s="113"/>
      <c r="EO82" s="113"/>
      <c r="EP82" s="113"/>
      <c r="EQ82" s="113"/>
      <c r="ER82" s="113"/>
      <c r="ES82" s="113"/>
      <c r="ET82" s="113"/>
      <c r="EU82" s="113"/>
      <c r="EV82" s="113"/>
      <c r="EW82" s="113"/>
      <c r="EX82" s="113"/>
      <c r="EY82" s="113"/>
      <c r="EZ82" s="113"/>
      <c r="FA82" s="113"/>
      <c r="FB82" s="113"/>
      <c r="FC82" s="113"/>
      <c r="FD82" s="113"/>
      <c r="FE82" s="113"/>
      <c r="FF82" s="113"/>
      <c r="FG82" s="113"/>
      <c r="FH82" s="113"/>
      <c r="FI82" s="113"/>
      <c r="FJ82" s="113"/>
      <c r="FK82" s="113"/>
      <c r="FL82" s="113"/>
      <c r="FM82" s="113"/>
      <c r="FN82" s="113"/>
      <c r="FO82" s="113"/>
      <c r="FP82" s="113"/>
      <c r="FQ82" s="113"/>
      <c r="FR82" s="113"/>
      <c r="FS82" s="113"/>
      <c r="FT82" s="113"/>
      <c r="FU82" s="113"/>
      <c r="FV82" s="113"/>
      <c r="FW82" s="113"/>
      <c r="FX82" s="113"/>
      <c r="FY82" s="113"/>
      <c r="FZ82" s="113"/>
      <c r="GA82" s="113"/>
      <c r="GB82" s="113"/>
      <c r="GC82" s="113"/>
      <c r="GD82" s="113"/>
      <c r="GE82" s="113"/>
      <c r="GF82" s="113"/>
      <c r="GG82" s="113"/>
      <c r="GH82" s="113"/>
      <c r="GI82" s="113"/>
      <c r="GJ82" s="113"/>
      <c r="GK82" s="113"/>
      <c r="GL82" s="113"/>
      <c r="GM82" s="113"/>
      <c r="GN82" s="113"/>
      <c r="GO82" s="113"/>
      <c r="GP82" s="113"/>
      <c r="GQ82" s="113"/>
      <c r="GR82" s="113"/>
      <c r="GS82" s="113"/>
      <c r="GT82" s="113"/>
      <c r="GU82" s="113"/>
      <c r="GV82" s="113"/>
      <c r="GW82" s="113"/>
      <c r="GX82" s="113"/>
      <c r="GY82" s="113"/>
      <c r="GZ82" s="113"/>
      <c r="HA82" s="113"/>
      <c r="HB82" s="113"/>
      <c r="HC82" s="113"/>
      <c r="HD82" s="113"/>
      <c r="HE82" s="113"/>
      <c r="HF82" s="113"/>
      <c r="HG82" s="113"/>
      <c r="HH82" s="113"/>
      <c r="HI82" s="113"/>
      <c r="HJ82" s="113"/>
      <c r="HK82" s="113"/>
      <c r="HL82" s="113"/>
      <c r="HM82" s="113"/>
      <c r="HN82" s="113"/>
      <c r="HO82" s="113"/>
      <c r="HP82" s="113"/>
      <c r="HQ82" s="113"/>
      <c r="HR82" s="113"/>
      <c r="HS82" s="113"/>
      <c r="HT82" s="113"/>
      <c r="HU82" s="113"/>
      <c r="HV82" s="113"/>
      <c r="HW82" s="113"/>
      <c r="HX82" s="113"/>
      <c r="HY82" s="113"/>
      <c r="HZ82" s="113"/>
      <c r="IA82" s="113"/>
      <c r="IB82" s="113"/>
      <c r="IC82" s="113"/>
      <c r="ID82" s="113"/>
      <c r="IE82" s="113"/>
      <c r="IF82" s="113"/>
      <c r="IG82" s="113"/>
      <c r="IH82" s="113"/>
      <c r="II82" s="113"/>
      <c r="IJ82" s="113"/>
      <c r="IK82" s="113"/>
      <c r="IL82" s="113"/>
      <c r="IM82" s="113"/>
      <c r="IN82" s="113"/>
      <c r="IO82" s="113"/>
      <c r="IP82" s="113"/>
      <c r="IQ82" s="113"/>
      <c r="IR82" s="113"/>
      <c r="IS82" s="113"/>
      <c r="IT82" s="113"/>
      <c r="IU82" s="113"/>
      <c r="IV82" s="113"/>
      <c r="IW82" s="113"/>
    </row>
    <row r="83" customFormat="false" ht="11.25" hidden="false" customHeight="false" outlineLevel="0" collapsed="false">
      <c r="A83" s="113"/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295"/>
      <c r="BD83" s="295"/>
      <c r="BE83" s="295"/>
      <c r="BF83" s="295"/>
      <c r="BG83" s="295"/>
      <c r="BH83" s="295"/>
      <c r="BI83" s="295"/>
      <c r="BJ83" s="295"/>
      <c r="BK83" s="295"/>
      <c r="BL83" s="295"/>
      <c r="BM83" s="295"/>
      <c r="BN83" s="295"/>
      <c r="BO83" s="295"/>
      <c r="BP83" s="295"/>
      <c r="BQ83" s="295"/>
      <c r="BR83" s="295"/>
      <c r="BS83" s="295"/>
      <c r="BT83" s="295"/>
      <c r="BU83" s="295"/>
      <c r="BV83" s="295"/>
      <c r="BW83" s="295"/>
      <c r="BX83" s="295"/>
      <c r="BY83" s="295"/>
      <c r="BZ83" s="295"/>
      <c r="CA83" s="295"/>
      <c r="CB83" s="295"/>
      <c r="CC83" s="113"/>
      <c r="CD83" s="113"/>
      <c r="CE83" s="113"/>
      <c r="CF83" s="113"/>
      <c r="CG83" s="113"/>
      <c r="CH83" s="113"/>
      <c r="CI83" s="113"/>
      <c r="CJ83" s="113"/>
      <c r="CK83" s="113"/>
      <c r="CL83" s="113"/>
      <c r="CM83" s="113"/>
      <c r="CN83" s="113"/>
      <c r="CO83" s="113"/>
      <c r="CP83" s="113"/>
      <c r="CQ83" s="113"/>
      <c r="CR83" s="113"/>
      <c r="CS83" s="113"/>
      <c r="CT83" s="113"/>
      <c r="CU83" s="113"/>
      <c r="CV83" s="113"/>
      <c r="CW83" s="113"/>
      <c r="CX83" s="113"/>
      <c r="CY83" s="113"/>
      <c r="CZ83" s="113"/>
      <c r="DA83" s="113"/>
      <c r="DB83" s="113"/>
      <c r="DC83" s="113"/>
      <c r="DD83" s="113"/>
      <c r="DE83" s="113"/>
      <c r="DF83" s="113"/>
      <c r="DG83" s="113"/>
      <c r="DH83" s="113"/>
      <c r="DI83" s="113"/>
      <c r="DJ83" s="113"/>
      <c r="DK83" s="113"/>
      <c r="DL83" s="113"/>
      <c r="DM83" s="113"/>
      <c r="DN83" s="113"/>
      <c r="DO83" s="113"/>
      <c r="DP83" s="113"/>
      <c r="DQ83" s="113"/>
      <c r="DR83" s="113"/>
      <c r="DS83" s="113"/>
      <c r="DT83" s="113"/>
      <c r="DU83" s="113"/>
      <c r="DV83" s="113"/>
      <c r="DW83" s="113"/>
      <c r="DX83" s="113"/>
      <c r="DY83" s="113"/>
      <c r="DZ83" s="113"/>
      <c r="EA83" s="113"/>
      <c r="EB83" s="113"/>
      <c r="EC83" s="113"/>
      <c r="ED83" s="113"/>
      <c r="EE83" s="113"/>
      <c r="EF83" s="113"/>
      <c r="EG83" s="113"/>
      <c r="EH83" s="113"/>
      <c r="EI83" s="113"/>
      <c r="EJ83" s="113"/>
      <c r="EK83" s="113"/>
      <c r="EL83" s="113"/>
      <c r="EM83" s="113"/>
      <c r="EN83" s="113"/>
      <c r="EO83" s="113"/>
      <c r="EP83" s="113"/>
      <c r="EQ83" s="113"/>
      <c r="ER83" s="113"/>
      <c r="ES83" s="113"/>
      <c r="ET83" s="113"/>
      <c r="EU83" s="113"/>
      <c r="EV83" s="113"/>
      <c r="EW83" s="113"/>
      <c r="EX83" s="113"/>
      <c r="EY83" s="113"/>
      <c r="EZ83" s="113"/>
      <c r="FA83" s="113"/>
      <c r="FB83" s="113"/>
      <c r="FC83" s="113"/>
      <c r="FD83" s="113"/>
      <c r="FE83" s="113"/>
      <c r="FF83" s="113"/>
      <c r="FG83" s="113"/>
      <c r="FH83" s="113"/>
      <c r="FI83" s="113"/>
      <c r="FJ83" s="113"/>
      <c r="FK83" s="113"/>
      <c r="FL83" s="113"/>
      <c r="FM83" s="113"/>
      <c r="FN83" s="113"/>
      <c r="FO83" s="113"/>
      <c r="FP83" s="113"/>
      <c r="FQ83" s="113"/>
      <c r="FR83" s="113"/>
      <c r="FS83" s="113"/>
      <c r="FT83" s="113"/>
      <c r="FU83" s="113"/>
      <c r="FV83" s="113"/>
      <c r="FW83" s="113"/>
      <c r="FX83" s="113"/>
      <c r="FY83" s="113"/>
      <c r="FZ83" s="113"/>
      <c r="GA83" s="113"/>
      <c r="GB83" s="113"/>
      <c r="GC83" s="113"/>
      <c r="GD83" s="113"/>
      <c r="GE83" s="113"/>
      <c r="GF83" s="113"/>
      <c r="GG83" s="113"/>
      <c r="GH83" s="113"/>
      <c r="GI83" s="113"/>
      <c r="GJ83" s="113"/>
      <c r="GK83" s="113"/>
      <c r="GL83" s="113"/>
      <c r="GM83" s="113"/>
      <c r="GN83" s="113"/>
      <c r="GO83" s="113"/>
      <c r="GP83" s="113"/>
      <c r="GQ83" s="113"/>
      <c r="GR83" s="113"/>
      <c r="GS83" s="113"/>
      <c r="GT83" s="113"/>
      <c r="GU83" s="113"/>
      <c r="GV83" s="113"/>
      <c r="GW83" s="113"/>
      <c r="GX83" s="113"/>
      <c r="GY83" s="113"/>
      <c r="GZ83" s="113"/>
      <c r="HA83" s="113"/>
      <c r="HB83" s="113"/>
      <c r="HC83" s="113"/>
      <c r="HD83" s="113"/>
      <c r="HE83" s="113"/>
      <c r="HF83" s="113"/>
      <c r="HG83" s="113"/>
      <c r="HH83" s="113"/>
      <c r="HI83" s="113"/>
      <c r="HJ83" s="113"/>
      <c r="HK83" s="113"/>
      <c r="HL83" s="113"/>
      <c r="HM83" s="113"/>
      <c r="HN83" s="113"/>
      <c r="HO83" s="113"/>
      <c r="HP83" s="113"/>
      <c r="HQ83" s="113"/>
      <c r="HR83" s="113"/>
      <c r="HS83" s="113"/>
      <c r="HT83" s="113"/>
      <c r="HU83" s="113"/>
      <c r="HV83" s="113"/>
      <c r="HW83" s="113"/>
      <c r="HX83" s="113"/>
      <c r="HY83" s="113"/>
      <c r="HZ83" s="113"/>
      <c r="IA83" s="113"/>
      <c r="IB83" s="113"/>
      <c r="IC83" s="113"/>
      <c r="ID83" s="113"/>
      <c r="IE83" s="113"/>
      <c r="IF83" s="113"/>
      <c r="IG83" s="113"/>
      <c r="IH83" s="113"/>
      <c r="II83" s="113"/>
      <c r="IJ83" s="113"/>
      <c r="IK83" s="113"/>
      <c r="IL83" s="113"/>
      <c r="IM83" s="113"/>
      <c r="IN83" s="113"/>
      <c r="IO83" s="113"/>
      <c r="IP83" s="113"/>
      <c r="IQ83" s="113"/>
      <c r="IR83" s="113"/>
      <c r="IS83" s="113"/>
      <c r="IT83" s="113"/>
      <c r="IU83" s="113"/>
      <c r="IV83" s="113"/>
      <c r="IW83" s="113"/>
    </row>
    <row r="84" customFormat="false" ht="11.25" hidden="false" customHeight="false" outlineLevel="0" collapsed="false">
      <c r="A84" s="1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52"/>
      <c r="AR84" s="152"/>
      <c r="AS84" s="152"/>
      <c r="AT84" s="152"/>
      <c r="AU84" s="152"/>
      <c r="AV84" s="152"/>
      <c r="AW84" s="152"/>
      <c r="AX84" s="152"/>
      <c r="AY84" s="142"/>
      <c r="AZ84" s="142"/>
      <c r="BA84" s="142"/>
      <c r="BB84" s="142"/>
      <c r="BC84" s="113"/>
      <c r="BD84" s="113"/>
      <c r="BE84" s="113"/>
      <c r="BF84" s="113"/>
      <c r="BG84" s="113"/>
      <c r="BH84" s="113"/>
      <c r="BI84" s="113"/>
      <c r="BJ84" s="113"/>
      <c r="BK84" s="113"/>
      <c r="BL84" s="113"/>
      <c r="BM84" s="113"/>
      <c r="BN84" s="113"/>
      <c r="BO84" s="113"/>
      <c r="BP84" s="113"/>
      <c r="BQ84" s="113"/>
      <c r="BR84" s="113"/>
      <c r="BS84" s="113"/>
      <c r="BT84" s="113"/>
      <c r="BU84" s="113"/>
      <c r="BV84" s="113"/>
      <c r="BW84" s="113"/>
      <c r="BX84" s="113"/>
      <c r="BY84" s="113"/>
      <c r="BZ84" s="113"/>
      <c r="CA84" s="113"/>
      <c r="CB84" s="113"/>
      <c r="CC84" s="113"/>
      <c r="CD84" s="113"/>
      <c r="CE84" s="113"/>
      <c r="CF84" s="113"/>
      <c r="CG84" s="113"/>
      <c r="CH84" s="113"/>
      <c r="CI84" s="113"/>
      <c r="CJ84" s="113"/>
      <c r="CK84" s="113"/>
      <c r="CL84" s="113"/>
      <c r="CM84" s="113"/>
      <c r="CN84" s="113"/>
      <c r="CO84" s="113"/>
      <c r="CP84" s="113"/>
      <c r="CQ84" s="113"/>
      <c r="CR84" s="113"/>
      <c r="CS84" s="113"/>
      <c r="CT84" s="113"/>
      <c r="CU84" s="113"/>
      <c r="CV84" s="113"/>
      <c r="CW84" s="113"/>
      <c r="CX84" s="113"/>
      <c r="CY84" s="113"/>
      <c r="CZ84" s="113"/>
      <c r="DA84" s="113"/>
      <c r="DB84" s="113"/>
      <c r="DC84" s="113"/>
      <c r="DD84" s="113"/>
      <c r="DE84" s="113"/>
      <c r="DF84" s="113"/>
      <c r="DG84" s="113"/>
      <c r="DH84" s="113"/>
      <c r="DI84" s="113"/>
      <c r="DJ84" s="113"/>
      <c r="DK84" s="113"/>
      <c r="DL84" s="113"/>
      <c r="DM84" s="113"/>
      <c r="DN84" s="113"/>
      <c r="DO84" s="113"/>
      <c r="DP84" s="113"/>
      <c r="DQ84" s="113"/>
      <c r="DR84" s="113"/>
      <c r="DS84" s="113"/>
      <c r="DT84" s="113"/>
      <c r="DU84" s="113"/>
      <c r="DV84" s="113"/>
      <c r="DW84" s="113"/>
      <c r="DX84" s="113"/>
      <c r="DY84" s="113"/>
      <c r="DZ84" s="113"/>
      <c r="EA84" s="113"/>
      <c r="EB84" s="113"/>
      <c r="EC84" s="113"/>
      <c r="ED84" s="113"/>
      <c r="EE84" s="113"/>
      <c r="EF84" s="113"/>
      <c r="EG84" s="113"/>
      <c r="EH84" s="113"/>
      <c r="EI84" s="113"/>
      <c r="EJ84" s="113"/>
      <c r="EK84" s="113"/>
      <c r="EL84" s="113"/>
      <c r="EM84" s="113"/>
      <c r="EN84" s="113"/>
      <c r="EO84" s="113"/>
      <c r="EP84" s="113"/>
      <c r="EQ84" s="113"/>
      <c r="ER84" s="113"/>
      <c r="ES84" s="113"/>
      <c r="ET84" s="113"/>
      <c r="EU84" s="113"/>
      <c r="EV84" s="113"/>
      <c r="EW84" s="113"/>
      <c r="EX84" s="113"/>
      <c r="EY84" s="113"/>
      <c r="EZ84" s="113"/>
      <c r="FA84" s="113"/>
      <c r="FB84" s="113"/>
      <c r="FC84" s="113"/>
      <c r="FD84" s="113"/>
      <c r="FE84" s="113"/>
      <c r="FF84" s="113"/>
      <c r="FG84" s="113"/>
      <c r="FH84" s="113"/>
      <c r="FI84" s="113"/>
      <c r="FJ84" s="113"/>
      <c r="FK84" s="113"/>
      <c r="FL84" s="113"/>
      <c r="FM84" s="113"/>
      <c r="FN84" s="113"/>
      <c r="FO84" s="113"/>
      <c r="FP84" s="113"/>
      <c r="FQ84" s="113"/>
      <c r="FR84" s="113"/>
      <c r="FS84" s="113"/>
      <c r="FT84" s="113"/>
      <c r="FU84" s="113"/>
      <c r="FV84" s="113"/>
      <c r="FW84" s="113"/>
      <c r="FX84" s="113"/>
      <c r="FY84" s="113"/>
      <c r="FZ84" s="113"/>
      <c r="GA84" s="113"/>
      <c r="GB84" s="113"/>
      <c r="GC84" s="113"/>
      <c r="GD84" s="113"/>
      <c r="GE84" s="113"/>
      <c r="GF84" s="113"/>
      <c r="GG84" s="113"/>
      <c r="GH84" s="113"/>
      <c r="GI84" s="113"/>
      <c r="GJ84" s="113"/>
      <c r="GK84" s="113"/>
      <c r="GL84" s="113"/>
      <c r="GM84" s="113"/>
      <c r="GN84" s="113"/>
      <c r="GO84" s="113"/>
      <c r="GP84" s="113"/>
      <c r="GQ84" s="113"/>
      <c r="GR84" s="113"/>
      <c r="GS84" s="113"/>
      <c r="GT84" s="113"/>
      <c r="GU84" s="113"/>
      <c r="GV84" s="113"/>
      <c r="GW84" s="113"/>
      <c r="GX84" s="113"/>
      <c r="GY84" s="113"/>
      <c r="GZ84" s="113"/>
      <c r="HA84" s="113"/>
      <c r="HB84" s="113"/>
      <c r="HC84" s="113"/>
      <c r="HD84" s="113"/>
      <c r="HE84" s="113"/>
      <c r="HF84" s="113"/>
      <c r="HG84" s="113"/>
      <c r="HH84" s="113"/>
      <c r="HI84" s="113"/>
      <c r="HJ84" s="113"/>
      <c r="HK84" s="113"/>
      <c r="HL84" s="113"/>
      <c r="HM84" s="113"/>
      <c r="HN84" s="113"/>
      <c r="HO84" s="113"/>
      <c r="HP84" s="113"/>
      <c r="HQ84" s="113"/>
      <c r="HR84" s="113"/>
      <c r="HS84" s="113"/>
      <c r="HT84" s="113"/>
      <c r="HU84" s="113"/>
      <c r="HV84" s="113"/>
      <c r="HW84" s="113"/>
      <c r="HX84" s="113"/>
      <c r="HY84" s="113"/>
      <c r="HZ84" s="113"/>
      <c r="IA84" s="113"/>
      <c r="IB84" s="113"/>
      <c r="IC84" s="113"/>
      <c r="ID84" s="113"/>
      <c r="IE84" s="113"/>
      <c r="IF84" s="113"/>
      <c r="IG84" s="113"/>
      <c r="IH84" s="113"/>
      <c r="II84" s="113"/>
      <c r="IJ84" s="113"/>
      <c r="IK84" s="113"/>
      <c r="IL84" s="113"/>
      <c r="IM84" s="113"/>
      <c r="IN84" s="113"/>
      <c r="IO84" s="113"/>
      <c r="IP84" s="113"/>
      <c r="IQ84" s="113"/>
      <c r="IR84" s="113"/>
      <c r="IS84" s="113"/>
      <c r="IT84" s="113"/>
      <c r="IU84" s="113"/>
      <c r="IV84" s="113"/>
      <c r="IW84" s="113"/>
    </row>
    <row r="85" customFormat="false" ht="11.25" hidden="false" customHeight="false" outlineLevel="0" collapsed="false">
      <c r="A85" s="113"/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52"/>
      <c r="AR85" s="152"/>
      <c r="AS85" s="152"/>
      <c r="AT85" s="152"/>
      <c r="AU85" s="152"/>
      <c r="AV85" s="152"/>
      <c r="AW85" s="152"/>
      <c r="AX85" s="152"/>
      <c r="AY85" s="142"/>
      <c r="AZ85" s="142"/>
      <c r="BA85" s="142"/>
      <c r="BB85" s="142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13"/>
      <c r="BO85" s="113"/>
      <c r="BP85" s="113"/>
      <c r="BQ85" s="113"/>
      <c r="BR85" s="113"/>
      <c r="BS85" s="113"/>
      <c r="BT85" s="113"/>
      <c r="BU85" s="113"/>
      <c r="BV85" s="113"/>
      <c r="BW85" s="113"/>
      <c r="BX85" s="113"/>
      <c r="BY85" s="113"/>
      <c r="BZ85" s="113"/>
      <c r="CA85" s="113"/>
      <c r="CB85" s="113"/>
      <c r="CC85" s="113"/>
      <c r="CD85" s="113"/>
      <c r="CE85" s="113"/>
      <c r="CF85" s="113"/>
      <c r="CG85" s="113"/>
      <c r="CH85" s="113"/>
      <c r="CI85" s="113"/>
      <c r="CJ85" s="113"/>
      <c r="CK85" s="113"/>
      <c r="CL85" s="113"/>
      <c r="CM85" s="113"/>
      <c r="CN85" s="113"/>
      <c r="CO85" s="113"/>
      <c r="CP85" s="113"/>
      <c r="CQ85" s="113"/>
      <c r="CR85" s="113"/>
      <c r="CS85" s="113"/>
      <c r="CT85" s="113"/>
      <c r="CU85" s="113"/>
      <c r="CV85" s="113"/>
      <c r="CW85" s="113"/>
      <c r="CX85" s="113"/>
      <c r="CY85" s="113"/>
      <c r="CZ85" s="113"/>
      <c r="DA85" s="113"/>
      <c r="DB85" s="113"/>
      <c r="DC85" s="113"/>
      <c r="DD85" s="113"/>
      <c r="DE85" s="113"/>
      <c r="DF85" s="113"/>
      <c r="DG85" s="113"/>
      <c r="DH85" s="113"/>
      <c r="DI85" s="113"/>
      <c r="DJ85" s="113"/>
      <c r="DK85" s="113"/>
      <c r="DL85" s="113"/>
      <c r="DM85" s="113"/>
      <c r="DN85" s="113"/>
      <c r="DO85" s="113"/>
      <c r="DP85" s="113"/>
      <c r="DQ85" s="113"/>
      <c r="DR85" s="113"/>
      <c r="DS85" s="113"/>
      <c r="DT85" s="113"/>
      <c r="DU85" s="113"/>
      <c r="DV85" s="113"/>
      <c r="DW85" s="113"/>
      <c r="DX85" s="113"/>
      <c r="DY85" s="113"/>
      <c r="DZ85" s="113"/>
      <c r="EA85" s="113"/>
      <c r="EB85" s="113"/>
      <c r="EC85" s="113"/>
      <c r="ED85" s="113"/>
      <c r="EE85" s="113"/>
      <c r="EF85" s="113"/>
      <c r="EG85" s="113"/>
      <c r="EH85" s="113"/>
      <c r="EI85" s="113"/>
      <c r="EJ85" s="113"/>
      <c r="EK85" s="113"/>
      <c r="EL85" s="113"/>
      <c r="EM85" s="113"/>
      <c r="EN85" s="113"/>
      <c r="EO85" s="113"/>
      <c r="EP85" s="113"/>
      <c r="EQ85" s="113"/>
      <c r="ER85" s="113"/>
      <c r="ES85" s="113"/>
      <c r="ET85" s="113"/>
      <c r="EU85" s="113"/>
      <c r="EV85" s="113"/>
      <c r="EW85" s="113"/>
      <c r="EX85" s="113"/>
      <c r="EY85" s="113"/>
      <c r="EZ85" s="113"/>
      <c r="FA85" s="113"/>
      <c r="FB85" s="113"/>
      <c r="FC85" s="113"/>
      <c r="FD85" s="113"/>
      <c r="FE85" s="113"/>
      <c r="FF85" s="113"/>
      <c r="FG85" s="113"/>
      <c r="FH85" s="113"/>
      <c r="FI85" s="113"/>
      <c r="FJ85" s="113"/>
      <c r="FK85" s="113"/>
      <c r="FL85" s="113"/>
      <c r="FM85" s="113"/>
      <c r="FN85" s="113"/>
      <c r="FO85" s="113"/>
      <c r="FP85" s="113"/>
      <c r="FQ85" s="113"/>
      <c r="FR85" s="113"/>
      <c r="FS85" s="113"/>
      <c r="FT85" s="113"/>
      <c r="FU85" s="113"/>
      <c r="FV85" s="113"/>
      <c r="FW85" s="113"/>
      <c r="FX85" s="113"/>
      <c r="FY85" s="113"/>
      <c r="FZ85" s="113"/>
      <c r="GA85" s="113"/>
      <c r="GB85" s="113"/>
      <c r="GC85" s="113"/>
      <c r="GD85" s="113"/>
      <c r="GE85" s="113"/>
      <c r="GF85" s="113"/>
      <c r="GG85" s="113"/>
      <c r="GH85" s="113"/>
      <c r="GI85" s="113"/>
      <c r="GJ85" s="113"/>
      <c r="GK85" s="113"/>
      <c r="GL85" s="113"/>
      <c r="GM85" s="113"/>
      <c r="GN85" s="113"/>
      <c r="GO85" s="113"/>
      <c r="GP85" s="113"/>
      <c r="GQ85" s="113"/>
      <c r="GR85" s="113"/>
      <c r="GS85" s="113"/>
      <c r="GT85" s="113"/>
      <c r="GU85" s="113"/>
      <c r="GV85" s="113"/>
      <c r="GW85" s="113"/>
      <c r="GX85" s="113"/>
      <c r="GY85" s="113"/>
      <c r="GZ85" s="113"/>
      <c r="HA85" s="113"/>
      <c r="HB85" s="113"/>
      <c r="HC85" s="113"/>
      <c r="HD85" s="113"/>
      <c r="HE85" s="113"/>
      <c r="HF85" s="113"/>
      <c r="HG85" s="113"/>
      <c r="HH85" s="113"/>
      <c r="HI85" s="113"/>
      <c r="HJ85" s="113"/>
      <c r="HK85" s="113"/>
      <c r="HL85" s="113"/>
      <c r="HM85" s="113"/>
      <c r="HN85" s="113"/>
      <c r="HO85" s="113"/>
      <c r="HP85" s="113"/>
      <c r="HQ85" s="113"/>
      <c r="HR85" s="113"/>
      <c r="HS85" s="113"/>
      <c r="HT85" s="113"/>
      <c r="HU85" s="113"/>
      <c r="HV85" s="113"/>
      <c r="HW85" s="113"/>
      <c r="HX85" s="113"/>
      <c r="HY85" s="113"/>
      <c r="HZ85" s="113"/>
      <c r="IA85" s="113"/>
      <c r="IB85" s="113"/>
      <c r="IC85" s="113"/>
      <c r="ID85" s="113"/>
      <c r="IE85" s="113"/>
      <c r="IF85" s="113"/>
      <c r="IG85" s="113"/>
      <c r="IH85" s="113"/>
      <c r="II85" s="113"/>
      <c r="IJ85" s="113"/>
      <c r="IK85" s="113"/>
      <c r="IL85" s="113"/>
      <c r="IM85" s="113"/>
      <c r="IN85" s="113"/>
      <c r="IO85" s="113"/>
      <c r="IP85" s="113"/>
      <c r="IQ85" s="113"/>
      <c r="IR85" s="113"/>
      <c r="IS85" s="113"/>
      <c r="IT85" s="113"/>
      <c r="IU85" s="113"/>
      <c r="IV85" s="113"/>
      <c r="IW85" s="113"/>
    </row>
    <row r="86" customFormat="false" ht="11.25" hidden="false" customHeight="false" outlineLevel="0" collapsed="false">
      <c r="A86" s="113"/>
      <c r="B86" s="113"/>
      <c r="C86" s="113"/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42"/>
      <c r="AR86" s="142"/>
      <c r="AS86" s="142"/>
      <c r="AT86" s="142"/>
      <c r="AU86" s="142"/>
      <c r="AV86" s="142"/>
      <c r="AW86" s="142"/>
      <c r="AX86" s="142"/>
      <c r="AY86" s="142"/>
      <c r="AZ86" s="142"/>
      <c r="BA86" s="142"/>
      <c r="BB86" s="142"/>
      <c r="BC86" s="113"/>
      <c r="BD86" s="113"/>
      <c r="BE86" s="113"/>
      <c r="BF86" s="113"/>
      <c r="BG86" s="113"/>
      <c r="BH86" s="113"/>
      <c r="BI86" s="113"/>
      <c r="BJ86" s="113"/>
      <c r="BK86" s="113"/>
      <c r="BL86" s="113"/>
      <c r="BM86" s="113"/>
      <c r="BN86" s="113"/>
      <c r="BO86" s="113"/>
      <c r="BP86" s="113"/>
      <c r="BQ86" s="113"/>
      <c r="BR86" s="113"/>
      <c r="BS86" s="113"/>
      <c r="BT86" s="113"/>
      <c r="BU86" s="113"/>
      <c r="BV86" s="113"/>
      <c r="BW86" s="113"/>
      <c r="BX86" s="113"/>
      <c r="BY86" s="113"/>
      <c r="BZ86" s="113"/>
      <c r="CA86" s="113"/>
      <c r="CB86" s="113"/>
      <c r="CC86" s="113"/>
      <c r="CD86" s="113"/>
      <c r="CE86" s="113"/>
      <c r="CF86" s="113"/>
      <c r="CG86" s="113"/>
      <c r="CH86" s="113"/>
      <c r="CI86" s="113"/>
      <c r="CJ86" s="113"/>
      <c r="CK86" s="113"/>
      <c r="CL86" s="113"/>
      <c r="CM86" s="113"/>
      <c r="CN86" s="113"/>
      <c r="CO86" s="113"/>
      <c r="CP86" s="113"/>
      <c r="CQ86" s="113"/>
      <c r="CR86" s="113"/>
      <c r="CS86" s="113"/>
      <c r="CT86" s="113"/>
      <c r="CU86" s="113"/>
      <c r="CV86" s="113"/>
      <c r="CW86" s="113"/>
      <c r="CX86" s="113"/>
      <c r="CY86" s="113"/>
      <c r="CZ86" s="113"/>
      <c r="DA86" s="113"/>
      <c r="DB86" s="113"/>
      <c r="DC86" s="113"/>
      <c r="DD86" s="113"/>
      <c r="DE86" s="113"/>
      <c r="DF86" s="113"/>
      <c r="DG86" s="113"/>
      <c r="DH86" s="113"/>
      <c r="DI86" s="113"/>
      <c r="DJ86" s="113"/>
      <c r="DK86" s="113"/>
      <c r="DL86" s="113"/>
      <c r="DM86" s="113"/>
      <c r="DN86" s="113"/>
      <c r="DO86" s="113"/>
      <c r="DP86" s="113"/>
      <c r="DQ86" s="113"/>
      <c r="DR86" s="113"/>
      <c r="DS86" s="113"/>
      <c r="DT86" s="113"/>
      <c r="DU86" s="113"/>
      <c r="DV86" s="113"/>
      <c r="DW86" s="113"/>
      <c r="DX86" s="113"/>
      <c r="DY86" s="113"/>
      <c r="DZ86" s="113"/>
      <c r="EA86" s="113"/>
      <c r="EB86" s="113"/>
      <c r="EC86" s="113"/>
      <c r="ED86" s="113"/>
      <c r="EE86" s="113"/>
      <c r="EF86" s="113"/>
      <c r="EG86" s="113"/>
      <c r="EH86" s="113"/>
      <c r="EI86" s="113"/>
      <c r="EJ86" s="113"/>
      <c r="EK86" s="113"/>
      <c r="EL86" s="113"/>
      <c r="EM86" s="113"/>
      <c r="EN86" s="113"/>
      <c r="EO86" s="113"/>
      <c r="EP86" s="113"/>
      <c r="EQ86" s="113"/>
      <c r="ER86" s="113"/>
      <c r="ES86" s="113"/>
      <c r="ET86" s="113"/>
      <c r="EU86" s="113"/>
      <c r="EV86" s="113"/>
      <c r="EW86" s="113"/>
      <c r="EX86" s="113"/>
      <c r="EY86" s="113"/>
      <c r="EZ86" s="113"/>
      <c r="FA86" s="113"/>
      <c r="FB86" s="113"/>
      <c r="FC86" s="113"/>
      <c r="FD86" s="113"/>
      <c r="FE86" s="113"/>
      <c r="FF86" s="113"/>
      <c r="FG86" s="113"/>
      <c r="FH86" s="113"/>
      <c r="FI86" s="113"/>
      <c r="FJ86" s="113"/>
      <c r="FK86" s="113"/>
      <c r="FL86" s="113"/>
      <c r="FM86" s="113"/>
      <c r="FN86" s="113"/>
      <c r="FO86" s="113"/>
      <c r="FP86" s="113"/>
      <c r="FQ86" s="113"/>
      <c r="FR86" s="113"/>
      <c r="FS86" s="113"/>
      <c r="FT86" s="113"/>
      <c r="FU86" s="113"/>
      <c r="FV86" s="113"/>
      <c r="FW86" s="113"/>
      <c r="FX86" s="113"/>
      <c r="FY86" s="113"/>
      <c r="FZ86" s="113"/>
      <c r="GA86" s="113"/>
      <c r="GB86" s="113"/>
      <c r="GC86" s="113"/>
      <c r="GD86" s="113"/>
      <c r="GE86" s="113"/>
      <c r="GF86" s="113"/>
      <c r="GG86" s="113"/>
      <c r="GH86" s="113"/>
      <c r="GI86" s="113"/>
      <c r="GJ86" s="113"/>
      <c r="GK86" s="113"/>
      <c r="GL86" s="113"/>
      <c r="GM86" s="113"/>
      <c r="GN86" s="113"/>
      <c r="GO86" s="113"/>
      <c r="GP86" s="113"/>
      <c r="GQ86" s="113"/>
      <c r="GR86" s="113"/>
      <c r="GS86" s="113"/>
      <c r="GT86" s="113"/>
      <c r="GU86" s="113"/>
      <c r="GV86" s="113"/>
      <c r="GW86" s="113"/>
      <c r="GX86" s="113"/>
      <c r="GY86" s="113"/>
      <c r="GZ86" s="113"/>
      <c r="HA86" s="113"/>
      <c r="HB86" s="113"/>
      <c r="HC86" s="113"/>
      <c r="HD86" s="113"/>
      <c r="HE86" s="113"/>
      <c r="HF86" s="113"/>
      <c r="HG86" s="113"/>
      <c r="HH86" s="113"/>
      <c r="HI86" s="113"/>
      <c r="HJ86" s="113"/>
      <c r="HK86" s="113"/>
      <c r="HL86" s="113"/>
      <c r="HM86" s="113"/>
      <c r="HN86" s="113"/>
      <c r="HO86" s="113"/>
      <c r="HP86" s="113"/>
      <c r="HQ86" s="113"/>
      <c r="HR86" s="113"/>
      <c r="HS86" s="113"/>
      <c r="HT86" s="113"/>
      <c r="HU86" s="113"/>
      <c r="HV86" s="113"/>
      <c r="HW86" s="113"/>
      <c r="HX86" s="113"/>
      <c r="HY86" s="113"/>
      <c r="HZ86" s="113"/>
      <c r="IA86" s="113"/>
      <c r="IB86" s="113"/>
      <c r="IC86" s="113"/>
      <c r="ID86" s="113"/>
      <c r="IE86" s="113"/>
      <c r="IF86" s="113"/>
      <c r="IG86" s="113"/>
      <c r="IH86" s="113"/>
      <c r="II86" s="113"/>
      <c r="IJ86" s="113"/>
      <c r="IK86" s="113"/>
      <c r="IL86" s="113"/>
      <c r="IM86" s="113"/>
      <c r="IN86" s="113"/>
      <c r="IO86" s="113"/>
      <c r="IP86" s="113"/>
      <c r="IQ86" s="113"/>
      <c r="IR86" s="113"/>
      <c r="IS86" s="113"/>
      <c r="IT86" s="113"/>
      <c r="IU86" s="113"/>
      <c r="IV86" s="113"/>
      <c r="IW86" s="113"/>
    </row>
    <row r="87" customFormat="false" ht="11.25" hidden="false" customHeight="false" outlineLevel="0" collapsed="false">
      <c r="A87" s="113"/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42"/>
      <c r="AR87" s="142"/>
      <c r="AS87" s="142"/>
      <c r="AT87" s="142"/>
      <c r="AU87" s="142"/>
      <c r="AV87" s="142"/>
      <c r="AW87" s="142"/>
      <c r="AX87" s="142"/>
      <c r="AY87" s="142"/>
      <c r="AZ87" s="142"/>
      <c r="BA87" s="142"/>
      <c r="BB87" s="142"/>
      <c r="BC87" s="113"/>
      <c r="BD87" s="113"/>
      <c r="BE87" s="113"/>
      <c r="BF87" s="113"/>
      <c r="BG87" s="113"/>
      <c r="BH87" s="113"/>
      <c r="BI87" s="113"/>
      <c r="BJ87" s="113"/>
      <c r="BK87" s="113"/>
      <c r="BL87" s="113"/>
      <c r="BM87" s="113"/>
      <c r="BN87" s="113"/>
      <c r="BO87" s="113"/>
      <c r="BP87" s="113"/>
      <c r="BQ87" s="113"/>
      <c r="BR87" s="113"/>
      <c r="BS87" s="113"/>
      <c r="BT87" s="113"/>
      <c r="BU87" s="113"/>
      <c r="BV87" s="113"/>
      <c r="BW87" s="113"/>
      <c r="BX87" s="113"/>
      <c r="BY87" s="113"/>
      <c r="BZ87" s="113"/>
      <c r="CA87" s="113"/>
      <c r="CB87" s="113"/>
      <c r="CC87" s="113"/>
      <c r="CD87" s="113"/>
      <c r="CE87" s="113"/>
      <c r="CF87" s="113"/>
      <c r="CG87" s="113"/>
      <c r="CH87" s="113"/>
      <c r="CI87" s="113"/>
      <c r="CJ87" s="113"/>
      <c r="CK87" s="113"/>
      <c r="CL87" s="113"/>
      <c r="CM87" s="113"/>
      <c r="CN87" s="113"/>
      <c r="CO87" s="113"/>
      <c r="CP87" s="113"/>
      <c r="CQ87" s="113"/>
      <c r="CR87" s="113"/>
      <c r="CS87" s="113"/>
      <c r="CT87" s="113"/>
      <c r="CU87" s="113"/>
      <c r="CV87" s="113"/>
      <c r="CW87" s="113"/>
      <c r="CX87" s="113"/>
      <c r="CY87" s="113"/>
      <c r="CZ87" s="113"/>
      <c r="DA87" s="113"/>
      <c r="DB87" s="113"/>
      <c r="DC87" s="113"/>
      <c r="DD87" s="113"/>
      <c r="DE87" s="113"/>
      <c r="DF87" s="113"/>
      <c r="DG87" s="113"/>
      <c r="DH87" s="113"/>
      <c r="DI87" s="113"/>
      <c r="DJ87" s="113"/>
      <c r="DK87" s="113"/>
      <c r="DL87" s="113"/>
      <c r="DM87" s="113"/>
      <c r="DN87" s="113"/>
      <c r="DO87" s="113"/>
      <c r="DP87" s="113"/>
      <c r="DQ87" s="113"/>
      <c r="DR87" s="113"/>
      <c r="DS87" s="113"/>
      <c r="DT87" s="113"/>
      <c r="DU87" s="113"/>
      <c r="DV87" s="113"/>
      <c r="DW87" s="113"/>
      <c r="DX87" s="113"/>
      <c r="DY87" s="113"/>
      <c r="DZ87" s="113"/>
      <c r="EA87" s="113"/>
      <c r="EB87" s="113"/>
      <c r="EC87" s="113"/>
      <c r="ED87" s="113"/>
      <c r="EE87" s="113"/>
      <c r="EF87" s="113"/>
      <c r="EG87" s="113"/>
      <c r="EH87" s="113"/>
      <c r="EI87" s="113"/>
      <c r="EJ87" s="113"/>
      <c r="EK87" s="113"/>
      <c r="EL87" s="113"/>
      <c r="EM87" s="113"/>
      <c r="EN87" s="113"/>
      <c r="EO87" s="113"/>
      <c r="EP87" s="113"/>
      <c r="EQ87" s="113"/>
      <c r="ER87" s="113"/>
      <c r="ES87" s="113"/>
      <c r="ET87" s="113"/>
      <c r="EU87" s="113"/>
      <c r="EV87" s="113"/>
      <c r="EW87" s="113"/>
      <c r="EX87" s="113"/>
      <c r="EY87" s="113"/>
      <c r="EZ87" s="113"/>
      <c r="FA87" s="113"/>
      <c r="FB87" s="113"/>
      <c r="FC87" s="113"/>
      <c r="FD87" s="113"/>
      <c r="FE87" s="113"/>
      <c r="FF87" s="113"/>
      <c r="FG87" s="113"/>
      <c r="FH87" s="113"/>
      <c r="FI87" s="113"/>
      <c r="FJ87" s="113"/>
      <c r="FK87" s="113"/>
      <c r="FL87" s="113"/>
      <c r="FM87" s="113"/>
      <c r="FN87" s="113"/>
      <c r="FO87" s="113"/>
      <c r="FP87" s="113"/>
      <c r="FQ87" s="113"/>
      <c r="FR87" s="113"/>
      <c r="FS87" s="113"/>
      <c r="FT87" s="113"/>
      <c r="FU87" s="113"/>
      <c r="FV87" s="113"/>
      <c r="FW87" s="113"/>
      <c r="FX87" s="113"/>
      <c r="FY87" s="113"/>
      <c r="FZ87" s="113"/>
      <c r="GA87" s="113"/>
      <c r="GB87" s="113"/>
      <c r="GC87" s="113"/>
      <c r="GD87" s="113"/>
      <c r="GE87" s="113"/>
      <c r="GF87" s="113"/>
      <c r="GG87" s="113"/>
      <c r="GH87" s="113"/>
      <c r="GI87" s="113"/>
      <c r="GJ87" s="113"/>
      <c r="GK87" s="113"/>
      <c r="GL87" s="113"/>
      <c r="GM87" s="113"/>
      <c r="GN87" s="113"/>
      <c r="GO87" s="113"/>
      <c r="GP87" s="113"/>
      <c r="GQ87" s="113"/>
      <c r="GR87" s="113"/>
      <c r="GS87" s="113"/>
      <c r="GT87" s="113"/>
      <c r="GU87" s="113"/>
      <c r="GV87" s="113"/>
      <c r="GW87" s="113"/>
      <c r="GX87" s="113"/>
      <c r="GY87" s="113"/>
      <c r="GZ87" s="113"/>
      <c r="HA87" s="113"/>
      <c r="HB87" s="113"/>
      <c r="HC87" s="113"/>
      <c r="HD87" s="113"/>
      <c r="HE87" s="113"/>
      <c r="HF87" s="113"/>
      <c r="HG87" s="113"/>
      <c r="HH87" s="113"/>
      <c r="HI87" s="113"/>
      <c r="HJ87" s="113"/>
      <c r="HK87" s="113"/>
      <c r="HL87" s="113"/>
      <c r="HM87" s="113"/>
      <c r="HN87" s="113"/>
      <c r="HO87" s="113"/>
      <c r="HP87" s="113"/>
      <c r="HQ87" s="113"/>
      <c r="HR87" s="113"/>
      <c r="HS87" s="113"/>
      <c r="HT87" s="113"/>
      <c r="HU87" s="113"/>
      <c r="HV87" s="113"/>
      <c r="HW87" s="113"/>
      <c r="HX87" s="113"/>
      <c r="HY87" s="113"/>
      <c r="HZ87" s="113"/>
      <c r="IA87" s="113"/>
      <c r="IB87" s="113"/>
      <c r="IC87" s="113"/>
      <c r="ID87" s="113"/>
      <c r="IE87" s="113"/>
      <c r="IF87" s="113"/>
      <c r="IG87" s="113"/>
      <c r="IH87" s="113"/>
      <c r="II87" s="113"/>
      <c r="IJ87" s="113"/>
      <c r="IK87" s="113"/>
      <c r="IL87" s="113"/>
      <c r="IM87" s="113"/>
      <c r="IN87" s="113"/>
      <c r="IO87" s="113"/>
      <c r="IP87" s="113"/>
      <c r="IQ87" s="113"/>
      <c r="IR87" s="113"/>
      <c r="IS87" s="113"/>
      <c r="IT87" s="113"/>
      <c r="IU87" s="113"/>
      <c r="IV87" s="113"/>
      <c r="IW87" s="113"/>
    </row>
    <row r="88" customFormat="false" ht="11.25" hidden="false" customHeight="false" outlineLevel="0" collapsed="false">
      <c r="A88" s="113"/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13"/>
      <c r="BD88" s="113"/>
      <c r="BE88" s="113"/>
      <c r="BF88" s="113"/>
      <c r="BG88" s="113"/>
      <c r="BH88" s="113"/>
      <c r="BI88" s="113"/>
      <c r="BJ88" s="113"/>
      <c r="BK88" s="113"/>
      <c r="BL88" s="113"/>
      <c r="BM88" s="113"/>
      <c r="BN88" s="113"/>
      <c r="BO88" s="113"/>
      <c r="BP88" s="113"/>
      <c r="BQ88" s="113"/>
      <c r="BR88" s="113"/>
      <c r="BS88" s="113"/>
      <c r="BT88" s="113"/>
      <c r="BU88" s="113"/>
      <c r="BV88" s="113"/>
      <c r="BW88" s="113"/>
      <c r="BX88" s="113"/>
      <c r="BY88" s="113"/>
      <c r="BZ88" s="113"/>
      <c r="CA88" s="113"/>
      <c r="CB88" s="113"/>
      <c r="CC88" s="113"/>
      <c r="CD88" s="113"/>
      <c r="CE88" s="113"/>
      <c r="CF88" s="113"/>
      <c r="CG88" s="113"/>
      <c r="CH88" s="113"/>
      <c r="CI88" s="113"/>
      <c r="CJ88" s="113"/>
      <c r="CK88" s="113"/>
      <c r="CL88" s="113"/>
      <c r="CM88" s="113"/>
      <c r="CN88" s="113"/>
      <c r="CO88" s="113"/>
      <c r="CP88" s="113"/>
      <c r="CQ88" s="113"/>
      <c r="CR88" s="113"/>
      <c r="CS88" s="113"/>
      <c r="CT88" s="113"/>
      <c r="CU88" s="113"/>
      <c r="CV88" s="113"/>
      <c r="CW88" s="113"/>
      <c r="CX88" s="113"/>
      <c r="CY88" s="113"/>
      <c r="CZ88" s="113"/>
      <c r="DA88" s="113"/>
      <c r="DB88" s="113"/>
      <c r="DC88" s="113"/>
      <c r="DD88" s="113"/>
      <c r="DE88" s="113"/>
      <c r="DF88" s="113"/>
      <c r="DG88" s="113"/>
      <c r="DH88" s="113"/>
      <c r="DI88" s="113"/>
      <c r="DJ88" s="113"/>
      <c r="DK88" s="113"/>
      <c r="DL88" s="113"/>
      <c r="DM88" s="113"/>
      <c r="DN88" s="113"/>
      <c r="DO88" s="113"/>
      <c r="DP88" s="113"/>
      <c r="DQ88" s="113"/>
      <c r="DR88" s="113"/>
      <c r="DS88" s="113"/>
      <c r="DT88" s="113"/>
      <c r="DU88" s="113"/>
      <c r="DV88" s="113"/>
      <c r="DW88" s="113"/>
      <c r="DX88" s="113"/>
      <c r="DY88" s="113"/>
      <c r="DZ88" s="113"/>
      <c r="EA88" s="113"/>
      <c r="EB88" s="113"/>
      <c r="EC88" s="113"/>
      <c r="ED88" s="113"/>
      <c r="EE88" s="113"/>
      <c r="EF88" s="113"/>
      <c r="EG88" s="113"/>
      <c r="EH88" s="113"/>
      <c r="EI88" s="113"/>
      <c r="EJ88" s="113"/>
      <c r="EK88" s="113"/>
      <c r="EL88" s="113"/>
      <c r="EM88" s="113"/>
      <c r="EN88" s="113"/>
      <c r="EO88" s="113"/>
      <c r="EP88" s="113"/>
      <c r="EQ88" s="113"/>
      <c r="ER88" s="113"/>
      <c r="ES88" s="113"/>
      <c r="ET88" s="113"/>
      <c r="EU88" s="113"/>
      <c r="EV88" s="113"/>
      <c r="EW88" s="113"/>
      <c r="EX88" s="113"/>
      <c r="EY88" s="113"/>
      <c r="EZ88" s="113"/>
      <c r="FA88" s="113"/>
      <c r="FB88" s="113"/>
      <c r="FC88" s="113"/>
      <c r="FD88" s="113"/>
      <c r="FE88" s="113"/>
      <c r="FF88" s="113"/>
      <c r="FG88" s="113"/>
      <c r="FH88" s="113"/>
      <c r="FI88" s="113"/>
      <c r="FJ88" s="113"/>
      <c r="FK88" s="113"/>
      <c r="FL88" s="113"/>
      <c r="FM88" s="113"/>
      <c r="FN88" s="113"/>
      <c r="FO88" s="113"/>
      <c r="FP88" s="113"/>
      <c r="FQ88" s="113"/>
      <c r="FR88" s="113"/>
      <c r="FS88" s="113"/>
      <c r="FT88" s="113"/>
      <c r="FU88" s="113"/>
      <c r="FV88" s="113"/>
      <c r="FW88" s="113"/>
      <c r="FX88" s="113"/>
      <c r="FY88" s="113"/>
      <c r="FZ88" s="113"/>
      <c r="GA88" s="113"/>
      <c r="GB88" s="113"/>
      <c r="GC88" s="113"/>
      <c r="GD88" s="113"/>
      <c r="GE88" s="113"/>
      <c r="GF88" s="113"/>
      <c r="GG88" s="113"/>
      <c r="GH88" s="113"/>
      <c r="GI88" s="113"/>
      <c r="GJ88" s="113"/>
      <c r="GK88" s="113"/>
      <c r="GL88" s="113"/>
      <c r="GM88" s="113"/>
      <c r="GN88" s="113"/>
      <c r="GO88" s="113"/>
      <c r="GP88" s="113"/>
      <c r="GQ88" s="113"/>
      <c r="GR88" s="113"/>
      <c r="GS88" s="113"/>
      <c r="GT88" s="113"/>
      <c r="GU88" s="113"/>
      <c r="GV88" s="113"/>
      <c r="GW88" s="113"/>
      <c r="GX88" s="113"/>
      <c r="GY88" s="113"/>
      <c r="GZ88" s="113"/>
      <c r="HA88" s="113"/>
      <c r="HB88" s="113"/>
      <c r="HC88" s="113"/>
      <c r="HD88" s="113"/>
      <c r="HE88" s="113"/>
      <c r="HF88" s="113"/>
      <c r="HG88" s="113"/>
      <c r="HH88" s="113"/>
      <c r="HI88" s="113"/>
      <c r="HJ88" s="113"/>
      <c r="HK88" s="113"/>
      <c r="HL88" s="113"/>
      <c r="HM88" s="113"/>
      <c r="HN88" s="113"/>
      <c r="HO88" s="113"/>
      <c r="HP88" s="113"/>
      <c r="HQ88" s="113"/>
      <c r="HR88" s="113"/>
      <c r="HS88" s="113"/>
      <c r="HT88" s="113"/>
      <c r="HU88" s="113"/>
      <c r="HV88" s="113"/>
      <c r="HW88" s="113"/>
      <c r="HX88" s="113"/>
      <c r="HY88" s="113"/>
      <c r="HZ88" s="113"/>
      <c r="IA88" s="113"/>
      <c r="IB88" s="113"/>
      <c r="IC88" s="113"/>
      <c r="ID88" s="113"/>
      <c r="IE88" s="113"/>
      <c r="IF88" s="113"/>
      <c r="IG88" s="113"/>
      <c r="IH88" s="113"/>
      <c r="II88" s="113"/>
      <c r="IJ88" s="113"/>
      <c r="IK88" s="113"/>
      <c r="IL88" s="113"/>
      <c r="IM88" s="113"/>
      <c r="IN88" s="113"/>
      <c r="IO88" s="113"/>
      <c r="IP88" s="113"/>
      <c r="IQ88" s="113"/>
      <c r="IR88" s="113"/>
      <c r="IS88" s="113"/>
      <c r="IT88" s="113"/>
      <c r="IU88" s="113"/>
      <c r="IV88" s="113"/>
      <c r="IW88" s="113"/>
    </row>
    <row r="89" customFormat="false" ht="11.25" hidden="false" customHeight="false" outlineLevel="0" collapsed="false">
      <c r="A89" s="113"/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42"/>
      <c r="AR89" s="142"/>
      <c r="AS89" s="142"/>
      <c r="AT89" s="142"/>
      <c r="AU89" s="142"/>
      <c r="AV89" s="142"/>
      <c r="AW89" s="142"/>
      <c r="AX89" s="142"/>
      <c r="AY89" s="142"/>
      <c r="AZ89" s="142"/>
      <c r="BA89" s="142"/>
      <c r="BB89" s="142"/>
      <c r="BC89" s="113"/>
      <c r="BD89" s="113"/>
      <c r="BE89" s="113"/>
      <c r="BF89" s="113"/>
      <c r="BG89" s="113"/>
      <c r="BH89" s="113"/>
      <c r="BI89" s="113"/>
      <c r="BJ89" s="113"/>
      <c r="BK89" s="113"/>
      <c r="BL89" s="113"/>
      <c r="BM89" s="113"/>
      <c r="BN89" s="113"/>
      <c r="BO89" s="113"/>
      <c r="BP89" s="113"/>
      <c r="BQ89" s="113"/>
      <c r="BR89" s="113"/>
      <c r="BS89" s="113"/>
      <c r="BT89" s="113"/>
      <c r="BU89" s="113"/>
      <c r="BV89" s="113"/>
      <c r="BW89" s="113"/>
      <c r="BX89" s="113"/>
      <c r="BY89" s="113"/>
      <c r="BZ89" s="113"/>
      <c r="CA89" s="113"/>
      <c r="CB89" s="113"/>
      <c r="CC89" s="113"/>
      <c r="CD89" s="113"/>
      <c r="CE89" s="113"/>
      <c r="CF89" s="113"/>
      <c r="CG89" s="113"/>
      <c r="CH89" s="113"/>
      <c r="CI89" s="113"/>
      <c r="CJ89" s="113"/>
      <c r="CK89" s="113"/>
      <c r="CL89" s="113"/>
      <c r="CM89" s="113"/>
      <c r="CN89" s="113"/>
      <c r="CO89" s="113"/>
      <c r="CP89" s="113"/>
      <c r="CQ89" s="113"/>
      <c r="CR89" s="113"/>
      <c r="CS89" s="113"/>
      <c r="CT89" s="113"/>
      <c r="CU89" s="113"/>
      <c r="CV89" s="113"/>
      <c r="CW89" s="113"/>
      <c r="CX89" s="113"/>
      <c r="CY89" s="113"/>
      <c r="CZ89" s="113"/>
      <c r="DA89" s="113"/>
      <c r="DB89" s="113"/>
      <c r="DC89" s="113"/>
      <c r="DD89" s="113"/>
      <c r="DE89" s="113"/>
      <c r="DF89" s="113"/>
      <c r="DG89" s="113"/>
      <c r="DH89" s="113"/>
      <c r="DI89" s="113"/>
      <c r="DJ89" s="113"/>
      <c r="DK89" s="113"/>
      <c r="DL89" s="113"/>
      <c r="DM89" s="113"/>
      <c r="DN89" s="113"/>
      <c r="DO89" s="113"/>
      <c r="DP89" s="113"/>
      <c r="DQ89" s="113"/>
      <c r="DR89" s="113"/>
      <c r="DS89" s="113"/>
      <c r="DT89" s="113"/>
      <c r="DU89" s="113"/>
      <c r="DV89" s="113"/>
      <c r="DW89" s="113"/>
      <c r="DX89" s="113"/>
      <c r="DY89" s="113"/>
      <c r="DZ89" s="113"/>
      <c r="EA89" s="113"/>
      <c r="EB89" s="113"/>
      <c r="EC89" s="113"/>
      <c r="ED89" s="113"/>
      <c r="EE89" s="113"/>
      <c r="EF89" s="113"/>
      <c r="EG89" s="113"/>
      <c r="EH89" s="113"/>
      <c r="EI89" s="113"/>
      <c r="EJ89" s="113"/>
      <c r="EK89" s="113"/>
      <c r="EL89" s="113"/>
      <c r="EM89" s="113"/>
      <c r="EN89" s="113"/>
      <c r="EO89" s="113"/>
      <c r="EP89" s="113"/>
      <c r="EQ89" s="113"/>
      <c r="ER89" s="113"/>
      <c r="ES89" s="113"/>
      <c r="ET89" s="113"/>
      <c r="EU89" s="113"/>
      <c r="EV89" s="113"/>
      <c r="EW89" s="113"/>
      <c r="EX89" s="113"/>
      <c r="EY89" s="113"/>
      <c r="EZ89" s="113"/>
      <c r="FA89" s="113"/>
      <c r="FB89" s="113"/>
      <c r="FC89" s="113"/>
      <c r="FD89" s="113"/>
      <c r="FE89" s="113"/>
      <c r="FF89" s="113"/>
      <c r="FG89" s="113"/>
      <c r="FH89" s="113"/>
      <c r="FI89" s="113"/>
      <c r="FJ89" s="113"/>
      <c r="FK89" s="113"/>
      <c r="FL89" s="113"/>
      <c r="FM89" s="113"/>
      <c r="FN89" s="113"/>
      <c r="FO89" s="113"/>
      <c r="FP89" s="113"/>
      <c r="FQ89" s="113"/>
      <c r="FR89" s="113"/>
      <c r="FS89" s="113"/>
      <c r="FT89" s="113"/>
      <c r="FU89" s="113"/>
      <c r="FV89" s="113"/>
      <c r="FW89" s="113"/>
      <c r="FX89" s="113"/>
      <c r="FY89" s="113"/>
      <c r="FZ89" s="113"/>
      <c r="GA89" s="113"/>
      <c r="GB89" s="113"/>
      <c r="GC89" s="113"/>
      <c r="GD89" s="113"/>
      <c r="GE89" s="113"/>
      <c r="GF89" s="113"/>
      <c r="GG89" s="113"/>
      <c r="GH89" s="113"/>
      <c r="GI89" s="113"/>
      <c r="GJ89" s="113"/>
      <c r="GK89" s="113"/>
      <c r="GL89" s="113"/>
      <c r="GM89" s="113"/>
      <c r="GN89" s="113"/>
      <c r="GO89" s="113"/>
      <c r="GP89" s="113"/>
      <c r="GQ89" s="113"/>
      <c r="GR89" s="113"/>
      <c r="GS89" s="113"/>
      <c r="GT89" s="113"/>
      <c r="GU89" s="113"/>
      <c r="GV89" s="113"/>
      <c r="GW89" s="113"/>
      <c r="GX89" s="113"/>
      <c r="GY89" s="113"/>
      <c r="GZ89" s="113"/>
      <c r="HA89" s="113"/>
      <c r="HB89" s="113"/>
      <c r="HC89" s="113"/>
      <c r="HD89" s="113"/>
      <c r="HE89" s="113"/>
      <c r="HF89" s="113"/>
      <c r="HG89" s="113"/>
      <c r="HH89" s="113"/>
      <c r="HI89" s="113"/>
      <c r="HJ89" s="113"/>
      <c r="HK89" s="113"/>
      <c r="HL89" s="113"/>
      <c r="HM89" s="113"/>
      <c r="HN89" s="113"/>
      <c r="HO89" s="113"/>
      <c r="HP89" s="113"/>
      <c r="HQ89" s="113"/>
      <c r="HR89" s="113"/>
      <c r="HS89" s="113"/>
      <c r="HT89" s="113"/>
      <c r="HU89" s="113"/>
      <c r="HV89" s="113"/>
      <c r="HW89" s="113"/>
      <c r="HX89" s="113"/>
      <c r="HY89" s="113"/>
      <c r="HZ89" s="113"/>
      <c r="IA89" s="113"/>
      <c r="IB89" s="113"/>
      <c r="IC89" s="113"/>
      <c r="ID89" s="113"/>
      <c r="IE89" s="113"/>
      <c r="IF89" s="113"/>
      <c r="IG89" s="113"/>
      <c r="IH89" s="113"/>
      <c r="II89" s="113"/>
      <c r="IJ89" s="113"/>
      <c r="IK89" s="113"/>
      <c r="IL89" s="113"/>
      <c r="IM89" s="113"/>
      <c r="IN89" s="113"/>
      <c r="IO89" s="113"/>
      <c r="IP89" s="113"/>
      <c r="IQ89" s="113"/>
      <c r="IR89" s="113"/>
      <c r="IS89" s="113"/>
      <c r="IT89" s="113"/>
      <c r="IU89" s="113"/>
      <c r="IV89" s="113"/>
      <c r="IW89" s="113"/>
    </row>
    <row r="90" customFormat="false" ht="11.25" hidden="false" customHeight="false" outlineLevel="0" collapsed="false">
      <c r="A90" s="113"/>
      <c r="B90" s="113"/>
      <c r="C90" s="113"/>
      <c r="D90" s="113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  <c r="AK90" s="113"/>
      <c r="AL90" s="113"/>
      <c r="AM90" s="113"/>
      <c r="AN90" s="113"/>
      <c r="AO90" s="113"/>
      <c r="AP90" s="113"/>
      <c r="AQ90" s="142"/>
      <c r="AR90" s="142"/>
      <c r="AS90" s="142"/>
      <c r="AT90" s="142"/>
      <c r="AU90" s="142"/>
      <c r="AV90" s="142"/>
      <c r="AW90" s="142"/>
      <c r="AX90" s="142"/>
      <c r="AY90" s="142"/>
      <c r="AZ90" s="142"/>
      <c r="BA90" s="142"/>
      <c r="BB90" s="142"/>
      <c r="BC90" s="113"/>
      <c r="BD90" s="113"/>
      <c r="BE90" s="113"/>
      <c r="BF90" s="113"/>
      <c r="BG90" s="113"/>
      <c r="BH90" s="113"/>
      <c r="BI90" s="113"/>
      <c r="BJ90" s="113"/>
      <c r="BK90" s="113"/>
      <c r="BL90" s="113"/>
      <c r="BM90" s="113"/>
      <c r="BN90" s="113"/>
      <c r="BO90" s="113"/>
      <c r="BP90" s="113"/>
      <c r="BQ90" s="113"/>
      <c r="BR90" s="113"/>
      <c r="BS90" s="113"/>
      <c r="BT90" s="113"/>
      <c r="BU90" s="113"/>
      <c r="BV90" s="113"/>
      <c r="BW90" s="113"/>
      <c r="BX90" s="113"/>
      <c r="BY90" s="113"/>
      <c r="BZ90" s="113"/>
      <c r="CA90" s="113"/>
      <c r="CB90" s="113"/>
      <c r="CC90" s="113"/>
      <c r="CD90" s="113"/>
      <c r="CE90" s="113"/>
      <c r="CF90" s="113"/>
      <c r="CG90" s="113"/>
      <c r="CH90" s="113"/>
      <c r="CI90" s="113"/>
      <c r="CJ90" s="113"/>
      <c r="CK90" s="113"/>
      <c r="CL90" s="113"/>
      <c r="CM90" s="113"/>
      <c r="CN90" s="113"/>
      <c r="CO90" s="113"/>
      <c r="CP90" s="113"/>
      <c r="CQ90" s="113"/>
      <c r="CR90" s="113"/>
      <c r="CS90" s="113"/>
      <c r="CT90" s="113"/>
      <c r="CU90" s="113"/>
      <c r="CV90" s="113"/>
      <c r="CW90" s="113"/>
      <c r="CX90" s="113"/>
      <c r="CY90" s="113"/>
      <c r="CZ90" s="113"/>
      <c r="DA90" s="113"/>
      <c r="DB90" s="113"/>
      <c r="DC90" s="113"/>
      <c r="DD90" s="113"/>
      <c r="DE90" s="113"/>
      <c r="DF90" s="113"/>
      <c r="DG90" s="113"/>
      <c r="DH90" s="113"/>
      <c r="DI90" s="113"/>
      <c r="DJ90" s="113"/>
      <c r="DK90" s="113"/>
      <c r="DL90" s="113"/>
      <c r="DM90" s="113"/>
      <c r="DN90" s="113"/>
      <c r="DO90" s="113"/>
      <c r="DP90" s="113"/>
      <c r="DQ90" s="113"/>
      <c r="DR90" s="113"/>
      <c r="DS90" s="113"/>
      <c r="DT90" s="113"/>
      <c r="DU90" s="113"/>
      <c r="DV90" s="113"/>
      <c r="DW90" s="113"/>
      <c r="DX90" s="113"/>
      <c r="DY90" s="113"/>
      <c r="DZ90" s="113"/>
      <c r="EA90" s="113"/>
      <c r="EB90" s="113"/>
      <c r="EC90" s="113"/>
      <c r="ED90" s="113"/>
      <c r="EE90" s="113"/>
      <c r="EF90" s="113"/>
      <c r="EG90" s="113"/>
      <c r="EH90" s="113"/>
      <c r="EI90" s="113"/>
      <c r="EJ90" s="113"/>
      <c r="EK90" s="113"/>
      <c r="EL90" s="113"/>
      <c r="EM90" s="113"/>
      <c r="EN90" s="113"/>
      <c r="EO90" s="113"/>
      <c r="EP90" s="113"/>
      <c r="EQ90" s="113"/>
      <c r="ER90" s="113"/>
      <c r="ES90" s="113"/>
      <c r="ET90" s="113"/>
      <c r="EU90" s="113"/>
      <c r="EV90" s="113"/>
      <c r="EW90" s="113"/>
      <c r="EX90" s="113"/>
      <c r="EY90" s="113"/>
      <c r="EZ90" s="113"/>
      <c r="FA90" s="113"/>
      <c r="FB90" s="113"/>
      <c r="FC90" s="113"/>
      <c r="FD90" s="113"/>
      <c r="FE90" s="113"/>
      <c r="FF90" s="113"/>
      <c r="FG90" s="113"/>
      <c r="FH90" s="113"/>
      <c r="FI90" s="113"/>
      <c r="FJ90" s="113"/>
      <c r="FK90" s="113"/>
      <c r="FL90" s="113"/>
      <c r="FM90" s="113"/>
      <c r="FN90" s="113"/>
      <c r="FO90" s="113"/>
      <c r="FP90" s="113"/>
      <c r="FQ90" s="113"/>
      <c r="FR90" s="113"/>
      <c r="FS90" s="113"/>
      <c r="FT90" s="113"/>
      <c r="FU90" s="113"/>
      <c r="FV90" s="113"/>
      <c r="FW90" s="113"/>
      <c r="FX90" s="113"/>
      <c r="FY90" s="113"/>
      <c r="FZ90" s="113"/>
      <c r="GA90" s="113"/>
      <c r="GB90" s="113"/>
      <c r="GC90" s="113"/>
      <c r="GD90" s="113"/>
      <c r="GE90" s="113"/>
      <c r="GF90" s="113"/>
      <c r="GG90" s="113"/>
      <c r="GH90" s="113"/>
      <c r="GI90" s="113"/>
      <c r="GJ90" s="113"/>
      <c r="GK90" s="113"/>
      <c r="GL90" s="113"/>
      <c r="GM90" s="113"/>
      <c r="GN90" s="113"/>
      <c r="GO90" s="113"/>
      <c r="GP90" s="113"/>
      <c r="GQ90" s="113"/>
      <c r="GR90" s="113"/>
      <c r="GS90" s="113"/>
      <c r="GT90" s="113"/>
      <c r="GU90" s="113"/>
      <c r="GV90" s="113"/>
      <c r="GW90" s="113"/>
      <c r="GX90" s="113"/>
      <c r="GY90" s="113"/>
      <c r="GZ90" s="113"/>
      <c r="HA90" s="113"/>
      <c r="HB90" s="113"/>
      <c r="HC90" s="113"/>
      <c r="HD90" s="113"/>
      <c r="HE90" s="113"/>
      <c r="HF90" s="113"/>
      <c r="HG90" s="113"/>
      <c r="HH90" s="113"/>
      <c r="HI90" s="113"/>
      <c r="HJ90" s="113"/>
      <c r="HK90" s="113"/>
      <c r="HL90" s="113"/>
      <c r="HM90" s="113"/>
      <c r="HN90" s="113"/>
      <c r="HO90" s="113"/>
      <c r="HP90" s="113"/>
      <c r="HQ90" s="113"/>
      <c r="HR90" s="113"/>
      <c r="HS90" s="113"/>
      <c r="HT90" s="113"/>
      <c r="HU90" s="113"/>
      <c r="HV90" s="113"/>
      <c r="HW90" s="113"/>
      <c r="HX90" s="113"/>
      <c r="HY90" s="113"/>
      <c r="HZ90" s="113"/>
      <c r="IA90" s="113"/>
      <c r="IB90" s="113"/>
      <c r="IC90" s="113"/>
      <c r="ID90" s="113"/>
      <c r="IE90" s="113"/>
      <c r="IF90" s="113"/>
      <c r="IG90" s="113"/>
      <c r="IH90" s="113"/>
      <c r="II90" s="113"/>
      <c r="IJ90" s="113"/>
      <c r="IK90" s="113"/>
      <c r="IL90" s="113"/>
      <c r="IM90" s="113"/>
      <c r="IN90" s="113"/>
      <c r="IO90" s="113"/>
      <c r="IP90" s="113"/>
      <c r="IQ90" s="113"/>
      <c r="IR90" s="113"/>
      <c r="IS90" s="113"/>
      <c r="IT90" s="113"/>
      <c r="IU90" s="113"/>
      <c r="IV90" s="113"/>
      <c r="IW90" s="113"/>
    </row>
    <row r="91" customFormat="false" ht="11.25" hidden="false" customHeight="false" outlineLevel="0" collapsed="false">
      <c r="A91" s="113"/>
      <c r="B91" s="113"/>
      <c r="C91" s="113"/>
      <c r="D91" s="113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  <c r="AK91" s="113"/>
      <c r="AL91" s="113"/>
      <c r="AM91" s="113"/>
      <c r="AN91" s="113"/>
      <c r="AO91" s="113"/>
      <c r="AP91" s="113"/>
      <c r="AQ91" s="142"/>
      <c r="AR91" s="142"/>
      <c r="AS91" s="142"/>
      <c r="AT91" s="142"/>
      <c r="AU91" s="142"/>
      <c r="AV91" s="142"/>
      <c r="AW91" s="142"/>
      <c r="AX91" s="142"/>
      <c r="AY91" s="142"/>
      <c r="AZ91" s="142"/>
      <c r="BA91" s="142"/>
      <c r="BB91" s="142"/>
      <c r="BC91" s="113"/>
      <c r="BD91" s="113"/>
      <c r="BE91" s="113"/>
      <c r="BF91" s="113"/>
      <c r="BG91" s="113"/>
      <c r="BH91" s="113"/>
      <c r="BI91" s="113"/>
      <c r="BJ91" s="113"/>
      <c r="BK91" s="113"/>
      <c r="BL91" s="113"/>
      <c r="BM91" s="113"/>
      <c r="BN91" s="113"/>
      <c r="BO91" s="113"/>
      <c r="BP91" s="113"/>
      <c r="BQ91" s="113"/>
      <c r="BR91" s="113"/>
      <c r="BS91" s="113"/>
      <c r="BT91" s="113"/>
      <c r="BU91" s="113"/>
      <c r="BV91" s="113"/>
      <c r="BW91" s="113"/>
      <c r="BX91" s="113"/>
      <c r="BY91" s="113"/>
      <c r="BZ91" s="113"/>
      <c r="CA91" s="113"/>
      <c r="CB91" s="113"/>
      <c r="CC91" s="113"/>
      <c r="CD91" s="113"/>
      <c r="CE91" s="113"/>
      <c r="CF91" s="113"/>
      <c r="CG91" s="113"/>
      <c r="CH91" s="113"/>
      <c r="CI91" s="113"/>
      <c r="CJ91" s="113"/>
      <c r="CK91" s="113"/>
      <c r="CL91" s="113"/>
      <c r="CM91" s="113"/>
      <c r="CN91" s="113"/>
      <c r="CO91" s="113"/>
      <c r="CP91" s="113"/>
      <c r="CQ91" s="113"/>
      <c r="CR91" s="113"/>
      <c r="CS91" s="113"/>
      <c r="CT91" s="113"/>
      <c r="CU91" s="113"/>
      <c r="CV91" s="113"/>
      <c r="CW91" s="113"/>
      <c r="CX91" s="113"/>
      <c r="CY91" s="113"/>
      <c r="CZ91" s="113"/>
      <c r="DA91" s="113"/>
      <c r="DB91" s="113"/>
      <c r="DC91" s="113"/>
      <c r="DD91" s="113"/>
      <c r="DE91" s="113"/>
      <c r="DF91" s="113"/>
      <c r="DG91" s="113"/>
      <c r="DH91" s="113"/>
      <c r="DI91" s="113"/>
      <c r="DJ91" s="113"/>
      <c r="DK91" s="113"/>
      <c r="DL91" s="113"/>
      <c r="DM91" s="113"/>
      <c r="DN91" s="113"/>
      <c r="DO91" s="113"/>
      <c r="DP91" s="113"/>
      <c r="DQ91" s="113"/>
      <c r="DR91" s="113"/>
      <c r="DS91" s="113"/>
      <c r="DT91" s="113"/>
      <c r="DU91" s="113"/>
      <c r="DV91" s="113"/>
      <c r="DW91" s="113"/>
      <c r="DX91" s="113"/>
      <c r="DY91" s="113"/>
      <c r="DZ91" s="113"/>
      <c r="EA91" s="113"/>
      <c r="EB91" s="113"/>
      <c r="EC91" s="113"/>
      <c r="ED91" s="113"/>
      <c r="EE91" s="113"/>
      <c r="EF91" s="113"/>
      <c r="EG91" s="113"/>
      <c r="EH91" s="113"/>
      <c r="EI91" s="113"/>
      <c r="EJ91" s="113"/>
      <c r="EK91" s="113"/>
      <c r="EL91" s="113"/>
      <c r="EM91" s="113"/>
      <c r="EN91" s="113"/>
      <c r="EO91" s="113"/>
      <c r="EP91" s="113"/>
      <c r="EQ91" s="113"/>
      <c r="ER91" s="113"/>
      <c r="ES91" s="113"/>
      <c r="ET91" s="113"/>
      <c r="EU91" s="113"/>
      <c r="EV91" s="113"/>
      <c r="EW91" s="113"/>
      <c r="EX91" s="113"/>
      <c r="EY91" s="113"/>
      <c r="EZ91" s="113"/>
      <c r="FA91" s="113"/>
      <c r="FB91" s="113"/>
      <c r="FC91" s="113"/>
      <c r="FD91" s="113"/>
      <c r="FE91" s="113"/>
      <c r="FF91" s="113"/>
      <c r="FG91" s="113"/>
      <c r="FH91" s="113"/>
      <c r="FI91" s="113"/>
      <c r="FJ91" s="113"/>
      <c r="FK91" s="113"/>
      <c r="FL91" s="113"/>
      <c r="FM91" s="113"/>
      <c r="FN91" s="113"/>
      <c r="FO91" s="113"/>
      <c r="FP91" s="113"/>
      <c r="FQ91" s="113"/>
      <c r="FR91" s="113"/>
      <c r="FS91" s="113"/>
      <c r="FT91" s="113"/>
      <c r="FU91" s="113"/>
      <c r="FV91" s="113"/>
      <c r="FW91" s="113"/>
      <c r="FX91" s="113"/>
      <c r="FY91" s="113"/>
      <c r="FZ91" s="113"/>
      <c r="GA91" s="113"/>
      <c r="GB91" s="113"/>
      <c r="GC91" s="113"/>
      <c r="GD91" s="113"/>
      <c r="GE91" s="113"/>
      <c r="GF91" s="113"/>
      <c r="GG91" s="113"/>
      <c r="GH91" s="113"/>
      <c r="GI91" s="113"/>
      <c r="GJ91" s="113"/>
      <c r="GK91" s="113"/>
      <c r="GL91" s="113"/>
      <c r="GM91" s="113"/>
      <c r="GN91" s="113"/>
      <c r="GO91" s="113"/>
      <c r="GP91" s="113"/>
      <c r="GQ91" s="113"/>
      <c r="GR91" s="113"/>
      <c r="GS91" s="113"/>
      <c r="GT91" s="113"/>
      <c r="GU91" s="113"/>
      <c r="GV91" s="113"/>
      <c r="GW91" s="113"/>
      <c r="GX91" s="113"/>
      <c r="GY91" s="113"/>
      <c r="GZ91" s="113"/>
      <c r="HA91" s="113"/>
      <c r="HB91" s="113"/>
      <c r="HC91" s="113"/>
      <c r="HD91" s="113"/>
      <c r="HE91" s="113"/>
      <c r="HF91" s="113"/>
      <c r="HG91" s="113"/>
      <c r="HH91" s="113"/>
      <c r="HI91" s="113"/>
      <c r="HJ91" s="113"/>
      <c r="HK91" s="113"/>
      <c r="HL91" s="113"/>
      <c r="HM91" s="113"/>
      <c r="HN91" s="113"/>
      <c r="HO91" s="113"/>
      <c r="HP91" s="113"/>
      <c r="HQ91" s="113"/>
      <c r="HR91" s="113"/>
      <c r="HS91" s="113"/>
      <c r="HT91" s="113"/>
      <c r="HU91" s="113"/>
      <c r="HV91" s="113"/>
      <c r="HW91" s="113"/>
      <c r="HX91" s="113"/>
      <c r="HY91" s="113"/>
      <c r="HZ91" s="113"/>
      <c r="IA91" s="113"/>
      <c r="IB91" s="113"/>
      <c r="IC91" s="113"/>
      <c r="ID91" s="113"/>
      <c r="IE91" s="113"/>
      <c r="IF91" s="113"/>
      <c r="IG91" s="113"/>
      <c r="IH91" s="113"/>
      <c r="II91" s="113"/>
      <c r="IJ91" s="113"/>
      <c r="IK91" s="113"/>
      <c r="IL91" s="113"/>
      <c r="IM91" s="113"/>
      <c r="IN91" s="113"/>
      <c r="IO91" s="113"/>
      <c r="IP91" s="113"/>
      <c r="IQ91" s="113"/>
      <c r="IR91" s="113"/>
      <c r="IS91" s="113"/>
      <c r="IT91" s="113"/>
      <c r="IU91" s="113"/>
      <c r="IV91" s="113"/>
      <c r="IW91" s="113"/>
    </row>
    <row r="92" customFormat="false" ht="11.25" hidden="false" customHeight="false" outlineLevel="0" collapsed="false">
      <c r="A92" s="295"/>
      <c r="B92" s="295"/>
      <c r="C92" s="295"/>
      <c r="D92" s="295"/>
      <c r="E92" s="295"/>
      <c r="F92" s="295"/>
      <c r="G92" s="295"/>
      <c r="H92" s="295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/>
      <c r="AD92" s="295"/>
      <c r="AE92" s="295"/>
      <c r="AF92" s="295"/>
      <c r="AG92" s="295"/>
      <c r="AH92" s="295"/>
      <c r="AI92" s="295"/>
      <c r="AJ92" s="295"/>
      <c r="AK92" s="295"/>
      <c r="AL92" s="295"/>
      <c r="AM92" s="295"/>
      <c r="AN92" s="295"/>
      <c r="AO92" s="295"/>
      <c r="AP92" s="295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295"/>
      <c r="BD92" s="295"/>
      <c r="BE92" s="295"/>
      <c r="BF92" s="295"/>
      <c r="BG92" s="295"/>
      <c r="BH92" s="295"/>
      <c r="BI92" s="295"/>
      <c r="BJ92" s="295"/>
      <c r="BK92" s="295"/>
      <c r="BL92" s="295"/>
      <c r="BM92" s="295"/>
      <c r="BN92" s="295"/>
      <c r="BO92" s="295"/>
      <c r="BP92" s="295"/>
      <c r="BQ92" s="295"/>
      <c r="BR92" s="295"/>
      <c r="BS92" s="295"/>
      <c r="BT92" s="295"/>
      <c r="BU92" s="295"/>
      <c r="BV92" s="295"/>
      <c r="BW92" s="295"/>
      <c r="BX92" s="295"/>
      <c r="BY92" s="295"/>
      <c r="BZ92" s="295"/>
      <c r="CA92" s="295"/>
      <c r="CB92" s="295"/>
      <c r="CC92" s="295"/>
      <c r="CD92" s="295"/>
      <c r="CE92" s="295"/>
      <c r="CF92" s="295"/>
      <c r="CG92" s="295"/>
      <c r="CH92" s="295"/>
      <c r="CI92" s="295"/>
      <c r="CJ92" s="295"/>
      <c r="CK92" s="295"/>
      <c r="CL92" s="295"/>
      <c r="CM92" s="295"/>
      <c r="CN92" s="295"/>
      <c r="CO92" s="295"/>
      <c r="CP92" s="295"/>
      <c r="CQ92" s="295"/>
      <c r="CR92" s="295"/>
      <c r="CS92" s="295"/>
      <c r="CT92" s="295"/>
      <c r="CU92" s="295"/>
      <c r="CV92" s="295"/>
      <c r="CW92" s="295"/>
      <c r="CX92" s="295"/>
      <c r="CY92" s="295"/>
      <c r="CZ92" s="295"/>
      <c r="DA92" s="295"/>
      <c r="DB92" s="295"/>
      <c r="DC92" s="295"/>
      <c r="DD92" s="295"/>
      <c r="DE92" s="295"/>
      <c r="DF92" s="295"/>
      <c r="DG92" s="295"/>
      <c r="DH92" s="295"/>
      <c r="DI92" s="295"/>
      <c r="DJ92" s="295"/>
      <c r="DK92" s="295"/>
      <c r="DL92" s="295"/>
      <c r="DM92" s="295"/>
      <c r="DN92" s="295"/>
      <c r="DO92" s="295"/>
      <c r="DP92" s="295"/>
      <c r="DQ92" s="295"/>
      <c r="DR92" s="295"/>
      <c r="DS92" s="295"/>
      <c r="DT92" s="295"/>
      <c r="DU92" s="295"/>
      <c r="DV92" s="295"/>
      <c r="DW92" s="295"/>
      <c r="DX92" s="295"/>
      <c r="DY92" s="295"/>
      <c r="DZ92" s="295"/>
      <c r="EA92" s="295"/>
      <c r="EB92" s="295"/>
      <c r="EC92" s="295"/>
      <c r="ED92" s="295"/>
      <c r="EE92" s="295"/>
      <c r="EF92" s="295"/>
      <c r="EG92" s="295"/>
      <c r="EH92" s="295"/>
      <c r="EI92" s="295"/>
      <c r="EJ92" s="295"/>
      <c r="EK92" s="295"/>
      <c r="EL92" s="295"/>
      <c r="EM92" s="295"/>
      <c r="EN92" s="295"/>
      <c r="EO92" s="295"/>
      <c r="EP92" s="295"/>
      <c r="EQ92" s="295"/>
      <c r="ER92" s="295"/>
      <c r="ES92" s="295"/>
      <c r="ET92" s="295"/>
      <c r="EU92" s="295"/>
      <c r="EV92" s="295"/>
      <c r="EW92" s="295"/>
      <c r="EX92" s="295"/>
      <c r="EY92" s="295"/>
      <c r="EZ92" s="295"/>
      <c r="FA92" s="295"/>
      <c r="FB92" s="295"/>
      <c r="FC92" s="295"/>
      <c r="FD92" s="295"/>
      <c r="FE92" s="295"/>
      <c r="FF92" s="295"/>
      <c r="FG92" s="295"/>
      <c r="FH92" s="295"/>
      <c r="FI92" s="295"/>
      <c r="FJ92" s="295"/>
      <c r="FK92" s="295"/>
      <c r="FL92" s="295"/>
      <c r="FM92" s="295"/>
      <c r="FN92" s="295"/>
      <c r="FO92" s="295"/>
      <c r="FP92" s="295"/>
      <c r="FQ92" s="295"/>
      <c r="FR92" s="295"/>
      <c r="FS92" s="295"/>
      <c r="FT92" s="295"/>
      <c r="FU92" s="295"/>
      <c r="FV92" s="295"/>
      <c r="FW92" s="295"/>
      <c r="FX92" s="295"/>
      <c r="FY92" s="295"/>
      <c r="FZ92" s="295"/>
      <c r="GA92" s="295"/>
      <c r="GB92" s="295"/>
      <c r="GC92" s="295"/>
      <c r="GD92" s="295"/>
      <c r="GE92" s="295"/>
      <c r="GF92" s="295"/>
      <c r="GG92" s="295"/>
      <c r="GH92" s="295"/>
      <c r="GI92" s="295"/>
      <c r="GJ92" s="295"/>
      <c r="GK92" s="295"/>
      <c r="GL92" s="295"/>
      <c r="GM92" s="295"/>
      <c r="GN92" s="295"/>
      <c r="GO92" s="295"/>
      <c r="GP92" s="295"/>
      <c r="GQ92" s="295"/>
      <c r="GR92" s="295"/>
      <c r="GS92" s="295"/>
      <c r="GT92" s="295"/>
      <c r="GU92" s="295"/>
      <c r="GV92" s="295"/>
      <c r="GW92" s="295"/>
      <c r="GX92" s="295"/>
      <c r="GY92" s="295"/>
      <c r="GZ92" s="295"/>
      <c r="HA92" s="295"/>
      <c r="HB92" s="295"/>
      <c r="HC92" s="295"/>
      <c r="HD92" s="295"/>
      <c r="HE92" s="295"/>
      <c r="HF92" s="295"/>
      <c r="HG92" s="295"/>
      <c r="HH92" s="295"/>
      <c r="HI92" s="295"/>
      <c r="HJ92" s="295"/>
      <c r="HK92" s="295"/>
      <c r="HL92" s="295"/>
      <c r="HM92" s="295"/>
      <c r="HN92" s="295"/>
      <c r="HO92" s="295"/>
      <c r="HP92" s="295"/>
      <c r="HQ92" s="295"/>
      <c r="HR92" s="295"/>
      <c r="HS92" s="295"/>
      <c r="HT92" s="295"/>
      <c r="HU92" s="295"/>
      <c r="HV92" s="295"/>
      <c r="HW92" s="295"/>
      <c r="HX92" s="295"/>
      <c r="HY92" s="295"/>
      <c r="HZ92" s="295"/>
      <c r="IA92" s="295"/>
      <c r="IB92" s="295"/>
      <c r="IC92" s="295"/>
      <c r="ID92" s="295"/>
      <c r="IE92" s="295"/>
      <c r="IF92" s="295"/>
      <c r="IG92" s="295"/>
      <c r="IH92" s="295"/>
      <c r="II92" s="295"/>
      <c r="IJ92" s="295"/>
      <c r="IK92" s="295"/>
      <c r="IL92" s="295"/>
      <c r="IM92" s="295"/>
      <c r="IN92" s="295"/>
      <c r="IO92" s="295"/>
      <c r="IP92" s="295"/>
      <c r="IQ92" s="295"/>
      <c r="IR92" s="295"/>
      <c r="IS92" s="295"/>
      <c r="IT92" s="295"/>
      <c r="IU92" s="295"/>
      <c r="IV92" s="295"/>
      <c r="IW92" s="295"/>
    </row>
    <row r="93" customFormat="false" ht="11.25" hidden="false" customHeight="false" outlineLevel="0" collapsed="false">
      <c r="A93" s="113"/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42"/>
      <c r="AR93" s="142"/>
      <c r="AS93" s="142"/>
      <c r="AT93" s="142"/>
      <c r="AU93" s="142"/>
      <c r="AV93" s="142"/>
      <c r="AW93" s="142"/>
      <c r="AX93" s="142"/>
      <c r="AY93" s="142"/>
      <c r="AZ93" s="142"/>
      <c r="BA93" s="142"/>
      <c r="BB93" s="142"/>
      <c r="BC93" s="113"/>
      <c r="BD93" s="113"/>
      <c r="BE93" s="113"/>
      <c r="BF93" s="113"/>
      <c r="BG93" s="113"/>
      <c r="BH93" s="113"/>
      <c r="BI93" s="113"/>
      <c r="BJ93" s="113"/>
      <c r="BK93" s="113"/>
      <c r="BL93" s="113"/>
      <c r="BM93" s="113"/>
      <c r="BN93" s="113"/>
      <c r="BO93" s="113"/>
      <c r="BP93" s="113"/>
      <c r="BQ93" s="113"/>
      <c r="BR93" s="113"/>
      <c r="BS93" s="113"/>
      <c r="BT93" s="113"/>
      <c r="BU93" s="113"/>
      <c r="BV93" s="113"/>
      <c r="BW93" s="113"/>
      <c r="BX93" s="113"/>
      <c r="BY93" s="113"/>
      <c r="BZ93" s="113"/>
      <c r="CA93" s="113"/>
      <c r="CB93" s="113"/>
      <c r="CC93" s="113"/>
      <c r="CD93" s="113"/>
      <c r="CE93" s="113"/>
      <c r="CF93" s="113"/>
      <c r="CG93" s="113"/>
      <c r="CH93" s="113"/>
      <c r="CI93" s="113"/>
      <c r="CJ93" s="113"/>
      <c r="CK93" s="113"/>
      <c r="CL93" s="113"/>
      <c r="CM93" s="113"/>
      <c r="CN93" s="113"/>
      <c r="CO93" s="113"/>
      <c r="CP93" s="113"/>
      <c r="CQ93" s="113"/>
      <c r="CR93" s="113"/>
      <c r="CS93" s="113"/>
      <c r="CT93" s="113"/>
      <c r="CU93" s="113"/>
      <c r="CV93" s="113"/>
      <c r="CW93" s="113"/>
      <c r="CX93" s="113"/>
      <c r="CY93" s="113"/>
      <c r="CZ93" s="113"/>
      <c r="DA93" s="113"/>
      <c r="DB93" s="113"/>
      <c r="DC93" s="113"/>
      <c r="DD93" s="113"/>
      <c r="DE93" s="113"/>
      <c r="DF93" s="113"/>
      <c r="DG93" s="113"/>
      <c r="DH93" s="113"/>
      <c r="DI93" s="113"/>
      <c r="DJ93" s="113"/>
      <c r="DK93" s="113"/>
      <c r="DL93" s="113"/>
      <c r="DM93" s="113"/>
      <c r="DN93" s="113"/>
      <c r="DO93" s="113"/>
      <c r="DP93" s="113"/>
      <c r="DQ93" s="113"/>
      <c r="DR93" s="113"/>
      <c r="DS93" s="113"/>
      <c r="DT93" s="113"/>
      <c r="DU93" s="113"/>
      <c r="DV93" s="113"/>
      <c r="DW93" s="113"/>
      <c r="DX93" s="113"/>
      <c r="DY93" s="113"/>
      <c r="DZ93" s="113"/>
      <c r="EA93" s="113"/>
      <c r="EB93" s="113"/>
      <c r="EC93" s="113"/>
      <c r="ED93" s="113"/>
      <c r="EE93" s="113"/>
      <c r="EF93" s="113"/>
      <c r="EG93" s="113"/>
      <c r="EH93" s="113"/>
      <c r="EI93" s="113"/>
      <c r="EJ93" s="113"/>
      <c r="EK93" s="113"/>
      <c r="EL93" s="113"/>
      <c r="EM93" s="113"/>
      <c r="EN93" s="113"/>
      <c r="EO93" s="113"/>
      <c r="EP93" s="113"/>
      <c r="EQ93" s="113"/>
      <c r="ER93" s="113"/>
      <c r="ES93" s="113"/>
      <c r="ET93" s="113"/>
      <c r="EU93" s="113"/>
      <c r="EV93" s="113"/>
      <c r="EW93" s="113"/>
      <c r="EX93" s="113"/>
      <c r="EY93" s="113"/>
      <c r="EZ93" s="113"/>
      <c r="FA93" s="113"/>
      <c r="FB93" s="113"/>
      <c r="FC93" s="113"/>
      <c r="FD93" s="113"/>
      <c r="FE93" s="113"/>
      <c r="FF93" s="113"/>
      <c r="FG93" s="113"/>
      <c r="FH93" s="113"/>
      <c r="FI93" s="113"/>
      <c r="FJ93" s="113"/>
      <c r="FK93" s="113"/>
      <c r="FL93" s="113"/>
      <c r="FM93" s="113"/>
      <c r="FN93" s="113"/>
      <c r="FO93" s="113"/>
      <c r="FP93" s="113"/>
      <c r="FQ93" s="113"/>
      <c r="FR93" s="113"/>
      <c r="FS93" s="113"/>
      <c r="FT93" s="113"/>
      <c r="FU93" s="113"/>
      <c r="FV93" s="113"/>
      <c r="FW93" s="113"/>
      <c r="FX93" s="113"/>
      <c r="FY93" s="113"/>
      <c r="FZ93" s="113"/>
      <c r="GA93" s="113"/>
      <c r="GB93" s="113"/>
      <c r="GC93" s="113"/>
      <c r="GD93" s="113"/>
      <c r="GE93" s="113"/>
      <c r="GF93" s="113"/>
      <c r="GG93" s="113"/>
      <c r="GH93" s="113"/>
      <c r="GI93" s="113"/>
      <c r="GJ93" s="113"/>
      <c r="GK93" s="113"/>
      <c r="GL93" s="113"/>
      <c r="GM93" s="113"/>
      <c r="GN93" s="113"/>
      <c r="GO93" s="113"/>
      <c r="GP93" s="113"/>
      <c r="GQ93" s="113"/>
      <c r="GR93" s="113"/>
      <c r="GS93" s="113"/>
      <c r="GT93" s="113"/>
      <c r="GU93" s="113"/>
      <c r="GV93" s="113"/>
      <c r="GW93" s="113"/>
      <c r="GX93" s="113"/>
      <c r="GY93" s="113"/>
      <c r="GZ93" s="113"/>
      <c r="HA93" s="113"/>
      <c r="HB93" s="113"/>
      <c r="HC93" s="113"/>
      <c r="HD93" s="113"/>
      <c r="HE93" s="113"/>
      <c r="HF93" s="113"/>
      <c r="HG93" s="113"/>
      <c r="HH93" s="113"/>
      <c r="HI93" s="113"/>
      <c r="HJ93" s="113"/>
      <c r="HK93" s="113"/>
      <c r="HL93" s="113"/>
      <c r="HM93" s="113"/>
      <c r="HN93" s="113"/>
      <c r="HO93" s="113"/>
      <c r="HP93" s="113"/>
      <c r="HQ93" s="113"/>
      <c r="HR93" s="113"/>
      <c r="HS93" s="113"/>
      <c r="HT93" s="113"/>
      <c r="HU93" s="113"/>
      <c r="HV93" s="113"/>
      <c r="HW93" s="113"/>
      <c r="HX93" s="113"/>
      <c r="HY93" s="113"/>
      <c r="HZ93" s="113"/>
      <c r="IA93" s="113"/>
      <c r="IB93" s="113"/>
      <c r="IC93" s="113"/>
      <c r="ID93" s="113"/>
      <c r="IE93" s="113"/>
      <c r="IF93" s="113"/>
      <c r="IG93" s="113"/>
      <c r="IH93" s="113"/>
      <c r="II93" s="113"/>
      <c r="IJ93" s="113"/>
      <c r="IK93" s="113"/>
      <c r="IL93" s="113"/>
      <c r="IM93" s="113"/>
      <c r="IN93" s="113"/>
      <c r="IO93" s="113"/>
      <c r="IP93" s="113"/>
      <c r="IQ93" s="113"/>
      <c r="IR93" s="113"/>
      <c r="IS93" s="113"/>
      <c r="IT93" s="113"/>
      <c r="IU93" s="113"/>
      <c r="IV93" s="113"/>
      <c r="IW93" s="113"/>
    </row>
    <row r="94" customFormat="false" ht="11.25" hidden="false" customHeight="false" outlineLevel="0" collapsed="false">
      <c r="A94" s="113"/>
      <c r="B94" s="113"/>
      <c r="C94" s="113"/>
      <c r="D94" s="113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13"/>
      <c r="BD94" s="113"/>
      <c r="BE94" s="113"/>
      <c r="BF94" s="113"/>
      <c r="BG94" s="113"/>
      <c r="BH94" s="113"/>
      <c r="BI94" s="113"/>
      <c r="BJ94" s="113"/>
      <c r="BK94" s="113"/>
      <c r="BL94" s="113"/>
      <c r="BM94" s="113"/>
      <c r="BN94" s="113"/>
      <c r="BO94" s="113"/>
      <c r="BP94" s="113"/>
      <c r="BQ94" s="113"/>
      <c r="BR94" s="113"/>
      <c r="BS94" s="113"/>
      <c r="BT94" s="113"/>
      <c r="BU94" s="113"/>
      <c r="BV94" s="113"/>
      <c r="BW94" s="113"/>
      <c r="BX94" s="113"/>
      <c r="BY94" s="113"/>
      <c r="BZ94" s="113"/>
      <c r="CA94" s="113"/>
      <c r="CB94" s="113"/>
      <c r="CC94" s="113"/>
      <c r="CD94" s="113"/>
      <c r="CE94" s="113"/>
      <c r="CF94" s="113"/>
      <c r="CG94" s="113"/>
      <c r="CH94" s="113"/>
      <c r="CI94" s="113"/>
      <c r="CJ94" s="113"/>
      <c r="CK94" s="113"/>
      <c r="CL94" s="113"/>
      <c r="CM94" s="113"/>
      <c r="CN94" s="113"/>
      <c r="CO94" s="113"/>
      <c r="CP94" s="113"/>
      <c r="CQ94" s="113"/>
      <c r="CR94" s="113"/>
      <c r="CS94" s="113"/>
      <c r="CT94" s="113"/>
      <c r="CU94" s="113"/>
      <c r="CV94" s="113"/>
      <c r="CW94" s="113"/>
      <c r="CX94" s="113"/>
      <c r="CY94" s="113"/>
      <c r="CZ94" s="113"/>
      <c r="DA94" s="113"/>
      <c r="DB94" s="113"/>
      <c r="DC94" s="113"/>
      <c r="DD94" s="113"/>
      <c r="DE94" s="113"/>
      <c r="DF94" s="113"/>
      <c r="DG94" s="113"/>
      <c r="DH94" s="113"/>
      <c r="DI94" s="113"/>
      <c r="DJ94" s="113"/>
      <c r="DK94" s="113"/>
      <c r="DL94" s="113"/>
      <c r="DM94" s="113"/>
      <c r="DN94" s="113"/>
      <c r="DO94" s="113"/>
      <c r="DP94" s="113"/>
      <c r="DQ94" s="113"/>
      <c r="DR94" s="113"/>
      <c r="DS94" s="113"/>
      <c r="DT94" s="113"/>
      <c r="DU94" s="113"/>
      <c r="DV94" s="113"/>
      <c r="DW94" s="113"/>
      <c r="DX94" s="113"/>
      <c r="DY94" s="113"/>
      <c r="DZ94" s="113"/>
      <c r="EA94" s="113"/>
      <c r="EB94" s="113"/>
      <c r="EC94" s="113"/>
      <c r="ED94" s="113"/>
      <c r="EE94" s="113"/>
      <c r="EF94" s="113"/>
      <c r="EG94" s="113"/>
      <c r="EH94" s="113"/>
      <c r="EI94" s="113"/>
      <c r="EJ94" s="113"/>
      <c r="EK94" s="113"/>
      <c r="EL94" s="113"/>
      <c r="EM94" s="113"/>
      <c r="EN94" s="113"/>
      <c r="EO94" s="113"/>
      <c r="EP94" s="113"/>
      <c r="EQ94" s="113"/>
      <c r="ER94" s="113"/>
      <c r="ES94" s="113"/>
      <c r="ET94" s="113"/>
      <c r="EU94" s="113"/>
      <c r="EV94" s="113"/>
      <c r="EW94" s="113"/>
      <c r="EX94" s="113"/>
      <c r="EY94" s="113"/>
      <c r="EZ94" s="113"/>
      <c r="FA94" s="113"/>
      <c r="FB94" s="113"/>
      <c r="FC94" s="113"/>
      <c r="FD94" s="113"/>
      <c r="FE94" s="113"/>
      <c r="FF94" s="113"/>
      <c r="FG94" s="113"/>
      <c r="FH94" s="113"/>
      <c r="FI94" s="113"/>
      <c r="FJ94" s="113"/>
      <c r="FK94" s="113"/>
      <c r="FL94" s="113"/>
      <c r="FM94" s="113"/>
      <c r="FN94" s="113"/>
      <c r="FO94" s="113"/>
      <c r="FP94" s="113"/>
      <c r="FQ94" s="113"/>
      <c r="FR94" s="113"/>
      <c r="FS94" s="113"/>
      <c r="FT94" s="113"/>
      <c r="FU94" s="113"/>
      <c r="FV94" s="113"/>
      <c r="FW94" s="113"/>
      <c r="FX94" s="113"/>
      <c r="FY94" s="113"/>
      <c r="FZ94" s="113"/>
      <c r="GA94" s="113"/>
      <c r="GB94" s="113"/>
      <c r="GC94" s="113"/>
      <c r="GD94" s="113"/>
      <c r="GE94" s="113"/>
      <c r="GF94" s="113"/>
      <c r="GG94" s="113"/>
      <c r="GH94" s="113"/>
      <c r="GI94" s="113"/>
      <c r="GJ94" s="113"/>
      <c r="GK94" s="113"/>
      <c r="GL94" s="113"/>
      <c r="GM94" s="113"/>
      <c r="GN94" s="113"/>
      <c r="GO94" s="113"/>
      <c r="GP94" s="113"/>
      <c r="GQ94" s="113"/>
      <c r="GR94" s="113"/>
      <c r="GS94" s="113"/>
      <c r="GT94" s="113"/>
      <c r="GU94" s="113"/>
      <c r="GV94" s="113"/>
      <c r="GW94" s="113"/>
      <c r="GX94" s="113"/>
      <c r="GY94" s="113"/>
      <c r="GZ94" s="113"/>
      <c r="HA94" s="113"/>
      <c r="HB94" s="113"/>
      <c r="HC94" s="113"/>
      <c r="HD94" s="113"/>
      <c r="HE94" s="113"/>
      <c r="HF94" s="113"/>
      <c r="HG94" s="113"/>
      <c r="HH94" s="113"/>
      <c r="HI94" s="113"/>
      <c r="HJ94" s="113"/>
      <c r="HK94" s="113"/>
      <c r="HL94" s="113"/>
      <c r="HM94" s="113"/>
      <c r="HN94" s="113"/>
      <c r="HO94" s="113"/>
      <c r="HP94" s="113"/>
      <c r="HQ94" s="113"/>
      <c r="HR94" s="113"/>
      <c r="HS94" s="113"/>
      <c r="HT94" s="113"/>
      <c r="HU94" s="113"/>
      <c r="HV94" s="113"/>
      <c r="HW94" s="113"/>
      <c r="HX94" s="113"/>
      <c r="HY94" s="113"/>
      <c r="HZ94" s="113"/>
      <c r="IA94" s="113"/>
      <c r="IB94" s="113"/>
      <c r="IC94" s="113"/>
      <c r="ID94" s="113"/>
      <c r="IE94" s="113"/>
      <c r="IF94" s="113"/>
      <c r="IG94" s="113"/>
      <c r="IH94" s="113"/>
      <c r="II94" s="113"/>
      <c r="IJ94" s="113"/>
      <c r="IK94" s="113"/>
      <c r="IL94" s="113"/>
      <c r="IM94" s="113"/>
      <c r="IN94" s="113"/>
      <c r="IO94" s="113"/>
      <c r="IP94" s="113"/>
      <c r="IQ94" s="113"/>
      <c r="IR94" s="113"/>
      <c r="IS94" s="113"/>
      <c r="IT94" s="113"/>
      <c r="IU94" s="113"/>
      <c r="IV94" s="113"/>
      <c r="IW94" s="113"/>
    </row>
    <row r="95" customFormat="false" ht="11.25" hidden="false" customHeight="false" outlineLevel="0" collapsed="false">
      <c r="A95" s="113"/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42"/>
      <c r="AR95" s="142"/>
      <c r="AS95" s="142"/>
      <c r="AT95" s="142"/>
      <c r="AU95" s="142"/>
      <c r="AV95" s="142"/>
      <c r="AW95" s="142"/>
      <c r="AX95" s="142"/>
      <c r="AY95" s="142"/>
      <c r="AZ95" s="142"/>
      <c r="BA95" s="142"/>
      <c r="BB95" s="142"/>
      <c r="BC95" s="113"/>
      <c r="BD95" s="113"/>
      <c r="BE95" s="113"/>
      <c r="BF95" s="113"/>
      <c r="BG95" s="113"/>
      <c r="BH95" s="113"/>
      <c r="BI95" s="113"/>
      <c r="BJ95" s="113"/>
      <c r="BK95" s="113"/>
      <c r="BL95" s="113"/>
      <c r="BM95" s="113"/>
      <c r="BN95" s="113"/>
      <c r="BO95" s="113"/>
      <c r="BP95" s="113"/>
      <c r="BQ95" s="113"/>
      <c r="BR95" s="113"/>
      <c r="BS95" s="113"/>
      <c r="BT95" s="113"/>
      <c r="BU95" s="113"/>
      <c r="BV95" s="113"/>
      <c r="BW95" s="113"/>
      <c r="BX95" s="113"/>
      <c r="BY95" s="113"/>
      <c r="BZ95" s="113"/>
      <c r="CA95" s="113"/>
      <c r="CB95" s="113"/>
      <c r="CC95" s="113"/>
      <c r="CD95" s="113"/>
      <c r="CE95" s="113"/>
      <c r="CF95" s="113"/>
      <c r="CG95" s="113"/>
      <c r="CH95" s="113"/>
      <c r="CI95" s="113"/>
      <c r="CJ95" s="113"/>
      <c r="CK95" s="113"/>
      <c r="CL95" s="113"/>
      <c r="CM95" s="113"/>
      <c r="CN95" s="113"/>
      <c r="CO95" s="113"/>
      <c r="CP95" s="113"/>
      <c r="CQ95" s="113"/>
      <c r="CR95" s="113"/>
      <c r="CS95" s="113"/>
      <c r="CT95" s="113"/>
      <c r="CU95" s="113"/>
      <c r="CV95" s="113"/>
      <c r="CW95" s="113"/>
      <c r="CX95" s="113"/>
      <c r="CY95" s="113"/>
      <c r="CZ95" s="113"/>
      <c r="DA95" s="113"/>
      <c r="DB95" s="113"/>
      <c r="DC95" s="113"/>
      <c r="DD95" s="113"/>
      <c r="DE95" s="113"/>
      <c r="DF95" s="113"/>
      <c r="DG95" s="113"/>
      <c r="DH95" s="113"/>
      <c r="DI95" s="113"/>
      <c r="DJ95" s="113"/>
      <c r="DK95" s="113"/>
      <c r="DL95" s="113"/>
      <c r="DM95" s="113"/>
      <c r="DN95" s="113"/>
      <c r="DO95" s="113"/>
      <c r="DP95" s="113"/>
      <c r="DQ95" s="113"/>
      <c r="DR95" s="113"/>
      <c r="DS95" s="113"/>
      <c r="DT95" s="113"/>
      <c r="DU95" s="113"/>
      <c r="DV95" s="113"/>
      <c r="DW95" s="113"/>
      <c r="DX95" s="113"/>
      <c r="DY95" s="113"/>
      <c r="DZ95" s="113"/>
      <c r="EA95" s="113"/>
      <c r="EB95" s="113"/>
      <c r="EC95" s="113"/>
      <c r="ED95" s="113"/>
      <c r="EE95" s="113"/>
      <c r="EF95" s="113"/>
      <c r="EG95" s="113"/>
      <c r="EH95" s="113"/>
      <c r="EI95" s="113"/>
      <c r="EJ95" s="113"/>
      <c r="EK95" s="113"/>
      <c r="EL95" s="113"/>
      <c r="EM95" s="113"/>
      <c r="EN95" s="113"/>
      <c r="EO95" s="113"/>
      <c r="EP95" s="113"/>
      <c r="EQ95" s="113"/>
      <c r="ER95" s="113"/>
      <c r="ES95" s="113"/>
      <c r="ET95" s="113"/>
      <c r="EU95" s="113"/>
      <c r="EV95" s="113"/>
      <c r="EW95" s="113"/>
      <c r="EX95" s="113"/>
      <c r="EY95" s="113"/>
      <c r="EZ95" s="113"/>
      <c r="FA95" s="113"/>
      <c r="FB95" s="113"/>
      <c r="FC95" s="113"/>
      <c r="FD95" s="113"/>
      <c r="FE95" s="113"/>
      <c r="FF95" s="113"/>
      <c r="FG95" s="113"/>
      <c r="FH95" s="113"/>
      <c r="FI95" s="113"/>
      <c r="FJ95" s="113"/>
      <c r="FK95" s="113"/>
      <c r="FL95" s="113"/>
      <c r="FM95" s="113"/>
      <c r="FN95" s="113"/>
      <c r="FO95" s="113"/>
      <c r="FP95" s="113"/>
      <c r="FQ95" s="113"/>
      <c r="FR95" s="113"/>
      <c r="FS95" s="113"/>
      <c r="FT95" s="113"/>
      <c r="FU95" s="113"/>
      <c r="FV95" s="113"/>
      <c r="FW95" s="113"/>
      <c r="FX95" s="113"/>
      <c r="FY95" s="113"/>
      <c r="FZ95" s="113"/>
      <c r="GA95" s="113"/>
      <c r="GB95" s="113"/>
      <c r="GC95" s="113"/>
      <c r="GD95" s="113"/>
      <c r="GE95" s="113"/>
      <c r="GF95" s="113"/>
      <c r="GG95" s="113"/>
      <c r="GH95" s="113"/>
      <c r="GI95" s="113"/>
      <c r="GJ95" s="113"/>
      <c r="GK95" s="113"/>
      <c r="GL95" s="113"/>
      <c r="GM95" s="113"/>
      <c r="GN95" s="113"/>
      <c r="GO95" s="113"/>
      <c r="GP95" s="113"/>
      <c r="GQ95" s="113"/>
      <c r="GR95" s="113"/>
      <c r="GS95" s="113"/>
      <c r="GT95" s="113"/>
      <c r="GU95" s="113"/>
      <c r="GV95" s="113"/>
      <c r="GW95" s="113"/>
      <c r="GX95" s="113"/>
      <c r="GY95" s="113"/>
      <c r="GZ95" s="113"/>
      <c r="HA95" s="113"/>
      <c r="HB95" s="113"/>
      <c r="HC95" s="113"/>
      <c r="HD95" s="113"/>
      <c r="HE95" s="113"/>
      <c r="HF95" s="113"/>
      <c r="HG95" s="113"/>
      <c r="HH95" s="113"/>
      <c r="HI95" s="113"/>
      <c r="HJ95" s="113"/>
      <c r="HK95" s="113"/>
      <c r="HL95" s="113"/>
      <c r="HM95" s="113"/>
      <c r="HN95" s="113"/>
      <c r="HO95" s="113"/>
      <c r="HP95" s="113"/>
      <c r="HQ95" s="113"/>
      <c r="HR95" s="113"/>
      <c r="HS95" s="113"/>
      <c r="HT95" s="113"/>
      <c r="HU95" s="113"/>
      <c r="HV95" s="113"/>
      <c r="HW95" s="113"/>
      <c r="HX95" s="113"/>
      <c r="HY95" s="113"/>
      <c r="HZ95" s="113"/>
      <c r="IA95" s="113"/>
      <c r="IB95" s="113"/>
      <c r="IC95" s="113"/>
      <c r="ID95" s="113"/>
      <c r="IE95" s="113"/>
      <c r="IF95" s="113"/>
      <c r="IG95" s="113"/>
      <c r="IH95" s="113"/>
      <c r="II95" s="113"/>
      <c r="IJ95" s="113"/>
      <c r="IK95" s="113"/>
      <c r="IL95" s="113"/>
      <c r="IM95" s="113"/>
      <c r="IN95" s="113"/>
      <c r="IO95" s="113"/>
      <c r="IP95" s="113"/>
      <c r="IQ95" s="113"/>
      <c r="IR95" s="113"/>
      <c r="IS95" s="113"/>
      <c r="IT95" s="113"/>
      <c r="IU95" s="113"/>
      <c r="IV95" s="113"/>
      <c r="IW95" s="113"/>
    </row>
    <row r="96" customFormat="false" ht="11.25" hidden="false" customHeight="false" outlineLevel="0" collapsed="false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42"/>
      <c r="AR96" s="142"/>
      <c r="AS96" s="142"/>
      <c r="AT96" s="142"/>
      <c r="AU96" s="142"/>
      <c r="AV96" s="142"/>
      <c r="AW96" s="142"/>
      <c r="AX96" s="142"/>
      <c r="AY96" s="142"/>
      <c r="AZ96" s="142"/>
      <c r="BA96" s="142"/>
      <c r="BB96" s="142"/>
      <c r="BC96" s="113"/>
      <c r="BD96" s="113"/>
      <c r="BE96" s="113"/>
      <c r="BF96" s="113"/>
      <c r="BG96" s="113"/>
      <c r="BH96" s="113"/>
      <c r="BI96" s="113"/>
      <c r="BJ96" s="113"/>
      <c r="BK96" s="113"/>
      <c r="BL96" s="113"/>
      <c r="BM96" s="113"/>
      <c r="BN96" s="113"/>
      <c r="BO96" s="113"/>
      <c r="BP96" s="113"/>
      <c r="BQ96" s="113"/>
      <c r="BR96" s="113"/>
      <c r="BS96" s="113"/>
      <c r="BT96" s="113"/>
      <c r="BU96" s="113"/>
      <c r="BV96" s="113"/>
      <c r="BW96" s="113"/>
      <c r="BX96" s="113"/>
      <c r="BY96" s="113"/>
      <c r="BZ96" s="113"/>
      <c r="CA96" s="113"/>
      <c r="CB96" s="113"/>
      <c r="CC96" s="113"/>
      <c r="CD96" s="113"/>
      <c r="CE96" s="113"/>
      <c r="CF96" s="113"/>
      <c r="CG96" s="113"/>
      <c r="CH96" s="113"/>
      <c r="CI96" s="113"/>
      <c r="CJ96" s="113"/>
      <c r="CK96" s="113"/>
      <c r="CL96" s="113"/>
      <c r="CM96" s="113"/>
      <c r="CN96" s="113"/>
      <c r="CO96" s="113"/>
      <c r="CP96" s="113"/>
      <c r="CQ96" s="113"/>
      <c r="CR96" s="113"/>
      <c r="CS96" s="113"/>
      <c r="CT96" s="113"/>
      <c r="CU96" s="113"/>
      <c r="CV96" s="113"/>
      <c r="CW96" s="113"/>
      <c r="CX96" s="113"/>
      <c r="CY96" s="113"/>
      <c r="CZ96" s="113"/>
      <c r="DA96" s="113"/>
      <c r="DB96" s="113"/>
      <c r="DC96" s="113"/>
      <c r="DD96" s="113"/>
      <c r="DE96" s="113"/>
      <c r="DF96" s="113"/>
      <c r="DG96" s="113"/>
      <c r="DH96" s="113"/>
      <c r="DI96" s="113"/>
      <c r="DJ96" s="113"/>
      <c r="DK96" s="113"/>
      <c r="DL96" s="113"/>
      <c r="DM96" s="113"/>
      <c r="DN96" s="113"/>
      <c r="DO96" s="113"/>
      <c r="DP96" s="113"/>
      <c r="DQ96" s="113"/>
      <c r="DR96" s="113"/>
      <c r="DS96" s="113"/>
      <c r="DT96" s="113"/>
      <c r="DU96" s="113"/>
      <c r="DV96" s="113"/>
      <c r="DW96" s="113"/>
      <c r="DX96" s="113"/>
      <c r="DY96" s="113"/>
      <c r="DZ96" s="113"/>
      <c r="EA96" s="113"/>
      <c r="EB96" s="113"/>
      <c r="EC96" s="113"/>
      <c r="ED96" s="113"/>
      <c r="EE96" s="113"/>
      <c r="EF96" s="113"/>
      <c r="EG96" s="113"/>
      <c r="EH96" s="113"/>
      <c r="EI96" s="113"/>
      <c r="EJ96" s="113"/>
      <c r="EK96" s="113"/>
      <c r="EL96" s="113"/>
      <c r="EM96" s="113"/>
      <c r="EN96" s="113"/>
      <c r="EO96" s="113"/>
      <c r="EP96" s="113"/>
      <c r="EQ96" s="113"/>
      <c r="ER96" s="113"/>
      <c r="ES96" s="113"/>
      <c r="ET96" s="113"/>
      <c r="EU96" s="113"/>
      <c r="EV96" s="113"/>
      <c r="EW96" s="113"/>
      <c r="EX96" s="113"/>
      <c r="EY96" s="113"/>
      <c r="EZ96" s="113"/>
      <c r="FA96" s="113"/>
      <c r="FB96" s="113"/>
      <c r="FC96" s="113"/>
      <c r="FD96" s="113"/>
      <c r="FE96" s="113"/>
      <c r="FF96" s="113"/>
      <c r="FG96" s="113"/>
      <c r="FH96" s="113"/>
      <c r="FI96" s="113"/>
      <c r="FJ96" s="113"/>
      <c r="FK96" s="113"/>
      <c r="FL96" s="113"/>
      <c r="FM96" s="113"/>
      <c r="FN96" s="113"/>
      <c r="FO96" s="113"/>
      <c r="FP96" s="113"/>
      <c r="FQ96" s="113"/>
      <c r="FR96" s="113"/>
      <c r="FS96" s="113"/>
      <c r="FT96" s="113"/>
      <c r="FU96" s="113"/>
      <c r="FV96" s="113"/>
      <c r="FW96" s="113"/>
      <c r="FX96" s="113"/>
      <c r="FY96" s="113"/>
      <c r="FZ96" s="113"/>
      <c r="GA96" s="113"/>
      <c r="GB96" s="113"/>
      <c r="GC96" s="113"/>
      <c r="GD96" s="113"/>
      <c r="GE96" s="113"/>
      <c r="GF96" s="113"/>
      <c r="GG96" s="113"/>
      <c r="GH96" s="113"/>
      <c r="GI96" s="113"/>
      <c r="GJ96" s="113"/>
      <c r="GK96" s="113"/>
      <c r="GL96" s="113"/>
      <c r="GM96" s="113"/>
      <c r="GN96" s="113"/>
      <c r="GO96" s="113"/>
      <c r="GP96" s="113"/>
      <c r="GQ96" s="113"/>
      <c r="GR96" s="113"/>
      <c r="GS96" s="113"/>
      <c r="GT96" s="113"/>
      <c r="GU96" s="113"/>
      <c r="GV96" s="113"/>
      <c r="GW96" s="113"/>
      <c r="GX96" s="113"/>
      <c r="GY96" s="113"/>
      <c r="GZ96" s="113"/>
      <c r="HA96" s="113"/>
      <c r="HB96" s="113"/>
      <c r="HC96" s="113"/>
      <c r="HD96" s="113"/>
      <c r="HE96" s="113"/>
      <c r="HF96" s="113"/>
      <c r="HG96" s="113"/>
      <c r="HH96" s="113"/>
      <c r="HI96" s="113"/>
      <c r="HJ96" s="113"/>
      <c r="HK96" s="113"/>
      <c r="HL96" s="113"/>
      <c r="HM96" s="113"/>
      <c r="HN96" s="113"/>
      <c r="HO96" s="113"/>
      <c r="HP96" s="113"/>
      <c r="HQ96" s="113"/>
      <c r="HR96" s="113"/>
      <c r="HS96" s="113"/>
      <c r="HT96" s="113"/>
      <c r="HU96" s="113"/>
      <c r="HV96" s="113"/>
      <c r="HW96" s="113"/>
      <c r="HX96" s="113"/>
      <c r="HY96" s="113"/>
      <c r="HZ96" s="113"/>
      <c r="IA96" s="113"/>
      <c r="IB96" s="113"/>
      <c r="IC96" s="113"/>
      <c r="ID96" s="113"/>
      <c r="IE96" s="113"/>
      <c r="IF96" s="113"/>
      <c r="IG96" s="113"/>
      <c r="IH96" s="113"/>
      <c r="II96" s="113"/>
      <c r="IJ96" s="113"/>
      <c r="IK96" s="113"/>
      <c r="IL96" s="113"/>
      <c r="IM96" s="113"/>
      <c r="IN96" s="113"/>
      <c r="IO96" s="113"/>
      <c r="IP96" s="113"/>
      <c r="IQ96" s="113"/>
      <c r="IR96" s="113"/>
      <c r="IS96" s="113"/>
      <c r="IT96" s="113"/>
      <c r="IU96" s="113"/>
      <c r="IV96" s="113"/>
      <c r="IW96" s="113"/>
    </row>
    <row r="97" customFormat="false" ht="11.25" hidden="false" customHeight="false" outlineLevel="0" collapsed="false">
      <c r="A97" s="113"/>
      <c r="B97" s="113"/>
      <c r="C97" s="113"/>
      <c r="D97" s="113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  <c r="AJ97" s="113"/>
      <c r="AK97" s="113"/>
      <c r="AL97" s="113"/>
      <c r="AM97" s="113"/>
      <c r="AN97" s="113"/>
      <c r="AO97" s="113"/>
      <c r="AP97" s="113"/>
      <c r="AQ97" s="142"/>
      <c r="AR97" s="142"/>
      <c r="AS97" s="142"/>
      <c r="AT97" s="142"/>
      <c r="AU97" s="142"/>
      <c r="AV97" s="142"/>
      <c r="AW97" s="142"/>
      <c r="AX97" s="142"/>
      <c r="AY97" s="142"/>
      <c r="AZ97" s="142"/>
      <c r="BA97" s="142"/>
      <c r="BB97" s="142"/>
      <c r="BC97" s="113"/>
      <c r="BD97" s="113"/>
      <c r="BE97" s="113"/>
      <c r="BF97" s="113"/>
      <c r="BG97" s="113"/>
      <c r="BH97" s="113"/>
      <c r="BI97" s="113"/>
      <c r="BJ97" s="113"/>
      <c r="BK97" s="113"/>
      <c r="BL97" s="113"/>
      <c r="BM97" s="113"/>
      <c r="BN97" s="113"/>
      <c r="BO97" s="113"/>
      <c r="BP97" s="113"/>
      <c r="BQ97" s="113"/>
      <c r="BR97" s="113"/>
      <c r="BS97" s="113"/>
      <c r="BT97" s="113"/>
      <c r="BU97" s="113"/>
      <c r="BV97" s="113"/>
      <c r="BW97" s="113"/>
      <c r="BX97" s="113"/>
      <c r="BY97" s="113"/>
      <c r="BZ97" s="113"/>
      <c r="CA97" s="113"/>
      <c r="CB97" s="113"/>
      <c r="CC97" s="113"/>
      <c r="CD97" s="113"/>
      <c r="CE97" s="113"/>
      <c r="CF97" s="113"/>
      <c r="CG97" s="113"/>
      <c r="CH97" s="113"/>
      <c r="CI97" s="113"/>
      <c r="CJ97" s="113"/>
      <c r="CK97" s="113"/>
      <c r="CL97" s="113"/>
      <c r="CM97" s="113"/>
      <c r="CN97" s="113"/>
      <c r="CO97" s="113"/>
      <c r="CP97" s="113"/>
      <c r="CQ97" s="113"/>
      <c r="CR97" s="113"/>
      <c r="CS97" s="113"/>
      <c r="CT97" s="113"/>
      <c r="CU97" s="113"/>
      <c r="CV97" s="113"/>
      <c r="CW97" s="113"/>
      <c r="CX97" s="113"/>
      <c r="CY97" s="113"/>
      <c r="CZ97" s="113"/>
      <c r="DA97" s="113"/>
      <c r="DB97" s="113"/>
      <c r="DC97" s="113"/>
      <c r="DD97" s="113"/>
      <c r="DE97" s="113"/>
      <c r="DF97" s="113"/>
      <c r="DG97" s="113"/>
      <c r="DH97" s="113"/>
      <c r="DI97" s="113"/>
      <c r="DJ97" s="113"/>
      <c r="DK97" s="113"/>
      <c r="DL97" s="113"/>
      <c r="DM97" s="113"/>
      <c r="DN97" s="113"/>
      <c r="DO97" s="113"/>
      <c r="DP97" s="113"/>
      <c r="DQ97" s="113"/>
      <c r="DR97" s="113"/>
      <c r="DS97" s="113"/>
      <c r="DT97" s="113"/>
      <c r="DU97" s="113"/>
      <c r="DV97" s="113"/>
      <c r="DW97" s="113"/>
      <c r="DX97" s="113"/>
      <c r="DY97" s="113"/>
      <c r="DZ97" s="113"/>
      <c r="EA97" s="113"/>
      <c r="EB97" s="113"/>
      <c r="EC97" s="113"/>
      <c r="ED97" s="113"/>
      <c r="EE97" s="113"/>
      <c r="EF97" s="113"/>
      <c r="EG97" s="113"/>
      <c r="EH97" s="113"/>
      <c r="EI97" s="113"/>
      <c r="EJ97" s="113"/>
      <c r="EK97" s="113"/>
      <c r="EL97" s="113"/>
      <c r="EM97" s="113"/>
      <c r="EN97" s="113"/>
      <c r="EO97" s="113"/>
      <c r="EP97" s="113"/>
      <c r="EQ97" s="113"/>
      <c r="ER97" s="113"/>
      <c r="ES97" s="113"/>
      <c r="ET97" s="113"/>
      <c r="EU97" s="113"/>
      <c r="EV97" s="113"/>
      <c r="EW97" s="113"/>
      <c r="EX97" s="113"/>
      <c r="EY97" s="113"/>
      <c r="EZ97" s="113"/>
      <c r="FA97" s="113"/>
      <c r="FB97" s="113"/>
      <c r="FC97" s="113"/>
      <c r="FD97" s="113"/>
      <c r="FE97" s="113"/>
      <c r="FF97" s="113"/>
      <c r="FG97" s="113"/>
      <c r="FH97" s="113"/>
      <c r="FI97" s="113"/>
      <c r="FJ97" s="113"/>
      <c r="FK97" s="113"/>
      <c r="FL97" s="113"/>
      <c r="FM97" s="113"/>
      <c r="FN97" s="113"/>
      <c r="FO97" s="113"/>
      <c r="FP97" s="113"/>
      <c r="FQ97" s="113"/>
      <c r="FR97" s="113"/>
      <c r="FS97" s="113"/>
      <c r="FT97" s="113"/>
      <c r="FU97" s="113"/>
      <c r="FV97" s="113"/>
      <c r="FW97" s="113"/>
      <c r="FX97" s="113"/>
      <c r="FY97" s="113"/>
      <c r="FZ97" s="113"/>
      <c r="GA97" s="113"/>
      <c r="GB97" s="113"/>
      <c r="GC97" s="113"/>
      <c r="GD97" s="113"/>
      <c r="GE97" s="113"/>
      <c r="GF97" s="113"/>
      <c r="GG97" s="113"/>
      <c r="GH97" s="113"/>
      <c r="GI97" s="113"/>
      <c r="GJ97" s="113"/>
      <c r="GK97" s="113"/>
      <c r="GL97" s="113"/>
      <c r="GM97" s="113"/>
      <c r="GN97" s="113"/>
      <c r="GO97" s="113"/>
      <c r="GP97" s="113"/>
      <c r="GQ97" s="113"/>
      <c r="GR97" s="113"/>
      <c r="GS97" s="113"/>
      <c r="GT97" s="113"/>
      <c r="GU97" s="113"/>
      <c r="GV97" s="113"/>
      <c r="GW97" s="113"/>
      <c r="GX97" s="113"/>
      <c r="GY97" s="113"/>
      <c r="GZ97" s="113"/>
      <c r="HA97" s="113"/>
      <c r="HB97" s="113"/>
      <c r="HC97" s="113"/>
      <c r="HD97" s="113"/>
      <c r="HE97" s="113"/>
      <c r="HF97" s="113"/>
      <c r="HG97" s="113"/>
      <c r="HH97" s="113"/>
      <c r="HI97" s="113"/>
      <c r="HJ97" s="113"/>
      <c r="HK97" s="113"/>
      <c r="HL97" s="113"/>
      <c r="HM97" s="113"/>
      <c r="HN97" s="113"/>
      <c r="HO97" s="113"/>
      <c r="HP97" s="113"/>
      <c r="HQ97" s="113"/>
      <c r="HR97" s="113"/>
      <c r="HS97" s="113"/>
      <c r="HT97" s="113"/>
      <c r="HU97" s="113"/>
      <c r="HV97" s="113"/>
      <c r="HW97" s="113"/>
      <c r="HX97" s="113"/>
      <c r="HY97" s="113"/>
      <c r="HZ97" s="113"/>
      <c r="IA97" s="113"/>
      <c r="IB97" s="113"/>
      <c r="IC97" s="113"/>
      <c r="ID97" s="113"/>
      <c r="IE97" s="113"/>
      <c r="IF97" s="113"/>
      <c r="IG97" s="113"/>
      <c r="IH97" s="113"/>
      <c r="II97" s="113"/>
      <c r="IJ97" s="113"/>
      <c r="IK97" s="113"/>
      <c r="IL97" s="113"/>
      <c r="IM97" s="113"/>
      <c r="IN97" s="113"/>
      <c r="IO97" s="113"/>
      <c r="IP97" s="113"/>
      <c r="IQ97" s="113"/>
      <c r="IR97" s="113"/>
      <c r="IS97" s="113"/>
      <c r="IT97" s="113"/>
      <c r="IU97" s="113"/>
      <c r="IV97" s="113"/>
      <c r="IW97" s="113"/>
    </row>
    <row r="98" customFormat="false" ht="11.25" hidden="false" customHeight="false" outlineLevel="0" collapsed="false">
      <c r="A98" s="113"/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3"/>
      <c r="AI98" s="113"/>
      <c r="AJ98" s="113"/>
      <c r="AK98" s="113"/>
      <c r="AL98" s="113"/>
      <c r="AM98" s="113"/>
      <c r="AN98" s="113"/>
      <c r="AO98" s="113"/>
      <c r="AP98" s="113"/>
      <c r="AQ98" s="152"/>
      <c r="AR98" s="152"/>
      <c r="AS98" s="152"/>
      <c r="AT98" s="152"/>
      <c r="AU98" s="152"/>
      <c r="AV98" s="152"/>
      <c r="AW98" s="152"/>
      <c r="AX98" s="152"/>
      <c r="AY98" s="142"/>
      <c r="AZ98" s="142"/>
      <c r="BA98" s="142"/>
      <c r="BB98" s="142"/>
      <c r="BC98" s="113"/>
      <c r="BD98" s="113"/>
      <c r="BE98" s="113"/>
      <c r="BF98" s="113"/>
      <c r="BG98" s="113"/>
      <c r="BH98" s="113"/>
      <c r="BI98" s="113"/>
      <c r="BJ98" s="113"/>
      <c r="BK98" s="113"/>
      <c r="BL98" s="113"/>
      <c r="BM98" s="113"/>
      <c r="BN98" s="113"/>
      <c r="BO98" s="113"/>
      <c r="BP98" s="113"/>
      <c r="BQ98" s="113"/>
      <c r="BR98" s="113"/>
      <c r="BS98" s="113"/>
      <c r="BT98" s="113"/>
      <c r="BU98" s="113"/>
      <c r="BV98" s="113"/>
      <c r="BW98" s="113"/>
      <c r="BX98" s="113"/>
      <c r="BY98" s="113"/>
      <c r="BZ98" s="113"/>
      <c r="CA98" s="113"/>
      <c r="CB98" s="113"/>
      <c r="CC98" s="113"/>
      <c r="CD98" s="113"/>
      <c r="CE98" s="113"/>
      <c r="CF98" s="113"/>
      <c r="CG98" s="113"/>
      <c r="CH98" s="113"/>
      <c r="CI98" s="113"/>
      <c r="CJ98" s="113"/>
      <c r="CK98" s="113"/>
      <c r="CL98" s="113"/>
      <c r="CM98" s="113"/>
      <c r="CN98" s="113"/>
      <c r="CO98" s="113"/>
      <c r="CP98" s="113"/>
      <c r="CQ98" s="113"/>
      <c r="CR98" s="113"/>
      <c r="CS98" s="113"/>
      <c r="CT98" s="113"/>
      <c r="CU98" s="113"/>
      <c r="CV98" s="113"/>
      <c r="CW98" s="113"/>
      <c r="CX98" s="113"/>
      <c r="CY98" s="113"/>
      <c r="CZ98" s="113"/>
      <c r="DA98" s="113"/>
      <c r="DB98" s="113"/>
      <c r="DC98" s="113"/>
      <c r="DD98" s="113"/>
      <c r="DE98" s="113"/>
      <c r="DF98" s="113"/>
      <c r="DG98" s="113"/>
      <c r="DH98" s="113"/>
      <c r="DI98" s="113"/>
      <c r="DJ98" s="113"/>
      <c r="DK98" s="113"/>
      <c r="DL98" s="113"/>
      <c r="DM98" s="113"/>
      <c r="DN98" s="113"/>
      <c r="DO98" s="113"/>
      <c r="DP98" s="113"/>
      <c r="DQ98" s="113"/>
      <c r="DR98" s="113"/>
      <c r="DS98" s="113"/>
      <c r="DT98" s="113"/>
      <c r="DU98" s="113"/>
      <c r="DV98" s="113"/>
      <c r="DW98" s="113"/>
      <c r="DX98" s="113"/>
      <c r="DY98" s="113"/>
      <c r="DZ98" s="113"/>
      <c r="EA98" s="113"/>
      <c r="EB98" s="113"/>
      <c r="EC98" s="113"/>
      <c r="ED98" s="113"/>
      <c r="EE98" s="113"/>
      <c r="EF98" s="113"/>
      <c r="EG98" s="113"/>
      <c r="EH98" s="113"/>
      <c r="EI98" s="113"/>
      <c r="EJ98" s="113"/>
      <c r="EK98" s="113"/>
      <c r="EL98" s="113"/>
      <c r="EM98" s="113"/>
      <c r="EN98" s="113"/>
      <c r="EO98" s="113"/>
      <c r="EP98" s="113"/>
      <c r="EQ98" s="113"/>
      <c r="ER98" s="113"/>
      <c r="ES98" s="113"/>
      <c r="ET98" s="113"/>
      <c r="EU98" s="113"/>
      <c r="EV98" s="113"/>
      <c r="EW98" s="113"/>
      <c r="EX98" s="113"/>
      <c r="EY98" s="113"/>
      <c r="EZ98" s="113"/>
      <c r="FA98" s="113"/>
      <c r="FB98" s="113"/>
      <c r="FC98" s="113"/>
      <c r="FD98" s="113"/>
      <c r="FE98" s="113"/>
      <c r="FF98" s="113"/>
      <c r="FG98" s="113"/>
      <c r="FH98" s="113"/>
      <c r="FI98" s="113"/>
      <c r="FJ98" s="113"/>
      <c r="FK98" s="113"/>
      <c r="FL98" s="113"/>
      <c r="FM98" s="113"/>
      <c r="FN98" s="113"/>
      <c r="FO98" s="113"/>
      <c r="FP98" s="113"/>
      <c r="FQ98" s="113"/>
      <c r="FR98" s="113"/>
      <c r="FS98" s="113"/>
      <c r="FT98" s="113"/>
      <c r="FU98" s="113"/>
      <c r="FV98" s="113"/>
      <c r="FW98" s="113"/>
      <c r="FX98" s="113"/>
      <c r="FY98" s="113"/>
      <c r="FZ98" s="113"/>
      <c r="GA98" s="113"/>
      <c r="GB98" s="113"/>
      <c r="GC98" s="113"/>
      <c r="GD98" s="113"/>
      <c r="GE98" s="113"/>
      <c r="GF98" s="113"/>
      <c r="GG98" s="113"/>
      <c r="GH98" s="113"/>
      <c r="GI98" s="113"/>
      <c r="GJ98" s="113"/>
      <c r="GK98" s="113"/>
      <c r="GL98" s="113"/>
      <c r="GM98" s="113"/>
      <c r="GN98" s="113"/>
      <c r="GO98" s="113"/>
      <c r="GP98" s="113"/>
      <c r="GQ98" s="113"/>
      <c r="GR98" s="113"/>
      <c r="GS98" s="113"/>
      <c r="GT98" s="113"/>
      <c r="GU98" s="113"/>
      <c r="GV98" s="113"/>
      <c r="GW98" s="113"/>
      <c r="GX98" s="113"/>
      <c r="GY98" s="113"/>
      <c r="GZ98" s="113"/>
      <c r="HA98" s="113"/>
      <c r="HB98" s="113"/>
      <c r="HC98" s="113"/>
      <c r="HD98" s="113"/>
      <c r="HE98" s="113"/>
      <c r="HF98" s="113"/>
      <c r="HG98" s="113"/>
      <c r="HH98" s="113"/>
      <c r="HI98" s="113"/>
      <c r="HJ98" s="113"/>
      <c r="HK98" s="113"/>
      <c r="HL98" s="113"/>
      <c r="HM98" s="113"/>
      <c r="HN98" s="113"/>
      <c r="HO98" s="113"/>
      <c r="HP98" s="113"/>
      <c r="HQ98" s="113"/>
      <c r="HR98" s="113"/>
      <c r="HS98" s="113"/>
      <c r="HT98" s="113"/>
      <c r="HU98" s="113"/>
      <c r="HV98" s="113"/>
      <c r="HW98" s="113"/>
      <c r="HX98" s="113"/>
      <c r="HY98" s="113"/>
      <c r="HZ98" s="113"/>
      <c r="IA98" s="113"/>
      <c r="IB98" s="113"/>
      <c r="IC98" s="113"/>
      <c r="ID98" s="113"/>
      <c r="IE98" s="113"/>
      <c r="IF98" s="113"/>
      <c r="IG98" s="113"/>
      <c r="IH98" s="113"/>
      <c r="II98" s="113"/>
      <c r="IJ98" s="113"/>
      <c r="IK98" s="113"/>
      <c r="IL98" s="113"/>
      <c r="IM98" s="113"/>
      <c r="IN98" s="113"/>
      <c r="IO98" s="113"/>
      <c r="IP98" s="113"/>
      <c r="IQ98" s="113"/>
      <c r="IR98" s="113"/>
      <c r="IS98" s="113"/>
      <c r="IT98" s="113"/>
      <c r="IU98" s="113"/>
      <c r="IV98" s="113"/>
      <c r="IW98" s="113"/>
    </row>
    <row r="99" customFormat="false" ht="11.25" hidden="false" customHeight="false" outlineLevel="0" collapsed="false">
      <c r="A99" s="113"/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42"/>
      <c r="AR99" s="142"/>
      <c r="AS99" s="142"/>
      <c r="AT99" s="142"/>
      <c r="AU99" s="142"/>
      <c r="AV99" s="142"/>
      <c r="AW99" s="142"/>
      <c r="AX99" s="142"/>
      <c r="AY99" s="142"/>
      <c r="AZ99" s="142"/>
      <c r="BA99" s="142"/>
      <c r="BB99" s="142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  <c r="BM99" s="113"/>
      <c r="BN99" s="113"/>
      <c r="BO99" s="113"/>
      <c r="BP99" s="113"/>
      <c r="BQ99" s="113"/>
      <c r="BR99" s="113"/>
      <c r="BS99" s="113"/>
      <c r="BT99" s="113"/>
      <c r="BU99" s="113"/>
      <c r="BV99" s="113"/>
      <c r="BW99" s="113"/>
      <c r="BX99" s="113"/>
      <c r="BY99" s="113"/>
      <c r="BZ99" s="113"/>
      <c r="CA99" s="113"/>
      <c r="CB99" s="113"/>
      <c r="CC99" s="113"/>
      <c r="CD99" s="113"/>
      <c r="CE99" s="113"/>
      <c r="CF99" s="113"/>
      <c r="CG99" s="113"/>
      <c r="CH99" s="113"/>
      <c r="CI99" s="113"/>
      <c r="CJ99" s="113"/>
      <c r="CK99" s="113"/>
      <c r="CL99" s="113"/>
      <c r="CM99" s="113"/>
      <c r="CN99" s="113"/>
      <c r="CO99" s="113"/>
      <c r="CP99" s="113"/>
      <c r="CQ99" s="113"/>
      <c r="CR99" s="113"/>
      <c r="CS99" s="113"/>
      <c r="CT99" s="113"/>
      <c r="CU99" s="113"/>
      <c r="CV99" s="113"/>
      <c r="CW99" s="113"/>
      <c r="CX99" s="113"/>
      <c r="CY99" s="113"/>
      <c r="CZ99" s="113"/>
      <c r="DA99" s="113"/>
      <c r="DB99" s="113"/>
      <c r="DC99" s="113"/>
      <c r="DD99" s="113"/>
      <c r="DE99" s="113"/>
      <c r="DF99" s="113"/>
      <c r="DG99" s="113"/>
      <c r="DH99" s="113"/>
      <c r="DI99" s="113"/>
      <c r="DJ99" s="113"/>
      <c r="DK99" s="113"/>
      <c r="DL99" s="113"/>
      <c r="DM99" s="113"/>
      <c r="DN99" s="113"/>
      <c r="DO99" s="113"/>
      <c r="DP99" s="113"/>
      <c r="DQ99" s="113"/>
      <c r="DR99" s="113"/>
      <c r="DS99" s="113"/>
      <c r="DT99" s="113"/>
      <c r="DU99" s="113"/>
      <c r="DV99" s="113"/>
      <c r="DW99" s="113"/>
      <c r="DX99" s="113"/>
      <c r="DY99" s="113"/>
      <c r="DZ99" s="113"/>
      <c r="EA99" s="113"/>
      <c r="EB99" s="113"/>
      <c r="EC99" s="113"/>
      <c r="ED99" s="113"/>
      <c r="EE99" s="113"/>
      <c r="EF99" s="113"/>
      <c r="EG99" s="113"/>
      <c r="EH99" s="113"/>
      <c r="EI99" s="113"/>
      <c r="EJ99" s="113"/>
      <c r="EK99" s="113"/>
      <c r="EL99" s="113"/>
      <c r="EM99" s="113"/>
      <c r="EN99" s="113"/>
      <c r="EO99" s="113"/>
      <c r="EP99" s="113"/>
      <c r="EQ99" s="113"/>
      <c r="ER99" s="113"/>
      <c r="ES99" s="113"/>
      <c r="ET99" s="113"/>
      <c r="EU99" s="113"/>
      <c r="EV99" s="113"/>
      <c r="EW99" s="113"/>
      <c r="EX99" s="113"/>
      <c r="EY99" s="113"/>
      <c r="EZ99" s="113"/>
      <c r="FA99" s="113"/>
      <c r="FB99" s="113"/>
      <c r="FC99" s="113"/>
      <c r="FD99" s="113"/>
      <c r="FE99" s="113"/>
      <c r="FF99" s="113"/>
      <c r="FG99" s="113"/>
      <c r="FH99" s="113"/>
      <c r="FI99" s="113"/>
      <c r="FJ99" s="113"/>
      <c r="FK99" s="113"/>
      <c r="FL99" s="113"/>
      <c r="FM99" s="113"/>
      <c r="FN99" s="113"/>
      <c r="FO99" s="113"/>
      <c r="FP99" s="113"/>
      <c r="FQ99" s="113"/>
      <c r="FR99" s="113"/>
      <c r="FS99" s="113"/>
      <c r="FT99" s="113"/>
      <c r="FU99" s="113"/>
      <c r="FV99" s="113"/>
      <c r="FW99" s="113"/>
      <c r="FX99" s="113"/>
      <c r="FY99" s="113"/>
      <c r="FZ99" s="113"/>
      <c r="GA99" s="113"/>
      <c r="GB99" s="113"/>
      <c r="GC99" s="113"/>
      <c r="GD99" s="113"/>
      <c r="GE99" s="113"/>
      <c r="GF99" s="113"/>
      <c r="GG99" s="113"/>
      <c r="GH99" s="113"/>
      <c r="GI99" s="113"/>
      <c r="GJ99" s="113"/>
      <c r="GK99" s="113"/>
      <c r="GL99" s="113"/>
      <c r="GM99" s="113"/>
      <c r="GN99" s="113"/>
      <c r="GO99" s="113"/>
      <c r="GP99" s="113"/>
      <c r="GQ99" s="113"/>
      <c r="GR99" s="113"/>
      <c r="GS99" s="113"/>
      <c r="GT99" s="113"/>
      <c r="GU99" s="113"/>
      <c r="GV99" s="113"/>
      <c r="GW99" s="113"/>
      <c r="GX99" s="113"/>
      <c r="GY99" s="113"/>
      <c r="GZ99" s="113"/>
      <c r="HA99" s="113"/>
      <c r="HB99" s="113"/>
      <c r="HC99" s="113"/>
      <c r="HD99" s="113"/>
      <c r="HE99" s="113"/>
      <c r="HF99" s="113"/>
      <c r="HG99" s="113"/>
      <c r="HH99" s="113"/>
      <c r="HI99" s="113"/>
      <c r="HJ99" s="113"/>
      <c r="HK99" s="113"/>
      <c r="HL99" s="113"/>
      <c r="HM99" s="113"/>
      <c r="HN99" s="113"/>
      <c r="HO99" s="113"/>
      <c r="HP99" s="113"/>
      <c r="HQ99" s="113"/>
      <c r="HR99" s="113"/>
      <c r="HS99" s="113"/>
      <c r="HT99" s="113"/>
      <c r="HU99" s="113"/>
      <c r="HV99" s="113"/>
      <c r="HW99" s="113"/>
      <c r="HX99" s="113"/>
      <c r="HY99" s="113"/>
      <c r="HZ99" s="113"/>
      <c r="IA99" s="113"/>
      <c r="IB99" s="113"/>
      <c r="IC99" s="113"/>
      <c r="ID99" s="113"/>
      <c r="IE99" s="113"/>
      <c r="IF99" s="113"/>
      <c r="IG99" s="113"/>
      <c r="IH99" s="113"/>
      <c r="II99" s="113"/>
      <c r="IJ99" s="113"/>
      <c r="IK99" s="113"/>
      <c r="IL99" s="113"/>
      <c r="IM99" s="113"/>
      <c r="IN99" s="113"/>
      <c r="IO99" s="113"/>
      <c r="IP99" s="113"/>
      <c r="IQ99" s="113"/>
      <c r="IR99" s="113"/>
      <c r="IS99" s="113"/>
      <c r="IT99" s="113"/>
      <c r="IU99" s="113"/>
      <c r="IV99" s="113"/>
      <c r="IW99" s="113"/>
    </row>
    <row r="100" customFormat="false" ht="11.25" hidden="false" customHeight="false" outlineLevel="0" collapsed="false">
      <c r="A100" s="113"/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42"/>
      <c r="AR100" s="142"/>
      <c r="AS100" s="142"/>
      <c r="AT100" s="142"/>
      <c r="AU100" s="142"/>
      <c r="AV100" s="142"/>
      <c r="AW100" s="142"/>
      <c r="AX100" s="142"/>
      <c r="AY100" s="142"/>
      <c r="AZ100" s="142"/>
      <c r="BA100" s="142"/>
      <c r="BB100" s="142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  <c r="BM100" s="113"/>
      <c r="BN100" s="113"/>
      <c r="BO100" s="113"/>
      <c r="BP100" s="113"/>
      <c r="BQ100" s="113"/>
      <c r="BR100" s="113"/>
      <c r="BS100" s="113"/>
      <c r="BT100" s="113"/>
      <c r="BU100" s="113"/>
      <c r="BV100" s="113"/>
      <c r="BW100" s="113"/>
      <c r="BX100" s="113"/>
      <c r="BY100" s="113"/>
      <c r="BZ100" s="113"/>
      <c r="CA100" s="113"/>
      <c r="CB100" s="113"/>
      <c r="CC100" s="113"/>
      <c r="CD100" s="113"/>
      <c r="CE100" s="113"/>
      <c r="CF100" s="113"/>
      <c r="CG100" s="113"/>
      <c r="CH100" s="113"/>
      <c r="CI100" s="113"/>
      <c r="CJ100" s="113"/>
      <c r="CK100" s="113"/>
      <c r="CL100" s="113"/>
      <c r="CM100" s="113"/>
      <c r="CN100" s="113"/>
      <c r="CO100" s="113"/>
      <c r="CP100" s="113"/>
      <c r="CQ100" s="113"/>
      <c r="CR100" s="113"/>
      <c r="CS100" s="113"/>
      <c r="CT100" s="113"/>
      <c r="CU100" s="113"/>
      <c r="CV100" s="113"/>
      <c r="CW100" s="113"/>
      <c r="CX100" s="113"/>
      <c r="CY100" s="113"/>
      <c r="CZ100" s="113"/>
      <c r="DA100" s="113"/>
      <c r="DB100" s="113"/>
      <c r="DC100" s="113"/>
      <c r="DD100" s="113"/>
      <c r="DE100" s="113"/>
      <c r="DF100" s="113"/>
      <c r="DG100" s="113"/>
      <c r="DH100" s="113"/>
      <c r="DI100" s="113"/>
      <c r="DJ100" s="113"/>
      <c r="DK100" s="113"/>
      <c r="DL100" s="113"/>
      <c r="DM100" s="113"/>
      <c r="DN100" s="113"/>
      <c r="DO100" s="113"/>
      <c r="DP100" s="113"/>
      <c r="DQ100" s="113"/>
      <c r="DR100" s="113"/>
      <c r="DS100" s="113"/>
      <c r="DT100" s="113"/>
      <c r="DU100" s="113"/>
      <c r="DV100" s="113"/>
      <c r="DW100" s="113"/>
      <c r="DX100" s="113"/>
      <c r="DY100" s="113"/>
      <c r="DZ100" s="113"/>
      <c r="EA100" s="113"/>
      <c r="EB100" s="113"/>
      <c r="EC100" s="113"/>
      <c r="ED100" s="113"/>
      <c r="EE100" s="113"/>
      <c r="EF100" s="113"/>
      <c r="EG100" s="113"/>
      <c r="EH100" s="113"/>
      <c r="EI100" s="113"/>
      <c r="EJ100" s="113"/>
      <c r="EK100" s="113"/>
      <c r="EL100" s="113"/>
      <c r="EM100" s="113"/>
      <c r="EN100" s="113"/>
      <c r="EO100" s="113"/>
      <c r="EP100" s="113"/>
      <c r="EQ100" s="113"/>
      <c r="ER100" s="113"/>
      <c r="ES100" s="113"/>
      <c r="ET100" s="113"/>
      <c r="EU100" s="113"/>
      <c r="EV100" s="113"/>
      <c r="EW100" s="113"/>
      <c r="EX100" s="113"/>
      <c r="EY100" s="113"/>
      <c r="EZ100" s="113"/>
      <c r="FA100" s="113"/>
      <c r="FB100" s="113"/>
      <c r="FC100" s="113"/>
      <c r="FD100" s="113"/>
      <c r="FE100" s="113"/>
      <c r="FF100" s="113"/>
      <c r="FG100" s="113"/>
      <c r="FH100" s="113"/>
      <c r="FI100" s="113"/>
      <c r="FJ100" s="113"/>
      <c r="FK100" s="113"/>
      <c r="FL100" s="113"/>
      <c r="FM100" s="113"/>
      <c r="FN100" s="113"/>
      <c r="FO100" s="113"/>
      <c r="FP100" s="113"/>
      <c r="FQ100" s="113"/>
      <c r="FR100" s="113"/>
      <c r="FS100" s="113"/>
      <c r="FT100" s="113"/>
      <c r="FU100" s="113"/>
      <c r="FV100" s="113"/>
      <c r="FW100" s="113"/>
      <c r="FX100" s="113"/>
      <c r="FY100" s="113"/>
      <c r="FZ100" s="113"/>
      <c r="GA100" s="113"/>
      <c r="GB100" s="113"/>
      <c r="GC100" s="113"/>
      <c r="GD100" s="113"/>
      <c r="GE100" s="113"/>
      <c r="GF100" s="113"/>
      <c r="GG100" s="113"/>
      <c r="GH100" s="113"/>
      <c r="GI100" s="113"/>
      <c r="GJ100" s="113"/>
      <c r="GK100" s="113"/>
      <c r="GL100" s="113"/>
      <c r="GM100" s="113"/>
      <c r="GN100" s="113"/>
      <c r="GO100" s="113"/>
      <c r="GP100" s="113"/>
      <c r="GQ100" s="113"/>
      <c r="GR100" s="113"/>
      <c r="GS100" s="113"/>
      <c r="GT100" s="113"/>
      <c r="GU100" s="113"/>
      <c r="GV100" s="113"/>
      <c r="GW100" s="113"/>
      <c r="GX100" s="113"/>
      <c r="GY100" s="113"/>
      <c r="GZ100" s="113"/>
      <c r="HA100" s="113"/>
      <c r="HB100" s="113"/>
      <c r="HC100" s="113"/>
      <c r="HD100" s="113"/>
      <c r="HE100" s="113"/>
      <c r="HF100" s="113"/>
      <c r="HG100" s="113"/>
      <c r="HH100" s="113"/>
      <c r="HI100" s="113"/>
      <c r="HJ100" s="113"/>
      <c r="HK100" s="113"/>
      <c r="HL100" s="113"/>
      <c r="HM100" s="113"/>
      <c r="HN100" s="113"/>
      <c r="HO100" s="113"/>
      <c r="HP100" s="113"/>
      <c r="HQ100" s="113"/>
      <c r="HR100" s="113"/>
      <c r="HS100" s="113"/>
      <c r="HT100" s="113"/>
      <c r="HU100" s="113"/>
      <c r="HV100" s="113"/>
      <c r="HW100" s="113"/>
      <c r="HX100" s="113"/>
      <c r="HY100" s="113"/>
      <c r="HZ100" s="113"/>
      <c r="IA100" s="113"/>
      <c r="IB100" s="113"/>
      <c r="IC100" s="113"/>
      <c r="ID100" s="113"/>
      <c r="IE100" s="113"/>
      <c r="IF100" s="113"/>
      <c r="IG100" s="113"/>
      <c r="IH100" s="113"/>
      <c r="II100" s="113"/>
      <c r="IJ100" s="113"/>
      <c r="IK100" s="113"/>
      <c r="IL100" s="113"/>
      <c r="IM100" s="113"/>
      <c r="IN100" s="113"/>
      <c r="IO100" s="113"/>
      <c r="IP100" s="113"/>
      <c r="IQ100" s="113"/>
      <c r="IR100" s="113"/>
      <c r="IS100" s="113"/>
      <c r="IT100" s="113"/>
      <c r="IU100" s="113"/>
      <c r="IV100" s="113"/>
      <c r="IW100" s="113"/>
    </row>
    <row r="101" customFormat="false" ht="11.25" hidden="false" customHeight="false" outlineLevel="0" collapsed="false">
      <c r="A101" s="113"/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42"/>
      <c r="AR101" s="142"/>
      <c r="AS101" s="142"/>
      <c r="AT101" s="142"/>
      <c r="AU101" s="142"/>
      <c r="AV101" s="142"/>
      <c r="AW101" s="142"/>
      <c r="AX101" s="142"/>
      <c r="AY101" s="142"/>
      <c r="AZ101" s="142"/>
      <c r="BA101" s="142"/>
      <c r="BB101" s="142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  <c r="BM101" s="113"/>
      <c r="BN101" s="113"/>
      <c r="BO101" s="113"/>
      <c r="BP101" s="113"/>
      <c r="BQ101" s="113"/>
      <c r="BR101" s="113"/>
      <c r="BS101" s="113"/>
      <c r="BT101" s="113"/>
      <c r="BU101" s="113"/>
      <c r="BV101" s="113"/>
      <c r="BW101" s="113"/>
      <c r="BX101" s="113"/>
      <c r="BY101" s="113"/>
      <c r="BZ101" s="113"/>
      <c r="CA101" s="113"/>
      <c r="CB101" s="113"/>
      <c r="CC101" s="113"/>
      <c r="CD101" s="113"/>
      <c r="CE101" s="113"/>
      <c r="CF101" s="113"/>
      <c r="CG101" s="113"/>
      <c r="CH101" s="113"/>
      <c r="CI101" s="113"/>
      <c r="CJ101" s="113"/>
      <c r="CK101" s="113"/>
      <c r="CL101" s="113"/>
      <c r="CM101" s="113"/>
      <c r="CN101" s="113"/>
      <c r="CO101" s="113"/>
      <c r="CP101" s="113"/>
      <c r="CQ101" s="113"/>
      <c r="CR101" s="113"/>
      <c r="CS101" s="113"/>
      <c r="CT101" s="113"/>
      <c r="CU101" s="113"/>
      <c r="CV101" s="113"/>
      <c r="CW101" s="113"/>
      <c r="CX101" s="113"/>
      <c r="CY101" s="113"/>
      <c r="CZ101" s="113"/>
      <c r="DA101" s="113"/>
      <c r="DB101" s="113"/>
      <c r="DC101" s="113"/>
      <c r="DD101" s="113"/>
      <c r="DE101" s="113"/>
      <c r="DF101" s="113"/>
      <c r="DG101" s="113"/>
      <c r="DH101" s="113"/>
      <c r="DI101" s="113"/>
      <c r="DJ101" s="113"/>
      <c r="DK101" s="113"/>
      <c r="DL101" s="113"/>
      <c r="DM101" s="113"/>
      <c r="DN101" s="113"/>
      <c r="DO101" s="113"/>
      <c r="DP101" s="113"/>
      <c r="DQ101" s="113"/>
      <c r="DR101" s="113"/>
      <c r="DS101" s="113"/>
      <c r="DT101" s="113"/>
      <c r="DU101" s="113"/>
      <c r="DV101" s="113"/>
      <c r="DW101" s="113"/>
      <c r="DX101" s="113"/>
      <c r="DY101" s="113"/>
      <c r="DZ101" s="113"/>
      <c r="EA101" s="113"/>
      <c r="EB101" s="113"/>
      <c r="EC101" s="113"/>
      <c r="ED101" s="113"/>
      <c r="EE101" s="113"/>
      <c r="EF101" s="113"/>
      <c r="EG101" s="113"/>
      <c r="EH101" s="113"/>
      <c r="EI101" s="113"/>
      <c r="EJ101" s="113"/>
      <c r="EK101" s="113"/>
      <c r="EL101" s="113"/>
      <c r="EM101" s="113"/>
      <c r="EN101" s="113"/>
      <c r="EO101" s="113"/>
      <c r="EP101" s="113"/>
      <c r="EQ101" s="113"/>
      <c r="ER101" s="113"/>
      <c r="ES101" s="113"/>
      <c r="ET101" s="113"/>
      <c r="EU101" s="113"/>
      <c r="EV101" s="113"/>
      <c r="EW101" s="113"/>
      <c r="EX101" s="113"/>
      <c r="EY101" s="113"/>
      <c r="EZ101" s="113"/>
      <c r="FA101" s="113"/>
      <c r="FB101" s="113"/>
      <c r="FC101" s="113"/>
      <c r="FD101" s="113"/>
      <c r="FE101" s="113"/>
      <c r="FF101" s="113"/>
      <c r="FG101" s="113"/>
      <c r="FH101" s="113"/>
      <c r="FI101" s="113"/>
      <c r="FJ101" s="113"/>
      <c r="FK101" s="113"/>
      <c r="FL101" s="113"/>
      <c r="FM101" s="113"/>
      <c r="FN101" s="113"/>
      <c r="FO101" s="113"/>
      <c r="FP101" s="113"/>
      <c r="FQ101" s="113"/>
      <c r="FR101" s="113"/>
      <c r="FS101" s="113"/>
      <c r="FT101" s="113"/>
      <c r="FU101" s="113"/>
      <c r="FV101" s="113"/>
      <c r="FW101" s="113"/>
      <c r="FX101" s="113"/>
      <c r="FY101" s="113"/>
      <c r="FZ101" s="113"/>
      <c r="GA101" s="113"/>
      <c r="GB101" s="113"/>
      <c r="GC101" s="113"/>
      <c r="GD101" s="113"/>
      <c r="GE101" s="113"/>
      <c r="GF101" s="113"/>
      <c r="GG101" s="113"/>
      <c r="GH101" s="113"/>
      <c r="GI101" s="113"/>
      <c r="GJ101" s="113"/>
      <c r="GK101" s="113"/>
      <c r="GL101" s="113"/>
      <c r="GM101" s="113"/>
      <c r="GN101" s="113"/>
      <c r="GO101" s="113"/>
      <c r="GP101" s="113"/>
      <c r="GQ101" s="113"/>
      <c r="GR101" s="113"/>
      <c r="GS101" s="113"/>
      <c r="GT101" s="113"/>
      <c r="GU101" s="113"/>
      <c r="GV101" s="113"/>
      <c r="GW101" s="113"/>
      <c r="GX101" s="113"/>
      <c r="GY101" s="113"/>
      <c r="GZ101" s="113"/>
      <c r="HA101" s="113"/>
      <c r="HB101" s="113"/>
      <c r="HC101" s="113"/>
      <c r="HD101" s="113"/>
      <c r="HE101" s="113"/>
      <c r="HF101" s="113"/>
      <c r="HG101" s="113"/>
      <c r="HH101" s="113"/>
      <c r="HI101" s="113"/>
      <c r="HJ101" s="113"/>
      <c r="HK101" s="113"/>
      <c r="HL101" s="113"/>
      <c r="HM101" s="113"/>
      <c r="HN101" s="113"/>
      <c r="HO101" s="113"/>
      <c r="HP101" s="113"/>
      <c r="HQ101" s="113"/>
      <c r="HR101" s="113"/>
      <c r="HS101" s="113"/>
      <c r="HT101" s="113"/>
      <c r="HU101" s="113"/>
      <c r="HV101" s="113"/>
      <c r="HW101" s="113"/>
      <c r="HX101" s="113"/>
      <c r="HY101" s="113"/>
      <c r="HZ101" s="113"/>
      <c r="IA101" s="113"/>
      <c r="IB101" s="113"/>
      <c r="IC101" s="113"/>
      <c r="ID101" s="113"/>
      <c r="IE101" s="113"/>
      <c r="IF101" s="113"/>
      <c r="IG101" s="113"/>
      <c r="IH101" s="113"/>
      <c r="II101" s="113"/>
      <c r="IJ101" s="113"/>
      <c r="IK101" s="113"/>
      <c r="IL101" s="113"/>
      <c r="IM101" s="113"/>
      <c r="IN101" s="113"/>
      <c r="IO101" s="113"/>
      <c r="IP101" s="113"/>
      <c r="IQ101" s="113"/>
      <c r="IR101" s="113"/>
      <c r="IS101" s="113"/>
      <c r="IT101" s="113"/>
      <c r="IU101" s="113"/>
      <c r="IV101" s="113"/>
      <c r="IW101" s="113"/>
    </row>
    <row r="102" customFormat="false" ht="11.25" hidden="false" customHeight="false" outlineLevel="0" collapsed="false">
      <c r="A102" s="113"/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42"/>
      <c r="AR102" s="142"/>
      <c r="AS102" s="142"/>
      <c r="AT102" s="142"/>
      <c r="AU102" s="142"/>
      <c r="AV102" s="142"/>
      <c r="AW102" s="142"/>
      <c r="AX102" s="142"/>
      <c r="AY102" s="142"/>
      <c r="AZ102" s="142"/>
      <c r="BA102" s="142"/>
      <c r="BB102" s="142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  <c r="BM102" s="113"/>
      <c r="BN102" s="113"/>
      <c r="BO102" s="113"/>
      <c r="BP102" s="113"/>
      <c r="BQ102" s="113"/>
      <c r="BR102" s="113"/>
      <c r="BS102" s="113"/>
      <c r="BT102" s="113"/>
      <c r="BU102" s="113"/>
      <c r="BV102" s="113"/>
      <c r="BW102" s="113"/>
      <c r="BX102" s="113"/>
      <c r="BY102" s="113"/>
      <c r="BZ102" s="113"/>
      <c r="CA102" s="113"/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/>
      <c r="CP102" s="113"/>
      <c r="CQ102" s="113"/>
      <c r="CR102" s="113"/>
      <c r="CS102" s="113"/>
      <c r="CT102" s="113"/>
      <c r="CU102" s="113"/>
      <c r="CV102" s="113"/>
      <c r="CW102" s="113"/>
      <c r="CX102" s="113"/>
      <c r="CY102" s="113"/>
      <c r="CZ102" s="113"/>
      <c r="DA102" s="113"/>
      <c r="DB102" s="113"/>
      <c r="DC102" s="113"/>
      <c r="DD102" s="113"/>
      <c r="DE102" s="113"/>
      <c r="DF102" s="113"/>
      <c r="DG102" s="113"/>
      <c r="DH102" s="113"/>
      <c r="DI102" s="113"/>
      <c r="DJ102" s="113"/>
      <c r="DK102" s="113"/>
      <c r="DL102" s="113"/>
      <c r="DM102" s="113"/>
      <c r="DN102" s="113"/>
      <c r="DO102" s="113"/>
      <c r="DP102" s="113"/>
      <c r="DQ102" s="113"/>
      <c r="DR102" s="113"/>
      <c r="DS102" s="113"/>
      <c r="DT102" s="113"/>
      <c r="DU102" s="113"/>
      <c r="DV102" s="113"/>
      <c r="DW102" s="113"/>
      <c r="DX102" s="113"/>
      <c r="DY102" s="113"/>
      <c r="DZ102" s="113"/>
      <c r="EA102" s="113"/>
      <c r="EB102" s="113"/>
      <c r="EC102" s="113"/>
      <c r="ED102" s="113"/>
      <c r="EE102" s="113"/>
      <c r="EF102" s="113"/>
      <c r="EG102" s="113"/>
      <c r="EH102" s="113"/>
      <c r="EI102" s="113"/>
      <c r="EJ102" s="113"/>
      <c r="EK102" s="113"/>
      <c r="EL102" s="113"/>
      <c r="EM102" s="113"/>
      <c r="EN102" s="113"/>
      <c r="EO102" s="113"/>
      <c r="EP102" s="113"/>
      <c r="EQ102" s="113"/>
      <c r="ER102" s="113"/>
      <c r="ES102" s="113"/>
      <c r="ET102" s="113"/>
      <c r="EU102" s="113"/>
      <c r="EV102" s="113"/>
      <c r="EW102" s="113"/>
      <c r="EX102" s="113"/>
      <c r="EY102" s="113"/>
      <c r="EZ102" s="113"/>
      <c r="FA102" s="113"/>
      <c r="FB102" s="113"/>
      <c r="FC102" s="113"/>
      <c r="FD102" s="113"/>
      <c r="FE102" s="113"/>
      <c r="FF102" s="113"/>
      <c r="FG102" s="113"/>
      <c r="FH102" s="113"/>
      <c r="FI102" s="113"/>
      <c r="FJ102" s="113"/>
      <c r="FK102" s="113"/>
      <c r="FL102" s="113"/>
      <c r="FM102" s="113"/>
      <c r="FN102" s="113"/>
      <c r="FO102" s="113"/>
      <c r="FP102" s="113"/>
      <c r="FQ102" s="113"/>
      <c r="FR102" s="113"/>
      <c r="FS102" s="113"/>
      <c r="FT102" s="113"/>
      <c r="FU102" s="113"/>
      <c r="FV102" s="113"/>
      <c r="FW102" s="113"/>
      <c r="FX102" s="113"/>
      <c r="FY102" s="113"/>
      <c r="FZ102" s="113"/>
      <c r="GA102" s="113"/>
      <c r="GB102" s="113"/>
      <c r="GC102" s="113"/>
      <c r="GD102" s="113"/>
      <c r="GE102" s="113"/>
      <c r="GF102" s="113"/>
      <c r="GG102" s="113"/>
      <c r="GH102" s="113"/>
      <c r="GI102" s="113"/>
      <c r="GJ102" s="113"/>
      <c r="GK102" s="113"/>
      <c r="GL102" s="113"/>
      <c r="GM102" s="113"/>
      <c r="GN102" s="113"/>
      <c r="GO102" s="113"/>
      <c r="GP102" s="113"/>
      <c r="GQ102" s="113"/>
      <c r="GR102" s="113"/>
      <c r="GS102" s="113"/>
      <c r="GT102" s="113"/>
      <c r="GU102" s="113"/>
      <c r="GV102" s="113"/>
      <c r="GW102" s="113"/>
      <c r="GX102" s="113"/>
      <c r="GY102" s="113"/>
      <c r="GZ102" s="113"/>
      <c r="HA102" s="113"/>
      <c r="HB102" s="113"/>
      <c r="HC102" s="113"/>
      <c r="HD102" s="113"/>
      <c r="HE102" s="113"/>
      <c r="HF102" s="113"/>
      <c r="HG102" s="113"/>
      <c r="HH102" s="113"/>
      <c r="HI102" s="113"/>
      <c r="HJ102" s="113"/>
      <c r="HK102" s="113"/>
      <c r="HL102" s="113"/>
      <c r="HM102" s="113"/>
      <c r="HN102" s="113"/>
      <c r="HO102" s="113"/>
      <c r="HP102" s="113"/>
      <c r="HQ102" s="113"/>
      <c r="HR102" s="113"/>
      <c r="HS102" s="113"/>
      <c r="HT102" s="113"/>
      <c r="HU102" s="113"/>
      <c r="HV102" s="113"/>
      <c r="HW102" s="113"/>
      <c r="HX102" s="113"/>
      <c r="HY102" s="113"/>
      <c r="HZ102" s="113"/>
      <c r="IA102" s="113"/>
      <c r="IB102" s="113"/>
      <c r="IC102" s="113"/>
      <c r="ID102" s="113"/>
      <c r="IE102" s="113"/>
      <c r="IF102" s="113"/>
      <c r="IG102" s="113"/>
      <c r="IH102" s="113"/>
      <c r="II102" s="113"/>
      <c r="IJ102" s="113"/>
      <c r="IK102" s="113"/>
      <c r="IL102" s="113"/>
      <c r="IM102" s="113"/>
      <c r="IN102" s="113"/>
      <c r="IO102" s="113"/>
      <c r="IP102" s="113"/>
      <c r="IQ102" s="113"/>
      <c r="IR102" s="113"/>
      <c r="IS102" s="113"/>
      <c r="IT102" s="113"/>
      <c r="IU102" s="113"/>
      <c r="IV102" s="113"/>
      <c r="IW102" s="113"/>
    </row>
    <row r="103" customFormat="false" ht="11.25" hidden="false" customHeight="false" outlineLevel="0" collapsed="false">
      <c r="A103" s="113"/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42"/>
      <c r="AR103" s="142"/>
      <c r="AS103" s="142"/>
      <c r="AT103" s="142"/>
      <c r="AU103" s="142"/>
      <c r="AV103" s="142"/>
      <c r="AW103" s="142"/>
      <c r="AX103" s="142"/>
      <c r="AY103" s="142"/>
      <c r="AZ103" s="142"/>
      <c r="BA103" s="142"/>
      <c r="BB103" s="142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  <c r="BM103" s="113"/>
      <c r="BN103" s="113"/>
      <c r="BO103" s="113"/>
      <c r="BP103" s="113"/>
      <c r="BQ103" s="113"/>
      <c r="BR103" s="113"/>
      <c r="BS103" s="113"/>
      <c r="BT103" s="113"/>
      <c r="BU103" s="113"/>
      <c r="BV103" s="113"/>
      <c r="BW103" s="113"/>
      <c r="BX103" s="113"/>
      <c r="BY103" s="113"/>
      <c r="BZ103" s="113"/>
      <c r="CA103" s="113"/>
      <c r="CB103" s="113"/>
      <c r="CC103" s="113"/>
      <c r="CD103" s="113"/>
      <c r="CE103" s="113"/>
      <c r="CF103" s="113"/>
      <c r="CG103" s="113"/>
      <c r="CH103" s="113"/>
      <c r="CI103" s="113"/>
      <c r="CJ103" s="113"/>
      <c r="CK103" s="113"/>
      <c r="CL103" s="113"/>
      <c r="CM103" s="113"/>
      <c r="CN103" s="113"/>
      <c r="CO103" s="113"/>
      <c r="CP103" s="113"/>
      <c r="CQ103" s="113"/>
      <c r="CR103" s="113"/>
      <c r="CS103" s="113"/>
      <c r="CT103" s="113"/>
      <c r="CU103" s="113"/>
      <c r="CV103" s="113"/>
      <c r="CW103" s="113"/>
      <c r="CX103" s="113"/>
      <c r="CY103" s="113"/>
      <c r="CZ103" s="113"/>
      <c r="DA103" s="113"/>
      <c r="DB103" s="113"/>
      <c r="DC103" s="113"/>
      <c r="DD103" s="113"/>
      <c r="DE103" s="113"/>
      <c r="DF103" s="113"/>
      <c r="DG103" s="113"/>
      <c r="DH103" s="113"/>
      <c r="DI103" s="113"/>
      <c r="DJ103" s="113"/>
      <c r="DK103" s="113"/>
      <c r="DL103" s="113"/>
      <c r="DM103" s="113"/>
      <c r="DN103" s="113"/>
      <c r="DO103" s="113"/>
      <c r="DP103" s="113"/>
      <c r="DQ103" s="113"/>
      <c r="DR103" s="113"/>
      <c r="DS103" s="113"/>
      <c r="DT103" s="113"/>
      <c r="DU103" s="113"/>
      <c r="DV103" s="113"/>
      <c r="DW103" s="113"/>
      <c r="DX103" s="113"/>
      <c r="DY103" s="113"/>
      <c r="DZ103" s="113"/>
      <c r="EA103" s="113"/>
      <c r="EB103" s="113"/>
      <c r="EC103" s="113"/>
      <c r="ED103" s="113"/>
      <c r="EE103" s="113"/>
      <c r="EF103" s="113"/>
      <c r="EG103" s="113"/>
      <c r="EH103" s="113"/>
      <c r="EI103" s="113"/>
      <c r="EJ103" s="113"/>
      <c r="EK103" s="113"/>
      <c r="EL103" s="113"/>
      <c r="EM103" s="113"/>
      <c r="EN103" s="113"/>
      <c r="EO103" s="113"/>
      <c r="EP103" s="113"/>
      <c r="EQ103" s="113"/>
      <c r="ER103" s="113"/>
      <c r="ES103" s="113"/>
      <c r="ET103" s="113"/>
      <c r="EU103" s="113"/>
      <c r="EV103" s="113"/>
      <c r="EW103" s="113"/>
      <c r="EX103" s="113"/>
      <c r="EY103" s="113"/>
      <c r="EZ103" s="113"/>
      <c r="FA103" s="113"/>
      <c r="FB103" s="113"/>
      <c r="FC103" s="113"/>
      <c r="FD103" s="113"/>
      <c r="FE103" s="113"/>
      <c r="FF103" s="113"/>
      <c r="FG103" s="113"/>
      <c r="FH103" s="113"/>
      <c r="FI103" s="113"/>
      <c r="FJ103" s="113"/>
      <c r="FK103" s="113"/>
      <c r="FL103" s="113"/>
      <c r="FM103" s="113"/>
      <c r="FN103" s="113"/>
      <c r="FO103" s="113"/>
      <c r="FP103" s="113"/>
      <c r="FQ103" s="113"/>
      <c r="FR103" s="113"/>
      <c r="FS103" s="113"/>
      <c r="FT103" s="113"/>
      <c r="FU103" s="113"/>
      <c r="FV103" s="113"/>
      <c r="FW103" s="113"/>
      <c r="FX103" s="113"/>
      <c r="FY103" s="113"/>
      <c r="FZ103" s="113"/>
      <c r="GA103" s="113"/>
      <c r="GB103" s="113"/>
      <c r="GC103" s="113"/>
      <c r="GD103" s="113"/>
      <c r="GE103" s="113"/>
      <c r="GF103" s="113"/>
      <c r="GG103" s="113"/>
      <c r="GH103" s="113"/>
      <c r="GI103" s="113"/>
      <c r="GJ103" s="113"/>
      <c r="GK103" s="113"/>
      <c r="GL103" s="113"/>
      <c r="GM103" s="113"/>
      <c r="GN103" s="113"/>
      <c r="GO103" s="113"/>
      <c r="GP103" s="113"/>
      <c r="GQ103" s="113"/>
      <c r="GR103" s="113"/>
      <c r="GS103" s="113"/>
      <c r="GT103" s="113"/>
      <c r="GU103" s="113"/>
      <c r="GV103" s="113"/>
      <c r="GW103" s="113"/>
      <c r="GX103" s="113"/>
      <c r="GY103" s="113"/>
      <c r="GZ103" s="113"/>
      <c r="HA103" s="113"/>
      <c r="HB103" s="113"/>
      <c r="HC103" s="113"/>
      <c r="HD103" s="113"/>
      <c r="HE103" s="113"/>
      <c r="HF103" s="113"/>
      <c r="HG103" s="113"/>
      <c r="HH103" s="113"/>
      <c r="HI103" s="113"/>
      <c r="HJ103" s="113"/>
      <c r="HK103" s="113"/>
      <c r="HL103" s="113"/>
      <c r="HM103" s="113"/>
      <c r="HN103" s="113"/>
      <c r="HO103" s="113"/>
      <c r="HP103" s="113"/>
      <c r="HQ103" s="113"/>
      <c r="HR103" s="113"/>
      <c r="HS103" s="113"/>
      <c r="HT103" s="113"/>
      <c r="HU103" s="113"/>
      <c r="HV103" s="113"/>
      <c r="HW103" s="113"/>
      <c r="HX103" s="113"/>
      <c r="HY103" s="113"/>
      <c r="HZ103" s="113"/>
      <c r="IA103" s="113"/>
      <c r="IB103" s="113"/>
      <c r="IC103" s="113"/>
      <c r="ID103" s="113"/>
      <c r="IE103" s="113"/>
      <c r="IF103" s="113"/>
      <c r="IG103" s="113"/>
      <c r="IH103" s="113"/>
      <c r="II103" s="113"/>
      <c r="IJ103" s="113"/>
      <c r="IK103" s="113"/>
      <c r="IL103" s="113"/>
      <c r="IM103" s="113"/>
      <c r="IN103" s="113"/>
      <c r="IO103" s="113"/>
      <c r="IP103" s="113"/>
      <c r="IQ103" s="113"/>
      <c r="IR103" s="113"/>
      <c r="IS103" s="113"/>
      <c r="IT103" s="113"/>
      <c r="IU103" s="113"/>
      <c r="IV103" s="113"/>
      <c r="IW103" s="113"/>
    </row>
    <row r="104" customFormat="false" ht="11.25" hidden="false" customHeight="false" outlineLevel="0" collapsed="false">
      <c r="A104" s="113"/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42"/>
      <c r="AR104" s="142"/>
      <c r="AS104" s="142"/>
      <c r="AT104" s="142"/>
      <c r="AU104" s="142"/>
      <c r="AV104" s="142"/>
      <c r="AW104" s="142"/>
      <c r="AX104" s="142"/>
      <c r="AY104" s="142"/>
      <c r="AZ104" s="142"/>
      <c r="BA104" s="142"/>
      <c r="BB104" s="142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  <c r="BM104" s="113"/>
      <c r="BN104" s="113"/>
      <c r="BO104" s="113"/>
      <c r="BP104" s="113"/>
      <c r="BQ104" s="113"/>
      <c r="BR104" s="113"/>
      <c r="BS104" s="113"/>
      <c r="BT104" s="113"/>
      <c r="BU104" s="113"/>
      <c r="BV104" s="113"/>
      <c r="BW104" s="113"/>
      <c r="BX104" s="113"/>
      <c r="BY104" s="113"/>
      <c r="BZ104" s="113"/>
      <c r="CA104" s="113"/>
      <c r="CB104" s="113"/>
      <c r="CC104" s="113"/>
      <c r="CD104" s="113"/>
      <c r="CE104" s="113"/>
      <c r="CF104" s="113"/>
      <c r="CG104" s="113"/>
      <c r="CH104" s="113"/>
      <c r="CI104" s="113"/>
      <c r="CJ104" s="113"/>
      <c r="CK104" s="113"/>
      <c r="CL104" s="113"/>
      <c r="CM104" s="113"/>
      <c r="CN104" s="113"/>
      <c r="CO104" s="113"/>
      <c r="CP104" s="113"/>
      <c r="CQ104" s="113"/>
      <c r="CR104" s="113"/>
      <c r="CS104" s="113"/>
      <c r="CT104" s="113"/>
      <c r="CU104" s="113"/>
      <c r="CV104" s="113"/>
      <c r="CW104" s="113"/>
      <c r="CX104" s="113"/>
      <c r="CY104" s="113"/>
      <c r="CZ104" s="113"/>
      <c r="DA104" s="113"/>
      <c r="DB104" s="113"/>
      <c r="DC104" s="113"/>
      <c r="DD104" s="113"/>
      <c r="DE104" s="113"/>
      <c r="DF104" s="113"/>
      <c r="DG104" s="113"/>
      <c r="DH104" s="113"/>
      <c r="DI104" s="113"/>
      <c r="DJ104" s="113"/>
      <c r="DK104" s="113"/>
      <c r="DL104" s="113"/>
      <c r="DM104" s="113"/>
      <c r="DN104" s="113"/>
      <c r="DO104" s="113"/>
      <c r="DP104" s="113"/>
      <c r="DQ104" s="113"/>
      <c r="DR104" s="113"/>
      <c r="DS104" s="113"/>
      <c r="DT104" s="113"/>
      <c r="DU104" s="113"/>
      <c r="DV104" s="113"/>
      <c r="DW104" s="113"/>
      <c r="DX104" s="113"/>
      <c r="DY104" s="113"/>
      <c r="DZ104" s="113"/>
      <c r="EA104" s="113"/>
      <c r="EB104" s="113"/>
      <c r="EC104" s="113"/>
      <c r="ED104" s="113"/>
      <c r="EE104" s="113"/>
      <c r="EF104" s="113"/>
      <c r="EG104" s="113"/>
      <c r="EH104" s="113"/>
      <c r="EI104" s="113"/>
      <c r="EJ104" s="113"/>
      <c r="EK104" s="113"/>
      <c r="EL104" s="113"/>
      <c r="EM104" s="113"/>
      <c r="EN104" s="113"/>
      <c r="EO104" s="113"/>
      <c r="EP104" s="113"/>
      <c r="EQ104" s="113"/>
      <c r="ER104" s="113"/>
      <c r="ES104" s="113"/>
      <c r="ET104" s="113"/>
      <c r="EU104" s="113"/>
      <c r="EV104" s="113"/>
      <c r="EW104" s="113"/>
      <c r="EX104" s="113"/>
      <c r="EY104" s="113"/>
      <c r="EZ104" s="113"/>
      <c r="FA104" s="113"/>
      <c r="FB104" s="113"/>
      <c r="FC104" s="113"/>
      <c r="FD104" s="113"/>
      <c r="FE104" s="113"/>
      <c r="FF104" s="113"/>
      <c r="FG104" s="113"/>
      <c r="FH104" s="113"/>
      <c r="FI104" s="113"/>
      <c r="FJ104" s="113"/>
      <c r="FK104" s="113"/>
      <c r="FL104" s="113"/>
      <c r="FM104" s="113"/>
      <c r="FN104" s="113"/>
      <c r="FO104" s="113"/>
      <c r="FP104" s="113"/>
      <c r="FQ104" s="113"/>
      <c r="FR104" s="113"/>
      <c r="FS104" s="113"/>
      <c r="FT104" s="113"/>
      <c r="FU104" s="113"/>
      <c r="FV104" s="113"/>
      <c r="FW104" s="113"/>
      <c r="FX104" s="113"/>
      <c r="FY104" s="113"/>
      <c r="FZ104" s="113"/>
      <c r="GA104" s="113"/>
      <c r="GB104" s="113"/>
      <c r="GC104" s="113"/>
      <c r="GD104" s="113"/>
      <c r="GE104" s="113"/>
      <c r="GF104" s="113"/>
      <c r="GG104" s="113"/>
      <c r="GH104" s="113"/>
      <c r="GI104" s="113"/>
      <c r="GJ104" s="113"/>
      <c r="GK104" s="113"/>
      <c r="GL104" s="113"/>
      <c r="GM104" s="113"/>
      <c r="GN104" s="113"/>
      <c r="GO104" s="113"/>
      <c r="GP104" s="113"/>
      <c r="GQ104" s="113"/>
      <c r="GR104" s="113"/>
      <c r="GS104" s="113"/>
      <c r="GT104" s="113"/>
      <c r="GU104" s="113"/>
      <c r="GV104" s="113"/>
      <c r="GW104" s="113"/>
      <c r="GX104" s="113"/>
      <c r="GY104" s="113"/>
      <c r="GZ104" s="113"/>
      <c r="HA104" s="113"/>
      <c r="HB104" s="113"/>
      <c r="HC104" s="113"/>
      <c r="HD104" s="113"/>
      <c r="HE104" s="113"/>
      <c r="HF104" s="113"/>
      <c r="HG104" s="113"/>
      <c r="HH104" s="113"/>
      <c r="HI104" s="113"/>
      <c r="HJ104" s="113"/>
      <c r="HK104" s="113"/>
      <c r="HL104" s="113"/>
      <c r="HM104" s="113"/>
      <c r="HN104" s="113"/>
      <c r="HO104" s="113"/>
      <c r="HP104" s="113"/>
      <c r="HQ104" s="113"/>
      <c r="HR104" s="113"/>
      <c r="HS104" s="113"/>
      <c r="HT104" s="113"/>
      <c r="HU104" s="113"/>
      <c r="HV104" s="113"/>
      <c r="HW104" s="113"/>
      <c r="HX104" s="113"/>
      <c r="HY104" s="113"/>
      <c r="HZ104" s="113"/>
      <c r="IA104" s="113"/>
      <c r="IB104" s="113"/>
      <c r="IC104" s="113"/>
      <c r="ID104" s="113"/>
      <c r="IE104" s="113"/>
      <c r="IF104" s="113"/>
      <c r="IG104" s="113"/>
      <c r="IH104" s="113"/>
      <c r="II104" s="113"/>
      <c r="IJ104" s="113"/>
      <c r="IK104" s="113"/>
      <c r="IL104" s="113"/>
      <c r="IM104" s="113"/>
      <c r="IN104" s="113"/>
      <c r="IO104" s="113"/>
      <c r="IP104" s="113"/>
      <c r="IQ104" s="113"/>
      <c r="IR104" s="113"/>
      <c r="IS104" s="113"/>
      <c r="IT104" s="113"/>
      <c r="IU104" s="113"/>
      <c r="IV104" s="113"/>
      <c r="IW104" s="113"/>
    </row>
    <row r="105" customFormat="false" ht="11.25" hidden="false" customHeight="false" outlineLevel="0" collapsed="false">
      <c r="A105" s="113"/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42"/>
      <c r="AR105" s="142"/>
      <c r="AS105" s="142"/>
      <c r="AT105" s="142"/>
      <c r="AU105" s="142"/>
      <c r="AV105" s="142"/>
      <c r="AW105" s="142"/>
      <c r="AX105" s="142"/>
      <c r="AY105" s="142"/>
      <c r="AZ105" s="142"/>
      <c r="BA105" s="142"/>
      <c r="BB105" s="142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BY105" s="113"/>
      <c r="BZ105" s="113"/>
      <c r="CA105" s="113"/>
      <c r="CB105" s="113"/>
      <c r="CC105" s="113"/>
      <c r="CD105" s="113"/>
      <c r="CE105" s="113"/>
      <c r="CF105" s="113"/>
      <c r="CG105" s="113"/>
      <c r="CH105" s="113"/>
      <c r="CI105" s="113"/>
      <c r="CJ105" s="113"/>
      <c r="CK105" s="113"/>
      <c r="CL105" s="113"/>
      <c r="CM105" s="113"/>
      <c r="CN105" s="113"/>
      <c r="CO105" s="113"/>
      <c r="CP105" s="113"/>
      <c r="CQ105" s="113"/>
      <c r="CR105" s="113"/>
      <c r="CS105" s="113"/>
      <c r="CT105" s="113"/>
      <c r="CU105" s="113"/>
      <c r="CV105" s="113"/>
      <c r="CW105" s="113"/>
      <c r="CX105" s="113"/>
      <c r="CY105" s="113"/>
      <c r="CZ105" s="113"/>
      <c r="DA105" s="113"/>
      <c r="DB105" s="113"/>
      <c r="DC105" s="113"/>
      <c r="DD105" s="113"/>
      <c r="DE105" s="113"/>
      <c r="DF105" s="113"/>
      <c r="DG105" s="113"/>
      <c r="DH105" s="113"/>
      <c r="DI105" s="113"/>
      <c r="DJ105" s="113"/>
      <c r="DK105" s="113"/>
      <c r="DL105" s="113"/>
      <c r="DM105" s="113"/>
      <c r="DN105" s="113"/>
      <c r="DO105" s="113"/>
      <c r="DP105" s="113"/>
      <c r="DQ105" s="113"/>
      <c r="DR105" s="113"/>
      <c r="DS105" s="113"/>
      <c r="DT105" s="113"/>
      <c r="DU105" s="113"/>
      <c r="DV105" s="113"/>
      <c r="DW105" s="113"/>
      <c r="DX105" s="113"/>
      <c r="DY105" s="113"/>
      <c r="DZ105" s="113"/>
      <c r="EA105" s="113"/>
      <c r="EB105" s="113"/>
      <c r="EC105" s="113"/>
      <c r="ED105" s="113"/>
      <c r="EE105" s="113"/>
      <c r="EF105" s="113"/>
      <c r="EG105" s="113"/>
      <c r="EH105" s="113"/>
      <c r="EI105" s="113"/>
      <c r="EJ105" s="113"/>
      <c r="EK105" s="113"/>
      <c r="EL105" s="113"/>
      <c r="EM105" s="113"/>
      <c r="EN105" s="113"/>
      <c r="EO105" s="113"/>
      <c r="EP105" s="113"/>
      <c r="EQ105" s="113"/>
      <c r="ER105" s="113"/>
      <c r="ES105" s="113"/>
      <c r="ET105" s="113"/>
      <c r="EU105" s="113"/>
      <c r="EV105" s="113"/>
      <c r="EW105" s="113"/>
      <c r="EX105" s="113"/>
      <c r="EY105" s="113"/>
      <c r="EZ105" s="113"/>
      <c r="FA105" s="113"/>
      <c r="FB105" s="113"/>
      <c r="FC105" s="113"/>
      <c r="FD105" s="113"/>
      <c r="FE105" s="113"/>
      <c r="FF105" s="113"/>
      <c r="FG105" s="113"/>
      <c r="FH105" s="113"/>
      <c r="FI105" s="113"/>
      <c r="FJ105" s="113"/>
      <c r="FK105" s="113"/>
      <c r="FL105" s="113"/>
      <c r="FM105" s="113"/>
      <c r="FN105" s="113"/>
      <c r="FO105" s="113"/>
      <c r="FP105" s="113"/>
      <c r="FQ105" s="113"/>
      <c r="FR105" s="113"/>
      <c r="FS105" s="113"/>
      <c r="FT105" s="113"/>
      <c r="FU105" s="113"/>
      <c r="FV105" s="113"/>
      <c r="FW105" s="113"/>
      <c r="FX105" s="113"/>
      <c r="FY105" s="113"/>
      <c r="FZ105" s="113"/>
      <c r="GA105" s="113"/>
      <c r="GB105" s="113"/>
      <c r="GC105" s="113"/>
      <c r="GD105" s="113"/>
      <c r="GE105" s="113"/>
      <c r="GF105" s="113"/>
      <c r="GG105" s="113"/>
      <c r="GH105" s="113"/>
      <c r="GI105" s="113"/>
      <c r="GJ105" s="113"/>
      <c r="GK105" s="113"/>
      <c r="GL105" s="113"/>
      <c r="GM105" s="113"/>
      <c r="GN105" s="113"/>
      <c r="GO105" s="113"/>
      <c r="GP105" s="113"/>
      <c r="GQ105" s="113"/>
      <c r="GR105" s="113"/>
      <c r="GS105" s="113"/>
      <c r="GT105" s="113"/>
      <c r="GU105" s="113"/>
      <c r="GV105" s="113"/>
      <c r="GW105" s="113"/>
      <c r="GX105" s="113"/>
      <c r="GY105" s="113"/>
      <c r="GZ105" s="113"/>
      <c r="HA105" s="113"/>
      <c r="HB105" s="113"/>
      <c r="HC105" s="113"/>
      <c r="HD105" s="113"/>
      <c r="HE105" s="113"/>
      <c r="HF105" s="113"/>
      <c r="HG105" s="113"/>
      <c r="HH105" s="113"/>
      <c r="HI105" s="113"/>
      <c r="HJ105" s="113"/>
      <c r="HK105" s="113"/>
      <c r="HL105" s="113"/>
      <c r="HM105" s="113"/>
      <c r="HN105" s="113"/>
      <c r="HO105" s="113"/>
      <c r="HP105" s="113"/>
      <c r="HQ105" s="113"/>
      <c r="HR105" s="113"/>
      <c r="HS105" s="113"/>
      <c r="HT105" s="113"/>
      <c r="HU105" s="113"/>
      <c r="HV105" s="113"/>
      <c r="HW105" s="113"/>
      <c r="HX105" s="113"/>
      <c r="HY105" s="113"/>
      <c r="HZ105" s="113"/>
      <c r="IA105" s="113"/>
      <c r="IB105" s="113"/>
      <c r="IC105" s="113"/>
      <c r="ID105" s="113"/>
      <c r="IE105" s="113"/>
      <c r="IF105" s="113"/>
      <c r="IG105" s="113"/>
      <c r="IH105" s="113"/>
      <c r="II105" s="113"/>
      <c r="IJ105" s="113"/>
      <c r="IK105" s="113"/>
      <c r="IL105" s="113"/>
      <c r="IM105" s="113"/>
      <c r="IN105" s="113"/>
      <c r="IO105" s="113"/>
      <c r="IP105" s="113"/>
      <c r="IQ105" s="113"/>
      <c r="IR105" s="113"/>
      <c r="IS105" s="113"/>
      <c r="IT105" s="113"/>
      <c r="IU105" s="113"/>
      <c r="IV105" s="113"/>
      <c r="IW105" s="113"/>
    </row>
    <row r="106" customFormat="false" ht="11.25" hidden="false" customHeight="false" outlineLevel="0" collapsed="false">
      <c r="A106" s="113"/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42"/>
      <c r="AR106" s="142"/>
      <c r="AS106" s="142"/>
      <c r="AT106" s="142"/>
      <c r="AU106" s="142"/>
      <c r="AV106" s="142"/>
      <c r="AW106" s="142"/>
      <c r="AX106" s="142"/>
      <c r="AY106" s="142"/>
      <c r="AZ106" s="142"/>
      <c r="BA106" s="142"/>
      <c r="BB106" s="142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  <c r="BM106" s="113"/>
      <c r="BN106" s="113"/>
      <c r="BO106" s="113"/>
      <c r="BP106" s="113"/>
      <c r="BQ106" s="113"/>
      <c r="BR106" s="113"/>
      <c r="BS106" s="113"/>
      <c r="BT106" s="113"/>
      <c r="BU106" s="113"/>
      <c r="BV106" s="113"/>
      <c r="BW106" s="113"/>
      <c r="BX106" s="113"/>
      <c r="BY106" s="113"/>
      <c r="BZ106" s="113"/>
      <c r="CA106" s="113"/>
      <c r="CB106" s="113"/>
      <c r="CC106" s="113"/>
      <c r="CD106" s="113"/>
      <c r="CE106" s="113"/>
      <c r="CF106" s="113"/>
      <c r="CG106" s="113"/>
      <c r="CH106" s="113"/>
      <c r="CI106" s="113"/>
      <c r="CJ106" s="113"/>
      <c r="CK106" s="113"/>
      <c r="CL106" s="113"/>
      <c r="CM106" s="113"/>
      <c r="CN106" s="113"/>
      <c r="CO106" s="113"/>
      <c r="CP106" s="113"/>
      <c r="CQ106" s="113"/>
      <c r="CR106" s="113"/>
      <c r="CS106" s="113"/>
      <c r="CT106" s="113"/>
      <c r="CU106" s="113"/>
      <c r="CV106" s="113"/>
      <c r="CW106" s="113"/>
      <c r="CX106" s="113"/>
      <c r="CY106" s="113"/>
      <c r="CZ106" s="113"/>
      <c r="DA106" s="113"/>
      <c r="DB106" s="113"/>
      <c r="DC106" s="113"/>
      <c r="DD106" s="113"/>
      <c r="DE106" s="113"/>
      <c r="DF106" s="113"/>
      <c r="DG106" s="113"/>
      <c r="DH106" s="113"/>
      <c r="DI106" s="113"/>
      <c r="DJ106" s="113"/>
      <c r="DK106" s="113"/>
      <c r="DL106" s="113"/>
      <c r="DM106" s="113"/>
      <c r="DN106" s="113"/>
      <c r="DO106" s="113"/>
      <c r="DP106" s="113"/>
      <c r="DQ106" s="113"/>
      <c r="DR106" s="113"/>
      <c r="DS106" s="113"/>
      <c r="DT106" s="113"/>
      <c r="DU106" s="113"/>
      <c r="DV106" s="113"/>
      <c r="DW106" s="113"/>
      <c r="DX106" s="113"/>
      <c r="DY106" s="113"/>
      <c r="DZ106" s="113"/>
      <c r="EA106" s="113"/>
      <c r="EB106" s="113"/>
      <c r="EC106" s="113"/>
      <c r="ED106" s="113"/>
      <c r="EE106" s="113"/>
      <c r="EF106" s="113"/>
      <c r="EG106" s="113"/>
      <c r="EH106" s="113"/>
      <c r="EI106" s="113"/>
      <c r="EJ106" s="113"/>
      <c r="EK106" s="113"/>
      <c r="EL106" s="113"/>
      <c r="EM106" s="113"/>
      <c r="EN106" s="113"/>
      <c r="EO106" s="113"/>
      <c r="EP106" s="113"/>
      <c r="EQ106" s="113"/>
      <c r="ER106" s="113"/>
      <c r="ES106" s="113"/>
      <c r="ET106" s="113"/>
      <c r="EU106" s="113"/>
      <c r="EV106" s="113"/>
      <c r="EW106" s="113"/>
      <c r="EX106" s="113"/>
      <c r="EY106" s="113"/>
      <c r="EZ106" s="113"/>
      <c r="FA106" s="113"/>
      <c r="FB106" s="113"/>
      <c r="FC106" s="113"/>
      <c r="FD106" s="113"/>
      <c r="FE106" s="113"/>
      <c r="FF106" s="113"/>
      <c r="FG106" s="113"/>
      <c r="FH106" s="113"/>
      <c r="FI106" s="113"/>
      <c r="FJ106" s="113"/>
      <c r="FK106" s="113"/>
      <c r="FL106" s="113"/>
      <c r="FM106" s="113"/>
      <c r="FN106" s="113"/>
      <c r="FO106" s="113"/>
      <c r="FP106" s="113"/>
      <c r="FQ106" s="113"/>
      <c r="FR106" s="113"/>
      <c r="FS106" s="113"/>
      <c r="FT106" s="113"/>
      <c r="FU106" s="113"/>
      <c r="FV106" s="113"/>
      <c r="FW106" s="113"/>
      <c r="FX106" s="113"/>
      <c r="FY106" s="113"/>
      <c r="FZ106" s="113"/>
      <c r="GA106" s="113"/>
      <c r="GB106" s="113"/>
      <c r="GC106" s="113"/>
      <c r="GD106" s="113"/>
      <c r="GE106" s="113"/>
      <c r="GF106" s="113"/>
      <c r="GG106" s="113"/>
      <c r="GH106" s="113"/>
      <c r="GI106" s="113"/>
      <c r="GJ106" s="113"/>
      <c r="GK106" s="113"/>
      <c r="GL106" s="113"/>
      <c r="GM106" s="113"/>
      <c r="GN106" s="113"/>
      <c r="GO106" s="113"/>
      <c r="GP106" s="113"/>
      <c r="GQ106" s="113"/>
      <c r="GR106" s="113"/>
      <c r="GS106" s="113"/>
      <c r="GT106" s="113"/>
      <c r="GU106" s="113"/>
      <c r="GV106" s="113"/>
      <c r="GW106" s="113"/>
      <c r="GX106" s="113"/>
      <c r="GY106" s="113"/>
      <c r="GZ106" s="113"/>
      <c r="HA106" s="113"/>
      <c r="HB106" s="113"/>
      <c r="HC106" s="113"/>
      <c r="HD106" s="113"/>
      <c r="HE106" s="113"/>
      <c r="HF106" s="113"/>
      <c r="HG106" s="113"/>
      <c r="HH106" s="113"/>
      <c r="HI106" s="113"/>
      <c r="HJ106" s="113"/>
      <c r="HK106" s="113"/>
      <c r="HL106" s="113"/>
      <c r="HM106" s="113"/>
      <c r="HN106" s="113"/>
      <c r="HO106" s="113"/>
      <c r="HP106" s="113"/>
      <c r="HQ106" s="113"/>
      <c r="HR106" s="113"/>
      <c r="HS106" s="113"/>
      <c r="HT106" s="113"/>
      <c r="HU106" s="113"/>
      <c r="HV106" s="113"/>
      <c r="HW106" s="113"/>
      <c r="HX106" s="113"/>
      <c r="HY106" s="113"/>
      <c r="HZ106" s="113"/>
      <c r="IA106" s="113"/>
      <c r="IB106" s="113"/>
      <c r="IC106" s="113"/>
      <c r="ID106" s="113"/>
      <c r="IE106" s="113"/>
      <c r="IF106" s="113"/>
      <c r="IG106" s="113"/>
      <c r="IH106" s="113"/>
      <c r="II106" s="113"/>
      <c r="IJ106" s="113"/>
      <c r="IK106" s="113"/>
      <c r="IL106" s="113"/>
      <c r="IM106" s="113"/>
      <c r="IN106" s="113"/>
      <c r="IO106" s="113"/>
      <c r="IP106" s="113"/>
      <c r="IQ106" s="113"/>
      <c r="IR106" s="113"/>
      <c r="IS106" s="113"/>
      <c r="IT106" s="113"/>
      <c r="IU106" s="113"/>
      <c r="IV106" s="113"/>
      <c r="IW106" s="113"/>
    </row>
    <row r="107" customFormat="false" ht="11.25" hidden="false" customHeight="false" outlineLevel="0" collapsed="false">
      <c r="A107" s="113"/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42"/>
      <c r="AR107" s="142"/>
      <c r="AS107" s="142"/>
      <c r="AT107" s="142"/>
      <c r="AU107" s="142"/>
      <c r="AV107" s="142"/>
      <c r="AW107" s="142"/>
      <c r="AX107" s="142"/>
      <c r="AY107" s="142"/>
      <c r="AZ107" s="142"/>
      <c r="BA107" s="142"/>
      <c r="BB107" s="142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/>
      <c r="CJ107" s="113"/>
      <c r="CK107" s="113"/>
      <c r="CL107" s="113"/>
      <c r="CM107" s="113"/>
      <c r="CN107" s="113"/>
      <c r="CO107" s="113"/>
      <c r="CP107" s="113"/>
      <c r="CQ107" s="113"/>
      <c r="CR107" s="113"/>
      <c r="CS107" s="113"/>
      <c r="CT107" s="113"/>
      <c r="CU107" s="113"/>
      <c r="CV107" s="113"/>
      <c r="CW107" s="113"/>
      <c r="CX107" s="113"/>
      <c r="CY107" s="113"/>
      <c r="CZ107" s="113"/>
      <c r="DA107" s="113"/>
      <c r="DB107" s="113"/>
      <c r="DC107" s="113"/>
      <c r="DD107" s="113"/>
      <c r="DE107" s="113"/>
      <c r="DF107" s="113"/>
      <c r="DG107" s="113"/>
      <c r="DH107" s="113"/>
      <c r="DI107" s="113"/>
      <c r="DJ107" s="113"/>
      <c r="DK107" s="113"/>
      <c r="DL107" s="113"/>
      <c r="DM107" s="113"/>
      <c r="DN107" s="113"/>
      <c r="DO107" s="113"/>
      <c r="DP107" s="113"/>
      <c r="DQ107" s="113"/>
      <c r="DR107" s="113"/>
      <c r="DS107" s="113"/>
      <c r="DT107" s="113"/>
      <c r="DU107" s="113"/>
      <c r="DV107" s="113"/>
      <c r="DW107" s="113"/>
      <c r="DX107" s="113"/>
      <c r="DY107" s="113"/>
      <c r="DZ107" s="113"/>
      <c r="EA107" s="113"/>
      <c r="EB107" s="113"/>
      <c r="EC107" s="113"/>
      <c r="ED107" s="113"/>
      <c r="EE107" s="113"/>
      <c r="EF107" s="113"/>
      <c r="EG107" s="113"/>
      <c r="EH107" s="113"/>
      <c r="EI107" s="113"/>
      <c r="EJ107" s="113"/>
      <c r="EK107" s="113"/>
      <c r="EL107" s="113"/>
      <c r="EM107" s="113"/>
      <c r="EN107" s="113"/>
      <c r="EO107" s="113"/>
      <c r="EP107" s="113"/>
      <c r="EQ107" s="113"/>
      <c r="ER107" s="113"/>
      <c r="ES107" s="113"/>
      <c r="ET107" s="113"/>
      <c r="EU107" s="113"/>
      <c r="EV107" s="113"/>
      <c r="EW107" s="113"/>
      <c r="EX107" s="113"/>
      <c r="EY107" s="113"/>
      <c r="EZ107" s="113"/>
      <c r="FA107" s="113"/>
      <c r="FB107" s="113"/>
      <c r="FC107" s="113"/>
      <c r="FD107" s="113"/>
      <c r="FE107" s="113"/>
      <c r="FF107" s="113"/>
      <c r="FG107" s="113"/>
      <c r="FH107" s="113"/>
      <c r="FI107" s="113"/>
      <c r="FJ107" s="113"/>
      <c r="FK107" s="113"/>
      <c r="FL107" s="113"/>
      <c r="FM107" s="113"/>
      <c r="FN107" s="113"/>
      <c r="FO107" s="113"/>
      <c r="FP107" s="113"/>
      <c r="FQ107" s="113"/>
      <c r="FR107" s="113"/>
      <c r="FS107" s="113"/>
      <c r="FT107" s="113"/>
      <c r="FU107" s="113"/>
      <c r="FV107" s="113"/>
      <c r="FW107" s="113"/>
      <c r="FX107" s="113"/>
      <c r="FY107" s="113"/>
      <c r="FZ107" s="113"/>
      <c r="GA107" s="113"/>
      <c r="GB107" s="113"/>
      <c r="GC107" s="113"/>
      <c r="GD107" s="113"/>
      <c r="GE107" s="113"/>
      <c r="GF107" s="113"/>
      <c r="GG107" s="113"/>
      <c r="GH107" s="113"/>
      <c r="GI107" s="113"/>
      <c r="GJ107" s="113"/>
      <c r="GK107" s="113"/>
      <c r="GL107" s="113"/>
      <c r="GM107" s="113"/>
      <c r="GN107" s="113"/>
      <c r="GO107" s="113"/>
      <c r="GP107" s="113"/>
      <c r="GQ107" s="113"/>
      <c r="GR107" s="113"/>
      <c r="GS107" s="113"/>
      <c r="GT107" s="113"/>
      <c r="GU107" s="113"/>
      <c r="GV107" s="113"/>
      <c r="GW107" s="113"/>
      <c r="GX107" s="113"/>
      <c r="GY107" s="113"/>
      <c r="GZ107" s="113"/>
      <c r="HA107" s="113"/>
      <c r="HB107" s="113"/>
      <c r="HC107" s="113"/>
      <c r="HD107" s="113"/>
      <c r="HE107" s="113"/>
      <c r="HF107" s="113"/>
      <c r="HG107" s="113"/>
      <c r="HH107" s="113"/>
      <c r="HI107" s="113"/>
      <c r="HJ107" s="113"/>
      <c r="HK107" s="113"/>
      <c r="HL107" s="113"/>
      <c r="HM107" s="113"/>
      <c r="HN107" s="113"/>
      <c r="HO107" s="113"/>
      <c r="HP107" s="113"/>
      <c r="HQ107" s="113"/>
      <c r="HR107" s="113"/>
      <c r="HS107" s="113"/>
      <c r="HT107" s="113"/>
      <c r="HU107" s="113"/>
      <c r="HV107" s="113"/>
      <c r="HW107" s="113"/>
      <c r="HX107" s="113"/>
      <c r="HY107" s="113"/>
      <c r="HZ107" s="113"/>
      <c r="IA107" s="113"/>
      <c r="IB107" s="113"/>
      <c r="IC107" s="113"/>
      <c r="ID107" s="113"/>
      <c r="IE107" s="113"/>
      <c r="IF107" s="113"/>
      <c r="IG107" s="113"/>
      <c r="IH107" s="113"/>
      <c r="II107" s="113"/>
      <c r="IJ107" s="113"/>
      <c r="IK107" s="113"/>
      <c r="IL107" s="113"/>
      <c r="IM107" s="113"/>
      <c r="IN107" s="113"/>
      <c r="IO107" s="113"/>
      <c r="IP107" s="113"/>
      <c r="IQ107" s="113"/>
      <c r="IR107" s="113"/>
      <c r="IS107" s="113"/>
      <c r="IT107" s="113"/>
      <c r="IU107" s="113"/>
      <c r="IV107" s="113"/>
      <c r="IW107" s="113"/>
    </row>
    <row r="108" customFormat="false" ht="11.25" hidden="false" customHeight="false" outlineLevel="0" collapsed="false">
      <c r="A108" s="113"/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42"/>
      <c r="AR108" s="142"/>
      <c r="AS108" s="142"/>
      <c r="AT108" s="142"/>
      <c r="AU108" s="142"/>
      <c r="AV108" s="142"/>
      <c r="AW108" s="142"/>
      <c r="AX108" s="142"/>
      <c r="AY108" s="142"/>
      <c r="AZ108" s="142"/>
      <c r="BA108" s="142"/>
      <c r="BB108" s="142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  <c r="BM108" s="113"/>
      <c r="BN108" s="113"/>
      <c r="BO108" s="113"/>
      <c r="BP108" s="113"/>
      <c r="BQ108" s="113"/>
      <c r="BR108" s="113"/>
      <c r="BS108" s="113"/>
      <c r="BT108" s="113"/>
      <c r="BU108" s="113"/>
      <c r="BV108" s="113"/>
      <c r="BW108" s="113"/>
      <c r="BX108" s="113"/>
      <c r="BY108" s="113"/>
      <c r="BZ108" s="113"/>
      <c r="CA108" s="113"/>
      <c r="CB108" s="113"/>
      <c r="CC108" s="113"/>
      <c r="CD108" s="113"/>
      <c r="CE108" s="113"/>
      <c r="CF108" s="113"/>
      <c r="CG108" s="113"/>
      <c r="CH108" s="113"/>
      <c r="CI108" s="113"/>
      <c r="CJ108" s="113"/>
      <c r="CK108" s="113"/>
      <c r="CL108" s="113"/>
      <c r="CM108" s="113"/>
      <c r="CN108" s="113"/>
      <c r="CO108" s="113"/>
      <c r="CP108" s="113"/>
      <c r="CQ108" s="113"/>
      <c r="CR108" s="113"/>
      <c r="CS108" s="113"/>
      <c r="CT108" s="113"/>
      <c r="CU108" s="113"/>
      <c r="CV108" s="113"/>
      <c r="CW108" s="113"/>
      <c r="CX108" s="113"/>
      <c r="CY108" s="113"/>
      <c r="CZ108" s="113"/>
      <c r="DA108" s="113"/>
      <c r="DB108" s="113"/>
      <c r="DC108" s="113"/>
      <c r="DD108" s="113"/>
      <c r="DE108" s="113"/>
      <c r="DF108" s="113"/>
      <c r="DG108" s="113"/>
      <c r="DH108" s="113"/>
      <c r="DI108" s="113"/>
      <c r="DJ108" s="113"/>
      <c r="DK108" s="113"/>
      <c r="DL108" s="113"/>
      <c r="DM108" s="113"/>
      <c r="DN108" s="113"/>
      <c r="DO108" s="113"/>
      <c r="DP108" s="113"/>
      <c r="DQ108" s="113"/>
      <c r="DR108" s="113"/>
      <c r="DS108" s="113"/>
      <c r="DT108" s="113"/>
      <c r="DU108" s="113"/>
      <c r="DV108" s="113"/>
      <c r="DW108" s="113"/>
      <c r="DX108" s="113"/>
      <c r="DY108" s="113"/>
      <c r="DZ108" s="113"/>
      <c r="EA108" s="113"/>
      <c r="EB108" s="113"/>
      <c r="EC108" s="113"/>
      <c r="ED108" s="113"/>
      <c r="EE108" s="113"/>
      <c r="EF108" s="113"/>
      <c r="EG108" s="113"/>
      <c r="EH108" s="113"/>
      <c r="EI108" s="113"/>
      <c r="EJ108" s="113"/>
      <c r="EK108" s="113"/>
      <c r="EL108" s="113"/>
      <c r="EM108" s="113"/>
      <c r="EN108" s="113"/>
      <c r="EO108" s="113"/>
      <c r="EP108" s="113"/>
      <c r="EQ108" s="113"/>
      <c r="ER108" s="113"/>
      <c r="ES108" s="113"/>
      <c r="ET108" s="113"/>
      <c r="EU108" s="113"/>
      <c r="EV108" s="113"/>
      <c r="EW108" s="113"/>
      <c r="EX108" s="113"/>
      <c r="EY108" s="113"/>
      <c r="EZ108" s="113"/>
      <c r="FA108" s="113"/>
      <c r="FB108" s="113"/>
      <c r="FC108" s="113"/>
      <c r="FD108" s="113"/>
      <c r="FE108" s="113"/>
      <c r="FF108" s="113"/>
      <c r="FG108" s="113"/>
      <c r="FH108" s="113"/>
      <c r="FI108" s="113"/>
      <c r="FJ108" s="113"/>
      <c r="FK108" s="113"/>
      <c r="FL108" s="113"/>
      <c r="FM108" s="113"/>
      <c r="FN108" s="113"/>
      <c r="FO108" s="113"/>
      <c r="FP108" s="113"/>
      <c r="FQ108" s="113"/>
      <c r="FR108" s="113"/>
      <c r="FS108" s="113"/>
      <c r="FT108" s="113"/>
      <c r="FU108" s="113"/>
      <c r="FV108" s="113"/>
      <c r="FW108" s="113"/>
      <c r="FX108" s="113"/>
      <c r="FY108" s="113"/>
      <c r="FZ108" s="113"/>
      <c r="GA108" s="113"/>
      <c r="GB108" s="113"/>
      <c r="GC108" s="113"/>
      <c r="GD108" s="113"/>
      <c r="GE108" s="113"/>
      <c r="GF108" s="113"/>
      <c r="GG108" s="113"/>
      <c r="GH108" s="113"/>
      <c r="GI108" s="113"/>
      <c r="GJ108" s="113"/>
      <c r="GK108" s="113"/>
      <c r="GL108" s="113"/>
      <c r="GM108" s="113"/>
      <c r="GN108" s="113"/>
      <c r="GO108" s="113"/>
      <c r="GP108" s="113"/>
      <c r="GQ108" s="113"/>
      <c r="GR108" s="113"/>
      <c r="GS108" s="113"/>
      <c r="GT108" s="113"/>
      <c r="GU108" s="113"/>
      <c r="GV108" s="113"/>
      <c r="GW108" s="113"/>
      <c r="GX108" s="113"/>
      <c r="GY108" s="113"/>
      <c r="GZ108" s="113"/>
      <c r="HA108" s="113"/>
      <c r="HB108" s="113"/>
      <c r="HC108" s="113"/>
      <c r="HD108" s="113"/>
      <c r="HE108" s="113"/>
      <c r="HF108" s="113"/>
      <c r="HG108" s="113"/>
      <c r="HH108" s="113"/>
      <c r="HI108" s="113"/>
      <c r="HJ108" s="113"/>
      <c r="HK108" s="113"/>
      <c r="HL108" s="113"/>
      <c r="HM108" s="113"/>
      <c r="HN108" s="113"/>
      <c r="HO108" s="113"/>
      <c r="HP108" s="113"/>
      <c r="HQ108" s="113"/>
      <c r="HR108" s="113"/>
      <c r="HS108" s="113"/>
      <c r="HT108" s="113"/>
      <c r="HU108" s="113"/>
      <c r="HV108" s="113"/>
      <c r="HW108" s="113"/>
      <c r="HX108" s="113"/>
      <c r="HY108" s="113"/>
      <c r="HZ108" s="113"/>
      <c r="IA108" s="113"/>
      <c r="IB108" s="113"/>
      <c r="IC108" s="113"/>
      <c r="ID108" s="113"/>
      <c r="IE108" s="113"/>
      <c r="IF108" s="113"/>
      <c r="IG108" s="113"/>
      <c r="IH108" s="113"/>
      <c r="II108" s="113"/>
      <c r="IJ108" s="113"/>
      <c r="IK108" s="113"/>
      <c r="IL108" s="113"/>
      <c r="IM108" s="113"/>
      <c r="IN108" s="113"/>
      <c r="IO108" s="113"/>
      <c r="IP108" s="113"/>
      <c r="IQ108" s="113"/>
      <c r="IR108" s="113"/>
      <c r="IS108" s="113"/>
      <c r="IT108" s="113"/>
      <c r="IU108" s="113"/>
      <c r="IV108" s="113"/>
      <c r="IW108" s="113"/>
    </row>
    <row r="109" customFormat="false" ht="11.25" hidden="false" customHeight="false" outlineLevel="0" collapsed="false">
      <c r="A109" s="113"/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42"/>
      <c r="AR109" s="142"/>
      <c r="AS109" s="142"/>
      <c r="AT109" s="142"/>
      <c r="AU109" s="142"/>
      <c r="AV109" s="142"/>
      <c r="AW109" s="142"/>
      <c r="AX109" s="142"/>
      <c r="AY109" s="142"/>
      <c r="AZ109" s="142"/>
      <c r="BA109" s="142"/>
      <c r="BB109" s="142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BY109" s="113"/>
      <c r="BZ109" s="113"/>
      <c r="CA109" s="113"/>
      <c r="CB109" s="113"/>
      <c r="CC109" s="113"/>
      <c r="CD109" s="113"/>
      <c r="CE109" s="113"/>
      <c r="CF109" s="113"/>
      <c r="CG109" s="113"/>
      <c r="CH109" s="113"/>
      <c r="CI109" s="113"/>
      <c r="CJ109" s="113"/>
      <c r="CK109" s="113"/>
      <c r="CL109" s="113"/>
      <c r="CM109" s="113"/>
      <c r="CN109" s="113"/>
      <c r="CO109" s="113"/>
      <c r="CP109" s="113"/>
      <c r="CQ109" s="113"/>
      <c r="CR109" s="113"/>
      <c r="CS109" s="113"/>
      <c r="CT109" s="113"/>
      <c r="CU109" s="113"/>
      <c r="CV109" s="113"/>
      <c r="CW109" s="113"/>
      <c r="CX109" s="113"/>
      <c r="CY109" s="113"/>
      <c r="CZ109" s="113"/>
      <c r="DA109" s="113"/>
      <c r="DB109" s="113"/>
      <c r="DC109" s="113"/>
      <c r="DD109" s="113"/>
      <c r="DE109" s="113"/>
      <c r="DF109" s="113"/>
      <c r="DG109" s="113"/>
      <c r="DH109" s="113"/>
      <c r="DI109" s="113"/>
      <c r="DJ109" s="113"/>
      <c r="DK109" s="113"/>
      <c r="DL109" s="113"/>
      <c r="DM109" s="113"/>
      <c r="DN109" s="113"/>
      <c r="DO109" s="113"/>
      <c r="DP109" s="113"/>
      <c r="DQ109" s="113"/>
      <c r="DR109" s="113"/>
      <c r="DS109" s="113"/>
      <c r="DT109" s="113"/>
      <c r="DU109" s="113"/>
      <c r="DV109" s="113"/>
      <c r="DW109" s="113"/>
      <c r="DX109" s="113"/>
      <c r="DY109" s="113"/>
      <c r="DZ109" s="113"/>
      <c r="EA109" s="113"/>
      <c r="EB109" s="113"/>
      <c r="EC109" s="113"/>
      <c r="ED109" s="113"/>
      <c r="EE109" s="113"/>
      <c r="EF109" s="113"/>
      <c r="EG109" s="113"/>
      <c r="EH109" s="113"/>
      <c r="EI109" s="113"/>
      <c r="EJ109" s="113"/>
      <c r="EK109" s="113"/>
      <c r="EL109" s="113"/>
      <c r="EM109" s="113"/>
      <c r="EN109" s="113"/>
      <c r="EO109" s="113"/>
      <c r="EP109" s="113"/>
      <c r="EQ109" s="113"/>
      <c r="ER109" s="113"/>
      <c r="ES109" s="113"/>
      <c r="ET109" s="113"/>
      <c r="EU109" s="113"/>
      <c r="EV109" s="113"/>
      <c r="EW109" s="113"/>
      <c r="EX109" s="113"/>
      <c r="EY109" s="113"/>
      <c r="EZ109" s="113"/>
      <c r="FA109" s="113"/>
      <c r="FB109" s="113"/>
      <c r="FC109" s="113"/>
      <c r="FD109" s="113"/>
      <c r="FE109" s="113"/>
      <c r="FF109" s="113"/>
      <c r="FG109" s="113"/>
      <c r="FH109" s="113"/>
      <c r="FI109" s="113"/>
      <c r="FJ109" s="113"/>
      <c r="FK109" s="113"/>
      <c r="FL109" s="113"/>
      <c r="FM109" s="113"/>
      <c r="FN109" s="113"/>
      <c r="FO109" s="113"/>
      <c r="FP109" s="113"/>
      <c r="FQ109" s="113"/>
      <c r="FR109" s="113"/>
      <c r="FS109" s="113"/>
      <c r="FT109" s="113"/>
      <c r="FU109" s="113"/>
      <c r="FV109" s="113"/>
      <c r="FW109" s="113"/>
      <c r="FX109" s="113"/>
      <c r="FY109" s="113"/>
      <c r="FZ109" s="113"/>
      <c r="GA109" s="113"/>
      <c r="GB109" s="113"/>
      <c r="GC109" s="113"/>
      <c r="GD109" s="113"/>
      <c r="GE109" s="113"/>
      <c r="GF109" s="113"/>
      <c r="GG109" s="113"/>
      <c r="GH109" s="113"/>
      <c r="GI109" s="113"/>
      <c r="GJ109" s="113"/>
      <c r="GK109" s="113"/>
      <c r="GL109" s="113"/>
      <c r="GM109" s="113"/>
      <c r="GN109" s="113"/>
      <c r="GO109" s="113"/>
      <c r="GP109" s="113"/>
      <c r="GQ109" s="113"/>
      <c r="GR109" s="113"/>
      <c r="GS109" s="113"/>
      <c r="GT109" s="113"/>
      <c r="GU109" s="113"/>
      <c r="GV109" s="113"/>
      <c r="GW109" s="113"/>
      <c r="GX109" s="113"/>
      <c r="GY109" s="113"/>
      <c r="GZ109" s="113"/>
      <c r="HA109" s="113"/>
      <c r="HB109" s="113"/>
      <c r="HC109" s="113"/>
      <c r="HD109" s="113"/>
      <c r="HE109" s="113"/>
      <c r="HF109" s="113"/>
      <c r="HG109" s="113"/>
      <c r="HH109" s="113"/>
      <c r="HI109" s="113"/>
      <c r="HJ109" s="113"/>
      <c r="HK109" s="113"/>
      <c r="HL109" s="113"/>
      <c r="HM109" s="113"/>
      <c r="HN109" s="113"/>
      <c r="HO109" s="113"/>
      <c r="HP109" s="113"/>
      <c r="HQ109" s="113"/>
      <c r="HR109" s="113"/>
      <c r="HS109" s="113"/>
      <c r="HT109" s="113"/>
      <c r="HU109" s="113"/>
      <c r="HV109" s="113"/>
      <c r="HW109" s="113"/>
      <c r="HX109" s="113"/>
      <c r="HY109" s="113"/>
      <c r="HZ109" s="113"/>
      <c r="IA109" s="113"/>
      <c r="IB109" s="113"/>
      <c r="IC109" s="113"/>
      <c r="ID109" s="113"/>
      <c r="IE109" s="113"/>
      <c r="IF109" s="113"/>
      <c r="IG109" s="113"/>
      <c r="IH109" s="113"/>
      <c r="II109" s="113"/>
      <c r="IJ109" s="113"/>
      <c r="IK109" s="113"/>
      <c r="IL109" s="113"/>
      <c r="IM109" s="113"/>
      <c r="IN109" s="113"/>
      <c r="IO109" s="113"/>
      <c r="IP109" s="113"/>
      <c r="IQ109" s="113"/>
      <c r="IR109" s="113"/>
      <c r="IS109" s="113"/>
      <c r="IT109" s="113"/>
      <c r="IU109" s="113"/>
      <c r="IV109" s="113"/>
      <c r="IW109" s="113"/>
    </row>
    <row r="110" customFormat="false" ht="11.25" hidden="false" customHeight="false" outlineLevel="0" collapsed="false">
      <c r="A110" s="113"/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42"/>
      <c r="AR110" s="142"/>
      <c r="AS110" s="142"/>
      <c r="AT110" s="142"/>
      <c r="AU110" s="142"/>
      <c r="AV110" s="142"/>
      <c r="AW110" s="142"/>
      <c r="AX110" s="142"/>
      <c r="AY110" s="142"/>
      <c r="AZ110" s="142"/>
      <c r="BA110" s="142"/>
      <c r="BB110" s="142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  <c r="BM110" s="113"/>
      <c r="BN110" s="113"/>
      <c r="BO110" s="113"/>
      <c r="BP110" s="113"/>
      <c r="BQ110" s="113"/>
      <c r="BR110" s="113"/>
      <c r="BS110" s="113"/>
      <c r="BT110" s="113"/>
      <c r="BU110" s="113"/>
      <c r="BV110" s="113"/>
      <c r="BW110" s="113"/>
      <c r="BX110" s="113"/>
      <c r="BY110" s="113"/>
      <c r="BZ110" s="113"/>
      <c r="CA110" s="113"/>
      <c r="CB110" s="113"/>
      <c r="CC110" s="113"/>
      <c r="CD110" s="113"/>
      <c r="CE110" s="113"/>
      <c r="CF110" s="113"/>
      <c r="CG110" s="113"/>
      <c r="CH110" s="113"/>
      <c r="CI110" s="113"/>
      <c r="CJ110" s="113"/>
      <c r="CK110" s="113"/>
      <c r="CL110" s="113"/>
      <c r="CM110" s="113"/>
      <c r="CN110" s="113"/>
      <c r="CO110" s="113"/>
      <c r="CP110" s="113"/>
      <c r="CQ110" s="113"/>
      <c r="CR110" s="113"/>
      <c r="CS110" s="113"/>
      <c r="CT110" s="113"/>
      <c r="CU110" s="113"/>
      <c r="CV110" s="113"/>
      <c r="CW110" s="113"/>
      <c r="CX110" s="113"/>
      <c r="CY110" s="113"/>
      <c r="CZ110" s="113"/>
      <c r="DA110" s="113"/>
      <c r="DB110" s="113"/>
      <c r="DC110" s="113"/>
      <c r="DD110" s="113"/>
      <c r="DE110" s="113"/>
      <c r="DF110" s="113"/>
      <c r="DG110" s="113"/>
      <c r="DH110" s="113"/>
      <c r="DI110" s="113"/>
      <c r="DJ110" s="113"/>
      <c r="DK110" s="113"/>
      <c r="DL110" s="113"/>
      <c r="DM110" s="113"/>
      <c r="DN110" s="113"/>
      <c r="DO110" s="113"/>
      <c r="DP110" s="113"/>
      <c r="DQ110" s="113"/>
      <c r="DR110" s="113"/>
      <c r="DS110" s="113"/>
      <c r="DT110" s="113"/>
      <c r="DU110" s="113"/>
      <c r="DV110" s="113"/>
      <c r="DW110" s="113"/>
      <c r="DX110" s="113"/>
      <c r="DY110" s="113"/>
      <c r="DZ110" s="113"/>
      <c r="EA110" s="113"/>
      <c r="EB110" s="113"/>
      <c r="EC110" s="113"/>
      <c r="ED110" s="113"/>
      <c r="EE110" s="113"/>
      <c r="EF110" s="113"/>
      <c r="EG110" s="113"/>
      <c r="EH110" s="113"/>
      <c r="EI110" s="113"/>
      <c r="EJ110" s="113"/>
      <c r="EK110" s="113"/>
      <c r="EL110" s="113"/>
      <c r="EM110" s="113"/>
      <c r="EN110" s="113"/>
      <c r="EO110" s="113"/>
      <c r="EP110" s="113"/>
      <c r="EQ110" s="113"/>
      <c r="ER110" s="113"/>
      <c r="ES110" s="113"/>
      <c r="ET110" s="113"/>
      <c r="EU110" s="113"/>
      <c r="EV110" s="113"/>
      <c r="EW110" s="113"/>
      <c r="EX110" s="113"/>
      <c r="EY110" s="113"/>
      <c r="EZ110" s="113"/>
      <c r="FA110" s="113"/>
      <c r="FB110" s="113"/>
      <c r="FC110" s="113"/>
      <c r="FD110" s="113"/>
      <c r="FE110" s="113"/>
      <c r="FF110" s="113"/>
      <c r="FG110" s="113"/>
      <c r="FH110" s="113"/>
      <c r="FI110" s="113"/>
      <c r="FJ110" s="113"/>
      <c r="FK110" s="113"/>
      <c r="FL110" s="113"/>
      <c r="FM110" s="113"/>
      <c r="FN110" s="113"/>
      <c r="FO110" s="113"/>
      <c r="FP110" s="113"/>
      <c r="FQ110" s="113"/>
      <c r="FR110" s="113"/>
      <c r="FS110" s="113"/>
      <c r="FT110" s="113"/>
      <c r="FU110" s="113"/>
      <c r="FV110" s="113"/>
      <c r="FW110" s="113"/>
      <c r="FX110" s="113"/>
      <c r="FY110" s="113"/>
      <c r="FZ110" s="113"/>
      <c r="GA110" s="113"/>
      <c r="GB110" s="113"/>
      <c r="GC110" s="113"/>
      <c r="GD110" s="113"/>
      <c r="GE110" s="113"/>
      <c r="GF110" s="113"/>
      <c r="GG110" s="113"/>
      <c r="GH110" s="113"/>
      <c r="GI110" s="113"/>
      <c r="GJ110" s="113"/>
      <c r="GK110" s="113"/>
      <c r="GL110" s="113"/>
      <c r="GM110" s="113"/>
      <c r="GN110" s="113"/>
      <c r="GO110" s="113"/>
      <c r="GP110" s="113"/>
      <c r="GQ110" s="113"/>
      <c r="GR110" s="113"/>
      <c r="GS110" s="113"/>
      <c r="GT110" s="113"/>
      <c r="GU110" s="113"/>
      <c r="GV110" s="113"/>
      <c r="GW110" s="113"/>
      <c r="GX110" s="113"/>
      <c r="GY110" s="113"/>
      <c r="GZ110" s="113"/>
      <c r="HA110" s="113"/>
      <c r="HB110" s="113"/>
      <c r="HC110" s="113"/>
      <c r="HD110" s="113"/>
      <c r="HE110" s="113"/>
      <c r="HF110" s="113"/>
      <c r="HG110" s="113"/>
      <c r="HH110" s="113"/>
      <c r="HI110" s="113"/>
      <c r="HJ110" s="113"/>
      <c r="HK110" s="113"/>
      <c r="HL110" s="113"/>
      <c r="HM110" s="113"/>
      <c r="HN110" s="113"/>
      <c r="HO110" s="113"/>
      <c r="HP110" s="113"/>
      <c r="HQ110" s="113"/>
      <c r="HR110" s="113"/>
      <c r="HS110" s="113"/>
      <c r="HT110" s="113"/>
      <c r="HU110" s="113"/>
      <c r="HV110" s="113"/>
      <c r="HW110" s="113"/>
      <c r="HX110" s="113"/>
      <c r="HY110" s="113"/>
      <c r="HZ110" s="113"/>
      <c r="IA110" s="113"/>
      <c r="IB110" s="113"/>
      <c r="IC110" s="113"/>
      <c r="ID110" s="113"/>
      <c r="IE110" s="113"/>
      <c r="IF110" s="113"/>
      <c r="IG110" s="113"/>
      <c r="IH110" s="113"/>
      <c r="II110" s="113"/>
      <c r="IJ110" s="113"/>
      <c r="IK110" s="113"/>
      <c r="IL110" s="113"/>
      <c r="IM110" s="113"/>
      <c r="IN110" s="113"/>
      <c r="IO110" s="113"/>
      <c r="IP110" s="113"/>
      <c r="IQ110" s="113"/>
      <c r="IR110" s="113"/>
      <c r="IS110" s="113"/>
      <c r="IT110" s="113"/>
      <c r="IU110" s="113"/>
      <c r="IV110" s="113"/>
      <c r="IW110" s="113"/>
    </row>
    <row r="111" customFormat="false" ht="11.25" hidden="false" customHeight="false" outlineLevel="0" collapsed="false">
      <c r="A111" s="114"/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  <c r="BI111" s="114"/>
      <c r="BJ111" s="114"/>
      <c r="BK111" s="114"/>
      <c r="BL111" s="114"/>
      <c r="BM111" s="114"/>
      <c r="BN111" s="114"/>
      <c r="BO111" s="114"/>
      <c r="BP111" s="114"/>
      <c r="BQ111" s="114"/>
      <c r="BR111" s="114"/>
      <c r="BS111" s="114"/>
      <c r="BT111" s="114"/>
      <c r="BU111" s="114"/>
      <c r="BV111" s="114"/>
      <c r="BW111" s="114"/>
      <c r="BX111" s="114"/>
      <c r="BY111" s="114"/>
      <c r="BZ111" s="114"/>
      <c r="CA111" s="114"/>
      <c r="CB111" s="114"/>
      <c r="CC111" s="114"/>
      <c r="CD111" s="114"/>
      <c r="CE111" s="114"/>
      <c r="CF111" s="114"/>
      <c r="CG111" s="114"/>
      <c r="CH111" s="114"/>
      <c r="CI111" s="114"/>
      <c r="CJ111" s="114"/>
      <c r="CK111" s="114"/>
      <c r="CL111" s="114"/>
      <c r="CM111" s="114"/>
      <c r="CN111" s="114"/>
      <c r="CO111" s="114"/>
      <c r="CP111" s="114"/>
      <c r="CQ111" s="114"/>
      <c r="CR111" s="114"/>
      <c r="CS111" s="114"/>
      <c r="CT111" s="114"/>
      <c r="CU111" s="114"/>
      <c r="CV111" s="114"/>
      <c r="CW111" s="114"/>
      <c r="CX111" s="114"/>
      <c r="CY111" s="114"/>
      <c r="CZ111" s="114"/>
      <c r="DA111" s="114"/>
      <c r="DB111" s="114"/>
      <c r="DC111" s="114"/>
      <c r="DD111" s="114"/>
      <c r="DE111" s="114"/>
      <c r="DF111" s="114"/>
      <c r="DG111" s="114"/>
      <c r="DH111" s="114"/>
      <c r="DI111" s="114"/>
      <c r="DJ111" s="114"/>
      <c r="DK111" s="114"/>
      <c r="DL111" s="114"/>
      <c r="DM111" s="114"/>
      <c r="DN111" s="114"/>
      <c r="DO111" s="114"/>
      <c r="DP111" s="114"/>
      <c r="DQ111" s="114"/>
      <c r="DR111" s="114"/>
      <c r="DS111" s="114"/>
      <c r="DT111" s="114"/>
      <c r="DU111" s="114"/>
      <c r="DV111" s="114"/>
      <c r="DW111" s="114"/>
      <c r="DX111" s="114"/>
      <c r="DY111" s="114"/>
      <c r="DZ111" s="114"/>
      <c r="EA111" s="114"/>
      <c r="EB111" s="114"/>
      <c r="EC111" s="114"/>
      <c r="ED111" s="114"/>
      <c r="EE111" s="114"/>
      <c r="EF111" s="114"/>
      <c r="EG111" s="114"/>
      <c r="EH111" s="114"/>
      <c r="EI111" s="114"/>
      <c r="EJ111" s="114"/>
      <c r="EK111" s="114"/>
      <c r="EL111" s="114"/>
      <c r="EM111" s="114"/>
      <c r="EN111" s="114"/>
      <c r="EO111" s="114"/>
      <c r="EP111" s="114"/>
      <c r="EQ111" s="114"/>
      <c r="ER111" s="114"/>
      <c r="ES111" s="114"/>
      <c r="ET111" s="114"/>
      <c r="EU111" s="114"/>
      <c r="EV111" s="114"/>
      <c r="EW111" s="114"/>
      <c r="EX111" s="114"/>
      <c r="EY111" s="114"/>
      <c r="EZ111" s="114"/>
      <c r="FA111" s="114"/>
      <c r="FB111" s="114"/>
      <c r="FC111" s="114"/>
      <c r="FD111" s="114"/>
      <c r="FE111" s="114"/>
      <c r="FF111" s="114"/>
      <c r="FG111" s="114"/>
      <c r="FH111" s="114"/>
      <c r="FI111" s="114"/>
      <c r="FJ111" s="114"/>
      <c r="FK111" s="114"/>
      <c r="FL111" s="114"/>
      <c r="FM111" s="114"/>
      <c r="FN111" s="114"/>
      <c r="FO111" s="114"/>
      <c r="FP111" s="114"/>
      <c r="FQ111" s="114"/>
      <c r="FR111" s="114"/>
      <c r="FS111" s="114"/>
      <c r="FT111" s="114"/>
      <c r="FU111" s="114"/>
      <c r="FV111" s="114"/>
      <c r="FW111" s="114"/>
      <c r="FX111" s="114"/>
      <c r="FY111" s="114"/>
      <c r="FZ111" s="114"/>
      <c r="GA111" s="114"/>
      <c r="GB111" s="114"/>
      <c r="GC111" s="114"/>
      <c r="GD111" s="114"/>
      <c r="GE111" s="114"/>
      <c r="GF111" s="114"/>
      <c r="GG111" s="114"/>
      <c r="GH111" s="114"/>
      <c r="GI111" s="114"/>
      <c r="GJ111" s="114"/>
      <c r="GK111" s="114"/>
      <c r="GL111" s="114"/>
      <c r="GM111" s="114"/>
      <c r="GN111" s="114"/>
      <c r="GO111" s="114"/>
      <c r="GP111" s="114"/>
      <c r="GQ111" s="114"/>
      <c r="GR111" s="114"/>
      <c r="GS111" s="114"/>
      <c r="GT111" s="114"/>
      <c r="GU111" s="114"/>
      <c r="GV111" s="114"/>
      <c r="GW111" s="114"/>
      <c r="GX111" s="114"/>
      <c r="GY111" s="114"/>
      <c r="GZ111" s="114"/>
      <c r="HA111" s="114"/>
      <c r="HB111" s="114"/>
      <c r="HC111" s="114"/>
      <c r="HD111" s="114"/>
      <c r="HE111" s="114"/>
      <c r="HF111" s="114"/>
      <c r="HG111" s="114"/>
      <c r="HH111" s="114"/>
      <c r="HI111" s="114"/>
      <c r="HJ111" s="114"/>
      <c r="HK111" s="114"/>
      <c r="HL111" s="114"/>
      <c r="HM111" s="114"/>
      <c r="HN111" s="114"/>
      <c r="HO111" s="114"/>
      <c r="HP111" s="114"/>
      <c r="HQ111" s="114"/>
      <c r="HR111" s="114"/>
      <c r="HS111" s="114"/>
      <c r="HT111" s="114"/>
      <c r="HU111" s="114"/>
      <c r="HV111" s="114"/>
      <c r="HW111" s="114"/>
      <c r="HX111" s="114"/>
      <c r="HY111" s="114"/>
      <c r="HZ111" s="114"/>
      <c r="IA111" s="114"/>
      <c r="IB111" s="114"/>
      <c r="IC111" s="114"/>
      <c r="ID111" s="114"/>
      <c r="IE111" s="114"/>
      <c r="IF111" s="114"/>
      <c r="IG111" s="114"/>
      <c r="IH111" s="114"/>
      <c r="II111" s="114"/>
      <c r="IJ111" s="114"/>
      <c r="IK111" s="114"/>
      <c r="IL111" s="114"/>
      <c r="IM111" s="114"/>
      <c r="IN111" s="114"/>
      <c r="IO111" s="114"/>
      <c r="IP111" s="114"/>
      <c r="IQ111" s="114"/>
      <c r="IR111" s="114"/>
      <c r="IS111" s="114"/>
      <c r="IT111" s="114"/>
      <c r="IU111" s="114"/>
      <c r="IV111" s="114"/>
      <c r="IW111" s="114"/>
    </row>
    <row r="112" customFormat="false" ht="11.25" hidden="false" customHeight="false" outlineLevel="0" collapsed="false">
      <c r="A112" s="114"/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  <c r="AA112" s="114"/>
      <c r="AB112" s="114"/>
      <c r="AC112" s="114"/>
      <c r="AD112" s="114"/>
      <c r="AE112" s="114"/>
      <c r="AF112" s="114"/>
      <c r="AG112" s="114"/>
      <c r="AH112" s="114"/>
      <c r="AI112" s="114"/>
      <c r="AJ112" s="114"/>
      <c r="AK112" s="114"/>
      <c r="AL112" s="114"/>
      <c r="AM112" s="114"/>
      <c r="AN112" s="114"/>
      <c r="AO112" s="114"/>
      <c r="AP112" s="114"/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4"/>
      <c r="BQ112" s="114"/>
      <c r="BR112" s="114"/>
      <c r="BS112" s="114"/>
      <c r="BT112" s="114"/>
      <c r="BU112" s="114"/>
      <c r="BV112" s="114"/>
      <c r="BW112" s="114"/>
      <c r="BX112" s="114"/>
      <c r="BY112" s="114"/>
      <c r="BZ112" s="114"/>
      <c r="CA112" s="114"/>
      <c r="CB112" s="114"/>
      <c r="CC112" s="114"/>
      <c r="CD112" s="114"/>
      <c r="CE112" s="114"/>
      <c r="CF112" s="114"/>
      <c r="CG112" s="114"/>
      <c r="CH112" s="114"/>
      <c r="CI112" s="114"/>
      <c r="CJ112" s="114"/>
      <c r="CK112" s="114"/>
      <c r="CL112" s="114"/>
      <c r="CM112" s="114"/>
      <c r="CN112" s="114"/>
      <c r="CO112" s="114"/>
      <c r="CP112" s="114"/>
      <c r="CQ112" s="114"/>
      <c r="CR112" s="114"/>
      <c r="CS112" s="114"/>
      <c r="CT112" s="114"/>
      <c r="CU112" s="114"/>
      <c r="CV112" s="114"/>
      <c r="CW112" s="114"/>
      <c r="CX112" s="114"/>
      <c r="CY112" s="114"/>
      <c r="CZ112" s="114"/>
      <c r="DA112" s="114"/>
      <c r="DB112" s="114"/>
      <c r="DC112" s="114"/>
      <c r="DD112" s="114"/>
      <c r="DE112" s="114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4"/>
      <c r="DQ112" s="114"/>
      <c r="DR112" s="114"/>
      <c r="DS112" s="114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4"/>
      <c r="EE112" s="114"/>
      <c r="EF112" s="114"/>
      <c r="EG112" s="114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4"/>
      <c r="ES112" s="114"/>
      <c r="ET112" s="114"/>
      <c r="EU112" s="114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4"/>
      <c r="FG112" s="114"/>
      <c r="FH112" s="114"/>
      <c r="FI112" s="114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4"/>
      <c r="FU112" s="114"/>
      <c r="FV112" s="114"/>
      <c r="FW112" s="114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4"/>
      <c r="GI112" s="114"/>
      <c r="GJ112" s="114"/>
      <c r="GK112" s="114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4"/>
      <c r="GW112" s="114"/>
      <c r="GX112" s="114"/>
      <c r="GY112" s="114"/>
      <c r="GZ112" s="114"/>
      <c r="HA112" s="114"/>
      <c r="HB112" s="114"/>
      <c r="HC112" s="114"/>
      <c r="HD112" s="114"/>
      <c r="HE112" s="114"/>
      <c r="HF112" s="114"/>
      <c r="HG112" s="114"/>
      <c r="HH112" s="114"/>
      <c r="HI112" s="114"/>
      <c r="HJ112" s="114"/>
      <c r="HK112" s="114"/>
      <c r="HL112" s="114"/>
      <c r="HM112" s="114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4"/>
      <c r="HY112" s="114"/>
      <c r="HZ112" s="114"/>
      <c r="IA112" s="114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4"/>
      <c r="IM112" s="114"/>
      <c r="IN112" s="114"/>
      <c r="IO112" s="114"/>
      <c r="IP112" s="114"/>
      <c r="IQ112" s="114"/>
      <c r="IR112" s="114"/>
      <c r="IS112" s="114"/>
      <c r="IT112" s="114"/>
      <c r="IU112" s="114"/>
      <c r="IV112" s="114"/>
      <c r="IW112" s="114"/>
    </row>
    <row r="113" customFormat="false" ht="11.25" hidden="false" customHeight="false" outlineLevel="0" collapsed="false">
      <c r="A113" s="114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4"/>
      <c r="AC113" s="114"/>
      <c r="AD113" s="114"/>
      <c r="AE113" s="114"/>
      <c r="AF113" s="114"/>
      <c r="AG113" s="114"/>
      <c r="AH113" s="114"/>
      <c r="AI113" s="114"/>
      <c r="AJ113" s="114"/>
      <c r="AK113" s="114"/>
      <c r="AL113" s="114"/>
      <c r="AM113" s="114"/>
      <c r="AN113" s="114"/>
      <c r="AO113" s="114"/>
      <c r="AP113" s="114"/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  <c r="BI113" s="114"/>
      <c r="BJ113" s="114"/>
      <c r="BK113" s="114"/>
      <c r="BL113" s="114"/>
      <c r="BM113" s="114"/>
      <c r="BN113" s="114"/>
      <c r="BO113" s="114"/>
      <c r="BP113" s="114"/>
      <c r="BQ113" s="114"/>
      <c r="BR113" s="114"/>
      <c r="BS113" s="114"/>
      <c r="BT113" s="114"/>
      <c r="BU113" s="114"/>
      <c r="BV113" s="114"/>
      <c r="BW113" s="114"/>
      <c r="BX113" s="114"/>
      <c r="BY113" s="114"/>
      <c r="BZ113" s="114"/>
      <c r="CA113" s="114"/>
      <c r="CB113" s="114"/>
      <c r="CC113" s="114"/>
      <c r="CD113" s="114"/>
      <c r="CE113" s="114"/>
      <c r="CF113" s="114"/>
      <c r="CG113" s="114"/>
      <c r="CH113" s="114"/>
      <c r="CI113" s="114"/>
      <c r="CJ113" s="114"/>
      <c r="CK113" s="114"/>
      <c r="CL113" s="114"/>
      <c r="CM113" s="114"/>
      <c r="CN113" s="114"/>
      <c r="CO113" s="114"/>
      <c r="CP113" s="114"/>
      <c r="CQ113" s="114"/>
      <c r="CR113" s="114"/>
      <c r="CS113" s="114"/>
      <c r="CT113" s="114"/>
      <c r="CU113" s="114"/>
      <c r="CV113" s="114"/>
      <c r="CW113" s="114"/>
      <c r="CX113" s="114"/>
      <c r="CY113" s="114"/>
      <c r="CZ113" s="114"/>
      <c r="DA113" s="114"/>
      <c r="DB113" s="114"/>
      <c r="DC113" s="114"/>
      <c r="DD113" s="114"/>
      <c r="DE113" s="114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4"/>
      <c r="DQ113" s="114"/>
      <c r="DR113" s="114"/>
      <c r="DS113" s="114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4"/>
      <c r="EE113" s="114"/>
      <c r="EF113" s="114"/>
      <c r="EG113" s="114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4"/>
      <c r="ES113" s="114"/>
      <c r="ET113" s="114"/>
      <c r="EU113" s="114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4"/>
      <c r="FG113" s="114"/>
      <c r="FH113" s="114"/>
      <c r="FI113" s="114"/>
      <c r="FJ113" s="114"/>
      <c r="FK113" s="114"/>
      <c r="FL113" s="114"/>
      <c r="FM113" s="114"/>
      <c r="FN113" s="114"/>
      <c r="FO113" s="114"/>
      <c r="FP113" s="114"/>
      <c r="FQ113" s="114"/>
      <c r="FR113" s="114"/>
      <c r="FS113" s="114"/>
      <c r="FT113" s="114"/>
      <c r="FU113" s="114"/>
      <c r="FV113" s="114"/>
      <c r="FW113" s="114"/>
      <c r="FX113" s="114"/>
      <c r="FY113" s="114"/>
      <c r="FZ113" s="114"/>
      <c r="GA113" s="114"/>
      <c r="GB113" s="114"/>
      <c r="GC113" s="114"/>
      <c r="GD113" s="114"/>
      <c r="GE113" s="114"/>
      <c r="GF113" s="114"/>
      <c r="GG113" s="114"/>
      <c r="GH113" s="114"/>
      <c r="GI113" s="114"/>
      <c r="GJ113" s="114"/>
      <c r="GK113" s="114"/>
      <c r="GL113" s="114"/>
      <c r="GM113" s="114"/>
      <c r="GN113" s="114"/>
      <c r="GO113" s="114"/>
      <c r="GP113" s="114"/>
      <c r="GQ113" s="114"/>
      <c r="GR113" s="114"/>
      <c r="GS113" s="114"/>
      <c r="GT113" s="114"/>
      <c r="GU113" s="114"/>
      <c r="GV113" s="114"/>
      <c r="GW113" s="114"/>
      <c r="GX113" s="114"/>
      <c r="GY113" s="114"/>
      <c r="GZ113" s="114"/>
      <c r="HA113" s="114"/>
      <c r="HB113" s="114"/>
      <c r="HC113" s="114"/>
      <c r="HD113" s="114"/>
      <c r="HE113" s="114"/>
      <c r="HF113" s="114"/>
      <c r="HG113" s="114"/>
      <c r="HH113" s="114"/>
      <c r="HI113" s="114"/>
      <c r="HJ113" s="114"/>
      <c r="HK113" s="114"/>
      <c r="HL113" s="114"/>
      <c r="HM113" s="114"/>
      <c r="HN113" s="114"/>
      <c r="HO113" s="114"/>
      <c r="HP113" s="114"/>
      <c r="HQ113" s="114"/>
      <c r="HR113" s="114"/>
      <c r="HS113" s="114"/>
      <c r="HT113" s="114"/>
      <c r="HU113" s="114"/>
      <c r="HV113" s="114"/>
      <c r="HW113" s="114"/>
      <c r="HX113" s="114"/>
      <c r="HY113" s="114"/>
      <c r="HZ113" s="114"/>
      <c r="IA113" s="114"/>
      <c r="IB113" s="114"/>
      <c r="IC113" s="114"/>
      <c r="ID113" s="114"/>
      <c r="IE113" s="114"/>
      <c r="IF113" s="114"/>
      <c r="IG113" s="114"/>
      <c r="IH113" s="114"/>
      <c r="II113" s="114"/>
      <c r="IJ113" s="114"/>
      <c r="IK113" s="114"/>
      <c r="IL113" s="114"/>
      <c r="IM113" s="114"/>
      <c r="IN113" s="114"/>
      <c r="IO113" s="114"/>
      <c r="IP113" s="114"/>
      <c r="IQ113" s="114"/>
      <c r="IR113" s="114"/>
      <c r="IS113" s="114"/>
      <c r="IT113" s="114"/>
      <c r="IU113" s="114"/>
      <c r="IV113" s="114"/>
      <c r="IW113" s="114"/>
    </row>
    <row r="114" customFormat="false" ht="11.25" hidden="false" customHeight="false" outlineLevel="0" collapsed="false">
      <c r="A114" s="114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  <c r="AE114" s="114"/>
      <c r="AF114" s="114"/>
      <c r="AG114" s="114"/>
      <c r="AH114" s="114"/>
      <c r="AI114" s="114"/>
      <c r="AJ114" s="114"/>
      <c r="AK114" s="114"/>
      <c r="AL114" s="114"/>
      <c r="AM114" s="114"/>
      <c r="AN114" s="114"/>
      <c r="AO114" s="114"/>
      <c r="AP114" s="114"/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  <c r="BI114" s="114"/>
      <c r="BJ114" s="114"/>
      <c r="BK114" s="114"/>
      <c r="BL114" s="114"/>
      <c r="BM114" s="114"/>
      <c r="BN114" s="114"/>
      <c r="BO114" s="114"/>
      <c r="BP114" s="114"/>
      <c r="BQ114" s="114"/>
      <c r="BR114" s="114"/>
      <c r="BS114" s="114"/>
      <c r="BT114" s="114"/>
      <c r="BU114" s="114"/>
      <c r="BV114" s="114"/>
      <c r="BW114" s="114"/>
      <c r="BX114" s="114"/>
      <c r="BY114" s="114"/>
      <c r="BZ114" s="114"/>
      <c r="CA114" s="114"/>
      <c r="CB114" s="114"/>
      <c r="CC114" s="114"/>
      <c r="CD114" s="114"/>
      <c r="CE114" s="114"/>
      <c r="CF114" s="114"/>
      <c r="CG114" s="114"/>
      <c r="CH114" s="114"/>
      <c r="CI114" s="114"/>
      <c r="CJ114" s="114"/>
      <c r="CK114" s="114"/>
      <c r="CL114" s="114"/>
      <c r="CM114" s="114"/>
      <c r="CN114" s="114"/>
      <c r="CO114" s="114"/>
      <c r="CP114" s="114"/>
      <c r="CQ114" s="114"/>
      <c r="CR114" s="114"/>
      <c r="CS114" s="114"/>
      <c r="CT114" s="114"/>
      <c r="CU114" s="114"/>
      <c r="CV114" s="114"/>
      <c r="CW114" s="114"/>
      <c r="CX114" s="114"/>
      <c r="CY114" s="114"/>
      <c r="CZ114" s="114"/>
      <c r="DA114" s="114"/>
      <c r="DB114" s="114"/>
      <c r="DC114" s="114"/>
      <c r="DD114" s="114"/>
      <c r="DE114" s="114"/>
      <c r="DF114" s="114"/>
      <c r="DG114" s="114"/>
      <c r="DH114" s="114"/>
      <c r="DI114" s="114"/>
      <c r="DJ114" s="114"/>
      <c r="DK114" s="114"/>
      <c r="DL114" s="114"/>
      <c r="DM114" s="114"/>
      <c r="DN114" s="114"/>
      <c r="DO114" s="114"/>
      <c r="DP114" s="114"/>
      <c r="DQ114" s="114"/>
      <c r="DR114" s="114"/>
      <c r="DS114" s="114"/>
      <c r="DT114" s="114"/>
      <c r="DU114" s="114"/>
      <c r="DV114" s="114"/>
      <c r="DW114" s="114"/>
      <c r="DX114" s="114"/>
      <c r="DY114" s="114"/>
      <c r="DZ114" s="114"/>
      <c r="EA114" s="114"/>
      <c r="EB114" s="114"/>
      <c r="EC114" s="114"/>
      <c r="ED114" s="114"/>
      <c r="EE114" s="114"/>
      <c r="EF114" s="114"/>
      <c r="EG114" s="114"/>
      <c r="EH114" s="114"/>
      <c r="EI114" s="114"/>
      <c r="EJ114" s="114"/>
      <c r="EK114" s="114"/>
      <c r="EL114" s="114"/>
      <c r="EM114" s="114"/>
      <c r="EN114" s="114"/>
      <c r="EO114" s="114"/>
      <c r="EP114" s="114"/>
      <c r="EQ114" s="114"/>
      <c r="ER114" s="114"/>
      <c r="ES114" s="114"/>
      <c r="ET114" s="114"/>
      <c r="EU114" s="114"/>
      <c r="EV114" s="114"/>
      <c r="EW114" s="114"/>
      <c r="EX114" s="114"/>
      <c r="EY114" s="114"/>
      <c r="EZ114" s="114"/>
      <c r="FA114" s="114"/>
      <c r="FB114" s="114"/>
      <c r="FC114" s="114"/>
      <c r="FD114" s="114"/>
      <c r="FE114" s="114"/>
      <c r="FF114" s="114"/>
      <c r="FG114" s="114"/>
      <c r="FH114" s="114"/>
      <c r="FI114" s="114"/>
      <c r="FJ114" s="114"/>
      <c r="FK114" s="114"/>
      <c r="FL114" s="114"/>
      <c r="FM114" s="114"/>
      <c r="FN114" s="114"/>
      <c r="FO114" s="114"/>
      <c r="FP114" s="114"/>
      <c r="FQ114" s="114"/>
      <c r="FR114" s="114"/>
      <c r="FS114" s="114"/>
      <c r="FT114" s="114"/>
      <c r="FU114" s="114"/>
      <c r="FV114" s="114"/>
      <c r="FW114" s="114"/>
      <c r="FX114" s="114"/>
      <c r="FY114" s="114"/>
      <c r="FZ114" s="114"/>
      <c r="GA114" s="114"/>
      <c r="GB114" s="114"/>
      <c r="GC114" s="114"/>
      <c r="GD114" s="114"/>
      <c r="GE114" s="114"/>
      <c r="GF114" s="114"/>
      <c r="GG114" s="114"/>
      <c r="GH114" s="114"/>
      <c r="GI114" s="114"/>
      <c r="GJ114" s="114"/>
      <c r="GK114" s="114"/>
      <c r="GL114" s="114"/>
      <c r="GM114" s="114"/>
      <c r="GN114" s="114"/>
      <c r="GO114" s="114"/>
      <c r="GP114" s="114"/>
      <c r="GQ114" s="114"/>
      <c r="GR114" s="114"/>
      <c r="GS114" s="114"/>
      <c r="GT114" s="114"/>
      <c r="GU114" s="114"/>
      <c r="GV114" s="114"/>
      <c r="GW114" s="114"/>
      <c r="GX114" s="114"/>
      <c r="GY114" s="114"/>
      <c r="GZ114" s="114"/>
      <c r="HA114" s="114"/>
      <c r="HB114" s="114"/>
      <c r="HC114" s="114"/>
      <c r="HD114" s="114"/>
      <c r="HE114" s="114"/>
      <c r="HF114" s="114"/>
      <c r="HG114" s="114"/>
      <c r="HH114" s="114"/>
      <c r="HI114" s="114"/>
      <c r="HJ114" s="114"/>
      <c r="HK114" s="114"/>
      <c r="HL114" s="114"/>
      <c r="HM114" s="114"/>
      <c r="HN114" s="114"/>
      <c r="HO114" s="114"/>
      <c r="HP114" s="114"/>
      <c r="HQ114" s="114"/>
      <c r="HR114" s="114"/>
      <c r="HS114" s="114"/>
      <c r="HT114" s="114"/>
      <c r="HU114" s="114"/>
      <c r="HV114" s="114"/>
      <c r="HW114" s="114"/>
      <c r="HX114" s="114"/>
      <c r="HY114" s="114"/>
      <c r="HZ114" s="114"/>
      <c r="IA114" s="114"/>
      <c r="IB114" s="114"/>
      <c r="IC114" s="114"/>
      <c r="ID114" s="114"/>
      <c r="IE114" s="114"/>
      <c r="IF114" s="114"/>
      <c r="IG114" s="114"/>
      <c r="IH114" s="114"/>
      <c r="II114" s="114"/>
      <c r="IJ114" s="114"/>
      <c r="IK114" s="114"/>
      <c r="IL114" s="114"/>
      <c r="IM114" s="114"/>
      <c r="IN114" s="114"/>
      <c r="IO114" s="114"/>
      <c r="IP114" s="114"/>
      <c r="IQ114" s="114"/>
      <c r="IR114" s="114"/>
      <c r="IS114" s="114"/>
      <c r="IT114" s="114"/>
      <c r="IU114" s="114"/>
      <c r="IV114" s="114"/>
      <c r="IW114" s="114"/>
    </row>
    <row r="115" customFormat="false" ht="11.25" hidden="false" customHeight="false" outlineLevel="0" collapsed="false">
      <c r="A115" s="114"/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114"/>
      <c r="AH115" s="114"/>
      <c r="AI115" s="114"/>
      <c r="AJ115" s="114"/>
      <c r="AK115" s="114"/>
      <c r="AL115" s="114"/>
      <c r="AM115" s="114"/>
      <c r="AN115" s="114"/>
      <c r="AO115" s="114"/>
      <c r="AP115" s="114"/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  <c r="BI115" s="114"/>
      <c r="BJ115" s="114"/>
      <c r="BK115" s="114"/>
      <c r="BL115" s="114"/>
      <c r="BM115" s="114"/>
      <c r="BN115" s="114"/>
      <c r="BO115" s="114"/>
      <c r="BP115" s="114"/>
      <c r="BQ115" s="114"/>
      <c r="BR115" s="114"/>
      <c r="BS115" s="114"/>
      <c r="BT115" s="114"/>
      <c r="BU115" s="114"/>
      <c r="BV115" s="114"/>
      <c r="BW115" s="114"/>
      <c r="BX115" s="114"/>
      <c r="BY115" s="114"/>
      <c r="BZ115" s="114"/>
      <c r="CA115" s="114"/>
      <c r="CB115" s="114"/>
      <c r="CC115" s="114"/>
      <c r="CD115" s="114"/>
      <c r="CE115" s="114"/>
      <c r="CF115" s="114"/>
      <c r="CG115" s="114"/>
      <c r="CH115" s="114"/>
      <c r="CI115" s="114"/>
      <c r="CJ115" s="114"/>
      <c r="CK115" s="114"/>
      <c r="CL115" s="114"/>
      <c r="CM115" s="114"/>
      <c r="CN115" s="114"/>
      <c r="CO115" s="114"/>
      <c r="CP115" s="114"/>
      <c r="CQ115" s="114"/>
      <c r="CR115" s="114"/>
      <c r="CS115" s="114"/>
      <c r="CT115" s="114"/>
      <c r="CU115" s="114"/>
      <c r="CV115" s="114"/>
      <c r="CW115" s="114"/>
      <c r="CX115" s="114"/>
      <c r="CY115" s="114"/>
      <c r="CZ115" s="114"/>
      <c r="DA115" s="114"/>
      <c r="DB115" s="114"/>
      <c r="DC115" s="114"/>
      <c r="DD115" s="114"/>
      <c r="DE115" s="114"/>
      <c r="DF115" s="114"/>
      <c r="DG115" s="114"/>
      <c r="DH115" s="114"/>
      <c r="DI115" s="114"/>
      <c r="DJ115" s="114"/>
      <c r="DK115" s="114"/>
      <c r="DL115" s="114"/>
      <c r="DM115" s="114"/>
      <c r="DN115" s="114"/>
      <c r="DO115" s="114"/>
      <c r="DP115" s="114"/>
      <c r="DQ115" s="114"/>
      <c r="DR115" s="114"/>
      <c r="DS115" s="114"/>
      <c r="DT115" s="114"/>
      <c r="DU115" s="114"/>
      <c r="DV115" s="114"/>
      <c r="DW115" s="114"/>
      <c r="DX115" s="114"/>
      <c r="DY115" s="114"/>
      <c r="DZ115" s="114"/>
      <c r="EA115" s="114"/>
      <c r="EB115" s="114"/>
      <c r="EC115" s="114"/>
      <c r="ED115" s="114"/>
      <c r="EE115" s="114"/>
      <c r="EF115" s="114"/>
      <c r="EG115" s="114"/>
      <c r="EH115" s="114"/>
      <c r="EI115" s="114"/>
      <c r="EJ115" s="114"/>
      <c r="EK115" s="114"/>
      <c r="EL115" s="114"/>
      <c r="EM115" s="114"/>
      <c r="EN115" s="114"/>
      <c r="EO115" s="114"/>
      <c r="EP115" s="114"/>
      <c r="EQ115" s="114"/>
      <c r="ER115" s="114"/>
      <c r="ES115" s="114"/>
      <c r="ET115" s="114"/>
      <c r="EU115" s="114"/>
      <c r="EV115" s="114"/>
      <c r="EW115" s="114"/>
      <c r="EX115" s="114"/>
      <c r="EY115" s="114"/>
      <c r="EZ115" s="114"/>
      <c r="FA115" s="114"/>
      <c r="FB115" s="114"/>
      <c r="FC115" s="114"/>
      <c r="FD115" s="114"/>
      <c r="FE115" s="114"/>
      <c r="FF115" s="114"/>
      <c r="FG115" s="114"/>
      <c r="FH115" s="114"/>
      <c r="FI115" s="114"/>
      <c r="FJ115" s="114"/>
      <c r="FK115" s="114"/>
      <c r="FL115" s="114"/>
      <c r="FM115" s="114"/>
      <c r="FN115" s="114"/>
      <c r="FO115" s="114"/>
      <c r="FP115" s="114"/>
      <c r="FQ115" s="114"/>
      <c r="FR115" s="114"/>
      <c r="FS115" s="114"/>
      <c r="FT115" s="114"/>
      <c r="FU115" s="114"/>
      <c r="FV115" s="114"/>
      <c r="FW115" s="114"/>
      <c r="FX115" s="114"/>
      <c r="FY115" s="114"/>
      <c r="FZ115" s="114"/>
      <c r="GA115" s="114"/>
      <c r="GB115" s="114"/>
      <c r="GC115" s="114"/>
      <c r="GD115" s="114"/>
      <c r="GE115" s="114"/>
      <c r="GF115" s="114"/>
      <c r="GG115" s="114"/>
      <c r="GH115" s="114"/>
      <c r="GI115" s="114"/>
      <c r="GJ115" s="114"/>
      <c r="GK115" s="114"/>
      <c r="GL115" s="114"/>
      <c r="GM115" s="114"/>
      <c r="GN115" s="114"/>
      <c r="GO115" s="114"/>
      <c r="GP115" s="114"/>
      <c r="GQ115" s="114"/>
      <c r="GR115" s="114"/>
      <c r="GS115" s="114"/>
      <c r="GT115" s="114"/>
      <c r="GU115" s="114"/>
      <c r="GV115" s="114"/>
      <c r="GW115" s="114"/>
      <c r="GX115" s="114"/>
      <c r="GY115" s="114"/>
      <c r="GZ115" s="114"/>
      <c r="HA115" s="114"/>
      <c r="HB115" s="114"/>
      <c r="HC115" s="114"/>
      <c r="HD115" s="114"/>
      <c r="HE115" s="114"/>
      <c r="HF115" s="114"/>
      <c r="HG115" s="114"/>
      <c r="HH115" s="114"/>
      <c r="HI115" s="114"/>
      <c r="HJ115" s="114"/>
      <c r="HK115" s="114"/>
      <c r="HL115" s="114"/>
      <c r="HM115" s="114"/>
      <c r="HN115" s="114"/>
      <c r="HO115" s="114"/>
      <c r="HP115" s="114"/>
      <c r="HQ115" s="114"/>
      <c r="HR115" s="114"/>
      <c r="HS115" s="114"/>
      <c r="HT115" s="114"/>
      <c r="HU115" s="114"/>
      <c r="HV115" s="114"/>
      <c r="HW115" s="114"/>
      <c r="HX115" s="114"/>
      <c r="HY115" s="114"/>
      <c r="HZ115" s="114"/>
      <c r="IA115" s="114"/>
      <c r="IB115" s="114"/>
      <c r="IC115" s="114"/>
      <c r="ID115" s="114"/>
      <c r="IE115" s="114"/>
      <c r="IF115" s="114"/>
      <c r="IG115" s="114"/>
      <c r="IH115" s="114"/>
      <c r="II115" s="114"/>
      <c r="IJ115" s="114"/>
      <c r="IK115" s="114"/>
      <c r="IL115" s="114"/>
      <c r="IM115" s="114"/>
      <c r="IN115" s="114"/>
      <c r="IO115" s="114"/>
      <c r="IP115" s="114"/>
      <c r="IQ115" s="114"/>
      <c r="IR115" s="114"/>
      <c r="IS115" s="114"/>
      <c r="IT115" s="114"/>
      <c r="IU115" s="114"/>
      <c r="IV115" s="114"/>
      <c r="IW115" s="114"/>
    </row>
    <row r="116" customFormat="false" ht="11.25" hidden="false" customHeight="false" outlineLevel="0" collapsed="false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  <c r="AA116" s="114"/>
      <c r="AB116" s="114"/>
      <c r="AC116" s="114"/>
      <c r="AD116" s="114"/>
      <c r="AE116" s="114"/>
      <c r="AF116" s="114"/>
      <c r="AG116" s="114"/>
      <c r="AH116" s="114"/>
      <c r="AI116" s="114"/>
      <c r="AJ116" s="114"/>
      <c r="AK116" s="114"/>
      <c r="AL116" s="114"/>
      <c r="AM116" s="114"/>
      <c r="AN116" s="114"/>
      <c r="AO116" s="114"/>
      <c r="AP116" s="114"/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  <c r="BI116" s="114"/>
      <c r="BJ116" s="114"/>
      <c r="BK116" s="114"/>
      <c r="BL116" s="114"/>
      <c r="BM116" s="114"/>
      <c r="BN116" s="114"/>
      <c r="BO116" s="114"/>
      <c r="BP116" s="114"/>
      <c r="BQ116" s="114"/>
      <c r="BR116" s="114"/>
      <c r="BS116" s="114"/>
      <c r="BT116" s="114"/>
      <c r="BU116" s="114"/>
      <c r="BV116" s="114"/>
      <c r="BW116" s="114"/>
      <c r="BX116" s="114"/>
      <c r="BY116" s="114"/>
      <c r="BZ116" s="114"/>
      <c r="CA116" s="114"/>
      <c r="CB116" s="114"/>
      <c r="CC116" s="114"/>
      <c r="CD116" s="114"/>
      <c r="CE116" s="114"/>
      <c r="CF116" s="114"/>
      <c r="CG116" s="114"/>
      <c r="CH116" s="114"/>
      <c r="CI116" s="114"/>
      <c r="CJ116" s="114"/>
      <c r="CK116" s="114"/>
      <c r="CL116" s="114"/>
      <c r="CM116" s="114"/>
      <c r="CN116" s="114"/>
      <c r="CO116" s="114"/>
      <c r="CP116" s="114"/>
      <c r="CQ116" s="114"/>
      <c r="CR116" s="114"/>
      <c r="CS116" s="114"/>
      <c r="CT116" s="114"/>
      <c r="CU116" s="114"/>
      <c r="CV116" s="114"/>
      <c r="CW116" s="114"/>
      <c r="CX116" s="114"/>
      <c r="CY116" s="114"/>
      <c r="CZ116" s="114"/>
      <c r="DA116" s="114"/>
      <c r="DB116" s="114"/>
      <c r="DC116" s="114"/>
      <c r="DD116" s="114"/>
      <c r="DE116" s="114"/>
      <c r="DF116" s="114"/>
      <c r="DG116" s="114"/>
      <c r="DH116" s="114"/>
      <c r="DI116" s="114"/>
      <c r="DJ116" s="114"/>
      <c r="DK116" s="114"/>
      <c r="DL116" s="114"/>
      <c r="DM116" s="114"/>
      <c r="DN116" s="114"/>
      <c r="DO116" s="114"/>
      <c r="DP116" s="114"/>
      <c r="DQ116" s="114"/>
      <c r="DR116" s="114"/>
      <c r="DS116" s="114"/>
      <c r="DT116" s="114"/>
      <c r="DU116" s="114"/>
      <c r="DV116" s="114"/>
      <c r="DW116" s="114"/>
      <c r="DX116" s="114"/>
      <c r="DY116" s="114"/>
      <c r="DZ116" s="114"/>
      <c r="EA116" s="114"/>
      <c r="EB116" s="114"/>
      <c r="EC116" s="114"/>
      <c r="ED116" s="114"/>
      <c r="EE116" s="114"/>
      <c r="EF116" s="114"/>
      <c r="EG116" s="114"/>
      <c r="EH116" s="114"/>
      <c r="EI116" s="114"/>
      <c r="EJ116" s="114"/>
      <c r="EK116" s="114"/>
      <c r="EL116" s="114"/>
      <c r="EM116" s="114"/>
      <c r="EN116" s="114"/>
      <c r="EO116" s="114"/>
      <c r="EP116" s="114"/>
      <c r="EQ116" s="114"/>
      <c r="ER116" s="114"/>
      <c r="ES116" s="114"/>
      <c r="ET116" s="114"/>
      <c r="EU116" s="114"/>
      <c r="EV116" s="114"/>
      <c r="EW116" s="114"/>
      <c r="EX116" s="114"/>
      <c r="EY116" s="114"/>
      <c r="EZ116" s="114"/>
      <c r="FA116" s="114"/>
      <c r="FB116" s="114"/>
      <c r="FC116" s="114"/>
      <c r="FD116" s="114"/>
      <c r="FE116" s="114"/>
      <c r="FF116" s="114"/>
      <c r="FG116" s="114"/>
      <c r="FH116" s="114"/>
      <c r="FI116" s="114"/>
      <c r="FJ116" s="114"/>
      <c r="FK116" s="114"/>
      <c r="FL116" s="114"/>
      <c r="FM116" s="114"/>
      <c r="FN116" s="114"/>
      <c r="FO116" s="114"/>
      <c r="FP116" s="114"/>
      <c r="FQ116" s="114"/>
      <c r="FR116" s="114"/>
      <c r="FS116" s="114"/>
      <c r="FT116" s="114"/>
      <c r="FU116" s="114"/>
      <c r="FV116" s="114"/>
      <c r="FW116" s="114"/>
      <c r="FX116" s="114"/>
      <c r="FY116" s="114"/>
      <c r="FZ116" s="114"/>
      <c r="GA116" s="114"/>
      <c r="GB116" s="114"/>
      <c r="GC116" s="114"/>
      <c r="GD116" s="114"/>
      <c r="GE116" s="114"/>
      <c r="GF116" s="114"/>
      <c r="GG116" s="114"/>
      <c r="GH116" s="114"/>
      <c r="GI116" s="114"/>
      <c r="GJ116" s="114"/>
      <c r="GK116" s="114"/>
      <c r="GL116" s="114"/>
      <c r="GM116" s="114"/>
      <c r="GN116" s="114"/>
      <c r="GO116" s="114"/>
      <c r="GP116" s="114"/>
      <c r="GQ116" s="114"/>
      <c r="GR116" s="114"/>
      <c r="GS116" s="114"/>
      <c r="GT116" s="114"/>
      <c r="GU116" s="114"/>
      <c r="GV116" s="114"/>
      <c r="GW116" s="114"/>
      <c r="GX116" s="114"/>
      <c r="GY116" s="114"/>
      <c r="GZ116" s="114"/>
      <c r="HA116" s="114"/>
      <c r="HB116" s="114"/>
      <c r="HC116" s="114"/>
      <c r="HD116" s="114"/>
      <c r="HE116" s="114"/>
      <c r="HF116" s="114"/>
      <c r="HG116" s="114"/>
      <c r="HH116" s="114"/>
      <c r="HI116" s="114"/>
      <c r="HJ116" s="114"/>
      <c r="HK116" s="114"/>
      <c r="HL116" s="114"/>
      <c r="HM116" s="114"/>
      <c r="HN116" s="114"/>
      <c r="HO116" s="114"/>
      <c r="HP116" s="114"/>
      <c r="HQ116" s="114"/>
      <c r="HR116" s="114"/>
      <c r="HS116" s="114"/>
      <c r="HT116" s="114"/>
      <c r="HU116" s="114"/>
      <c r="HV116" s="114"/>
      <c r="HW116" s="114"/>
      <c r="HX116" s="114"/>
      <c r="HY116" s="114"/>
      <c r="HZ116" s="114"/>
      <c r="IA116" s="114"/>
      <c r="IB116" s="114"/>
      <c r="IC116" s="114"/>
      <c r="ID116" s="114"/>
      <c r="IE116" s="114"/>
      <c r="IF116" s="114"/>
      <c r="IG116" s="114"/>
      <c r="IH116" s="114"/>
      <c r="II116" s="114"/>
      <c r="IJ116" s="114"/>
      <c r="IK116" s="114"/>
      <c r="IL116" s="114"/>
      <c r="IM116" s="114"/>
      <c r="IN116" s="114"/>
      <c r="IO116" s="114"/>
      <c r="IP116" s="114"/>
      <c r="IQ116" s="114"/>
      <c r="IR116" s="114"/>
      <c r="IS116" s="114"/>
      <c r="IT116" s="114"/>
      <c r="IU116" s="114"/>
      <c r="IV116" s="114"/>
      <c r="IW116" s="114"/>
    </row>
    <row r="117" customFormat="false" ht="11.25" hidden="false" customHeight="false" outlineLevel="0" collapsed="false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P117" s="114"/>
      <c r="Q117" s="114"/>
      <c r="R117" s="114"/>
      <c r="S117" s="114"/>
      <c r="T117" s="114"/>
      <c r="U117" s="114"/>
      <c r="V117" s="114"/>
      <c r="W117" s="114"/>
      <c r="X117" s="114"/>
      <c r="Y117" s="114"/>
      <c r="Z117" s="114"/>
      <c r="AA117" s="114"/>
      <c r="AB117" s="114"/>
      <c r="AC117" s="114"/>
      <c r="AD117" s="114"/>
      <c r="AE117" s="114"/>
      <c r="AF117" s="114"/>
      <c r="AG117" s="114"/>
      <c r="AH117" s="114"/>
      <c r="AI117" s="114"/>
      <c r="AJ117" s="114"/>
      <c r="AK117" s="114"/>
      <c r="AL117" s="114"/>
      <c r="AM117" s="114"/>
      <c r="AN117" s="114"/>
      <c r="AO117" s="114"/>
      <c r="AP117" s="114"/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  <c r="BI117" s="114"/>
      <c r="BJ117" s="114"/>
      <c r="BK117" s="114"/>
      <c r="BL117" s="114"/>
      <c r="BM117" s="114"/>
      <c r="BN117" s="114"/>
      <c r="BO117" s="114"/>
      <c r="BP117" s="114"/>
      <c r="BQ117" s="114"/>
      <c r="BR117" s="114"/>
      <c r="BS117" s="114"/>
      <c r="BT117" s="114"/>
      <c r="BU117" s="114"/>
      <c r="BV117" s="114"/>
      <c r="BW117" s="114"/>
      <c r="BX117" s="114"/>
      <c r="BY117" s="114"/>
      <c r="BZ117" s="114"/>
      <c r="CA117" s="114"/>
      <c r="CB117" s="114"/>
      <c r="CC117" s="114"/>
      <c r="CD117" s="114"/>
      <c r="CE117" s="114"/>
      <c r="CF117" s="114"/>
      <c r="CG117" s="114"/>
      <c r="CH117" s="114"/>
      <c r="CI117" s="114"/>
      <c r="CJ117" s="114"/>
      <c r="CK117" s="114"/>
      <c r="CL117" s="114"/>
      <c r="CM117" s="114"/>
      <c r="CN117" s="114"/>
      <c r="CO117" s="114"/>
      <c r="CP117" s="114"/>
      <c r="CQ117" s="114"/>
      <c r="CR117" s="114"/>
      <c r="CS117" s="114"/>
      <c r="CT117" s="114"/>
      <c r="CU117" s="114"/>
      <c r="CV117" s="114"/>
      <c r="CW117" s="114"/>
      <c r="CX117" s="114"/>
      <c r="CY117" s="114"/>
      <c r="CZ117" s="114"/>
      <c r="DA117" s="114"/>
      <c r="DB117" s="114"/>
      <c r="DC117" s="114"/>
      <c r="DD117" s="114"/>
      <c r="DE117" s="114"/>
      <c r="DF117" s="114"/>
      <c r="DG117" s="114"/>
      <c r="DH117" s="114"/>
      <c r="DI117" s="114"/>
      <c r="DJ117" s="114"/>
      <c r="DK117" s="114"/>
      <c r="DL117" s="114"/>
      <c r="DM117" s="114"/>
      <c r="DN117" s="114"/>
      <c r="DO117" s="114"/>
      <c r="DP117" s="114"/>
      <c r="DQ117" s="114"/>
      <c r="DR117" s="114"/>
      <c r="DS117" s="114"/>
      <c r="DT117" s="114"/>
      <c r="DU117" s="114"/>
      <c r="DV117" s="114"/>
      <c r="DW117" s="114"/>
      <c r="DX117" s="114"/>
      <c r="DY117" s="114"/>
      <c r="DZ117" s="114"/>
      <c r="EA117" s="114"/>
      <c r="EB117" s="114"/>
      <c r="EC117" s="114"/>
      <c r="ED117" s="114"/>
      <c r="EE117" s="114"/>
      <c r="EF117" s="114"/>
      <c r="EG117" s="114"/>
      <c r="EH117" s="114"/>
      <c r="EI117" s="114"/>
      <c r="EJ117" s="114"/>
      <c r="EK117" s="114"/>
      <c r="EL117" s="114"/>
      <c r="EM117" s="114"/>
      <c r="EN117" s="114"/>
      <c r="EO117" s="114"/>
      <c r="EP117" s="114"/>
      <c r="EQ117" s="114"/>
      <c r="ER117" s="114"/>
      <c r="ES117" s="114"/>
      <c r="ET117" s="114"/>
      <c r="EU117" s="114"/>
      <c r="EV117" s="114"/>
      <c r="EW117" s="114"/>
      <c r="EX117" s="114"/>
      <c r="EY117" s="114"/>
      <c r="EZ117" s="114"/>
      <c r="FA117" s="114"/>
      <c r="FB117" s="114"/>
      <c r="FC117" s="114"/>
      <c r="FD117" s="114"/>
      <c r="FE117" s="114"/>
      <c r="FF117" s="114"/>
      <c r="FG117" s="114"/>
      <c r="FH117" s="114"/>
      <c r="FI117" s="114"/>
      <c r="FJ117" s="114"/>
      <c r="FK117" s="114"/>
      <c r="FL117" s="114"/>
      <c r="FM117" s="114"/>
      <c r="FN117" s="114"/>
      <c r="FO117" s="114"/>
      <c r="FP117" s="114"/>
      <c r="FQ117" s="114"/>
      <c r="FR117" s="114"/>
      <c r="FS117" s="114"/>
      <c r="FT117" s="114"/>
      <c r="FU117" s="114"/>
      <c r="FV117" s="114"/>
      <c r="FW117" s="114"/>
      <c r="FX117" s="114"/>
      <c r="FY117" s="114"/>
      <c r="FZ117" s="114"/>
      <c r="GA117" s="114"/>
      <c r="GB117" s="114"/>
      <c r="GC117" s="114"/>
      <c r="GD117" s="114"/>
      <c r="GE117" s="114"/>
      <c r="GF117" s="114"/>
      <c r="GG117" s="114"/>
      <c r="GH117" s="114"/>
      <c r="GI117" s="114"/>
      <c r="GJ117" s="114"/>
      <c r="GK117" s="114"/>
      <c r="GL117" s="114"/>
      <c r="GM117" s="114"/>
      <c r="GN117" s="114"/>
      <c r="GO117" s="114"/>
      <c r="GP117" s="114"/>
      <c r="GQ117" s="114"/>
      <c r="GR117" s="114"/>
      <c r="GS117" s="114"/>
      <c r="GT117" s="114"/>
      <c r="GU117" s="114"/>
      <c r="GV117" s="114"/>
      <c r="GW117" s="114"/>
      <c r="GX117" s="114"/>
      <c r="GY117" s="114"/>
      <c r="GZ117" s="114"/>
      <c r="HA117" s="114"/>
      <c r="HB117" s="114"/>
      <c r="HC117" s="114"/>
      <c r="HD117" s="114"/>
      <c r="HE117" s="114"/>
      <c r="HF117" s="114"/>
      <c r="HG117" s="114"/>
      <c r="HH117" s="114"/>
      <c r="HI117" s="114"/>
      <c r="HJ117" s="114"/>
      <c r="HK117" s="114"/>
      <c r="HL117" s="114"/>
      <c r="HM117" s="114"/>
      <c r="HN117" s="114"/>
      <c r="HO117" s="114"/>
      <c r="HP117" s="114"/>
      <c r="HQ117" s="114"/>
      <c r="HR117" s="114"/>
      <c r="HS117" s="114"/>
      <c r="HT117" s="114"/>
      <c r="HU117" s="114"/>
      <c r="HV117" s="114"/>
      <c r="HW117" s="114"/>
      <c r="HX117" s="114"/>
      <c r="HY117" s="114"/>
      <c r="HZ117" s="114"/>
      <c r="IA117" s="114"/>
      <c r="IB117" s="114"/>
      <c r="IC117" s="114"/>
      <c r="ID117" s="114"/>
      <c r="IE117" s="114"/>
      <c r="IF117" s="114"/>
      <c r="IG117" s="114"/>
      <c r="IH117" s="114"/>
      <c r="II117" s="114"/>
      <c r="IJ117" s="114"/>
      <c r="IK117" s="114"/>
      <c r="IL117" s="114"/>
      <c r="IM117" s="114"/>
      <c r="IN117" s="114"/>
      <c r="IO117" s="114"/>
      <c r="IP117" s="114"/>
      <c r="IQ117" s="114"/>
      <c r="IR117" s="114"/>
      <c r="IS117" s="114"/>
      <c r="IT117" s="114"/>
      <c r="IU117" s="114"/>
      <c r="IV117" s="114"/>
      <c r="IW117" s="114"/>
    </row>
    <row r="118" customFormat="false" ht="11.25" hidden="false" customHeight="false" outlineLevel="0" collapsed="false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4"/>
      <c r="N118" s="114"/>
      <c r="O118" s="114"/>
      <c r="P118" s="114"/>
      <c r="Q118" s="114"/>
      <c r="R118" s="114"/>
      <c r="S118" s="114"/>
      <c r="T118" s="114"/>
      <c r="U118" s="114"/>
      <c r="V118" s="114"/>
      <c r="W118" s="114"/>
      <c r="X118" s="114"/>
      <c r="Y118" s="114"/>
      <c r="Z118" s="114"/>
      <c r="AA118" s="114"/>
      <c r="AB118" s="114"/>
      <c r="AC118" s="114"/>
      <c r="AD118" s="114"/>
      <c r="AE118" s="114"/>
      <c r="AF118" s="114"/>
      <c r="AG118" s="114"/>
      <c r="AH118" s="114"/>
      <c r="AI118" s="114"/>
      <c r="AJ118" s="114"/>
      <c r="AK118" s="114"/>
      <c r="AL118" s="114"/>
      <c r="AM118" s="114"/>
      <c r="AN118" s="114"/>
      <c r="AO118" s="114"/>
      <c r="AP118" s="114"/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  <c r="BI118" s="114"/>
      <c r="BJ118" s="114"/>
      <c r="BK118" s="114"/>
      <c r="BL118" s="114"/>
      <c r="BM118" s="114"/>
      <c r="BN118" s="114"/>
      <c r="BO118" s="114"/>
      <c r="BP118" s="114"/>
      <c r="BQ118" s="114"/>
      <c r="BR118" s="114"/>
      <c r="BS118" s="114"/>
      <c r="BT118" s="114"/>
      <c r="BU118" s="114"/>
      <c r="BV118" s="114"/>
      <c r="BW118" s="114"/>
      <c r="BX118" s="114"/>
      <c r="BY118" s="114"/>
      <c r="BZ118" s="114"/>
      <c r="CA118" s="114"/>
      <c r="CB118" s="114"/>
      <c r="CC118" s="114"/>
      <c r="CD118" s="114"/>
      <c r="CE118" s="114"/>
      <c r="CF118" s="114"/>
      <c r="CG118" s="114"/>
      <c r="CH118" s="114"/>
      <c r="CI118" s="114"/>
      <c r="CJ118" s="114"/>
      <c r="CK118" s="114"/>
      <c r="CL118" s="114"/>
      <c r="CM118" s="114"/>
      <c r="CN118" s="114"/>
      <c r="CO118" s="114"/>
      <c r="CP118" s="114"/>
      <c r="CQ118" s="114"/>
      <c r="CR118" s="114"/>
      <c r="CS118" s="114"/>
      <c r="CT118" s="114"/>
      <c r="CU118" s="114"/>
      <c r="CV118" s="114"/>
      <c r="CW118" s="114"/>
      <c r="CX118" s="114"/>
      <c r="CY118" s="114"/>
      <c r="CZ118" s="114"/>
      <c r="DA118" s="114"/>
      <c r="DB118" s="114"/>
      <c r="DC118" s="114"/>
      <c r="DD118" s="114"/>
      <c r="DE118" s="114"/>
      <c r="DF118" s="114"/>
      <c r="DG118" s="114"/>
      <c r="DH118" s="114"/>
      <c r="DI118" s="114"/>
      <c r="DJ118" s="114"/>
      <c r="DK118" s="114"/>
      <c r="DL118" s="114"/>
      <c r="DM118" s="114"/>
      <c r="DN118" s="114"/>
      <c r="DO118" s="114"/>
      <c r="DP118" s="114"/>
      <c r="DQ118" s="114"/>
      <c r="DR118" s="114"/>
      <c r="DS118" s="114"/>
      <c r="DT118" s="114"/>
      <c r="DU118" s="114"/>
      <c r="DV118" s="114"/>
      <c r="DW118" s="114"/>
      <c r="DX118" s="114"/>
      <c r="DY118" s="114"/>
      <c r="DZ118" s="114"/>
      <c r="EA118" s="114"/>
      <c r="EB118" s="114"/>
      <c r="EC118" s="114"/>
      <c r="ED118" s="114"/>
      <c r="EE118" s="114"/>
      <c r="EF118" s="114"/>
      <c r="EG118" s="114"/>
      <c r="EH118" s="114"/>
      <c r="EI118" s="114"/>
      <c r="EJ118" s="114"/>
      <c r="EK118" s="114"/>
      <c r="EL118" s="114"/>
      <c r="EM118" s="114"/>
      <c r="EN118" s="114"/>
      <c r="EO118" s="114"/>
      <c r="EP118" s="114"/>
      <c r="EQ118" s="114"/>
      <c r="ER118" s="114"/>
      <c r="ES118" s="114"/>
      <c r="ET118" s="114"/>
      <c r="EU118" s="114"/>
      <c r="EV118" s="114"/>
      <c r="EW118" s="114"/>
      <c r="EX118" s="114"/>
      <c r="EY118" s="114"/>
      <c r="EZ118" s="114"/>
      <c r="FA118" s="114"/>
      <c r="FB118" s="114"/>
      <c r="FC118" s="114"/>
      <c r="FD118" s="114"/>
      <c r="FE118" s="114"/>
      <c r="FF118" s="114"/>
      <c r="FG118" s="114"/>
      <c r="FH118" s="114"/>
      <c r="FI118" s="114"/>
      <c r="FJ118" s="114"/>
      <c r="FK118" s="114"/>
      <c r="FL118" s="114"/>
      <c r="FM118" s="114"/>
      <c r="FN118" s="114"/>
      <c r="FO118" s="114"/>
      <c r="FP118" s="114"/>
      <c r="FQ118" s="114"/>
      <c r="FR118" s="114"/>
      <c r="FS118" s="114"/>
      <c r="FT118" s="114"/>
      <c r="FU118" s="114"/>
      <c r="FV118" s="114"/>
      <c r="FW118" s="114"/>
      <c r="FX118" s="114"/>
      <c r="FY118" s="114"/>
      <c r="FZ118" s="114"/>
      <c r="GA118" s="114"/>
      <c r="GB118" s="114"/>
      <c r="GC118" s="114"/>
      <c r="GD118" s="114"/>
      <c r="GE118" s="114"/>
      <c r="GF118" s="114"/>
      <c r="GG118" s="114"/>
      <c r="GH118" s="114"/>
      <c r="GI118" s="114"/>
      <c r="GJ118" s="114"/>
      <c r="GK118" s="114"/>
      <c r="GL118" s="114"/>
      <c r="GM118" s="114"/>
      <c r="GN118" s="114"/>
      <c r="GO118" s="114"/>
      <c r="GP118" s="114"/>
      <c r="GQ118" s="114"/>
      <c r="GR118" s="114"/>
      <c r="GS118" s="114"/>
      <c r="GT118" s="114"/>
      <c r="GU118" s="114"/>
      <c r="GV118" s="114"/>
      <c r="GW118" s="114"/>
      <c r="GX118" s="114"/>
      <c r="GY118" s="114"/>
      <c r="GZ118" s="114"/>
      <c r="HA118" s="114"/>
      <c r="HB118" s="114"/>
      <c r="HC118" s="114"/>
      <c r="HD118" s="114"/>
      <c r="HE118" s="114"/>
      <c r="HF118" s="114"/>
      <c r="HG118" s="114"/>
      <c r="HH118" s="114"/>
      <c r="HI118" s="114"/>
      <c r="HJ118" s="114"/>
      <c r="HK118" s="114"/>
      <c r="HL118" s="114"/>
      <c r="HM118" s="114"/>
      <c r="HN118" s="114"/>
      <c r="HO118" s="114"/>
      <c r="HP118" s="114"/>
      <c r="HQ118" s="114"/>
      <c r="HR118" s="114"/>
      <c r="HS118" s="114"/>
      <c r="HT118" s="114"/>
      <c r="HU118" s="114"/>
      <c r="HV118" s="114"/>
      <c r="HW118" s="114"/>
      <c r="HX118" s="114"/>
      <c r="HY118" s="114"/>
      <c r="HZ118" s="114"/>
      <c r="IA118" s="114"/>
      <c r="IB118" s="114"/>
      <c r="IC118" s="114"/>
      <c r="ID118" s="114"/>
      <c r="IE118" s="114"/>
      <c r="IF118" s="114"/>
      <c r="IG118" s="114"/>
      <c r="IH118" s="114"/>
      <c r="II118" s="114"/>
      <c r="IJ118" s="114"/>
      <c r="IK118" s="114"/>
      <c r="IL118" s="114"/>
      <c r="IM118" s="114"/>
      <c r="IN118" s="114"/>
      <c r="IO118" s="114"/>
      <c r="IP118" s="114"/>
      <c r="IQ118" s="114"/>
      <c r="IR118" s="114"/>
      <c r="IS118" s="114"/>
      <c r="IT118" s="114"/>
      <c r="IU118" s="114"/>
      <c r="IV118" s="114"/>
      <c r="IW118" s="114"/>
    </row>
    <row r="119" customFormat="false" ht="11.25" hidden="false" customHeight="false" outlineLevel="0" collapsed="false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P119" s="114"/>
      <c r="Q119" s="114"/>
      <c r="R119" s="114"/>
      <c r="S119" s="114"/>
      <c r="T119" s="114"/>
      <c r="U119" s="114"/>
      <c r="V119" s="114"/>
      <c r="W119" s="114"/>
      <c r="X119" s="114"/>
      <c r="Y119" s="114"/>
      <c r="Z119" s="114"/>
      <c r="AA119" s="114"/>
      <c r="AB119" s="114"/>
      <c r="AC119" s="114"/>
      <c r="AD119" s="114"/>
      <c r="AE119" s="114"/>
      <c r="AF119" s="114"/>
      <c r="AG119" s="114"/>
      <c r="AH119" s="114"/>
      <c r="AI119" s="114"/>
      <c r="AJ119" s="114"/>
      <c r="AK119" s="114"/>
      <c r="AL119" s="114"/>
      <c r="AM119" s="114"/>
      <c r="AN119" s="114"/>
      <c r="AO119" s="114"/>
      <c r="AP119" s="114"/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  <c r="BI119" s="114"/>
      <c r="BJ119" s="114"/>
      <c r="BK119" s="114"/>
      <c r="BL119" s="114"/>
      <c r="BM119" s="114"/>
      <c r="BN119" s="114"/>
      <c r="BO119" s="114"/>
      <c r="BP119" s="114"/>
      <c r="BQ119" s="114"/>
      <c r="BR119" s="114"/>
      <c r="BS119" s="114"/>
      <c r="BT119" s="114"/>
      <c r="BU119" s="114"/>
      <c r="BV119" s="114"/>
      <c r="BW119" s="114"/>
      <c r="BX119" s="114"/>
      <c r="BY119" s="114"/>
      <c r="BZ119" s="114"/>
      <c r="CA119" s="114"/>
      <c r="CB119" s="114"/>
      <c r="CC119" s="114"/>
      <c r="CD119" s="114"/>
      <c r="CE119" s="114"/>
      <c r="CF119" s="114"/>
      <c r="CG119" s="114"/>
      <c r="CH119" s="114"/>
      <c r="CI119" s="114"/>
      <c r="CJ119" s="114"/>
      <c r="CK119" s="114"/>
      <c r="CL119" s="114"/>
      <c r="CM119" s="114"/>
      <c r="CN119" s="114"/>
      <c r="CO119" s="114"/>
      <c r="CP119" s="114"/>
      <c r="CQ119" s="114"/>
      <c r="CR119" s="114"/>
      <c r="CS119" s="114"/>
      <c r="CT119" s="114"/>
      <c r="CU119" s="114"/>
      <c r="CV119" s="114"/>
      <c r="CW119" s="114"/>
      <c r="CX119" s="114"/>
      <c r="CY119" s="114"/>
      <c r="CZ119" s="114"/>
      <c r="DA119" s="114"/>
      <c r="DB119" s="114"/>
      <c r="DC119" s="114"/>
      <c r="DD119" s="114"/>
      <c r="DE119" s="114"/>
      <c r="DF119" s="114"/>
      <c r="DG119" s="114"/>
      <c r="DH119" s="114"/>
      <c r="DI119" s="114"/>
      <c r="DJ119" s="114"/>
      <c r="DK119" s="114"/>
      <c r="DL119" s="114"/>
      <c r="DM119" s="114"/>
      <c r="DN119" s="114"/>
      <c r="DO119" s="114"/>
      <c r="DP119" s="114"/>
      <c r="DQ119" s="114"/>
      <c r="DR119" s="114"/>
      <c r="DS119" s="114"/>
      <c r="DT119" s="114"/>
      <c r="DU119" s="114"/>
      <c r="DV119" s="114"/>
      <c r="DW119" s="114"/>
      <c r="DX119" s="114"/>
      <c r="DY119" s="114"/>
      <c r="DZ119" s="114"/>
      <c r="EA119" s="114"/>
      <c r="EB119" s="114"/>
      <c r="EC119" s="114"/>
      <c r="ED119" s="114"/>
      <c r="EE119" s="114"/>
      <c r="EF119" s="114"/>
      <c r="EG119" s="114"/>
      <c r="EH119" s="114"/>
      <c r="EI119" s="114"/>
      <c r="EJ119" s="114"/>
      <c r="EK119" s="114"/>
      <c r="EL119" s="114"/>
      <c r="EM119" s="114"/>
      <c r="EN119" s="114"/>
      <c r="EO119" s="114"/>
      <c r="EP119" s="114"/>
      <c r="EQ119" s="114"/>
      <c r="ER119" s="114"/>
      <c r="ES119" s="114"/>
      <c r="ET119" s="114"/>
      <c r="EU119" s="114"/>
      <c r="EV119" s="114"/>
      <c r="EW119" s="114"/>
      <c r="EX119" s="114"/>
      <c r="EY119" s="114"/>
      <c r="EZ119" s="114"/>
      <c r="FA119" s="114"/>
      <c r="FB119" s="114"/>
      <c r="FC119" s="114"/>
      <c r="FD119" s="114"/>
      <c r="FE119" s="114"/>
      <c r="FF119" s="114"/>
      <c r="FG119" s="114"/>
      <c r="FH119" s="114"/>
      <c r="FI119" s="114"/>
      <c r="FJ119" s="114"/>
      <c r="FK119" s="114"/>
      <c r="FL119" s="114"/>
      <c r="FM119" s="114"/>
      <c r="FN119" s="114"/>
      <c r="FO119" s="114"/>
      <c r="FP119" s="114"/>
      <c r="FQ119" s="114"/>
      <c r="FR119" s="114"/>
      <c r="FS119" s="114"/>
      <c r="FT119" s="114"/>
      <c r="FU119" s="114"/>
      <c r="FV119" s="114"/>
      <c r="FW119" s="114"/>
      <c r="FX119" s="114"/>
      <c r="FY119" s="114"/>
      <c r="FZ119" s="114"/>
      <c r="GA119" s="114"/>
      <c r="GB119" s="114"/>
      <c r="GC119" s="114"/>
      <c r="GD119" s="114"/>
      <c r="GE119" s="114"/>
      <c r="GF119" s="114"/>
      <c r="GG119" s="114"/>
      <c r="GH119" s="114"/>
      <c r="GI119" s="114"/>
      <c r="GJ119" s="114"/>
      <c r="GK119" s="114"/>
      <c r="GL119" s="114"/>
      <c r="GM119" s="114"/>
      <c r="GN119" s="114"/>
      <c r="GO119" s="114"/>
      <c r="GP119" s="114"/>
      <c r="GQ119" s="114"/>
      <c r="GR119" s="114"/>
      <c r="GS119" s="114"/>
      <c r="GT119" s="114"/>
      <c r="GU119" s="114"/>
      <c r="GV119" s="114"/>
      <c r="GW119" s="114"/>
      <c r="GX119" s="114"/>
      <c r="GY119" s="114"/>
      <c r="GZ119" s="114"/>
      <c r="HA119" s="114"/>
      <c r="HB119" s="114"/>
      <c r="HC119" s="114"/>
      <c r="HD119" s="114"/>
      <c r="HE119" s="114"/>
      <c r="HF119" s="114"/>
      <c r="HG119" s="114"/>
      <c r="HH119" s="114"/>
      <c r="HI119" s="114"/>
      <c r="HJ119" s="114"/>
      <c r="HK119" s="114"/>
      <c r="HL119" s="114"/>
      <c r="HM119" s="114"/>
      <c r="HN119" s="114"/>
      <c r="HO119" s="114"/>
      <c r="HP119" s="114"/>
      <c r="HQ119" s="114"/>
      <c r="HR119" s="114"/>
      <c r="HS119" s="114"/>
      <c r="HT119" s="114"/>
      <c r="HU119" s="114"/>
      <c r="HV119" s="114"/>
      <c r="HW119" s="114"/>
      <c r="HX119" s="114"/>
      <c r="HY119" s="114"/>
      <c r="HZ119" s="114"/>
      <c r="IA119" s="114"/>
      <c r="IB119" s="114"/>
      <c r="IC119" s="114"/>
      <c r="ID119" s="114"/>
      <c r="IE119" s="114"/>
      <c r="IF119" s="114"/>
      <c r="IG119" s="114"/>
      <c r="IH119" s="114"/>
      <c r="II119" s="114"/>
      <c r="IJ119" s="114"/>
      <c r="IK119" s="114"/>
      <c r="IL119" s="114"/>
      <c r="IM119" s="114"/>
      <c r="IN119" s="114"/>
      <c r="IO119" s="114"/>
      <c r="IP119" s="114"/>
      <c r="IQ119" s="114"/>
      <c r="IR119" s="114"/>
      <c r="IS119" s="114"/>
      <c r="IT119" s="114"/>
      <c r="IU119" s="114"/>
      <c r="IV119" s="114"/>
      <c r="IW119" s="114"/>
    </row>
    <row r="120" customFormat="false" ht="11.25" hidden="false" customHeight="false" outlineLevel="0" collapsed="false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P120" s="114"/>
      <c r="Q120" s="114"/>
      <c r="R120" s="114"/>
      <c r="S120" s="114"/>
      <c r="T120" s="114"/>
      <c r="U120" s="114"/>
      <c r="V120" s="114"/>
      <c r="W120" s="114"/>
      <c r="X120" s="114"/>
      <c r="Y120" s="114"/>
      <c r="Z120" s="114"/>
      <c r="AA120" s="114"/>
      <c r="AB120" s="114"/>
      <c r="AC120" s="114"/>
      <c r="AD120" s="114"/>
      <c r="AE120" s="114"/>
      <c r="AF120" s="114"/>
      <c r="AG120" s="114"/>
      <c r="AH120" s="114"/>
      <c r="AI120" s="114"/>
      <c r="AJ120" s="114"/>
      <c r="AK120" s="114"/>
      <c r="AL120" s="114"/>
      <c r="AM120" s="114"/>
      <c r="AN120" s="114"/>
      <c r="AO120" s="114"/>
      <c r="AP120" s="114"/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14"/>
      <c r="BI120" s="114"/>
      <c r="BJ120" s="114"/>
      <c r="BK120" s="114"/>
      <c r="BL120" s="114"/>
      <c r="BM120" s="114"/>
      <c r="BN120" s="114"/>
      <c r="BO120" s="114"/>
      <c r="BP120" s="114"/>
      <c r="BQ120" s="114"/>
      <c r="BR120" s="114"/>
      <c r="BS120" s="114"/>
      <c r="BT120" s="114"/>
      <c r="BU120" s="114"/>
      <c r="BV120" s="114"/>
      <c r="BW120" s="114"/>
      <c r="BX120" s="114"/>
      <c r="BY120" s="114"/>
      <c r="BZ120" s="114"/>
      <c r="CA120" s="114"/>
      <c r="CB120" s="114"/>
      <c r="CC120" s="114"/>
      <c r="CD120" s="114"/>
      <c r="CE120" s="114"/>
      <c r="CF120" s="114"/>
      <c r="CG120" s="114"/>
      <c r="CH120" s="114"/>
      <c r="CI120" s="114"/>
      <c r="CJ120" s="114"/>
      <c r="CK120" s="114"/>
      <c r="CL120" s="114"/>
      <c r="CM120" s="114"/>
      <c r="CN120" s="114"/>
      <c r="CO120" s="114"/>
      <c r="CP120" s="114"/>
      <c r="CQ120" s="114"/>
      <c r="CR120" s="114"/>
      <c r="CS120" s="114"/>
      <c r="CT120" s="114"/>
      <c r="CU120" s="114"/>
      <c r="CV120" s="114"/>
      <c r="CW120" s="114"/>
      <c r="CX120" s="114"/>
      <c r="CY120" s="114"/>
      <c r="CZ120" s="114"/>
      <c r="DA120" s="114"/>
      <c r="DB120" s="114"/>
      <c r="DC120" s="114"/>
      <c r="DD120" s="114"/>
      <c r="DE120" s="114"/>
      <c r="DF120" s="114"/>
      <c r="DG120" s="114"/>
      <c r="DH120" s="114"/>
      <c r="DI120" s="114"/>
      <c r="DJ120" s="114"/>
      <c r="DK120" s="114"/>
      <c r="DL120" s="114"/>
      <c r="DM120" s="114"/>
      <c r="DN120" s="114"/>
      <c r="DO120" s="114"/>
      <c r="DP120" s="114"/>
      <c r="DQ120" s="114"/>
      <c r="DR120" s="114"/>
      <c r="DS120" s="114"/>
      <c r="DT120" s="114"/>
      <c r="DU120" s="114"/>
      <c r="DV120" s="114"/>
      <c r="DW120" s="114"/>
      <c r="DX120" s="114"/>
      <c r="DY120" s="114"/>
      <c r="DZ120" s="114"/>
      <c r="EA120" s="114"/>
      <c r="EB120" s="114"/>
      <c r="EC120" s="114"/>
      <c r="ED120" s="114"/>
      <c r="EE120" s="114"/>
      <c r="EF120" s="114"/>
      <c r="EG120" s="114"/>
      <c r="EH120" s="114"/>
      <c r="EI120" s="114"/>
      <c r="EJ120" s="114"/>
      <c r="EK120" s="114"/>
      <c r="EL120" s="114"/>
      <c r="EM120" s="114"/>
      <c r="EN120" s="114"/>
      <c r="EO120" s="114"/>
      <c r="EP120" s="114"/>
      <c r="EQ120" s="114"/>
      <c r="ER120" s="114"/>
      <c r="ES120" s="114"/>
      <c r="ET120" s="114"/>
      <c r="EU120" s="114"/>
      <c r="EV120" s="114"/>
      <c r="EW120" s="114"/>
      <c r="EX120" s="114"/>
      <c r="EY120" s="114"/>
      <c r="EZ120" s="114"/>
      <c r="FA120" s="114"/>
      <c r="FB120" s="114"/>
      <c r="FC120" s="114"/>
      <c r="FD120" s="114"/>
      <c r="FE120" s="114"/>
      <c r="FF120" s="114"/>
      <c r="FG120" s="114"/>
      <c r="FH120" s="114"/>
      <c r="FI120" s="114"/>
      <c r="FJ120" s="114"/>
      <c r="FK120" s="114"/>
      <c r="FL120" s="114"/>
      <c r="FM120" s="114"/>
      <c r="FN120" s="114"/>
      <c r="FO120" s="114"/>
      <c r="FP120" s="114"/>
      <c r="FQ120" s="114"/>
      <c r="FR120" s="114"/>
      <c r="FS120" s="114"/>
      <c r="FT120" s="114"/>
      <c r="FU120" s="114"/>
      <c r="FV120" s="114"/>
      <c r="FW120" s="114"/>
      <c r="FX120" s="114"/>
      <c r="FY120" s="114"/>
      <c r="FZ120" s="114"/>
      <c r="GA120" s="114"/>
      <c r="GB120" s="114"/>
      <c r="GC120" s="114"/>
      <c r="GD120" s="114"/>
      <c r="GE120" s="114"/>
      <c r="GF120" s="114"/>
      <c r="GG120" s="114"/>
      <c r="GH120" s="114"/>
      <c r="GI120" s="114"/>
      <c r="GJ120" s="114"/>
      <c r="GK120" s="114"/>
      <c r="GL120" s="114"/>
      <c r="GM120" s="114"/>
      <c r="GN120" s="114"/>
      <c r="GO120" s="114"/>
      <c r="GP120" s="114"/>
      <c r="GQ120" s="114"/>
      <c r="GR120" s="114"/>
      <c r="GS120" s="114"/>
      <c r="GT120" s="114"/>
      <c r="GU120" s="114"/>
      <c r="GV120" s="114"/>
      <c r="GW120" s="114"/>
      <c r="GX120" s="114"/>
      <c r="GY120" s="114"/>
      <c r="GZ120" s="114"/>
      <c r="HA120" s="114"/>
      <c r="HB120" s="114"/>
      <c r="HC120" s="114"/>
      <c r="HD120" s="114"/>
      <c r="HE120" s="114"/>
      <c r="HF120" s="114"/>
      <c r="HG120" s="114"/>
      <c r="HH120" s="114"/>
      <c r="HI120" s="114"/>
      <c r="HJ120" s="114"/>
      <c r="HK120" s="114"/>
      <c r="HL120" s="114"/>
      <c r="HM120" s="114"/>
      <c r="HN120" s="114"/>
      <c r="HO120" s="114"/>
      <c r="HP120" s="114"/>
      <c r="HQ120" s="114"/>
      <c r="HR120" s="114"/>
      <c r="HS120" s="114"/>
      <c r="HT120" s="114"/>
      <c r="HU120" s="114"/>
      <c r="HV120" s="114"/>
      <c r="HW120" s="114"/>
      <c r="HX120" s="114"/>
      <c r="HY120" s="114"/>
      <c r="HZ120" s="114"/>
      <c r="IA120" s="114"/>
      <c r="IB120" s="114"/>
      <c r="IC120" s="114"/>
      <c r="ID120" s="114"/>
      <c r="IE120" s="114"/>
      <c r="IF120" s="114"/>
      <c r="IG120" s="114"/>
      <c r="IH120" s="114"/>
      <c r="II120" s="114"/>
      <c r="IJ120" s="114"/>
      <c r="IK120" s="114"/>
      <c r="IL120" s="114"/>
      <c r="IM120" s="114"/>
      <c r="IN120" s="114"/>
      <c r="IO120" s="114"/>
      <c r="IP120" s="114"/>
      <c r="IQ120" s="114"/>
      <c r="IR120" s="114"/>
      <c r="IS120" s="114"/>
      <c r="IT120" s="114"/>
      <c r="IU120" s="114"/>
      <c r="IV120" s="114"/>
      <c r="IW120" s="114"/>
    </row>
    <row r="121" customFormat="false" ht="11.25" hidden="false" customHeight="false" outlineLevel="0" collapsed="false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4"/>
      <c r="Z121" s="114"/>
      <c r="AA121" s="114"/>
      <c r="AB121" s="114"/>
      <c r="AC121" s="114"/>
      <c r="AD121" s="114"/>
      <c r="AE121" s="114"/>
      <c r="AF121" s="114"/>
      <c r="AG121" s="114"/>
      <c r="AH121" s="114"/>
      <c r="AI121" s="114"/>
      <c r="AJ121" s="114"/>
      <c r="AK121" s="114"/>
      <c r="AL121" s="114"/>
      <c r="AM121" s="114"/>
      <c r="AN121" s="114"/>
      <c r="AO121" s="114"/>
      <c r="AP121" s="114"/>
      <c r="AQ121" s="114"/>
      <c r="AR121" s="114"/>
      <c r="AS121" s="114"/>
      <c r="AT121" s="114"/>
      <c r="AU121" s="114"/>
      <c r="AV121" s="114"/>
      <c r="AW121" s="114"/>
      <c r="AX121" s="114"/>
      <c r="AY121" s="114"/>
      <c r="AZ121" s="114"/>
      <c r="BA121" s="114"/>
      <c r="BB121" s="114"/>
      <c r="BC121" s="114"/>
      <c r="BD121" s="114"/>
      <c r="BE121" s="114"/>
      <c r="BF121" s="114"/>
      <c r="BG121" s="114"/>
      <c r="BH121" s="114"/>
      <c r="BI121" s="114"/>
      <c r="BJ121" s="114"/>
      <c r="BK121" s="114"/>
      <c r="BL121" s="114"/>
      <c r="BM121" s="114"/>
      <c r="BN121" s="114"/>
      <c r="BO121" s="114"/>
      <c r="BP121" s="114"/>
      <c r="BQ121" s="114"/>
      <c r="BR121" s="114"/>
      <c r="BS121" s="114"/>
      <c r="BT121" s="114"/>
      <c r="BU121" s="114"/>
      <c r="BV121" s="114"/>
      <c r="BW121" s="114"/>
      <c r="BX121" s="114"/>
      <c r="BY121" s="114"/>
      <c r="BZ121" s="114"/>
      <c r="CA121" s="114"/>
      <c r="CB121" s="114"/>
      <c r="CC121" s="114"/>
      <c r="CD121" s="114"/>
      <c r="CE121" s="114"/>
      <c r="CF121" s="114"/>
      <c r="CG121" s="114"/>
      <c r="CH121" s="114"/>
      <c r="CI121" s="114"/>
      <c r="CJ121" s="114"/>
      <c r="CK121" s="114"/>
      <c r="CL121" s="114"/>
      <c r="CM121" s="114"/>
      <c r="CN121" s="114"/>
      <c r="CO121" s="114"/>
      <c r="CP121" s="114"/>
      <c r="CQ121" s="114"/>
      <c r="CR121" s="114"/>
      <c r="CS121" s="114"/>
      <c r="CT121" s="114"/>
      <c r="CU121" s="114"/>
      <c r="CV121" s="114"/>
      <c r="CW121" s="114"/>
      <c r="CX121" s="114"/>
      <c r="CY121" s="114"/>
      <c r="CZ121" s="114"/>
      <c r="DA121" s="114"/>
      <c r="DB121" s="114"/>
      <c r="DC121" s="114"/>
      <c r="DD121" s="114"/>
      <c r="DE121" s="114"/>
      <c r="DF121" s="114"/>
      <c r="DG121" s="114"/>
      <c r="DH121" s="114"/>
      <c r="DI121" s="114"/>
      <c r="DJ121" s="114"/>
      <c r="DK121" s="114"/>
      <c r="DL121" s="114"/>
      <c r="DM121" s="114"/>
      <c r="DN121" s="114"/>
      <c r="DO121" s="114"/>
      <c r="DP121" s="114"/>
      <c r="DQ121" s="114"/>
      <c r="DR121" s="114"/>
      <c r="DS121" s="114"/>
      <c r="DT121" s="114"/>
      <c r="DU121" s="114"/>
      <c r="DV121" s="114"/>
      <c r="DW121" s="114"/>
      <c r="DX121" s="114"/>
      <c r="DY121" s="114"/>
      <c r="DZ121" s="114"/>
      <c r="EA121" s="114"/>
      <c r="EB121" s="114"/>
      <c r="EC121" s="114"/>
      <c r="ED121" s="114"/>
      <c r="EE121" s="114"/>
      <c r="EF121" s="114"/>
      <c r="EG121" s="114"/>
      <c r="EH121" s="114"/>
      <c r="EI121" s="114"/>
      <c r="EJ121" s="114"/>
      <c r="EK121" s="114"/>
      <c r="EL121" s="114"/>
      <c r="EM121" s="114"/>
      <c r="EN121" s="114"/>
      <c r="EO121" s="114"/>
      <c r="EP121" s="114"/>
      <c r="EQ121" s="114"/>
      <c r="ER121" s="114"/>
      <c r="ES121" s="114"/>
      <c r="ET121" s="114"/>
      <c r="EU121" s="114"/>
      <c r="EV121" s="114"/>
      <c r="EW121" s="114"/>
      <c r="EX121" s="114"/>
      <c r="EY121" s="114"/>
      <c r="EZ121" s="114"/>
      <c r="FA121" s="114"/>
      <c r="FB121" s="114"/>
      <c r="FC121" s="114"/>
      <c r="FD121" s="114"/>
      <c r="FE121" s="114"/>
      <c r="FF121" s="114"/>
      <c r="FG121" s="114"/>
      <c r="FH121" s="114"/>
      <c r="FI121" s="114"/>
      <c r="FJ121" s="114"/>
      <c r="FK121" s="114"/>
      <c r="FL121" s="114"/>
      <c r="FM121" s="114"/>
      <c r="FN121" s="114"/>
      <c r="FO121" s="114"/>
      <c r="FP121" s="114"/>
      <c r="FQ121" s="114"/>
      <c r="FR121" s="114"/>
      <c r="FS121" s="114"/>
      <c r="FT121" s="114"/>
      <c r="FU121" s="114"/>
      <c r="FV121" s="114"/>
      <c r="FW121" s="114"/>
      <c r="FX121" s="114"/>
      <c r="FY121" s="114"/>
      <c r="FZ121" s="114"/>
      <c r="GA121" s="114"/>
      <c r="GB121" s="114"/>
      <c r="GC121" s="114"/>
      <c r="GD121" s="114"/>
      <c r="GE121" s="114"/>
      <c r="GF121" s="114"/>
      <c r="GG121" s="114"/>
      <c r="GH121" s="114"/>
      <c r="GI121" s="114"/>
      <c r="GJ121" s="114"/>
      <c r="GK121" s="114"/>
      <c r="GL121" s="114"/>
      <c r="GM121" s="114"/>
      <c r="GN121" s="114"/>
      <c r="GO121" s="114"/>
      <c r="GP121" s="114"/>
      <c r="GQ121" s="114"/>
      <c r="GR121" s="114"/>
      <c r="GS121" s="114"/>
      <c r="GT121" s="114"/>
      <c r="GU121" s="114"/>
      <c r="GV121" s="114"/>
      <c r="GW121" s="114"/>
      <c r="GX121" s="114"/>
      <c r="GY121" s="114"/>
      <c r="GZ121" s="114"/>
      <c r="HA121" s="114"/>
      <c r="HB121" s="114"/>
      <c r="HC121" s="114"/>
      <c r="HD121" s="114"/>
      <c r="HE121" s="114"/>
      <c r="HF121" s="114"/>
      <c r="HG121" s="114"/>
      <c r="HH121" s="114"/>
      <c r="HI121" s="114"/>
      <c r="HJ121" s="114"/>
      <c r="HK121" s="114"/>
      <c r="HL121" s="114"/>
      <c r="HM121" s="114"/>
      <c r="HN121" s="114"/>
      <c r="HO121" s="114"/>
      <c r="HP121" s="114"/>
      <c r="HQ121" s="114"/>
      <c r="HR121" s="114"/>
      <c r="HS121" s="114"/>
      <c r="HT121" s="114"/>
      <c r="HU121" s="114"/>
      <c r="HV121" s="114"/>
      <c r="HW121" s="114"/>
      <c r="HX121" s="114"/>
      <c r="HY121" s="114"/>
      <c r="HZ121" s="114"/>
      <c r="IA121" s="114"/>
      <c r="IB121" s="114"/>
      <c r="IC121" s="114"/>
      <c r="ID121" s="114"/>
      <c r="IE121" s="114"/>
      <c r="IF121" s="114"/>
      <c r="IG121" s="114"/>
      <c r="IH121" s="114"/>
      <c r="II121" s="114"/>
      <c r="IJ121" s="114"/>
      <c r="IK121" s="114"/>
      <c r="IL121" s="114"/>
      <c r="IM121" s="114"/>
      <c r="IN121" s="114"/>
      <c r="IO121" s="114"/>
      <c r="IP121" s="114"/>
      <c r="IQ121" s="114"/>
      <c r="IR121" s="114"/>
      <c r="IS121" s="114"/>
      <c r="IT121" s="114"/>
      <c r="IU121" s="114"/>
      <c r="IV121" s="114"/>
      <c r="IW121" s="114"/>
    </row>
    <row r="122" customFormat="false" ht="11.25" hidden="false" customHeight="false" outlineLevel="0" collapsed="false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  <c r="AA122" s="114"/>
      <c r="AB122" s="114"/>
      <c r="AC122" s="114"/>
      <c r="AD122" s="114"/>
      <c r="AE122" s="114"/>
      <c r="AF122" s="114"/>
      <c r="AG122" s="114"/>
      <c r="AH122" s="114"/>
      <c r="AI122" s="114"/>
      <c r="AJ122" s="114"/>
      <c r="AK122" s="114"/>
      <c r="AL122" s="114"/>
      <c r="AM122" s="114"/>
      <c r="AN122" s="114"/>
      <c r="AO122" s="114"/>
      <c r="AP122" s="114"/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  <c r="BI122" s="114"/>
      <c r="BJ122" s="114"/>
      <c r="BK122" s="114"/>
      <c r="BL122" s="114"/>
      <c r="BM122" s="114"/>
      <c r="BN122" s="114"/>
      <c r="BO122" s="114"/>
      <c r="BP122" s="114"/>
      <c r="BQ122" s="114"/>
      <c r="BR122" s="114"/>
      <c r="BS122" s="114"/>
      <c r="BT122" s="114"/>
      <c r="BU122" s="114"/>
      <c r="BV122" s="114"/>
      <c r="BW122" s="114"/>
      <c r="BX122" s="114"/>
      <c r="BY122" s="114"/>
      <c r="BZ122" s="114"/>
      <c r="CA122" s="114"/>
      <c r="CB122" s="114"/>
      <c r="CC122" s="114"/>
      <c r="CD122" s="114"/>
      <c r="CE122" s="114"/>
      <c r="CF122" s="114"/>
      <c r="CG122" s="114"/>
      <c r="CH122" s="114"/>
      <c r="CI122" s="114"/>
      <c r="CJ122" s="114"/>
      <c r="CK122" s="114"/>
      <c r="CL122" s="114"/>
      <c r="CM122" s="114"/>
      <c r="CN122" s="114"/>
      <c r="CO122" s="114"/>
      <c r="CP122" s="114"/>
      <c r="CQ122" s="114"/>
      <c r="CR122" s="114"/>
      <c r="CS122" s="114"/>
      <c r="CT122" s="114"/>
      <c r="CU122" s="114"/>
      <c r="CV122" s="114"/>
      <c r="CW122" s="114"/>
      <c r="CX122" s="114"/>
      <c r="CY122" s="114"/>
      <c r="CZ122" s="114"/>
      <c r="DA122" s="114"/>
      <c r="DB122" s="114"/>
      <c r="DC122" s="114"/>
      <c r="DD122" s="114"/>
      <c r="DE122" s="114"/>
      <c r="DF122" s="114"/>
      <c r="DG122" s="114"/>
      <c r="DH122" s="114"/>
      <c r="DI122" s="114"/>
      <c r="DJ122" s="114"/>
      <c r="DK122" s="114"/>
      <c r="DL122" s="114"/>
      <c r="DM122" s="114"/>
      <c r="DN122" s="114"/>
      <c r="DO122" s="114"/>
      <c r="DP122" s="114"/>
      <c r="DQ122" s="114"/>
      <c r="DR122" s="114"/>
      <c r="DS122" s="114"/>
      <c r="DT122" s="114"/>
      <c r="DU122" s="114"/>
      <c r="DV122" s="114"/>
      <c r="DW122" s="114"/>
      <c r="DX122" s="114"/>
      <c r="DY122" s="114"/>
      <c r="DZ122" s="114"/>
      <c r="EA122" s="114"/>
      <c r="EB122" s="114"/>
      <c r="EC122" s="114"/>
      <c r="ED122" s="114"/>
      <c r="EE122" s="114"/>
      <c r="EF122" s="114"/>
      <c r="EG122" s="114"/>
      <c r="EH122" s="114"/>
      <c r="EI122" s="114"/>
      <c r="EJ122" s="114"/>
      <c r="EK122" s="114"/>
      <c r="EL122" s="114"/>
      <c r="EM122" s="114"/>
      <c r="EN122" s="114"/>
      <c r="EO122" s="114"/>
      <c r="EP122" s="114"/>
      <c r="EQ122" s="114"/>
      <c r="ER122" s="114"/>
      <c r="ES122" s="114"/>
      <c r="ET122" s="114"/>
      <c r="EU122" s="114"/>
      <c r="EV122" s="114"/>
      <c r="EW122" s="114"/>
      <c r="EX122" s="114"/>
      <c r="EY122" s="114"/>
      <c r="EZ122" s="114"/>
      <c r="FA122" s="114"/>
      <c r="FB122" s="114"/>
      <c r="FC122" s="114"/>
      <c r="FD122" s="114"/>
      <c r="FE122" s="114"/>
      <c r="FF122" s="114"/>
      <c r="FG122" s="114"/>
      <c r="FH122" s="114"/>
      <c r="FI122" s="114"/>
      <c r="FJ122" s="114"/>
      <c r="FK122" s="114"/>
      <c r="FL122" s="114"/>
      <c r="FM122" s="114"/>
      <c r="FN122" s="114"/>
      <c r="FO122" s="114"/>
      <c r="FP122" s="114"/>
      <c r="FQ122" s="114"/>
      <c r="FR122" s="114"/>
      <c r="FS122" s="114"/>
      <c r="FT122" s="114"/>
      <c r="FU122" s="114"/>
      <c r="FV122" s="114"/>
      <c r="FW122" s="114"/>
      <c r="FX122" s="114"/>
      <c r="FY122" s="114"/>
      <c r="FZ122" s="114"/>
      <c r="GA122" s="114"/>
      <c r="GB122" s="114"/>
      <c r="GC122" s="114"/>
      <c r="GD122" s="114"/>
      <c r="GE122" s="114"/>
      <c r="GF122" s="114"/>
      <c r="GG122" s="114"/>
      <c r="GH122" s="114"/>
      <c r="GI122" s="114"/>
      <c r="GJ122" s="114"/>
      <c r="GK122" s="114"/>
      <c r="GL122" s="114"/>
      <c r="GM122" s="114"/>
      <c r="GN122" s="114"/>
      <c r="GO122" s="114"/>
      <c r="GP122" s="114"/>
      <c r="GQ122" s="114"/>
      <c r="GR122" s="114"/>
      <c r="GS122" s="114"/>
      <c r="GT122" s="114"/>
      <c r="GU122" s="114"/>
      <c r="GV122" s="114"/>
      <c r="GW122" s="114"/>
      <c r="GX122" s="114"/>
      <c r="GY122" s="114"/>
      <c r="GZ122" s="114"/>
      <c r="HA122" s="114"/>
      <c r="HB122" s="114"/>
      <c r="HC122" s="114"/>
      <c r="HD122" s="114"/>
      <c r="HE122" s="114"/>
      <c r="HF122" s="114"/>
      <c r="HG122" s="114"/>
      <c r="HH122" s="114"/>
      <c r="HI122" s="114"/>
      <c r="HJ122" s="114"/>
      <c r="HK122" s="114"/>
      <c r="HL122" s="114"/>
      <c r="HM122" s="114"/>
      <c r="HN122" s="114"/>
      <c r="HO122" s="114"/>
      <c r="HP122" s="114"/>
      <c r="HQ122" s="114"/>
      <c r="HR122" s="114"/>
      <c r="HS122" s="114"/>
      <c r="HT122" s="114"/>
      <c r="HU122" s="114"/>
      <c r="HV122" s="114"/>
      <c r="HW122" s="114"/>
      <c r="HX122" s="114"/>
      <c r="HY122" s="114"/>
      <c r="HZ122" s="114"/>
      <c r="IA122" s="114"/>
      <c r="IB122" s="114"/>
      <c r="IC122" s="114"/>
      <c r="ID122" s="114"/>
      <c r="IE122" s="114"/>
      <c r="IF122" s="114"/>
      <c r="IG122" s="114"/>
      <c r="IH122" s="114"/>
      <c r="II122" s="114"/>
      <c r="IJ122" s="114"/>
      <c r="IK122" s="114"/>
      <c r="IL122" s="114"/>
      <c r="IM122" s="114"/>
      <c r="IN122" s="114"/>
      <c r="IO122" s="114"/>
      <c r="IP122" s="114"/>
      <c r="IQ122" s="114"/>
      <c r="IR122" s="114"/>
      <c r="IS122" s="114"/>
      <c r="IT122" s="114"/>
      <c r="IU122" s="114"/>
      <c r="IV122" s="114"/>
      <c r="IW122" s="114"/>
    </row>
    <row r="123" customFormat="false" ht="11.25" hidden="false" customHeight="false" outlineLevel="0" collapsed="false">
      <c r="A123" s="617"/>
      <c r="B123" s="617"/>
      <c r="C123" s="617"/>
      <c r="D123" s="114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14"/>
      <c r="AA123" s="114"/>
      <c r="AB123" s="114"/>
      <c r="AC123" s="114"/>
      <c r="AD123" s="114"/>
      <c r="AE123" s="114"/>
      <c r="AF123" s="114"/>
      <c r="AG123" s="114"/>
      <c r="AH123" s="114"/>
      <c r="AI123" s="114"/>
      <c r="AJ123" s="114"/>
      <c r="AK123" s="114"/>
      <c r="AL123" s="114"/>
      <c r="AM123" s="114"/>
      <c r="AN123" s="114"/>
      <c r="AO123" s="114"/>
      <c r="AP123" s="114"/>
      <c r="AQ123" s="617"/>
      <c r="AR123" s="617"/>
      <c r="AS123" s="617"/>
      <c r="AT123" s="617"/>
      <c r="AU123" s="617"/>
      <c r="AV123" s="617"/>
      <c r="AW123" s="617"/>
      <c r="AX123" s="617"/>
      <c r="AY123" s="617"/>
      <c r="AZ123" s="617"/>
      <c r="BA123" s="617"/>
      <c r="BB123" s="617"/>
      <c r="BC123" s="617"/>
      <c r="BD123" s="617"/>
      <c r="BE123" s="617"/>
      <c r="BF123" s="617"/>
      <c r="BG123" s="617"/>
      <c r="BH123" s="617"/>
      <c r="BI123" s="617"/>
      <c r="BJ123" s="617"/>
      <c r="BK123" s="617"/>
      <c r="BL123" s="617"/>
      <c r="BM123" s="617"/>
      <c r="BN123" s="617"/>
      <c r="BO123" s="617"/>
      <c r="BP123" s="617"/>
      <c r="BQ123" s="617"/>
      <c r="BR123" s="617"/>
      <c r="BS123" s="617"/>
      <c r="BT123" s="617"/>
      <c r="BU123" s="617"/>
      <c r="BV123" s="617"/>
      <c r="BW123" s="617"/>
      <c r="BX123" s="617"/>
      <c r="BY123" s="617"/>
      <c r="BZ123" s="617"/>
      <c r="CA123" s="617"/>
      <c r="CB123" s="617"/>
      <c r="CC123" s="617"/>
      <c r="CD123" s="617"/>
      <c r="CE123" s="617"/>
      <c r="CF123" s="617"/>
      <c r="CG123" s="617"/>
      <c r="CH123" s="617"/>
      <c r="CI123" s="617"/>
      <c r="CJ123" s="617"/>
      <c r="CK123" s="617"/>
      <c r="CL123" s="617"/>
      <c r="CM123" s="617"/>
      <c r="CN123" s="617"/>
      <c r="CO123" s="617"/>
      <c r="CP123" s="617"/>
      <c r="CQ123" s="617"/>
      <c r="CR123" s="617"/>
      <c r="CS123" s="617"/>
      <c r="CT123" s="617"/>
      <c r="CU123" s="617"/>
      <c r="CV123" s="617"/>
      <c r="CW123" s="617"/>
      <c r="CX123" s="617"/>
      <c r="CY123" s="617"/>
      <c r="CZ123" s="617"/>
      <c r="DA123" s="617"/>
      <c r="DB123" s="617"/>
      <c r="DC123" s="617"/>
      <c r="DD123" s="617"/>
      <c r="DE123" s="617"/>
      <c r="DF123" s="617"/>
      <c r="DG123" s="617"/>
      <c r="DH123" s="617"/>
      <c r="DI123" s="617"/>
      <c r="DJ123" s="617"/>
      <c r="DK123" s="617"/>
      <c r="DL123" s="617"/>
      <c r="DM123" s="617"/>
      <c r="DN123" s="617"/>
      <c r="DO123" s="617"/>
      <c r="DP123" s="617"/>
      <c r="DQ123" s="617"/>
      <c r="DR123" s="617"/>
      <c r="DS123" s="617"/>
      <c r="DT123" s="617"/>
      <c r="DU123" s="617"/>
      <c r="DV123" s="617"/>
      <c r="DW123" s="617"/>
      <c r="DX123" s="617"/>
      <c r="DY123" s="617"/>
      <c r="DZ123" s="617"/>
      <c r="EA123" s="617"/>
      <c r="EB123" s="617"/>
      <c r="EC123" s="617"/>
      <c r="ED123" s="617"/>
      <c r="EE123" s="617"/>
      <c r="EF123" s="617"/>
      <c r="EG123" s="617"/>
      <c r="EH123" s="617"/>
      <c r="EI123" s="617"/>
      <c r="EJ123" s="617"/>
      <c r="EK123" s="617"/>
      <c r="EL123" s="617"/>
      <c r="EM123" s="617"/>
      <c r="EN123" s="617"/>
      <c r="EO123" s="617"/>
      <c r="EP123" s="617"/>
      <c r="EQ123" s="617"/>
      <c r="ER123" s="617"/>
      <c r="ES123" s="617"/>
      <c r="ET123" s="617"/>
      <c r="EU123" s="617"/>
      <c r="EV123" s="617"/>
      <c r="EW123" s="617"/>
      <c r="EX123" s="617"/>
      <c r="EY123" s="617"/>
      <c r="EZ123" s="617"/>
      <c r="FA123" s="617"/>
      <c r="FB123" s="617"/>
      <c r="FC123" s="617"/>
      <c r="FD123" s="617"/>
      <c r="FE123" s="617"/>
      <c r="FF123" s="617"/>
      <c r="FG123" s="617"/>
      <c r="FH123" s="617"/>
      <c r="FI123" s="617"/>
      <c r="FJ123" s="617"/>
      <c r="FK123" s="617"/>
      <c r="FL123" s="617"/>
      <c r="FM123" s="617"/>
      <c r="FN123" s="617"/>
      <c r="FO123" s="617"/>
      <c r="FP123" s="617"/>
      <c r="FQ123" s="617"/>
      <c r="FR123" s="617"/>
      <c r="FS123" s="617"/>
      <c r="FT123" s="617"/>
      <c r="FU123" s="617"/>
      <c r="FV123" s="617"/>
      <c r="FW123" s="617"/>
      <c r="FX123" s="617"/>
      <c r="FY123" s="617"/>
      <c r="FZ123" s="617"/>
      <c r="GA123" s="617"/>
      <c r="GB123" s="617"/>
      <c r="GC123" s="617"/>
      <c r="GD123" s="617"/>
      <c r="GE123" s="617"/>
      <c r="GF123" s="617"/>
      <c r="GG123" s="617"/>
      <c r="GH123" s="617"/>
      <c r="GI123" s="617"/>
      <c r="GJ123" s="617"/>
      <c r="GK123" s="617"/>
      <c r="GL123" s="617"/>
      <c r="GM123" s="617"/>
      <c r="GN123" s="617"/>
      <c r="GO123" s="617"/>
      <c r="GP123" s="617"/>
      <c r="GQ123" s="617"/>
      <c r="GR123" s="617"/>
      <c r="GS123" s="617"/>
      <c r="GT123" s="617"/>
      <c r="GU123" s="617"/>
      <c r="GV123" s="617"/>
      <c r="GW123" s="617"/>
      <c r="GX123" s="617"/>
      <c r="GY123" s="617"/>
      <c r="GZ123" s="617"/>
      <c r="HA123" s="617"/>
      <c r="HB123" s="617"/>
      <c r="HC123" s="617"/>
      <c r="HD123" s="617"/>
      <c r="HE123" s="617"/>
      <c r="HF123" s="617"/>
      <c r="HG123" s="617"/>
      <c r="HH123" s="617"/>
      <c r="HI123" s="617"/>
      <c r="HJ123" s="617"/>
      <c r="HK123" s="617"/>
      <c r="HL123" s="617"/>
      <c r="HM123" s="617"/>
      <c r="HN123" s="617"/>
      <c r="HO123" s="617"/>
      <c r="HP123" s="617"/>
      <c r="HQ123" s="617"/>
      <c r="HR123" s="617"/>
      <c r="HS123" s="617"/>
      <c r="HT123" s="617"/>
      <c r="HU123" s="617"/>
      <c r="HV123" s="617"/>
      <c r="HW123" s="617"/>
      <c r="HX123" s="617"/>
      <c r="HY123" s="617"/>
      <c r="HZ123" s="617"/>
      <c r="IA123" s="617"/>
      <c r="IB123" s="617"/>
      <c r="IC123" s="617"/>
      <c r="ID123" s="617"/>
      <c r="IE123" s="617"/>
      <c r="IF123" s="617"/>
      <c r="IG123" s="617"/>
      <c r="IH123" s="617"/>
      <c r="II123" s="617"/>
      <c r="IJ123" s="617"/>
      <c r="IK123" s="617"/>
      <c r="IL123" s="617"/>
      <c r="IM123" s="617"/>
      <c r="IN123" s="617"/>
      <c r="IO123" s="617"/>
      <c r="IP123" s="617"/>
      <c r="IQ123" s="617"/>
      <c r="IR123" s="617"/>
      <c r="IS123" s="617"/>
      <c r="IT123" s="617"/>
      <c r="IU123" s="617"/>
      <c r="IV123" s="617"/>
      <c r="IW123" s="617"/>
    </row>
    <row r="124" customFormat="false" ht="11.25" hidden="false" customHeight="false" outlineLevel="0" collapsed="false">
      <c r="A124" s="617"/>
      <c r="B124" s="617"/>
      <c r="C124" s="617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  <c r="R124" s="114"/>
      <c r="S124" s="114"/>
      <c r="T124" s="114"/>
      <c r="U124" s="114"/>
      <c r="V124" s="114"/>
      <c r="W124" s="114"/>
      <c r="X124" s="114"/>
      <c r="Y124" s="114"/>
      <c r="Z124" s="114"/>
      <c r="AA124" s="114"/>
      <c r="AB124" s="114"/>
      <c r="AC124" s="114"/>
      <c r="AD124" s="114"/>
      <c r="AE124" s="114"/>
      <c r="AF124" s="114"/>
      <c r="AG124" s="114"/>
      <c r="AH124" s="114"/>
      <c r="AI124" s="114"/>
      <c r="AJ124" s="114"/>
      <c r="AK124" s="114"/>
      <c r="AL124" s="114"/>
      <c r="AM124" s="114"/>
      <c r="AN124" s="114"/>
      <c r="AO124" s="114"/>
      <c r="AP124" s="114"/>
      <c r="AQ124" s="617"/>
      <c r="AR124" s="617"/>
      <c r="AS124" s="617"/>
      <c r="AT124" s="617"/>
      <c r="AU124" s="617"/>
      <c r="AV124" s="617"/>
      <c r="AW124" s="617"/>
      <c r="AX124" s="617"/>
      <c r="AY124" s="617"/>
      <c r="AZ124" s="617"/>
      <c r="BA124" s="617"/>
      <c r="BB124" s="617"/>
      <c r="BC124" s="617"/>
      <c r="BD124" s="617"/>
      <c r="BE124" s="617"/>
      <c r="BF124" s="617"/>
      <c r="BG124" s="617"/>
      <c r="BH124" s="617"/>
      <c r="BI124" s="617"/>
      <c r="BJ124" s="617"/>
      <c r="BK124" s="617"/>
      <c r="BL124" s="617"/>
      <c r="BM124" s="617"/>
      <c r="BN124" s="617"/>
      <c r="BO124" s="617"/>
      <c r="BP124" s="617"/>
      <c r="BQ124" s="617"/>
      <c r="BR124" s="617"/>
      <c r="BS124" s="617"/>
      <c r="BT124" s="617"/>
      <c r="BU124" s="617"/>
      <c r="BV124" s="617"/>
      <c r="BW124" s="617"/>
      <c r="BX124" s="617"/>
      <c r="BY124" s="617"/>
      <c r="BZ124" s="617"/>
      <c r="CA124" s="617"/>
      <c r="CB124" s="617"/>
      <c r="CC124" s="617"/>
      <c r="CD124" s="617"/>
      <c r="CE124" s="617"/>
      <c r="CF124" s="617"/>
      <c r="CG124" s="617"/>
      <c r="CH124" s="617"/>
      <c r="CI124" s="617"/>
      <c r="CJ124" s="617"/>
      <c r="CK124" s="617"/>
      <c r="CL124" s="617"/>
      <c r="CM124" s="617"/>
      <c r="CN124" s="617"/>
      <c r="CO124" s="617"/>
      <c r="CP124" s="617"/>
      <c r="CQ124" s="617"/>
      <c r="CR124" s="617"/>
      <c r="CS124" s="617"/>
      <c r="CT124" s="617"/>
      <c r="CU124" s="617"/>
      <c r="CV124" s="617"/>
      <c r="CW124" s="617"/>
      <c r="CX124" s="617"/>
      <c r="CY124" s="617"/>
      <c r="CZ124" s="617"/>
      <c r="DA124" s="617"/>
      <c r="DB124" s="617"/>
      <c r="DC124" s="617"/>
      <c r="DD124" s="617"/>
      <c r="DE124" s="617"/>
      <c r="DF124" s="617"/>
      <c r="DG124" s="617"/>
      <c r="DH124" s="617"/>
      <c r="DI124" s="617"/>
      <c r="DJ124" s="617"/>
      <c r="DK124" s="617"/>
      <c r="DL124" s="617"/>
      <c r="DM124" s="617"/>
      <c r="DN124" s="617"/>
      <c r="DO124" s="617"/>
      <c r="DP124" s="617"/>
      <c r="DQ124" s="617"/>
      <c r="DR124" s="617"/>
      <c r="DS124" s="617"/>
      <c r="DT124" s="617"/>
      <c r="DU124" s="617"/>
      <c r="DV124" s="617"/>
      <c r="DW124" s="617"/>
      <c r="DX124" s="617"/>
      <c r="DY124" s="617"/>
      <c r="DZ124" s="617"/>
      <c r="EA124" s="617"/>
      <c r="EB124" s="617"/>
      <c r="EC124" s="617"/>
      <c r="ED124" s="617"/>
      <c r="EE124" s="617"/>
      <c r="EF124" s="617"/>
      <c r="EG124" s="617"/>
      <c r="EH124" s="617"/>
      <c r="EI124" s="617"/>
      <c r="EJ124" s="617"/>
      <c r="EK124" s="617"/>
      <c r="EL124" s="617"/>
      <c r="EM124" s="617"/>
      <c r="EN124" s="617"/>
      <c r="EO124" s="617"/>
      <c r="EP124" s="617"/>
      <c r="EQ124" s="617"/>
      <c r="ER124" s="617"/>
      <c r="ES124" s="617"/>
      <c r="ET124" s="617"/>
      <c r="EU124" s="617"/>
      <c r="EV124" s="617"/>
      <c r="EW124" s="617"/>
      <c r="EX124" s="617"/>
      <c r="EY124" s="617"/>
      <c r="EZ124" s="617"/>
      <c r="FA124" s="617"/>
      <c r="FB124" s="617"/>
      <c r="FC124" s="617"/>
      <c r="FD124" s="617"/>
      <c r="FE124" s="617"/>
      <c r="FF124" s="617"/>
      <c r="FG124" s="617"/>
      <c r="FH124" s="617"/>
      <c r="FI124" s="617"/>
      <c r="FJ124" s="617"/>
      <c r="FK124" s="617"/>
      <c r="FL124" s="617"/>
      <c r="FM124" s="617"/>
      <c r="FN124" s="617"/>
      <c r="FO124" s="617"/>
      <c r="FP124" s="617"/>
      <c r="FQ124" s="617"/>
      <c r="FR124" s="617"/>
      <c r="FS124" s="617"/>
      <c r="FT124" s="617"/>
      <c r="FU124" s="617"/>
      <c r="FV124" s="617"/>
      <c r="FW124" s="617"/>
      <c r="FX124" s="617"/>
      <c r="FY124" s="617"/>
      <c r="FZ124" s="617"/>
      <c r="GA124" s="617"/>
      <c r="GB124" s="617"/>
      <c r="GC124" s="617"/>
      <c r="GD124" s="617"/>
      <c r="GE124" s="617"/>
      <c r="GF124" s="617"/>
      <c r="GG124" s="617"/>
      <c r="GH124" s="617"/>
      <c r="GI124" s="617"/>
      <c r="GJ124" s="617"/>
      <c r="GK124" s="617"/>
      <c r="GL124" s="617"/>
      <c r="GM124" s="617"/>
      <c r="GN124" s="617"/>
      <c r="GO124" s="617"/>
      <c r="GP124" s="617"/>
      <c r="GQ124" s="617"/>
      <c r="GR124" s="617"/>
      <c r="GS124" s="617"/>
      <c r="GT124" s="617"/>
      <c r="GU124" s="617"/>
      <c r="GV124" s="617"/>
      <c r="GW124" s="617"/>
      <c r="GX124" s="617"/>
      <c r="GY124" s="617"/>
      <c r="GZ124" s="617"/>
      <c r="HA124" s="617"/>
      <c r="HB124" s="617"/>
      <c r="HC124" s="617"/>
      <c r="HD124" s="617"/>
      <c r="HE124" s="617"/>
      <c r="HF124" s="617"/>
      <c r="HG124" s="617"/>
      <c r="HH124" s="617"/>
      <c r="HI124" s="617"/>
      <c r="HJ124" s="617"/>
      <c r="HK124" s="617"/>
      <c r="HL124" s="617"/>
      <c r="HM124" s="617"/>
      <c r="HN124" s="617"/>
      <c r="HO124" s="617"/>
      <c r="HP124" s="617"/>
      <c r="HQ124" s="617"/>
      <c r="HR124" s="617"/>
      <c r="HS124" s="617"/>
      <c r="HT124" s="617"/>
      <c r="HU124" s="617"/>
      <c r="HV124" s="617"/>
      <c r="HW124" s="617"/>
      <c r="HX124" s="617"/>
      <c r="HY124" s="617"/>
      <c r="HZ124" s="617"/>
      <c r="IA124" s="617"/>
      <c r="IB124" s="617"/>
      <c r="IC124" s="617"/>
      <c r="ID124" s="617"/>
      <c r="IE124" s="617"/>
      <c r="IF124" s="617"/>
      <c r="IG124" s="617"/>
      <c r="IH124" s="617"/>
      <c r="II124" s="617"/>
      <c r="IJ124" s="617"/>
      <c r="IK124" s="617"/>
      <c r="IL124" s="617"/>
      <c r="IM124" s="617"/>
      <c r="IN124" s="617"/>
      <c r="IO124" s="617"/>
      <c r="IP124" s="617"/>
      <c r="IQ124" s="617"/>
      <c r="IR124" s="617"/>
      <c r="IS124" s="617"/>
      <c r="IT124" s="617"/>
      <c r="IU124" s="617"/>
      <c r="IV124" s="617"/>
      <c r="IW124" s="617"/>
    </row>
    <row r="125" customFormat="false" ht="11.25" hidden="false" customHeight="false" outlineLevel="0" collapsed="false">
      <c r="A125" s="617"/>
      <c r="B125" s="617"/>
      <c r="C125" s="617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  <c r="AA125" s="114"/>
      <c r="AB125" s="114"/>
      <c r="AC125" s="114"/>
      <c r="AD125" s="114"/>
      <c r="AE125" s="114"/>
      <c r="AF125" s="114"/>
      <c r="AG125" s="114"/>
      <c r="AH125" s="114"/>
      <c r="AI125" s="114"/>
      <c r="AJ125" s="114"/>
      <c r="AK125" s="114"/>
      <c r="AL125" s="114"/>
      <c r="AM125" s="114"/>
      <c r="AN125" s="114"/>
      <c r="AO125" s="114"/>
      <c r="AP125" s="114"/>
      <c r="AQ125" s="617"/>
      <c r="AR125" s="617"/>
      <c r="AS125" s="617"/>
      <c r="AT125" s="617"/>
      <c r="AU125" s="617"/>
      <c r="AV125" s="617"/>
      <c r="AW125" s="617"/>
      <c r="AX125" s="617"/>
      <c r="AY125" s="617"/>
      <c r="AZ125" s="617"/>
      <c r="BA125" s="617"/>
      <c r="BB125" s="617"/>
      <c r="BC125" s="617"/>
      <c r="BD125" s="617"/>
      <c r="BE125" s="617"/>
      <c r="BF125" s="617"/>
      <c r="BG125" s="617"/>
      <c r="BH125" s="617"/>
      <c r="BI125" s="617"/>
      <c r="BJ125" s="617"/>
      <c r="BK125" s="617"/>
      <c r="BL125" s="617"/>
      <c r="BM125" s="617"/>
      <c r="BN125" s="617"/>
      <c r="BO125" s="617"/>
      <c r="BP125" s="617"/>
      <c r="BQ125" s="617"/>
      <c r="BR125" s="617"/>
      <c r="BS125" s="617"/>
      <c r="BT125" s="617"/>
      <c r="BU125" s="617"/>
      <c r="BV125" s="617"/>
      <c r="BW125" s="617"/>
      <c r="BX125" s="617"/>
      <c r="BY125" s="617"/>
      <c r="BZ125" s="617"/>
      <c r="CA125" s="617"/>
      <c r="CB125" s="617"/>
      <c r="CC125" s="617"/>
      <c r="CD125" s="617"/>
      <c r="CE125" s="617"/>
      <c r="CF125" s="617"/>
      <c r="CG125" s="617"/>
      <c r="CH125" s="617"/>
      <c r="CI125" s="617"/>
      <c r="CJ125" s="617"/>
      <c r="CK125" s="617"/>
      <c r="CL125" s="617"/>
      <c r="CM125" s="617"/>
      <c r="CN125" s="617"/>
      <c r="CO125" s="617"/>
      <c r="CP125" s="617"/>
      <c r="CQ125" s="617"/>
      <c r="CR125" s="617"/>
      <c r="CS125" s="617"/>
      <c r="CT125" s="617"/>
      <c r="CU125" s="617"/>
      <c r="CV125" s="617"/>
      <c r="CW125" s="617"/>
      <c r="CX125" s="617"/>
      <c r="CY125" s="617"/>
      <c r="CZ125" s="617"/>
      <c r="DA125" s="617"/>
      <c r="DB125" s="617"/>
      <c r="DC125" s="617"/>
      <c r="DD125" s="617"/>
      <c r="DE125" s="617"/>
      <c r="DF125" s="617"/>
      <c r="DG125" s="617"/>
      <c r="DH125" s="617"/>
      <c r="DI125" s="617"/>
      <c r="DJ125" s="617"/>
      <c r="DK125" s="617"/>
      <c r="DL125" s="617"/>
      <c r="DM125" s="617"/>
      <c r="DN125" s="617"/>
      <c r="DO125" s="617"/>
      <c r="DP125" s="617"/>
      <c r="DQ125" s="617"/>
      <c r="DR125" s="617"/>
      <c r="DS125" s="617"/>
      <c r="DT125" s="617"/>
      <c r="DU125" s="617"/>
      <c r="DV125" s="617"/>
      <c r="DW125" s="617"/>
      <c r="DX125" s="617"/>
      <c r="DY125" s="617"/>
      <c r="DZ125" s="617"/>
      <c r="EA125" s="617"/>
      <c r="EB125" s="617"/>
      <c r="EC125" s="617"/>
      <c r="ED125" s="617"/>
      <c r="EE125" s="617"/>
      <c r="EF125" s="617"/>
      <c r="EG125" s="617"/>
      <c r="EH125" s="617"/>
      <c r="EI125" s="617"/>
      <c r="EJ125" s="617"/>
      <c r="EK125" s="617"/>
      <c r="EL125" s="617"/>
      <c r="EM125" s="617"/>
      <c r="EN125" s="617"/>
      <c r="EO125" s="617"/>
      <c r="EP125" s="617"/>
      <c r="EQ125" s="617"/>
      <c r="ER125" s="617"/>
      <c r="ES125" s="617"/>
      <c r="ET125" s="617"/>
      <c r="EU125" s="617"/>
      <c r="EV125" s="617"/>
      <c r="EW125" s="617"/>
      <c r="EX125" s="617"/>
      <c r="EY125" s="617"/>
      <c r="EZ125" s="617"/>
      <c r="FA125" s="617"/>
      <c r="FB125" s="617"/>
      <c r="FC125" s="617"/>
      <c r="FD125" s="617"/>
      <c r="FE125" s="617"/>
      <c r="FF125" s="617"/>
      <c r="FG125" s="617"/>
      <c r="FH125" s="617"/>
      <c r="FI125" s="617"/>
      <c r="FJ125" s="617"/>
      <c r="FK125" s="617"/>
      <c r="FL125" s="617"/>
      <c r="FM125" s="617"/>
      <c r="FN125" s="617"/>
      <c r="FO125" s="617"/>
      <c r="FP125" s="617"/>
      <c r="FQ125" s="617"/>
      <c r="FR125" s="617"/>
      <c r="FS125" s="617"/>
      <c r="FT125" s="617"/>
      <c r="FU125" s="617"/>
      <c r="FV125" s="617"/>
      <c r="FW125" s="617"/>
      <c r="FX125" s="617"/>
      <c r="FY125" s="617"/>
      <c r="FZ125" s="617"/>
      <c r="GA125" s="617"/>
      <c r="GB125" s="617"/>
      <c r="GC125" s="617"/>
      <c r="GD125" s="617"/>
      <c r="GE125" s="617"/>
      <c r="GF125" s="617"/>
      <c r="GG125" s="617"/>
      <c r="GH125" s="617"/>
      <c r="GI125" s="617"/>
      <c r="GJ125" s="617"/>
      <c r="GK125" s="617"/>
      <c r="GL125" s="617"/>
      <c r="GM125" s="617"/>
      <c r="GN125" s="617"/>
      <c r="GO125" s="617"/>
      <c r="GP125" s="617"/>
      <c r="GQ125" s="617"/>
      <c r="GR125" s="617"/>
      <c r="GS125" s="617"/>
      <c r="GT125" s="617"/>
      <c r="GU125" s="617"/>
      <c r="GV125" s="617"/>
      <c r="GW125" s="617"/>
      <c r="GX125" s="617"/>
      <c r="GY125" s="617"/>
      <c r="GZ125" s="617"/>
      <c r="HA125" s="617"/>
      <c r="HB125" s="617"/>
      <c r="HC125" s="617"/>
      <c r="HD125" s="617"/>
      <c r="HE125" s="617"/>
      <c r="HF125" s="617"/>
      <c r="HG125" s="617"/>
      <c r="HH125" s="617"/>
      <c r="HI125" s="617"/>
      <c r="HJ125" s="617"/>
      <c r="HK125" s="617"/>
      <c r="HL125" s="617"/>
      <c r="HM125" s="617"/>
      <c r="HN125" s="617"/>
      <c r="HO125" s="617"/>
      <c r="HP125" s="617"/>
      <c r="HQ125" s="617"/>
      <c r="HR125" s="617"/>
      <c r="HS125" s="617"/>
      <c r="HT125" s="617"/>
      <c r="HU125" s="617"/>
      <c r="HV125" s="617"/>
      <c r="HW125" s="617"/>
      <c r="HX125" s="617"/>
      <c r="HY125" s="617"/>
      <c r="HZ125" s="617"/>
      <c r="IA125" s="617"/>
      <c r="IB125" s="617"/>
      <c r="IC125" s="617"/>
      <c r="ID125" s="617"/>
      <c r="IE125" s="617"/>
      <c r="IF125" s="617"/>
      <c r="IG125" s="617"/>
      <c r="IH125" s="617"/>
      <c r="II125" s="617"/>
      <c r="IJ125" s="617"/>
      <c r="IK125" s="617"/>
      <c r="IL125" s="617"/>
      <c r="IM125" s="617"/>
      <c r="IN125" s="617"/>
      <c r="IO125" s="617"/>
      <c r="IP125" s="617"/>
      <c r="IQ125" s="617"/>
      <c r="IR125" s="617"/>
      <c r="IS125" s="617"/>
      <c r="IT125" s="617"/>
      <c r="IU125" s="617"/>
      <c r="IV125" s="617"/>
      <c r="IW125" s="617"/>
    </row>
    <row r="126" customFormat="false" ht="11.25" hidden="false" customHeight="false" outlineLevel="0" collapsed="false">
      <c r="A126" s="529"/>
      <c r="B126" s="529"/>
      <c r="C126" s="529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4"/>
      <c r="AK126" s="114"/>
      <c r="AL126" s="114"/>
      <c r="AM126" s="114"/>
      <c r="AN126" s="114"/>
      <c r="AO126" s="114"/>
      <c r="AP126" s="114"/>
      <c r="AQ126" s="528"/>
      <c r="AR126" s="528"/>
      <c r="AS126" s="528"/>
      <c r="AT126" s="528"/>
      <c r="AU126" s="528"/>
      <c r="AV126" s="528"/>
      <c r="AW126" s="528"/>
      <c r="AX126" s="528"/>
      <c r="AY126" s="528"/>
      <c r="AZ126" s="528"/>
      <c r="BA126" s="528"/>
      <c r="BB126" s="528"/>
      <c r="BC126" s="528"/>
      <c r="BD126" s="528"/>
      <c r="BE126" s="528"/>
      <c r="BF126" s="528"/>
      <c r="BG126" s="529"/>
      <c r="BH126" s="529"/>
      <c r="BI126" s="529"/>
      <c r="BJ126" s="529"/>
      <c r="BK126" s="529"/>
      <c r="BL126" s="529"/>
      <c r="BM126" s="529"/>
      <c r="BN126" s="529"/>
      <c r="BO126" s="529"/>
      <c r="BP126" s="529"/>
      <c r="BQ126" s="529"/>
      <c r="BR126" s="529"/>
      <c r="BS126" s="529"/>
      <c r="BT126" s="529"/>
      <c r="BU126" s="529"/>
      <c r="BV126" s="529"/>
      <c r="BW126" s="529"/>
      <c r="BX126" s="529"/>
      <c r="BY126" s="529"/>
      <c r="BZ126" s="529"/>
      <c r="CA126" s="529"/>
      <c r="CB126" s="529"/>
      <c r="CC126" s="529"/>
      <c r="CD126" s="529"/>
      <c r="CE126" s="529"/>
      <c r="CF126" s="529"/>
      <c r="CG126" s="529"/>
      <c r="CH126" s="529"/>
      <c r="CI126" s="529"/>
      <c r="CJ126" s="529"/>
      <c r="CK126" s="529"/>
      <c r="CL126" s="529"/>
      <c r="CM126" s="529"/>
      <c r="CN126" s="529"/>
      <c r="CO126" s="529"/>
      <c r="CP126" s="529"/>
      <c r="CQ126" s="529"/>
      <c r="CR126" s="529"/>
      <c r="CS126" s="529"/>
      <c r="CT126" s="529"/>
      <c r="CU126" s="529"/>
      <c r="CV126" s="529"/>
      <c r="CW126" s="529"/>
      <c r="CX126" s="529"/>
      <c r="CY126" s="529"/>
      <c r="CZ126" s="529"/>
      <c r="DA126" s="529"/>
      <c r="DB126" s="529"/>
      <c r="DC126" s="529"/>
      <c r="DD126" s="529"/>
      <c r="DE126" s="529"/>
      <c r="DF126" s="529"/>
      <c r="DG126" s="529"/>
      <c r="DH126" s="529"/>
      <c r="DI126" s="529"/>
      <c r="DJ126" s="529"/>
      <c r="DK126" s="529"/>
      <c r="DL126" s="529"/>
      <c r="DM126" s="529"/>
      <c r="DN126" s="529"/>
      <c r="DO126" s="529"/>
      <c r="DP126" s="529"/>
      <c r="DQ126" s="529"/>
      <c r="DR126" s="529"/>
      <c r="DS126" s="529"/>
      <c r="DT126" s="529"/>
      <c r="DU126" s="529"/>
      <c r="DV126" s="529"/>
      <c r="DW126" s="529"/>
      <c r="DX126" s="529"/>
      <c r="DY126" s="529"/>
      <c r="DZ126" s="529"/>
      <c r="EA126" s="529"/>
      <c r="EB126" s="529"/>
      <c r="EC126" s="529"/>
      <c r="ED126" s="529"/>
      <c r="EE126" s="529"/>
      <c r="EF126" s="529"/>
      <c r="EG126" s="529"/>
      <c r="EH126" s="529"/>
      <c r="EI126" s="529"/>
      <c r="EJ126" s="529"/>
      <c r="EK126" s="529"/>
      <c r="EL126" s="529"/>
      <c r="EM126" s="529"/>
      <c r="EN126" s="529"/>
      <c r="EO126" s="529"/>
      <c r="EP126" s="529"/>
      <c r="EQ126" s="529"/>
      <c r="ER126" s="529"/>
      <c r="ES126" s="529"/>
      <c r="ET126" s="529"/>
      <c r="EU126" s="529"/>
      <c r="EV126" s="529"/>
      <c r="EW126" s="529"/>
      <c r="EX126" s="529"/>
      <c r="EY126" s="529"/>
      <c r="EZ126" s="529"/>
      <c r="FA126" s="529"/>
      <c r="FB126" s="529"/>
      <c r="FC126" s="529"/>
      <c r="FD126" s="529"/>
      <c r="FE126" s="529"/>
      <c r="FF126" s="529"/>
      <c r="FG126" s="529"/>
      <c r="FH126" s="529"/>
      <c r="FI126" s="529"/>
      <c r="FJ126" s="529"/>
      <c r="FK126" s="529"/>
      <c r="FL126" s="529"/>
      <c r="FM126" s="529"/>
      <c r="FN126" s="529"/>
      <c r="FO126" s="529"/>
      <c r="FP126" s="529"/>
      <c r="FQ126" s="529"/>
      <c r="FR126" s="529"/>
      <c r="FS126" s="529"/>
      <c r="FT126" s="529"/>
      <c r="FU126" s="529"/>
      <c r="FV126" s="529"/>
      <c r="FW126" s="529"/>
      <c r="FX126" s="529"/>
      <c r="FY126" s="529"/>
      <c r="FZ126" s="529"/>
      <c r="GA126" s="529"/>
      <c r="GB126" s="529"/>
      <c r="GC126" s="529"/>
      <c r="GD126" s="529"/>
      <c r="GE126" s="529"/>
      <c r="GF126" s="529"/>
      <c r="GG126" s="529"/>
      <c r="GH126" s="529"/>
      <c r="GI126" s="529"/>
      <c r="GJ126" s="529"/>
      <c r="GK126" s="529"/>
      <c r="GL126" s="529"/>
      <c r="GM126" s="529"/>
      <c r="GN126" s="529"/>
      <c r="GO126" s="529"/>
      <c r="GP126" s="529"/>
      <c r="GQ126" s="529"/>
      <c r="GR126" s="529"/>
      <c r="GS126" s="529"/>
      <c r="GT126" s="529"/>
      <c r="GU126" s="529"/>
      <c r="GV126" s="529"/>
      <c r="GW126" s="529"/>
      <c r="GX126" s="529"/>
      <c r="GY126" s="529"/>
      <c r="GZ126" s="529"/>
      <c r="HA126" s="529"/>
      <c r="HB126" s="529"/>
      <c r="HC126" s="529"/>
      <c r="HD126" s="529"/>
      <c r="HE126" s="529"/>
      <c r="HF126" s="529"/>
      <c r="HG126" s="529"/>
      <c r="HH126" s="529"/>
      <c r="HI126" s="529"/>
      <c r="HJ126" s="529"/>
      <c r="HK126" s="529"/>
      <c r="HL126" s="529"/>
      <c r="HM126" s="529"/>
      <c r="HN126" s="529"/>
      <c r="HO126" s="529"/>
      <c r="HP126" s="529"/>
      <c r="HQ126" s="529"/>
      <c r="HR126" s="529"/>
      <c r="HS126" s="529"/>
      <c r="HT126" s="529"/>
      <c r="HU126" s="529"/>
      <c r="HV126" s="529"/>
      <c r="HW126" s="529"/>
      <c r="HX126" s="529"/>
      <c r="HY126" s="529"/>
      <c r="HZ126" s="529"/>
      <c r="IA126" s="529"/>
      <c r="IB126" s="529"/>
      <c r="IC126" s="529"/>
      <c r="ID126" s="529"/>
      <c r="IE126" s="529"/>
      <c r="IF126" s="529"/>
      <c r="IG126" s="529"/>
      <c r="IH126" s="529"/>
      <c r="II126" s="529"/>
      <c r="IJ126" s="529"/>
      <c r="IK126" s="529"/>
      <c r="IL126" s="529"/>
      <c r="IM126" s="529"/>
      <c r="IN126" s="529"/>
      <c r="IO126" s="529"/>
      <c r="IP126" s="529"/>
      <c r="IQ126" s="529"/>
      <c r="IR126" s="529"/>
      <c r="IS126" s="529"/>
      <c r="IT126" s="529"/>
      <c r="IU126" s="529"/>
      <c r="IV126" s="529"/>
      <c r="IW126" s="529"/>
    </row>
    <row r="127" customFormat="false" ht="11.25" hidden="false" customHeight="false" outlineLevel="0" collapsed="false">
      <c r="A127" s="525"/>
      <c r="B127" s="525"/>
      <c r="C127" s="525"/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  <c r="R127" s="114"/>
      <c r="S127" s="114"/>
      <c r="T127" s="114"/>
      <c r="U127" s="114"/>
      <c r="V127" s="114"/>
      <c r="W127" s="114"/>
      <c r="X127" s="114"/>
      <c r="Y127" s="114"/>
      <c r="Z127" s="114"/>
      <c r="AA127" s="114"/>
      <c r="AB127" s="114"/>
      <c r="AC127" s="114"/>
      <c r="AD127" s="114"/>
      <c r="AE127" s="114"/>
      <c r="AF127" s="114"/>
      <c r="AG127" s="114"/>
      <c r="AH127" s="114"/>
      <c r="AI127" s="114"/>
      <c r="AJ127" s="114"/>
      <c r="AK127" s="114"/>
      <c r="AL127" s="114"/>
      <c r="AM127" s="114"/>
      <c r="AN127" s="114"/>
      <c r="AO127" s="114"/>
      <c r="AP127" s="114"/>
      <c r="AQ127" s="525"/>
      <c r="AR127" s="525"/>
      <c r="AS127" s="525"/>
      <c r="AT127" s="525"/>
      <c r="AU127" s="525"/>
      <c r="AV127" s="525"/>
      <c r="AW127" s="525"/>
      <c r="AX127" s="525"/>
      <c r="AY127" s="525"/>
      <c r="AZ127" s="525"/>
      <c r="BA127" s="525"/>
      <c r="BB127" s="525"/>
      <c r="BC127" s="525"/>
      <c r="BD127" s="525"/>
      <c r="BE127" s="525"/>
      <c r="BF127" s="525"/>
      <c r="BG127" s="525"/>
      <c r="BH127" s="525"/>
      <c r="BI127" s="525"/>
      <c r="BJ127" s="525"/>
      <c r="BK127" s="525"/>
      <c r="BL127" s="525"/>
      <c r="BM127" s="525"/>
      <c r="BN127" s="525"/>
      <c r="BO127" s="525"/>
      <c r="BP127" s="525"/>
      <c r="BQ127" s="525"/>
      <c r="BR127" s="525"/>
      <c r="BS127" s="525"/>
      <c r="BT127" s="525"/>
      <c r="BU127" s="525"/>
      <c r="BV127" s="525"/>
      <c r="BW127" s="525"/>
      <c r="BX127" s="525"/>
      <c r="BY127" s="525"/>
      <c r="BZ127" s="525"/>
      <c r="CA127" s="525"/>
      <c r="CB127" s="525"/>
      <c r="CC127" s="525"/>
      <c r="CD127" s="525"/>
      <c r="CE127" s="525"/>
      <c r="CF127" s="525"/>
      <c r="CG127" s="525"/>
      <c r="CH127" s="525"/>
      <c r="CI127" s="525"/>
      <c r="CJ127" s="525"/>
      <c r="CK127" s="525"/>
      <c r="CL127" s="525"/>
      <c r="CM127" s="525"/>
      <c r="CN127" s="525"/>
      <c r="CO127" s="525"/>
      <c r="CP127" s="525"/>
      <c r="CQ127" s="525"/>
      <c r="CR127" s="525"/>
      <c r="CS127" s="525"/>
      <c r="CT127" s="525"/>
      <c r="CU127" s="525"/>
      <c r="CV127" s="525"/>
      <c r="CW127" s="525"/>
      <c r="CX127" s="525"/>
      <c r="CY127" s="525"/>
      <c r="CZ127" s="525"/>
      <c r="DA127" s="525"/>
      <c r="DB127" s="525"/>
      <c r="DC127" s="525"/>
      <c r="DD127" s="525"/>
      <c r="DE127" s="525"/>
      <c r="DF127" s="525"/>
      <c r="DG127" s="525"/>
      <c r="DH127" s="525"/>
      <c r="DI127" s="525"/>
      <c r="DJ127" s="525"/>
      <c r="DK127" s="525"/>
      <c r="DL127" s="525"/>
      <c r="DM127" s="525"/>
      <c r="DN127" s="525"/>
      <c r="DO127" s="525"/>
      <c r="DP127" s="525"/>
      <c r="DQ127" s="525"/>
      <c r="DR127" s="525"/>
      <c r="DS127" s="525"/>
      <c r="DT127" s="525"/>
      <c r="DU127" s="525"/>
      <c r="DV127" s="525"/>
      <c r="DW127" s="525"/>
      <c r="DX127" s="525"/>
      <c r="DY127" s="525"/>
      <c r="DZ127" s="525"/>
      <c r="EA127" s="525"/>
      <c r="EB127" s="525"/>
      <c r="EC127" s="525"/>
      <c r="ED127" s="525"/>
      <c r="EE127" s="525"/>
      <c r="EF127" s="525"/>
      <c r="EG127" s="525"/>
      <c r="EH127" s="525"/>
      <c r="EI127" s="525"/>
      <c r="EJ127" s="525"/>
      <c r="EK127" s="525"/>
      <c r="EL127" s="525"/>
      <c r="EM127" s="525"/>
      <c r="EN127" s="525"/>
      <c r="EO127" s="525"/>
      <c r="EP127" s="525"/>
      <c r="EQ127" s="525"/>
      <c r="ER127" s="525"/>
      <c r="ES127" s="525"/>
      <c r="ET127" s="525"/>
      <c r="EU127" s="525"/>
      <c r="EV127" s="525"/>
      <c r="EW127" s="525"/>
      <c r="EX127" s="525"/>
      <c r="EY127" s="525"/>
      <c r="EZ127" s="525"/>
      <c r="FA127" s="525"/>
      <c r="FB127" s="525"/>
      <c r="FC127" s="525"/>
      <c r="FD127" s="525"/>
      <c r="FE127" s="525"/>
      <c r="FF127" s="525"/>
      <c r="FG127" s="525"/>
      <c r="FH127" s="525"/>
      <c r="FI127" s="525"/>
      <c r="FJ127" s="525"/>
      <c r="FK127" s="525"/>
      <c r="FL127" s="525"/>
      <c r="FM127" s="525"/>
      <c r="FN127" s="525"/>
      <c r="FO127" s="525"/>
      <c r="FP127" s="525"/>
      <c r="FQ127" s="525"/>
      <c r="FR127" s="525"/>
      <c r="FS127" s="525"/>
      <c r="FT127" s="525"/>
      <c r="FU127" s="525"/>
      <c r="FV127" s="525"/>
      <c r="FW127" s="525"/>
      <c r="FX127" s="525"/>
      <c r="FY127" s="525"/>
      <c r="FZ127" s="525"/>
      <c r="GA127" s="525"/>
      <c r="GB127" s="525"/>
      <c r="GC127" s="525"/>
      <c r="GD127" s="525"/>
      <c r="GE127" s="525"/>
      <c r="GF127" s="525"/>
      <c r="GG127" s="525"/>
      <c r="GH127" s="525"/>
      <c r="GI127" s="525"/>
      <c r="GJ127" s="525"/>
      <c r="GK127" s="525"/>
      <c r="GL127" s="525"/>
      <c r="GM127" s="525"/>
      <c r="GN127" s="525"/>
      <c r="GO127" s="525"/>
      <c r="GP127" s="525"/>
      <c r="GQ127" s="525"/>
      <c r="GR127" s="525"/>
      <c r="GS127" s="525"/>
      <c r="GT127" s="525"/>
      <c r="GU127" s="525"/>
      <c r="GV127" s="525"/>
      <c r="GW127" s="525"/>
      <c r="GX127" s="525"/>
      <c r="GY127" s="525"/>
      <c r="GZ127" s="525"/>
      <c r="HA127" s="525"/>
      <c r="HB127" s="525"/>
      <c r="HC127" s="525"/>
      <c r="HD127" s="525"/>
      <c r="HE127" s="525"/>
      <c r="HF127" s="525"/>
      <c r="HG127" s="525"/>
      <c r="HH127" s="525"/>
      <c r="HI127" s="525"/>
      <c r="HJ127" s="525"/>
      <c r="HK127" s="525"/>
      <c r="HL127" s="525"/>
      <c r="HM127" s="525"/>
      <c r="HN127" s="525"/>
      <c r="HO127" s="525"/>
      <c r="HP127" s="525"/>
      <c r="HQ127" s="525"/>
      <c r="HR127" s="525"/>
      <c r="HS127" s="525"/>
      <c r="HT127" s="525"/>
      <c r="HU127" s="525"/>
      <c r="HV127" s="525"/>
      <c r="HW127" s="525"/>
      <c r="HX127" s="525"/>
      <c r="HY127" s="525"/>
      <c r="HZ127" s="525"/>
      <c r="IA127" s="525"/>
      <c r="IB127" s="525"/>
      <c r="IC127" s="525"/>
      <c r="ID127" s="525"/>
      <c r="IE127" s="525"/>
      <c r="IF127" s="525"/>
      <c r="IG127" s="525"/>
      <c r="IH127" s="525"/>
      <c r="II127" s="525"/>
      <c r="IJ127" s="525"/>
      <c r="IK127" s="525"/>
      <c r="IL127" s="525"/>
      <c r="IM127" s="525"/>
      <c r="IN127" s="525"/>
      <c r="IO127" s="525"/>
      <c r="IP127" s="525"/>
      <c r="IQ127" s="525"/>
      <c r="IR127" s="525"/>
      <c r="IS127" s="525"/>
      <c r="IT127" s="525"/>
      <c r="IU127" s="525"/>
      <c r="IV127" s="525"/>
      <c r="IW127" s="525"/>
    </row>
    <row r="128" customFormat="false" ht="11.25" hidden="false" customHeight="false" outlineLevel="0" collapsed="false">
      <c r="A128" s="533"/>
      <c r="B128" s="533"/>
      <c r="C128" s="533"/>
      <c r="D128" s="114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  <c r="R128" s="114"/>
      <c r="S128" s="114"/>
      <c r="T128" s="114"/>
      <c r="U128" s="114"/>
      <c r="V128" s="114"/>
      <c r="W128" s="114"/>
      <c r="X128" s="114"/>
      <c r="Y128" s="114"/>
      <c r="Z128" s="114"/>
      <c r="AA128" s="114"/>
      <c r="AB128" s="114"/>
      <c r="AC128" s="114"/>
      <c r="AD128" s="114"/>
      <c r="AE128" s="114"/>
      <c r="AF128" s="114"/>
      <c r="AG128" s="114"/>
      <c r="AH128" s="114"/>
      <c r="AI128" s="114"/>
      <c r="AJ128" s="114"/>
      <c r="AK128" s="114"/>
      <c r="AL128" s="114"/>
      <c r="AM128" s="114"/>
      <c r="AN128" s="114"/>
      <c r="AO128" s="114"/>
      <c r="AP128" s="114"/>
      <c r="AQ128" s="534"/>
      <c r="AR128" s="534"/>
      <c r="AS128" s="534"/>
      <c r="AT128" s="534"/>
      <c r="AU128" s="534"/>
      <c r="AV128" s="533"/>
      <c r="AW128" s="533"/>
      <c r="AX128" s="533"/>
      <c r="AY128" s="533"/>
      <c r="AZ128" s="533"/>
      <c r="BA128" s="533"/>
      <c r="BB128" s="533"/>
      <c r="BC128" s="533"/>
      <c r="BD128" s="533"/>
      <c r="BE128" s="533"/>
      <c r="BF128" s="533"/>
      <c r="BG128" s="533"/>
      <c r="BH128" s="533"/>
      <c r="BI128" s="533"/>
      <c r="BJ128" s="533"/>
      <c r="BK128" s="533"/>
      <c r="BL128" s="533"/>
      <c r="BM128" s="533"/>
      <c r="BN128" s="533"/>
      <c r="BO128" s="533"/>
      <c r="BP128" s="533"/>
      <c r="BQ128" s="533"/>
      <c r="BR128" s="533"/>
      <c r="BS128" s="533"/>
      <c r="BT128" s="533"/>
      <c r="BU128" s="533"/>
      <c r="BV128" s="533"/>
      <c r="BW128" s="533"/>
      <c r="BX128" s="533"/>
      <c r="BY128" s="533"/>
      <c r="BZ128" s="533"/>
      <c r="CA128" s="533"/>
      <c r="CB128" s="533"/>
      <c r="CC128" s="533"/>
      <c r="CD128" s="533"/>
      <c r="CE128" s="533"/>
      <c r="CF128" s="533"/>
      <c r="CG128" s="533"/>
      <c r="CH128" s="533"/>
      <c r="CI128" s="533"/>
      <c r="CJ128" s="533"/>
      <c r="CK128" s="533"/>
      <c r="CL128" s="533"/>
      <c r="CM128" s="533"/>
      <c r="CN128" s="533"/>
      <c r="CO128" s="533"/>
      <c r="CP128" s="533"/>
      <c r="CQ128" s="533"/>
      <c r="CR128" s="533"/>
      <c r="CS128" s="533"/>
      <c r="CT128" s="533"/>
      <c r="CU128" s="533"/>
      <c r="CV128" s="533"/>
      <c r="CW128" s="533"/>
      <c r="CX128" s="533"/>
      <c r="CY128" s="533"/>
      <c r="CZ128" s="533"/>
      <c r="DA128" s="533"/>
      <c r="DB128" s="533"/>
      <c r="DC128" s="533"/>
      <c r="DD128" s="533"/>
      <c r="DE128" s="533"/>
      <c r="DF128" s="533"/>
      <c r="DG128" s="533"/>
      <c r="DH128" s="533"/>
      <c r="DI128" s="533"/>
      <c r="DJ128" s="533"/>
      <c r="DK128" s="533"/>
      <c r="DL128" s="533"/>
      <c r="DM128" s="533"/>
      <c r="DN128" s="533"/>
      <c r="DO128" s="533"/>
      <c r="DP128" s="533"/>
      <c r="DQ128" s="533"/>
      <c r="DR128" s="533"/>
      <c r="DS128" s="533"/>
      <c r="DT128" s="533"/>
      <c r="DU128" s="533"/>
      <c r="DV128" s="533"/>
      <c r="DW128" s="533"/>
      <c r="DX128" s="533"/>
      <c r="DY128" s="533"/>
      <c r="DZ128" s="533"/>
      <c r="EA128" s="533"/>
      <c r="EB128" s="533"/>
      <c r="EC128" s="533"/>
      <c r="ED128" s="533"/>
      <c r="EE128" s="533"/>
      <c r="EF128" s="533"/>
      <c r="EG128" s="533"/>
      <c r="EH128" s="533"/>
      <c r="EI128" s="533"/>
      <c r="EJ128" s="533"/>
      <c r="EK128" s="533"/>
      <c r="EL128" s="533"/>
      <c r="EM128" s="533"/>
      <c r="EN128" s="533"/>
      <c r="EO128" s="533"/>
      <c r="EP128" s="533"/>
      <c r="EQ128" s="533"/>
      <c r="ER128" s="533"/>
      <c r="ES128" s="533"/>
      <c r="ET128" s="533"/>
      <c r="EU128" s="533"/>
      <c r="EV128" s="533"/>
      <c r="EW128" s="533"/>
      <c r="EX128" s="533"/>
      <c r="EY128" s="533"/>
      <c r="EZ128" s="533"/>
      <c r="FA128" s="533"/>
      <c r="FB128" s="533"/>
      <c r="FC128" s="533"/>
      <c r="FD128" s="533"/>
      <c r="FE128" s="533"/>
      <c r="FF128" s="533"/>
      <c r="FG128" s="533"/>
      <c r="FH128" s="533"/>
      <c r="FI128" s="533"/>
      <c r="FJ128" s="533"/>
      <c r="FK128" s="533"/>
      <c r="FL128" s="533"/>
      <c r="FM128" s="533"/>
      <c r="FN128" s="533"/>
      <c r="FO128" s="533"/>
      <c r="FP128" s="533"/>
      <c r="FQ128" s="533"/>
      <c r="FR128" s="533"/>
      <c r="FS128" s="533"/>
      <c r="FT128" s="533"/>
      <c r="FU128" s="533"/>
      <c r="FV128" s="533"/>
      <c r="FW128" s="533"/>
      <c r="FX128" s="533"/>
      <c r="FY128" s="533"/>
      <c r="FZ128" s="533"/>
      <c r="GA128" s="533"/>
      <c r="GB128" s="533"/>
      <c r="GC128" s="533"/>
      <c r="GD128" s="533"/>
      <c r="GE128" s="533"/>
      <c r="GF128" s="533"/>
      <c r="GG128" s="533"/>
      <c r="GH128" s="533"/>
      <c r="GI128" s="533"/>
      <c r="GJ128" s="533"/>
      <c r="GK128" s="533"/>
      <c r="GL128" s="533"/>
      <c r="GM128" s="533"/>
      <c r="GN128" s="533"/>
      <c r="GO128" s="533"/>
      <c r="GP128" s="533"/>
      <c r="GQ128" s="533"/>
      <c r="GR128" s="533"/>
      <c r="GS128" s="533"/>
      <c r="GT128" s="533"/>
      <c r="GU128" s="533"/>
      <c r="GV128" s="533"/>
      <c r="GW128" s="533"/>
      <c r="GX128" s="533"/>
      <c r="GY128" s="533"/>
      <c r="GZ128" s="533"/>
      <c r="HA128" s="533"/>
      <c r="HB128" s="533"/>
      <c r="HC128" s="533"/>
      <c r="HD128" s="533"/>
      <c r="HE128" s="533"/>
      <c r="HF128" s="533"/>
      <c r="HG128" s="533"/>
      <c r="HH128" s="533"/>
      <c r="HI128" s="533"/>
      <c r="HJ128" s="533"/>
      <c r="HK128" s="533"/>
      <c r="HL128" s="533"/>
      <c r="HM128" s="533"/>
      <c r="HN128" s="533"/>
      <c r="HO128" s="533"/>
      <c r="HP128" s="533"/>
      <c r="HQ128" s="533"/>
      <c r="HR128" s="533"/>
      <c r="HS128" s="533"/>
      <c r="HT128" s="533"/>
      <c r="HU128" s="533"/>
      <c r="HV128" s="533"/>
      <c r="HW128" s="533"/>
      <c r="HX128" s="533"/>
      <c r="HY128" s="533"/>
      <c r="HZ128" s="533"/>
      <c r="IA128" s="533"/>
      <c r="IB128" s="533"/>
      <c r="IC128" s="533"/>
      <c r="ID128" s="533"/>
      <c r="IE128" s="533"/>
      <c r="IF128" s="533"/>
      <c r="IG128" s="533"/>
      <c r="IH128" s="533"/>
      <c r="II128" s="533"/>
      <c r="IJ128" s="533"/>
      <c r="IK128" s="533"/>
      <c r="IL128" s="533"/>
      <c r="IM128" s="533"/>
      <c r="IN128" s="533"/>
      <c r="IO128" s="533"/>
      <c r="IP128" s="533"/>
      <c r="IQ128" s="533"/>
      <c r="IR128" s="533"/>
      <c r="IS128" s="533"/>
      <c r="IT128" s="533"/>
      <c r="IU128" s="533"/>
      <c r="IV128" s="533"/>
      <c r="IW128" s="533"/>
    </row>
    <row r="129" customFormat="false" ht="11.25" hidden="false" customHeight="false" outlineLevel="0" collapsed="false">
      <c r="A129" s="533"/>
      <c r="B129" s="533"/>
      <c r="C129" s="533"/>
      <c r="D129" s="114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  <c r="R129" s="114"/>
      <c r="S129" s="114"/>
      <c r="T129" s="114"/>
      <c r="U129" s="114"/>
      <c r="V129" s="114"/>
      <c r="W129" s="114"/>
      <c r="X129" s="114"/>
      <c r="Y129" s="114"/>
      <c r="Z129" s="114"/>
      <c r="AA129" s="114"/>
      <c r="AB129" s="114"/>
      <c r="AC129" s="114"/>
      <c r="AD129" s="114"/>
      <c r="AE129" s="114"/>
      <c r="AF129" s="114"/>
      <c r="AG129" s="114"/>
      <c r="AH129" s="114"/>
      <c r="AI129" s="114"/>
      <c r="AJ129" s="114"/>
      <c r="AK129" s="114"/>
      <c r="AL129" s="114"/>
      <c r="AM129" s="114"/>
      <c r="AN129" s="114"/>
      <c r="AO129" s="114"/>
      <c r="AP129" s="114"/>
      <c r="AQ129" s="534"/>
      <c r="AR129" s="534"/>
      <c r="AS129" s="534"/>
      <c r="AT129" s="534"/>
      <c r="AU129" s="534"/>
      <c r="AV129" s="533"/>
      <c r="AW129" s="533"/>
      <c r="AX129" s="533"/>
      <c r="AY129" s="533"/>
      <c r="AZ129" s="533"/>
      <c r="BA129" s="533"/>
      <c r="BB129" s="533"/>
      <c r="BC129" s="533"/>
      <c r="BD129" s="533"/>
      <c r="BE129" s="533"/>
      <c r="BF129" s="533"/>
      <c r="BG129" s="533"/>
      <c r="BH129" s="533"/>
      <c r="BI129" s="533"/>
      <c r="BJ129" s="533"/>
      <c r="BK129" s="533"/>
      <c r="BL129" s="533"/>
      <c r="BM129" s="533"/>
      <c r="BN129" s="533"/>
      <c r="BO129" s="533"/>
      <c r="BP129" s="533"/>
      <c r="BQ129" s="533"/>
      <c r="BR129" s="533"/>
      <c r="BS129" s="533"/>
      <c r="BT129" s="533"/>
      <c r="BU129" s="533"/>
      <c r="BV129" s="533"/>
      <c r="BW129" s="533"/>
      <c r="BX129" s="533"/>
      <c r="BY129" s="533"/>
      <c r="BZ129" s="533"/>
      <c r="CA129" s="533"/>
      <c r="CB129" s="533"/>
      <c r="CC129" s="533"/>
      <c r="CD129" s="533"/>
      <c r="CE129" s="533"/>
      <c r="CF129" s="533"/>
      <c r="CG129" s="533"/>
      <c r="CH129" s="533"/>
      <c r="CI129" s="533"/>
      <c r="CJ129" s="533"/>
      <c r="CK129" s="533"/>
      <c r="CL129" s="533"/>
      <c r="CM129" s="533"/>
      <c r="CN129" s="533"/>
      <c r="CO129" s="533"/>
      <c r="CP129" s="533"/>
      <c r="CQ129" s="533"/>
      <c r="CR129" s="533"/>
      <c r="CS129" s="533"/>
      <c r="CT129" s="533"/>
      <c r="CU129" s="533"/>
      <c r="CV129" s="533"/>
      <c r="CW129" s="533"/>
      <c r="CX129" s="533"/>
      <c r="CY129" s="533"/>
      <c r="CZ129" s="533"/>
      <c r="DA129" s="533"/>
      <c r="DB129" s="533"/>
      <c r="DC129" s="533"/>
      <c r="DD129" s="533"/>
      <c r="DE129" s="533"/>
      <c r="DF129" s="533"/>
      <c r="DG129" s="533"/>
      <c r="DH129" s="533"/>
      <c r="DI129" s="533"/>
      <c r="DJ129" s="533"/>
      <c r="DK129" s="533"/>
      <c r="DL129" s="533"/>
      <c r="DM129" s="533"/>
      <c r="DN129" s="533"/>
      <c r="DO129" s="533"/>
      <c r="DP129" s="533"/>
      <c r="DQ129" s="533"/>
      <c r="DR129" s="533"/>
      <c r="DS129" s="533"/>
      <c r="DT129" s="533"/>
      <c r="DU129" s="533"/>
      <c r="DV129" s="533"/>
      <c r="DW129" s="533"/>
      <c r="DX129" s="533"/>
      <c r="DY129" s="533"/>
      <c r="DZ129" s="533"/>
      <c r="EA129" s="533"/>
      <c r="EB129" s="533"/>
      <c r="EC129" s="533"/>
      <c r="ED129" s="533"/>
      <c r="EE129" s="533"/>
      <c r="EF129" s="533"/>
      <c r="EG129" s="533"/>
      <c r="EH129" s="533"/>
      <c r="EI129" s="533"/>
      <c r="EJ129" s="533"/>
      <c r="EK129" s="533"/>
      <c r="EL129" s="533"/>
      <c r="EM129" s="533"/>
      <c r="EN129" s="533"/>
      <c r="EO129" s="533"/>
      <c r="EP129" s="533"/>
      <c r="EQ129" s="533"/>
      <c r="ER129" s="533"/>
      <c r="ES129" s="533"/>
      <c r="ET129" s="533"/>
      <c r="EU129" s="533"/>
      <c r="EV129" s="533"/>
      <c r="EW129" s="533"/>
      <c r="EX129" s="533"/>
      <c r="EY129" s="533"/>
      <c r="EZ129" s="533"/>
      <c r="FA129" s="533"/>
      <c r="FB129" s="533"/>
      <c r="FC129" s="533"/>
      <c r="FD129" s="533"/>
      <c r="FE129" s="533"/>
      <c r="FF129" s="533"/>
      <c r="FG129" s="533"/>
      <c r="FH129" s="533"/>
      <c r="FI129" s="533"/>
      <c r="FJ129" s="533"/>
      <c r="FK129" s="533"/>
      <c r="FL129" s="533"/>
      <c r="FM129" s="533"/>
      <c r="FN129" s="533"/>
      <c r="FO129" s="533"/>
      <c r="FP129" s="533"/>
      <c r="FQ129" s="533"/>
      <c r="FR129" s="533"/>
      <c r="FS129" s="533"/>
      <c r="FT129" s="533"/>
      <c r="FU129" s="533"/>
      <c r="FV129" s="533"/>
      <c r="FW129" s="533"/>
      <c r="FX129" s="533"/>
      <c r="FY129" s="533"/>
      <c r="FZ129" s="533"/>
      <c r="GA129" s="533"/>
      <c r="GB129" s="533"/>
      <c r="GC129" s="533"/>
      <c r="GD129" s="533"/>
      <c r="GE129" s="533"/>
      <c r="GF129" s="533"/>
      <c r="GG129" s="533"/>
      <c r="GH129" s="533"/>
      <c r="GI129" s="533"/>
      <c r="GJ129" s="533"/>
      <c r="GK129" s="533"/>
      <c r="GL129" s="533"/>
      <c r="GM129" s="533"/>
      <c r="GN129" s="533"/>
      <c r="GO129" s="533"/>
      <c r="GP129" s="533"/>
      <c r="GQ129" s="533"/>
      <c r="GR129" s="533"/>
      <c r="GS129" s="533"/>
      <c r="GT129" s="533"/>
      <c r="GU129" s="533"/>
      <c r="GV129" s="533"/>
      <c r="GW129" s="533"/>
      <c r="GX129" s="533"/>
      <c r="GY129" s="533"/>
      <c r="GZ129" s="533"/>
      <c r="HA129" s="533"/>
      <c r="HB129" s="533"/>
      <c r="HC129" s="533"/>
      <c r="HD129" s="533"/>
      <c r="HE129" s="533"/>
      <c r="HF129" s="533"/>
      <c r="HG129" s="533"/>
      <c r="HH129" s="533"/>
      <c r="HI129" s="533"/>
      <c r="HJ129" s="533"/>
      <c r="HK129" s="533"/>
      <c r="HL129" s="533"/>
      <c r="HM129" s="533"/>
      <c r="HN129" s="533"/>
      <c r="HO129" s="533"/>
      <c r="HP129" s="533"/>
      <c r="HQ129" s="533"/>
      <c r="HR129" s="533"/>
      <c r="HS129" s="533"/>
      <c r="HT129" s="533"/>
      <c r="HU129" s="533"/>
      <c r="HV129" s="533"/>
      <c r="HW129" s="533"/>
      <c r="HX129" s="533"/>
      <c r="HY129" s="533"/>
      <c r="HZ129" s="533"/>
      <c r="IA129" s="533"/>
      <c r="IB129" s="533"/>
      <c r="IC129" s="533"/>
      <c r="ID129" s="533"/>
      <c r="IE129" s="533"/>
      <c r="IF129" s="533"/>
      <c r="IG129" s="533"/>
      <c r="IH129" s="533"/>
      <c r="II129" s="533"/>
      <c r="IJ129" s="533"/>
      <c r="IK129" s="533"/>
      <c r="IL129" s="533"/>
      <c r="IM129" s="533"/>
      <c r="IN129" s="533"/>
      <c r="IO129" s="533"/>
      <c r="IP129" s="533"/>
      <c r="IQ129" s="533"/>
      <c r="IR129" s="533"/>
      <c r="IS129" s="533"/>
      <c r="IT129" s="533"/>
      <c r="IU129" s="533"/>
      <c r="IV129" s="533"/>
      <c r="IW129" s="533"/>
    </row>
    <row r="130" customFormat="false" ht="11.25" hidden="false" customHeight="false" outlineLevel="0" collapsed="false">
      <c r="A130" s="533"/>
      <c r="B130" s="533"/>
      <c r="C130" s="533"/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4"/>
      <c r="Z130" s="114"/>
      <c r="AA130" s="114"/>
      <c r="AB130" s="114"/>
      <c r="AC130" s="114"/>
      <c r="AD130" s="114"/>
      <c r="AE130" s="114"/>
      <c r="AF130" s="114"/>
      <c r="AG130" s="114"/>
      <c r="AH130" s="114"/>
      <c r="AI130" s="114"/>
      <c r="AJ130" s="114"/>
      <c r="AK130" s="114"/>
      <c r="AL130" s="114"/>
      <c r="AM130" s="114"/>
      <c r="AN130" s="114"/>
      <c r="AO130" s="114"/>
      <c r="AP130" s="114"/>
      <c r="AQ130" s="534"/>
      <c r="AR130" s="534"/>
      <c r="AS130" s="534"/>
      <c r="AT130" s="534"/>
      <c r="AU130" s="534"/>
      <c r="AV130" s="533"/>
      <c r="AW130" s="533"/>
      <c r="AX130" s="533"/>
      <c r="AY130" s="533"/>
      <c r="AZ130" s="533"/>
      <c r="BA130" s="533"/>
      <c r="BB130" s="533"/>
      <c r="BC130" s="533"/>
      <c r="BD130" s="533"/>
      <c r="BE130" s="533"/>
      <c r="BF130" s="533"/>
      <c r="BG130" s="533"/>
      <c r="BH130" s="533"/>
      <c r="BI130" s="533"/>
      <c r="BJ130" s="533"/>
      <c r="BK130" s="533"/>
      <c r="BL130" s="533"/>
      <c r="BM130" s="533"/>
      <c r="BN130" s="533"/>
      <c r="BO130" s="533"/>
      <c r="BP130" s="533"/>
      <c r="BQ130" s="533"/>
      <c r="BR130" s="533"/>
      <c r="BS130" s="533"/>
      <c r="BT130" s="533"/>
      <c r="BU130" s="533"/>
      <c r="BV130" s="533"/>
      <c r="BW130" s="533"/>
      <c r="BX130" s="533"/>
      <c r="BY130" s="533"/>
      <c r="BZ130" s="533"/>
      <c r="CA130" s="533"/>
      <c r="CB130" s="533"/>
      <c r="CC130" s="533"/>
      <c r="CD130" s="533"/>
      <c r="CE130" s="533"/>
      <c r="CF130" s="533"/>
      <c r="CG130" s="533"/>
      <c r="CH130" s="533"/>
      <c r="CI130" s="533"/>
      <c r="CJ130" s="533"/>
      <c r="CK130" s="533"/>
      <c r="CL130" s="533"/>
      <c r="CM130" s="533"/>
      <c r="CN130" s="533"/>
      <c r="CO130" s="533"/>
      <c r="CP130" s="533"/>
      <c r="CQ130" s="533"/>
      <c r="CR130" s="533"/>
      <c r="CS130" s="533"/>
      <c r="CT130" s="533"/>
      <c r="CU130" s="533"/>
      <c r="CV130" s="533"/>
      <c r="CW130" s="533"/>
      <c r="CX130" s="533"/>
      <c r="CY130" s="533"/>
      <c r="CZ130" s="533"/>
      <c r="DA130" s="533"/>
      <c r="DB130" s="533"/>
      <c r="DC130" s="533"/>
      <c r="DD130" s="533"/>
      <c r="DE130" s="533"/>
      <c r="DF130" s="533"/>
      <c r="DG130" s="533"/>
      <c r="DH130" s="533"/>
      <c r="DI130" s="533"/>
      <c r="DJ130" s="533"/>
      <c r="DK130" s="533"/>
      <c r="DL130" s="533"/>
      <c r="DM130" s="533"/>
      <c r="DN130" s="533"/>
      <c r="DO130" s="533"/>
      <c r="DP130" s="533"/>
      <c r="DQ130" s="533"/>
      <c r="DR130" s="533"/>
      <c r="DS130" s="533"/>
      <c r="DT130" s="533"/>
      <c r="DU130" s="533"/>
      <c r="DV130" s="533"/>
      <c r="DW130" s="533"/>
      <c r="DX130" s="533"/>
      <c r="DY130" s="533"/>
      <c r="DZ130" s="533"/>
      <c r="EA130" s="533"/>
      <c r="EB130" s="533"/>
      <c r="EC130" s="533"/>
      <c r="ED130" s="533"/>
      <c r="EE130" s="533"/>
      <c r="EF130" s="533"/>
      <c r="EG130" s="533"/>
      <c r="EH130" s="533"/>
      <c r="EI130" s="533"/>
      <c r="EJ130" s="533"/>
      <c r="EK130" s="533"/>
      <c r="EL130" s="533"/>
      <c r="EM130" s="533"/>
      <c r="EN130" s="533"/>
      <c r="EO130" s="533"/>
      <c r="EP130" s="533"/>
      <c r="EQ130" s="533"/>
      <c r="ER130" s="533"/>
      <c r="ES130" s="533"/>
      <c r="ET130" s="533"/>
      <c r="EU130" s="533"/>
      <c r="EV130" s="533"/>
      <c r="EW130" s="533"/>
      <c r="EX130" s="533"/>
      <c r="EY130" s="533"/>
      <c r="EZ130" s="533"/>
      <c r="FA130" s="533"/>
      <c r="FB130" s="533"/>
      <c r="FC130" s="533"/>
      <c r="FD130" s="533"/>
      <c r="FE130" s="533"/>
      <c r="FF130" s="533"/>
      <c r="FG130" s="533"/>
      <c r="FH130" s="533"/>
      <c r="FI130" s="533"/>
      <c r="FJ130" s="533"/>
      <c r="FK130" s="533"/>
      <c r="FL130" s="533"/>
      <c r="FM130" s="533"/>
      <c r="FN130" s="533"/>
      <c r="FO130" s="533"/>
      <c r="FP130" s="533"/>
      <c r="FQ130" s="533"/>
      <c r="FR130" s="533"/>
      <c r="FS130" s="533"/>
      <c r="FT130" s="533"/>
      <c r="FU130" s="533"/>
      <c r="FV130" s="533"/>
      <c r="FW130" s="533"/>
      <c r="FX130" s="533"/>
      <c r="FY130" s="533"/>
      <c r="FZ130" s="533"/>
      <c r="GA130" s="533"/>
      <c r="GB130" s="533"/>
      <c r="GC130" s="533"/>
      <c r="GD130" s="533"/>
      <c r="GE130" s="533"/>
      <c r="GF130" s="533"/>
      <c r="GG130" s="533"/>
      <c r="GH130" s="533"/>
      <c r="GI130" s="533"/>
      <c r="GJ130" s="533"/>
      <c r="GK130" s="533"/>
      <c r="GL130" s="533"/>
      <c r="GM130" s="533"/>
      <c r="GN130" s="533"/>
      <c r="GO130" s="533"/>
      <c r="GP130" s="533"/>
      <c r="GQ130" s="533"/>
      <c r="GR130" s="533"/>
      <c r="GS130" s="533"/>
      <c r="GT130" s="533"/>
      <c r="GU130" s="533"/>
      <c r="GV130" s="533"/>
      <c r="GW130" s="533"/>
      <c r="GX130" s="533"/>
      <c r="GY130" s="533"/>
      <c r="GZ130" s="533"/>
      <c r="HA130" s="533"/>
      <c r="HB130" s="533"/>
      <c r="HC130" s="533"/>
      <c r="HD130" s="533"/>
      <c r="HE130" s="533"/>
      <c r="HF130" s="533"/>
      <c r="HG130" s="533"/>
      <c r="HH130" s="533"/>
      <c r="HI130" s="533"/>
      <c r="HJ130" s="533"/>
      <c r="HK130" s="533"/>
      <c r="HL130" s="533"/>
      <c r="HM130" s="533"/>
      <c r="HN130" s="533"/>
      <c r="HO130" s="533"/>
      <c r="HP130" s="533"/>
      <c r="HQ130" s="533"/>
      <c r="HR130" s="533"/>
      <c r="HS130" s="533"/>
      <c r="HT130" s="533"/>
      <c r="HU130" s="533"/>
      <c r="HV130" s="533"/>
      <c r="HW130" s="533"/>
      <c r="HX130" s="533"/>
      <c r="HY130" s="533"/>
      <c r="HZ130" s="533"/>
      <c r="IA130" s="533"/>
      <c r="IB130" s="533"/>
      <c r="IC130" s="533"/>
      <c r="ID130" s="533"/>
      <c r="IE130" s="533"/>
      <c r="IF130" s="533"/>
      <c r="IG130" s="533"/>
      <c r="IH130" s="533"/>
      <c r="II130" s="533"/>
      <c r="IJ130" s="533"/>
      <c r="IK130" s="533"/>
      <c r="IL130" s="533"/>
      <c r="IM130" s="533"/>
      <c r="IN130" s="533"/>
      <c r="IO130" s="533"/>
      <c r="IP130" s="533"/>
      <c r="IQ130" s="533"/>
      <c r="IR130" s="533"/>
      <c r="IS130" s="533"/>
      <c r="IT130" s="533"/>
      <c r="IU130" s="533"/>
      <c r="IV130" s="533"/>
      <c r="IW130" s="533"/>
    </row>
    <row r="131" customFormat="false" ht="11.25" hidden="false" customHeight="false" outlineLevel="0" collapsed="false">
      <c r="A131" s="533"/>
      <c r="B131" s="533"/>
      <c r="C131" s="533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A131" s="114"/>
      <c r="AB131" s="114"/>
      <c r="AC131" s="114"/>
      <c r="AD131" s="114"/>
      <c r="AE131" s="114"/>
      <c r="AF131" s="114"/>
      <c r="AG131" s="114"/>
      <c r="AH131" s="114"/>
      <c r="AI131" s="114"/>
      <c r="AJ131" s="114"/>
      <c r="AK131" s="114"/>
      <c r="AL131" s="114"/>
      <c r="AM131" s="114"/>
      <c r="AN131" s="114"/>
      <c r="AO131" s="114"/>
      <c r="AP131" s="114"/>
      <c r="AQ131" s="534"/>
      <c r="AR131" s="534"/>
      <c r="AS131" s="534"/>
      <c r="AT131" s="534"/>
      <c r="AU131" s="534"/>
      <c r="AV131" s="533"/>
      <c r="AW131" s="533"/>
      <c r="AX131" s="533"/>
      <c r="AY131" s="533"/>
      <c r="AZ131" s="533"/>
      <c r="BA131" s="533"/>
      <c r="BB131" s="533"/>
      <c r="BC131" s="533"/>
      <c r="BD131" s="533"/>
      <c r="BE131" s="533"/>
      <c r="BF131" s="533"/>
      <c r="BG131" s="533"/>
      <c r="BH131" s="533"/>
      <c r="BI131" s="533"/>
      <c r="BJ131" s="533"/>
      <c r="BK131" s="533"/>
      <c r="BL131" s="533"/>
      <c r="BM131" s="533"/>
      <c r="BN131" s="533"/>
      <c r="BO131" s="533"/>
      <c r="BP131" s="533"/>
      <c r="BQ131" s="533"/>
      <c r="BR131" s="533"/>
      <c r="BS131" s="533"/>
      <c r="BT131" s="533"/>
      <c r="BU131" s="533"/>
      <c r="BV131" s="533"/>
      <c r="BW131" s="533"/>
      <c r="BX131" s="533"/>
      <c r="BY131" s="533"/>
      <c r="BZ131" s="533"/>
      <c r="CA131" s="533"/>
      <c r="CB131" s="533"/>
      <c r="CC131" s="533"/>
      <c r="CD131" s="533"/>
      <c r="CE131" s="533"/>
      <c r="CF131" s="533"/>
      <c r="CG131" s="533"/>
      <c r="CH131" s="533"/>
      <c r="CI131" s="533"/>
      <c r="CJ131" s="533"/>
      <c r="CK131" s="533"/>
      <c r="CL131" s="533"/>
      <c r="CM131" s="533"/>
      <c r="CN131" s="533"/>
      <c r="CO131" s="533"/>
      <c r="CP131" s="533"/>
      <c r="CQ131" s="533"/>
      <c r="CR131" s="533"/>
      <c r="CS131" s="533"/>
      <c r="CT131" s="533"/>
      <c r="CU131" s="533"/>
      <c r="CV131" s="533"/>
      <c r="CW131" s="533"/>
      <c r="CX131" s="533"/>
      <c r="CY131" s="533"/>
      <c r="CZ131" s="533"/>
      <c r="DA131" s="533"/>
      <c r="DB131" s="533"/>
      <c r="DC131" s="533"/>
      <c r="DD131" s="533"/>
      <c r="DE131" s="533"/>
      <c r="DF131" s="533"/>
      <c r="DG131" s="533"/>
      <c r="DH131" s="533"/>
      <c r="DI131" s="533"/>
      <c r="DJ131" s="533"/>
      <c r="DK131" s="533"/>
      <c r="DL131" s="533"/>
      <c r="DM131" s="533"/>
      <c r="DN131" s="533"/>
      <c r="DO131" s="533"/>
      <c r="DP131" s="533"/>
      <c r="DQ131" s="533"/>
      <c r="DR131" s="533"/>
      <c r="DS131" s="533"/>
      <c r="DT131" s="533"/>
      <c r="DU131" s="533"/>
      <c r="DV131" s="533"/>
      <c r="DW131" s="533"/>
      <c r="DX131" s="533"/>
      <c r="DY131" s="533"/>
      <c r="DZ131" s="533"/>
      <c r="EA131" s="533"/>
      <c r="EB131" s="533"/>
      <c r="EC131" s="533"/>
      <c r="ED131" s="533"/>
      <c r="EE131" s="533"/>
      <c r="EF131" s="533"/>
      <c r="EG131" s="533"/>
      <c r="EH131" s="533"/>
      <c r="EI131" s="533"/>
      <c r="EJ131" s="533"/>
      <c r="EK131" s="533"/>
      <c r="EL131" s="533"/>
      <c r="EM131" s="533"/>
      <c r="EN131" s="533"/>
      <c r="EO131" s="533"/>
      <c r="EP131" s="533"/>
      <c r="EQ131" s="533"/>
      <c r="ER131" s="533"/>
      <c r="ES131" s="533"/>
      <c r="ET131" s="533"/>
      <c r="EU131" s="533"/>
      <c r="EV131" s="533"/>
      <c r="EW131" s="533"/>
      <c r="EX131" s="533"/>
      <c r="EY131" s="533"/>
      <c r="EZ131" s="533"/>
      <c r="FA131" s="533"/>
      <c r="FB131" s="533"/>
      <c r="FC131" s="533"/>
      <c r="FD131" s="533"/>
      <c r="FE131" s="533"/>
      <c r="FF131" s="533"/>
      <c r="FG131" s="533"/>
      <c r="FH131" s="533"/>
      <c r="FI131" s="533"/>
      <c r="FJ131" s="533"/>
      <c r="FK131" s="533"/>
      <c r="FL131" s="533"/>
      <c r="FM131" s="533"/>
      <c r="FN131" s="533"/>
      <c r="FO131" s="533"/>
      <c r="FP131" s="533"/>
      <c r="FQ131" s="533"/>
      <c r="FR131" s="533"/>
      <c r="FS131" s="533"/>
      <c r="FT131" s="533"/>
      <c r="FU131" s="533"/>
      <c r="FV131" s="533"/>
      <c r="FW131" s="533"/>
      <c r="FX131" s="533"/>
      <c r="FY131" s="533"/>
      <c r="FZ131" s="533"/>
      <c r="GA131" s="533"/>
      <c r="GB131" s="533"/>
      <c r="GC131" s="533"/>
      <c r="GD131" s="533"/>
      <c r="GE131" s="533"/>
      <c r="GF131" s="533"/>
      <c r="GG131" s="533"/>
      <c r="GH131" s="533"/>
      <c r="GI131" s="533"/>
      <c r="GJ131" s="533"/>
      <c r="GK131" s="533"/>
      <c r="GL131" s="533"/>
      <c r="GM131" s="533"/>
      <c r="GN131" s="533"/>
      <c r="GO131" s="533"/>
      <c r="GP131" s="533"/>
      <c r="GQ131" s="533"/>
      <c r="GR131" s="533"/>
      <c r="GS131" s="533"/>
      <c r="GT131" s="533"/>
      <c r="GU131" s="533"/>
      <c r="GV131" s="533"/>
      <c r="GW131" s="533"/>
      <c r="GX131" s="533"/>
      <c r="GY131" s="533"/>
      <c r="GZ131" s="533"/>
      <c r="HA131" s="533"/>
      <c r="HB131" s="533"/>
      <c r="HC131" s="533"/>
      <c r="HD131" s="533"/>
      <c r="HE131" s="533"/>
      <c r="HF131" s="533"/>
      <c r="HG131" s="533"/>
      <c r="HH131" s="533"/>
      <c r="HI131" s="533"/>
      <c r="HJ131" s="533"/>
      <c r="HK131" s="533"/>
      <c r="HL131" s="533"/>
      <c r="HM131" s="533"/>
      <c r="HN131" s="533"/>
      <c r="HO131" s="533"/>
      <c r="HP131" s="533"/>
      <c r="HQ131" s="533"/>
      <c r="HR131" s="533"/>
      <c r="HS131" s="533"/>
      <c r="HT131" s="533"/>
      <c r="HU131" s="533"/>
      <c r="HV131" s="533"/>
      <c r="HW131" s="533"/>
      <c r="HX131" s="533"/>
      <c r="HY131" s="533"/>
      <c r="HZ131" s="533"/>
      <c r="IA131" s="533"/>
      <c r="IB131" s="533"/>
      <c r="IC131" s="533"/>
      <c r="ID131" s="533"/>
      <c r="IE131" s="533"/>
      <c r="IF131" s="533"/>
      <c r="IG131" s="533"/>
      <c r="IH131" s="533"/>
      <c r="II131" s="533"/>
      <c r="IJ131" s="533"/>
      <c r="IK131" s="533"/>
      <c r="IL131" s="533"/>
      <c r="IM131" s="533"/>
      <c r="IN131" s="533"/>
      <c r="IO131" s="533"/>
      <c r="IP131" s="533"/>
      <c r="IQ131" s="533"/>
      <c r="IR131" s="533"/>
      <c r="IS131" s="533"/>
      <c r="IT131" s="533"/>
      <c r="IU131" s="533"/>
      <c r="IV131" s="533"/>
      <c r="IW131" s="533"/>
    </row>
    <row r="132" customFormat="false" ht="11.25" hidden="false" customHeight="false" outlineLevel="0" collapsed="false">
      <c r="A132" s="533"/>
      <c r="B132" s="533"/>
      <c r="C132" s="533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  <c r="AA132" s="114"/>
      <c r="AB132" s="114"/>
      <c r="AC132" s="114"/>
      <c r="AD132" s="114"/>
      <c r="AE132" s="114"/>
      <c r="AF132" s="114"/>
      <c r="AG132" s="114"/>
      <c r="AH132" s="114"/>
      <c r="AI132" s="114"/>
      <c r="AJ132" s="114"/>
      <c r="AK132" s="114"/>
      <c r="AL132" s="114"/>
      <c r="AM132" s="114"/>
      <c r="AN132" s="114"/>
      <c r="AO132" s="114"/>
      <c r="AP132" s="114"/>
      <c r="AQ132" s="534"/>
      <c r="AR132" s="534"/>
      <c r="AS132" s="534"/>
      <c r="AT132" s="534"/>
      <c r="AU132" s="534"/>
      <c r="AV132" s="533"/>
      <c r="AW132" s="533"/>
      <c r="AX132" s="533"/>
      <c r="AY132" s="533"/>
      <c r="AZ132" s="533"/>
      <c r="BA132" s="533"/>
      <c r="BB132" s="533"/>
      <c r="BC132" s="533"/>
      <c r="BD132" s="533"/>
      <c r="BE132" s="533"/>
      <c r="BF132" s="533"/>
      <c r="BG132" s="533"/>
      <c r="BH132" s="533"/>
      <c r="BI132" s="533"/>
      <c r="BJ132" s="533"/>
      <c r="BK132" s="533"/>
      <c r="BL132" s="533"/>
      <c r="BM132" s="533"/>
      <c r="BN132" s="533"/>
      <c r="BO132" s="533"/>
      <c r="BP132" s="533"/>
      <c r="BQ132" s="533"/>
      <c r="BR132" s="533"/>
      <c r="BS132" s="533"/>
      <c r="BT132" s="533"/>
      <c r="BU132" s="533"/>
      <c r="BV132" s="533"/>
      <c r="BW132" s="533"/>
      <c r="BX132" s="533"/>
      <c r="BY132" s="533"/>
      <c r="BZ132" s="533"/>
      <c r="CA132" s="533"/>
      <c r="CB132" s="533"/>
      <c r="CC132" s="533"/>
      <c r="CD132" s="533"/>
      <c r="CE132" s="533"/>
      <c r="CF132" s="533"/>
      <c r="CG132" s="533"/>
      <c r="CH132" s="533"/>
      <c r="CI132" s="533"/>
      <c r="CJ132" s="533"/>
      <c r="CK132" s="533"/>
      <c r="CL132" s="533"/>
      <c r="CM132" s="533"/>
      <c r="CN132" s="533"/>
      <c r="CO132" s="533"/>
      <c r="CP132" s="533"/>
      <c r="CQ132" s="533"/>
      <c r="CR132" s="533"/>
      <c r="CS132" s="533"/>
      <c r="CT132" s="533"/>
      <c r="CU132" s="533"/>
      <c r="CV132" s="533"/>
      <c r="CW132" s="533"/>
      <c r="CX132" s="533"/>
      <c r="CY132" s="533"/>
      <c r="CZ132" s="533"/>
      <c r="DA132" s="533"/>
      <c r="DB132" s="533"/>
      <c r="DC132" s="533"/>
      <c r="DD132" s="533"/>
      <c r="DE132" s="533"/>
      <c r="DF132" s="533"/>
      <c r="DG132" s="533"/>
      <c r="DH132" s="533"/>
      <c r="DI132" s="533"/>
      <c r="DJ132" s="533"/>
      <c r="DK132" s="533"/>
      <c r="DL132" s="533"/>
      <c r="DM132" s="533"/>
      <c r="DN132" s="533"/>
      <c r="DO132" s="533"/>
      <c r="DP132" s="533"/>
      <c r="DQ132" s="533"/>
      <c r="DR132" s="533"/>
      <c r="DS132" s="533"/>
      <c r="DT132" s="533"/>
      <c r="DU132" s="533"/>
      <c r="DV132" s="533"/>
      <c r="DW132" s="533"/>
      <c r="DX132" s="533"/>
      <c r="DY132" s="533"/>
      <c r="DZ132" s="533"/>
      <c r="EA132" s="533"/>
      <c r="EB132" s="533"/>
      <c r="EC132" s="533"/>
      <c r="ED132" s="533"/>
      <c r="EE132" s="533"/>
      <c r="EF132" s="533"/>
      <c r="EG132" s="533"/>
      <c r="EH132" s="533"/>
      <c r="EI132" s="533"/>
      <c r="EJ132" s="533"/>
      <c r="EK132" s="533"/>
      <c r="EL132" s="533"/>
      <c r="EM132" s="533"/>
      <c r="EN132" s="533"/>
      <c r="EO132" s="533"/>
      <c r="EP132" s="533"/>
      <c r="EQ132" s="533"/>
      <c r="ER132" s="533"/>
      <c r="ES132" s="533"/>
      <c r="ET132" s="533"/>
      <c r="EU132" s="533"/>
      <c r="EV132" s="533"/>
      <c r="EW132" s="533"/>
      <c r="EX132" s="533"/>
      <c r="EY132" s="533"/>
      <c r="EZ132" s="533"/>
      <c r="FA132" s="533"/>
      <c r="FB132" s="533"/>
      <c r="FC132" s="533"/>
      <c r="FD132" s="533"/>
      <c r="FE132" s="533"/>
      <c r="FF132" s="533"/>
      <c r="FG132" s="533"/>
      <c r="FH132" s="533"/>
      <c r="FI132" s="533"/>
      <c r="FJ132" s="533"/>
      <c r="FK132" s="533"/>
      <c r="FL132" s="533"/>
      <c r="FM132" s="533"/>
      <c r="FN132" s="533"/>
      <c r="FO132" s="533"/>
      <c r="FP132" s="533"/>
      <c r="FQ132" s="533"/>
      <c r="FR132" s="533"/>
      <c r="FS132" s="533"/>
      <c r="FT132" s="533"/>
      <c r="FU132" s="533"/>
      <c r="FV132" s="533"/>
      <c r="FW132" s="533"/>
      <c r="FX132" s="533"/>
      <c r="FY132" s="533"/>
      <c r="FZ132" s="533"/>
      <c r="GA132" s="533"/>
      <c r="GB132" s="533"/>
      <c r="GC132" s="533"/>
      <c r="GD132" s="533"/>
      <c r="GE132" s="533"/>
      <c r="GF132" s="533"/>
      <c r="GG132" s="533"/>
      <c r="GH132" s="533"/>
      <c r="GI132" s="533"/>
      <c r="GJ132" s="533"/>
      <c r="GK132" s="533"/>
      <c r="GL132" s="533"/>
      <c r="GM132" s="533"/>
      <c r="GN132" s="533"/>
      <c r="GO132" s="533"/>
      <c r="GP132" s="533"/>
      <c r="GQ132" s="533"/>
      <c r="GR132" s="533"/>
      <c r="GS132" s="533"/>
      <c r="GT132" s="533"/>
      <c r="GU132" s="533"/>
      <c r="GV132" s="533"/>
      <c r="GW132" s="533"/>
      <c r="GX132" s="533"/>
      <c r="GY132" s="533"/>
      <c r="GZ132" s="533"/>
      <c r="HA132" s="533"/>
      <c r="HB132" s="533"/>
      <c r="HC132" s="533"/>
      <c r="HD132" s="533"/>
      <c r="HE132" s="533"/>
      <c r="HF132" s="533"/>
      <c r="HG132" s="533"/>
      <c r="HH132" s="533"/>
      <c r="HI132" s="533"/>
      <c r="HJ132" s="533"/>
      <c r="HK132" s="533"/>
      <c r="HL132" s="533"/>
      <c r="HM132" s="533"/>
      <c r="HN132" s="533"/>
      <c r="HO132" s="533"/>
      <c r="HP132" s="533"/>
      <c r="HQ132" s="533"/>
      <c r="HR132" s="533"/>
      <c r="HS132" s="533"/>
      <c r="HT132" s="533"/>
      <c r="HU132" s="533"/>
      <c r="HV132" s="533"/>
      <c r="HW132" s="533"/>
      <c r="HX132" s="533"/>
      <c r="HY132" s="533"/>
      <c r="HZ132" s="533"/>
      <c r="IA132" s="533"/>
      <c r="IB132" s="533"/>
      <c r="IC132" s="533"/>
      <c r="ID132" s="533"/>
      <c r="IE132" s="533"/>
      <c r="IF132" s="533"/>
      <c r="IG132" s="533"/>
      <c r="IH132" s="533"/>
      <c r="II132" s="533"/>
      <c r="IJ132" s="533"/>
      <c r="IK132" s="533"/>
      <c r="IL132" s="533"/>
      <c r="IM132" s="533"/>
      <c r="IN132" s="533"/>
      <c r="IO132" s="533"/>
      <c r="IP132" s="533"/>
      <c r="IQ132" s="533"/>
      <c r="IR132" s="533"/>
      <c r="IS132" s="533"/>
      <c r="IT132" s="533"/>
      <c r="IU132" s="533"/>
      <c r="IV132" s="533"/>
      <c r="IW132" s="533"/>
    </row>
    <row r="133" customFormat="false" ht="11.25" hidden="false" customHeight="false" outlineLevel="0" collapsed="false">
      <c r="A133" s="533"/>
      <c r="B133" s="533"/>
      <c r="C133" s="533"/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4"/>
      <c r="AB133" s="114"/>
      <c r="AC133" s="114"/>
      <c r="AD133" s="114"/>
      <c r="AE133" s="114"/>
      <c r="AF133" s="114"/>
      <c r="AG133" s="114"/>
      <c r="AH133" s="114"/>
      <c r="AI133" s="114"/>
      <c r="AJ133" s="114"/>
      <c r="AK133" s="114"/>
      <c r="AL133" s="114"/>
      <c r="AM133" s="114"/>
      <c r="AN133" s="114"/>
      <c r="AO133" s="114"/>
      <c r="AP133" s="114"/>
      <c r="AQ133" s="534"/>
      <c r="AR133" s="534"/>
      <c r="AS133" s="534"/>
      <c r="AT133" s="534"/>
      <c r="AU133" s="534"/>
      <c r="AV133" s="533"/>
      <c r="AW133" s="533"/>
      <c r="AX133" s="533"/>
      <c r="AY133" s="533"/>
      <c r="AZ133" s="533"/>
      <c r="BA133" s="533"/>
      <c r="BB133" s="533"/>
      <c r="BC133" s="533"/>
      <c r="BD133" s="533"/>
      <c r="BE133" s="533"/>
      <c r="BF133" s="533"/>
      <c r="BG133" s="533"/>
      <c r="BH133" s="533"/>
      <c r="BI133" s="533"/>
      <c r="BJ133" s="533"/>
      <c r="BK133" s="533"/>
      <c r="BL133" s="533"/>
      <c r="BM133" s="533"/>
      <c r="BN133" s="533"/>
      <c r="BO133" s="533"/>
      <c r="BP133" s="533"/>
      <c r="BQ133" s="533"/>
      <c r="BR133" s="533"/>
      <c r="BS133" s="533"/>
      <c r="BT133" s="533"/>
      <c r="BU133" s="533"/>
      <c r="BV133" s="533"/>
      <c r="BW133" s="533"/>
      <c r="BX133" s="533"/>
      <c r="BY133" s="533"/>
      <c r="BZ133" s="533"/>
      <c r="CA133" s="533"/>
      <c r="CB133" s="533"/>
      <c r="CC133" s="533"/>
      <c r="CD133" s="533"/>
      <c r="CE133" s="533"/>
      <c r="CF133" s="533"/>
      <c r="CG133" s="533"/>
      <c r="CH133" s="533"/>
      <c r="CI133" s="533"/>
      <c r="CJ133" s="533"/>
      <c r="CK133" s="533"/>
      <c r="CL133" s="533"/>
      <c r="CM133" s="533"/>
      <c r="CN133" s="533"/>
      <c r="CO133" s="533"/>
      <c r="CP133" s="533"/>
      <c r="CQ133" s="533"/>
      <c r="CR133" s="533"/>
      <c r="CS133" s="533"/>
      <c r="CT133" s="533"/>
      <c r="CU133" s="533"/>
      <c r="CV133" s="533"/>
      <c r="CW133" s="533"/>
      <c r="CX133" s="533"/>
      <c r="CY133" s="533"/>
      <c r="CZ133" s="533"/>
      <c r="DA133" s="533"/>
      <c r="DB133" s="533"/>
      <c r="DC133" s="533"/>
      <c r="DD133" s="533"/>
      <c r="DE133" s="533"/>
      <c r="DF133" s="533"/>
      <c r="DG133" s="533"/>
      <c r="DH133" s="533"/>
      <c r="DI133" s="533"/>
      <c r="DJ133" s="533"/>
      <c r="DK133" s="533"/>
      <c r="DL133" s="533"/>
      <c r="DM133" s="533"/>
      <c r="DN133" s="533"/>
      <c r="DO133" s="533"/>
      <c r="DP133" s="533"/>
      <c r="DQ133" s="533"/>
      <c r="DR133" s="533"/>
      <c r="DS133" s="533"/>
      <c r="DT133" s="533"/>
      <c r="DU133" s="533"/>
      <c r="DV133" s="533"/>
      <c r="DW133" s="533"/>
      <c r="DX133" s="533"/>
      <c r="DY133" s="533"/>
      <c r="DZ133" s="533"/>
      <c r="EA133" s="533"/>
      <c r="EB133" s="533"/>
      <c r="EC133" s="533"/>
      <c r="ED133" s="533"/>
      <c r="EE133" s="533"/>
      <c r="EF133" s="533"/>
      <c r="EG133" s="533"/>
      <c r="EH133" s="533"/>
      <c r="EI133" s="533"/>
      <c r="EJ133" s="533"/>
      <c r="EK133" s="533"/>
      <c r="EL133" s="533"/>
      <c r="EM133" s="533"/>
      <c r="EN133" s="533"/>
      <c r="EO133" s="533"/>
      <c r="EP133" s="533"/>
      <c r="EQ133" s="533"/>
      <c r="ER133" s="533"/>
      <c r="ES133" s="533"/>
      <c r="ET133" s="533"/>
      <c r="EU133" s="533"/>
      <c r="EV133" s="533"/>
      <c r="EW133" s="533"/>
      <c r="EX133" s="533"/>
      <c r="EY133" s="533"/>
      <c r="EZ133" s="533"/>
      <c r="FA133" s="533"/>
      <c r="FB133" s="533"/>
      <c r="FC133" s="533"/>
      <c r="FD133" s="533"/>
      <c r="FE133" s="533"/>
      <c r="FF133" s="533"/>
      <c r="FG133" s="533"/>
      <c r="FH133" s="533"/>
      <c r="FI133" s="533"/>
      <c r="FJ133" s="533"/>
      <c r="FK133" s="533"/>
      <c r="FL133" s="533"/>
      <c r="FM133" s="533"/>
      <c r="FN133" s="533"/>
      <c r="FO133" s="533"/>
      <c r="FP133" s="533"/>
      <c r="FQ133" s="533"/>
      <c r="FR133" s="533"/>
      <c r="FS133" s="533"/>
      <c r="FT133" s="533"/>
      <c r="FU133" s="533"/>
      <c r="FV133" s="533"/>
      <c r="FW133" s="533"/>
      <c r="FX133" s="533"/>
      <c r="FY133" s="533"/>
      <c r="FZ133" s="533"/>
      <c r="GA133" s="533"/>
      <c r="GB133" s="533"/>
      <c r="GC133" s="533"/>
      <c r="GD133" s="533"/>
      <c r="GE133" s="533"/>
      <c r="GF133" s="533"/>
      <c r="GG133" s="533"/>
      <c r="GH133" s="533"/>
      <c r="GI133" s="533"/>
      <c r="GJ133" s="533"/>
      <c r="GK133" s="533"/>
      <c r="GL133" s="533"/>
      <c r="GM133" s="533"/>
      <c r="GN133" s="533"/>
      <c r="GO133" s="533"/>
      <c r="GP133" s="533"/>
      <c r="GQ133" s="533"/>
      <c r="GR133" s="533"/>
      <c r="GS133" s="533"/>
      <c r="GT133" s="533"/>
      <c r="GU133" s="533"/>
      <c r="GV133" s="533"/>
      <c r="GW133" s="533"/>
      <c r="GX133" s="533"/>
      <c r="GY133" s="533"/>
      <c r="GZ133" s="533"/>
      <c r="HA133" s="533"/>
      <c r="HB133" s="533"/>
      <c r="HC133" s="533"/>
      <c r="HD133" s="533"/>
      <c r="HE133" s="533"/>
      <c r="HF133" s="533"/>
      <c r="HG133" s="533"/>
      <c r="HH133" s="533"/>
      <c r="HI133" s="533"/>
      <c r="HJ133" s="533"/>
      <c r="HK133" s="533"/>
      <c r="HL133" s="533"/>
      <c r="HM133" s="533"/>
      <c r="HN133" s="533"/>
      <c r="HO133" s="533"/>
      <c r="HP133" s="533"/>
      <c r="HQ133" s="533"/>
      <c r="HR133" s="533"/>
      <c r="HS133" s="533"/>
      <c r="HT133" s="533"/>
      <c r="HU133" s="533"/>
      <c r="HV133" s="533"/>
      <c r="HW133" s="533"/>
      <c r="HX133" s="533"/>
      <c r="HY133" s="533"/>
      <c r="HZ133" s="533"/>
      <c r="IA133" s="533"/>
      <c r="IB133" s="533"/>
      <c r="IC133" s="533"/>
      <c r="ID133" s="533"/>
      <c r="IE133" s="533"/>
      <c r="IF133" s="533"/>
      <c r="IG133" s="533"/>
      <c r="IH133" s="533"/>
      <c r="II133" s="533"/>
      <c r="IJ133" s="533"/>
      <c r="IK133" s="533"/>
      <c r="IL133" s="533"/>
      <c r="IM133" s="533"/>
      <c r="IN133" s="533"/>
      <c r="IO133" s="533"/>
      <c r="IP133" s="533"/>
      <c r="IQ133" s="533"/>
      <c r="IR133" s="533"/>
      <c r="IS133" s="533"/>
      <c r="IT133" s="533"/>
      <c r="IU133" s="533"/>
      <c r="IV133" s="533"/>
      <c r="IW133" s="533"/>
    </row>
    <row r="134" customFormat="false" ht="11.25" hidden="false" customHeight="false" outlineLevel="0" collapsed="false">
      <c r="A134" s="618"/>
      <c r="B134" s="618"/>
      <c r="C134" s="618"/>
      <c r="D134" s="426"/>
      <c r="E134" s="426"/>
      <c r="F134" s="426"/>
      <c r="G134" s="426"/>
      <c r="H134" s="426"/>
      <c r="I134" s="426"/>
      <c r="J134" s="426"/>
      <c r="K134" s="426"/>
      <c r="L134" s="426"/>
      <c r="M134" s="426"/>
      <c r="N134" s="426"/>
      <c r="O134" s="426"/>
      <c r="P134" s="426"/>
      <c r="Q134" s="426"/>
      <c r="R134" s="426"/>
      <c r="S134" s="426"/>
      <c r="T134" s="426"/>
      <c r="U134" s="426"/>
      <c r="V134" s="426"/>
      <c r="W134" s="426"/>
      <c r="X134" s="426"/>
      <c r="Y134" s="426"/>
      <c r="Z134" s="426"/>
      <c r="AA134" s="426"/>
      <c r="AB134" s="426"/>
      <c r="AC134" s="426"/>
      <c r="AD134" s="426"/>
      <c r="AE134" s="426"/>
      <c r="AF134" s="426"/>
      <c r="AG134" s="426"/>
      <c r="AH134" s="426"/>
      <c r="AI134" s="426"/>
      <c r="AJ134" s="426"/>
      <c r="AK134" s="426"/>
      <c r="AL134" s="426"/>
      <c r="AM134" s="426"/>
      <c r="AN134" s="426"/>
      <c r="AO134" s="426"/>
      <c r="AP134" s="426"/>
      <c r="AQ134" s="618"/>
      <c r="AR134" s="618"/>
      <c r="AS134" s="618"/>
      <c r="AT134" s="618"/>
      <c r="AU134" s="618"/>
      <c r="AV134" s="618"/>
      <c r="AW134" s="618"/>
      <c r="AX134" s="618"/>
      <c r="AY134" s="618"/>
      <c r="AZ134" s="618"/>
      <c r="BA134" s="618"/>
      <c r="BB134" s="618"/>
      <c r="BC134" s="618"/>
      <c r="BD134" s="618"/>
      <c r="BE134" s="618"/>
      <c r="BF134" s="618"/>
      <c r="BG134" s="618"/>
      <c r="BH134" s="618"/>
      <c r="BI134" s="618"/>
      <c r="BJ134" s="618"/>
      <c r="BK134" s="618"/>
      <c r="BL134" s="618"/>
      <c r="BM134" s="618"/>
      <c r="BN134" s="618"/>
      <c r="BO134" s="618"/>
      <c r="BP134" s="618"/>
      <c r="BQ134" s="618"/>
      <c r="BR134" s="618"/>
      <c r="BS134" s="618"/>
      <c r="BT134" s="618"/>
      <c r="BU134" s="618"/>
      <c r="BV134" s="618"/>
      <c r="BW134" s="618"/>
      <c r="BX134" s="618"/>
      <c r="BY134" s="618"/>
      <c r="BZ134" s="618"/>
      <c r="CA134" s="618"/>
      <c r="CB134" s="618"/>
      <c r="CC134" s="618"/>
      <c r="CD134" s="618"/>
      <c r="CE134" s="618"/>
      <c r="CF134" s="618"/>
      <c r="CG134" s="618"/>
      <c r="CH134" s="618"/>
      <c r="CI134" s="618"/>
      <c r="CJ134" s="618"/>
      <c r="CK134" s="618"/>
      <c r="CL134" s="618"/>
      <c r="CM134" s="618"/>
      <c r="CN134" s="618"/>
      <c r="CO134" s="618"/>
      <c r="CP134" s="618"/>
      <c r="CQ134" s="618"/>
      <c r="CR134" s="618"/>
      <c r="CS134" s="618"/>
      <c r="CT134" s="618"/>
      <c r="CU134" s="618"/>
      <c r="CV134" s="618"/>
      <c r="CW134" s="618"/>
      <c r="CX134" s="618"/>
      <c r="CY134" s="618"/>
      <c r="CZ134" s="618"/>
      <c r="DA134" s="618"/>
      <c r="DB134" s="618"/>
      <c r="DC134" s="618"/>
      <c r="DD134" s="618"/>
      <c r="DE134" s="618"/>
      <c r="DF134" s="618"/>
      <c r="DG134" s="618"/>
      <c r="DH134" s="618"/>
      <c r="DI134" s="618"/>
      <c r="DJ134" s="618"/>
      <c r="DK134" s="618"/>
      <c r="DL134" s="618"/>
      <c r="DM134" s="618"/>
      <c r="DN134" s="618"/>
      <c r="DO134" s="618"/>
      <c r="DP134" s="618"/>
      <c r="DQ134" s="618"/>
      <c r="DR134" s="618"/>
      <c r="DS134" s="618"/>
      <c r="DT134" s="618"/>
      <c r="DU134" s="618"/>
      <c r="DV134" s="618"/>
      <c r="DW134" s="618"/>
      <c r="DX134" s="618"/>
      <c r="DY134" s="618"/>
      <c r="DZ134" s="618"/>
      <c r="EA134" s="618"/>
      <c r="EB134" s="618"/>
      <c r="EC134" s="618"/>
      <c r="ED134" s="618"/>
      <c r="EE134" s="618"/>
      <c r="EF134" s="618"/>
      <c r="EG134" s="618"/>
      <c r="EH134" s="618"/>
      <c r="EI134" s="618"/>
      <c r="EJ134" s="618"/>
      <c r="EK134" s="618"/>
      <c r="EL134" s="618"/>
      <c r="EM134" s="618"/>
      <c r="EN134" s="618"/>
      <c r="EO134" s="618"/>
      <c r="EP134" s="618"/>
      <c r="EQ134" s="618"/>
      <c r="ER134" s="618"/>
      <c r="ES134" s="618"/>
      <c r="ET134" s="618"/>
      <c r="EU134" s="618"/>
      <c r="EV134" s="618"/>
      <c r="EW134" s="618"/>
      <c r="EX134" s="618"/>
      <c r="EY134" s="618"/>
      <c r="EZ134" s="618"/>
      <c r="FA134" s="618"/>
      <c r="FB134" s="618"/>
      <c r="FC134" s="618"/>
      <c r="FD134" s="618"/>
      <c r="FE134" s="618"/>
      <c r="FF134" s="618"/>
      <c r="FG134" s="618"/>
      <c r="FH134" s="618"/>
      <c r="FI134" s="618"/>
      <c r="FJ134" s="618"/>
      <c r="FK134" s="618"/>
      <c r="FL134" s="618"/>
      <c r="FM134" s="618"/>
      <c r="FN134" s="618"/>
      <c r="FO134" s="618"/>
      <c r="FP134" s="618"/>
      <c r="FQ134" s="618"/>
      <c r="FR134" s="618"/>
      <c r="FS134" s="618"/>
      <c r="FT134" s="618"/>
      <c r="FU134" s="618"/>
      <c r="FV134" s="618"/>
      <c r="FW134" s="618"/>
      <c r="FX134" s="618"/>
      <c r="FY134" s="618"/>
      <c r="FZ134" s="618"/>
      <c r="GA134" s="618"/>
      <c r="GB134" s="618"/>
      <c r="GC134" s="618"/>
      <c r="GD134" s="618"/>
      <c r="GE134" s="618"/>
      <c r="GF134" s="618"/>
      <c r="GG134" s="618"/>
      <c r="GH134" s="618"/>
      <c r="GI134" s="618"/>
      <c r="GJ134" s="618"/>
      <c r="GK134" s="618"/>
      <c r="GL134" s="618"/>
      <c r="GM134" s="618"/>
      <c r="GN134" s="618"/>
      <c r="GO134" s="618"/>
      <c r="GP134" s="618"/>
      <c r="GQ134" s="618"/>
      <c r="GR134" s="618"/>
      <c r="GS134" s="618"/>
      <c r="GT134" s="618"/>
      <c r="GU134" s="618"/>
      <c r="GV134" s="618"/>
      <c r="GW134" s="618"/>
      <c r="GX134" s="618"/>
      <c r="GY134" s="618"/>
      <c r="GZ134" s="618"/>
      <c r="HA134" s="618"/>
      <c r="HB134" s="618"/>
      <c r="HC134" s="618"/>
      <c r="HD134" s="618"/>
      <c r="HE134" s="618"/>
      <c r="HF134" s="618"/>
      <c r="HG134" s="618"/>
      <c r="HH134" s="618"/>
      <c r="HI134" s="618"/>
      <c r="HJ134" s="618"/>
      <c r="HK134" s="618"/>
      <c r="HL134" s="618"/>
      <c r="HM134" s="618"/>
      <c r="HN134" s="618"/>
      <c r="HO134" s="618"/>
      <c r="HP134" s="618"/>
      <c r="HQ134" s="618"/>
      <c r="HR134" s="618"/>
      <c r="HS134" s="618"/>
      <c r="HT134" s="618"/>
      <c r="HU134" s="618"/>
      <c r="HV134" s="618"/>
      <c r="HW134" s="618"/>
      <c r="HX134" s="618"/>
      <c r="HY134" s="618"/>
      <c r="HZ134" s="618"/>
      <c r="IA134" s="618"/>
      <c r="IB134" s="618"/>
      <c r="IC134" s="618"/>
      <c r="ID134" s="618"/>
      <c r="IE134" s="618"/>
      <c r="IF134" s="618"/>
      <c r="IG134" s="618"/>
      <c r="IH134" s="618"/>
      <c r="II134" s="618"/>
      <c r="IJ134" s="618"/>
      <c r="IK134" s="618"/>
      <c r="IL134" s="618"/>
      <c r="IM134" s="618"/>
      <c r="IN134" s="618"/>
      <c r="IO134" s="618"/>
      <c r="IP134" s="618"/>
      <c r="IQ134" s="618"/>
      <c r="IR134" s="618"/>
      <c r="IS134" s="618"/>
      <c r="IT134" s="618"/>
      <c r="IU134" s="618"/>
      <c r="IV134" s="618"/>
      <c r="IW134" s="618"/>
    </row>
    <row r="135" customFormat="false" ht="11.25" hidden="false" customHeight="false" outlineLevel="0" collapsed="false">
      <c r="A135" s="533"/>
      <c r="B135" s="533"/>
      <c r="C135" s="533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14"/>
      <c r="AA135" s="114"/>
      <c r="AB135" s="114"/>
      <c r="AC135" s="114"/>
      <c r="AD135" s="114"/>
      <c r="AE135" s="114"/>
      <c r="AF135" s="114"/>
      <c r="AG135" s="114"/>
      <c r="AH135" s="114"/>
      <c r="AI135" s="114"/>
      <c r="AJ135" s="114"/>
      <c r="AK135" s="114"/>
      <c r="AL135" s="114"/>
      <c r="AM135" s="114"/>
      <c r="AN135" s="114"/>
      <c r="AO135" s="114"/>
      <c r="AP135" s="114"/>
      <c r="AQ135" s="534"/>
      <c r="AR135" s="534"/>
      <c r="AS135" s="534"/>
      <c r="AT135" s="534"/>
      <c r="AU135" s="534"/>
      <c r="AV135" s="533"/>
      <c r="AW135" s="533"/>
      <c r="AX135" s="533"/>
      <c r="AY135" s="533"/>
      <c r="AZ135" s="533"/>
      <c r="BA135" s="533"/>
      <c r="BB135" s="533"/>
      <c r="BC135" s="533"/>
      <c r="BD135" s="533"/>
      <c r="BE135" s="533"/>
      <c r="BF135" s="533"/>
      <c r="BG135" s="533"/>
      <c r="BH135" s="533"/>
      <c r="BI135" s="533"/>
      <c r="BJ135" s="533"/>
      <c r="BK135" s="533"/>
      <c r="BL135" s="533"/>
      <c r="BM135" s="533"/>
      <c r="BN135" s="533"/>
      <c r="BO135" s="533"/>
      <c r="BP135" s="533"/>
      <c r="BQ135" s="533"/>
      <c r="BR135" s="533"/>
      <c r="BS135" s="533"/>
      <c r="BT135" s="533"/>
      <c r="BU135" s="533"/>
      <c r="BV135" s="533"/>
      <c r="BW135" s="533"/>
      <c r="BX135" s="533"/>
      <c r="BY135" s="533"/>
      <c r="BZ135" s="533"/>
      <c r="CA135" s="533"/>
      <c r="CB135" s="533"/>
      <c r="CC135" s="533"/>
      <c r="CD135" s="533"/>
      <c r="CE135" s="533"/>
      <c r="CF135" s="533"/>
      <c r="CG135" s="533"/>
      <c r="CH135" s="533"/>
      <c r="CI135" s="533"/>
      <c r="CJ135" s="533"/>
      <c r="CK135" s="533"/>
      <c r="CL135" s="533"/>
      <c r="CM135" s="533"/>
      <c r="CN135" s="533"/>
      <c r="CO135" s="533"/>
      <c r="CP135" s="533"/>
      <c r="CQ135" s="533"/>
      <c r="CR135" s="533"/>
      <c r="CS135" s="533"/>
      <c r="CT135" s="533"/>
      <c r="CU135" s="533"/>
      <c r="CV135" s="533"/>
      <c r="CW135" s="533"/>
      <c r="CX135" s="533"/>
      <c r="CY135" s="533"/>
      <c r="CZ135" s="533"/>
      <c r="DA135" s="533"/>
      <c r="DB135" s="533"/>
      <c r="DC135" s="533"/>
      <c r="DD135" s="533"/>
      <c r="DE135" s="533"/>
      <c r="DF135" s="533"/>
      <c r="DG135" s="533"/>
      <c r="DH135" s="533"/>
      <c r="DI135" s="533"/>
      <c r="DJ135" s="533"/>
      <c r="DK135" s="533"/>
      <c r="DL135" s="533"/>
      <c r="DM135" s="533"/>
      <c r="DN135" s="533"/>
      <c r="DO135" s="533"/>
      <c r="DP135" s="533"/>
      <c r="DQ135" s="533"/>
      <c r="DR135" s="533"/>
      <c r="DS135" s="533"/>
      <c r="DT135" s="533"/>
      <c r="DU135" s="533"/>
      <c r="DV135" s="533"/>
      <c r="DW135" s="533"/>
      <c r="DX135" s="533"/>
      <c r="DY135" s="533"/>
      <c r="DZ135" s="533"/>
      <c r="EA135" s="533"/>
      <c r="EB135" s="533"/>
      <c r="EC135" s="533"/>
      <c r="ED135" s="533"/>
      <c r="EE135" s="533"/>
      <c r="EF135" s="533"/>
      <c r="EG135" s="533"/>
      <c r="EH135" s="533"/>
      <c r="EI135" s="533"/>
      <c r="EJ135" s="533"/>
      <c r="EK135" s="533"/>
      <c r="EL135" s="533"/>
      <c r="EM135" s="533"/>
      <c r="EN135" s="533"/>
      <c r="EO135" s="533"/>
      <c r="EP135" s="533"/>
      <c r="EQ135" s="533"/>
      <c r="ER135" s="533"/>
      <c r="ES135" s="533"/>
      <c r="ET135" s="533"/>
      <c r="EU135" s="533"/>
      <c r="EV135" s="533"/>
      <c r="EW135" s="533"/>
      <c r="EX135" s="533"/>
      <c r="EY135" s="533"/>
      <c r="EZ135" s="533"/>
      <c r="FA135" s="533"/>
      <c r="FB135" s="533"/>
      <c r="FC135" s="533"/>
      <c r="FD135" s="533"/>
      <c r="FE135" s="533"/>
      <c r="FF135" s="533"/>
      <c r="FG135" s="533"/>
      <c r="FH135" s="533"/>
      <c r="FI135" s="533"/>
      <c r="FJ135" s="533"/>
      <c r="FK135" s="533"/>
      <c r="FL135" s="533"/>
      <c r="FM135" s="533"/>
      <c r="FN135" s="533"/>
      <c r="FO135" s="533"/>
      <c r="FP135" s="533"/>
      <c r="FQ135" s="533"/>
      <c r="FR135" s="533"/>
      <c r="FS135" s="533"/>
      <c r="FT135" s="533"/>
      <c r="FU135" s="533"/>
      <c r="FV135" s="533"/>
      <c r="FW135" s="533"/>
      <c r="FX135" s="533"/>
      <c r="FY135" s="533"/>
      <c r="FZ135" s="533"/>
      <c r="GA135" s="533"/>
      <c r="GB135" s="533"/>
      <c r="GC135" s="533"/>
      <c r="GD135" s="533"/>
      <c r="GE135" s="533"/>
      <c r="GF135" s="533"/>
      <c r="GG135" s="533"/>
      <c r="GH135" s="533"/>
      <c r="GI135" s="533"/>
      <c r="GJ135" s="533"/>
      <c r="GK135" s="533"/>
      <c r="GL135" s="533"/>
      <c r="GM135" s="533"/>
      <c r="GN135" s="533"/>
      <c r="GO135" s="533"/>
      <c r="GP135" s="533"/>
      <c r="GQ135" s="533"/>
      <c r="GR135" s="533"/>
      <c r="GS135" s="533"/>
      <c r="GT135" s="533"/>
      <c r="GU135" s="533"/>
      <c r="GV135" s="533"/>
      <c r="GW135" s="533"/>
      <c r="GX135" s="533"/>
      <c r="GY135" s="533"/>
      <c r="GZ135" s="533"/>
      <c r="HA135" s="533"/>
      <c r="HB135" s="533"/>
      <c r="HC135" s="533"/>
      <c r="HD135" s="533"/>
      <c r="HE135" s="533"/>
      <c r="HF135" s="533"/>
      <c r="HG135" s="533"/>
      <c r="HH135" s="533"/>
      <c r="HI135" s="533"/>
      <c r="HJ135" s="533"/>
      <c r="HK135" s="533"/>
      <c r="HL135" s="533"/>
      <c r="HM135" s="533"/>
      <c r="HN135" s="533"/>
      <c r="HO135" s="533"/>
      <c r="HP135" s="533"/>
      <c r="HQ135" s="533"/>
      <c r="HR135" s="533"/>
      <c r="HS135" s="533"/>
      <c r="HT135" s="533"/>
      <c r="HU135" s="533"/>
      <c r="HV135" s="533"/>
      <c r="HW135" s="533"/>
      <c r="HX135" s="533"/>
      <c r="HY135" s="533"/>
      <c r="HZ135" s="533"/>
      <c r="IA135" s="533"/>
      <c r="IB135" s="533"/>
      <c r="IC135" s="533"/>
      <c r="ID135" s="533"/>
      <c r="IE135" s="533"/>
      <c r="IF135" s="533"/>
      <c r="IG135" s="533"/>
      <c r="IH135" s="533"/>
      <c r="II135" s="533"/>
      <c r="IJ135" s="533"/>
      <c r="IK135" s="533"/>
      <c r="IL135" s="533"/>
      <c r="IM135" s="533"/>
      <c r="IN135" s="533"/>
      <c r="IO135" s="533"/>
      <c r="IP135" s="533"/>
      <c r="IQ135" s="533"/>
      <c r="IR135" s="533"/>
      <c r="IS135" s="533"/>
      <c r="IT135" s="533"/>
      <c r="IU135" s="533"/>
      <c r="IV135" s="533"/>
      <c r="IW135" s="533"/>
    </row>
    <row r="136" customFormat="false" ht="16.5" hidden="false" customHeight="true" outlineLevel="0" collapsed="false">
      <c r="A136" s="114"/>
      <c r="B136" s="114"/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4"/>
      <c r="W136" s="114"/>
      <c r="X136" s="114"/>
      <c r="Y136" s="114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4"/>
      <c r="AK136" s="114"/>
      <c r="AL136" s="114"/>
      <c r="AM136" s="114"/>
      <c r="AN136" s="114"/>
      <c r="AO136" s="114"/>
      <c r="AP136" s="114"/>
      <c r="AQ136" s="202"/>
      <c r="AR136" s="202"/>
      <c r="AS136" s="202"/>
      <c r="AT136" s="202"/>
      <c r="AU136" s="202"/>
      <c r="AV136" s="114"/>
      <c r="AW136" s="114"/>
      <c r="AX136" s="114"/>
      <c r="AY136" s="114"/>
      <c r="AZ136" s="114"/>
      <c r="BA136" s="114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4"/>
      <c r="BM136" s="114"/>
      <c r="BN136" s="114"/>
      <c r="BO136" s="114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4"/>
      <c r="CA136" s="114"/>
      <c r="CB136" s="114"/>
      <c r="CC136" s="114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4"/>
      <c r="CO136" s="114"/>
      <c r="CP136" s="114"/>
      <c r="CQ136" s="114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4"/>
      <c r="DC136" s="114"/>
      <c r="DD136" s="114"/>
      <c r="DE136" s="114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4"/>
      <c r="DQ136" s="114"/>
      <c r="DR136" s="114"/>
      <c r="DS136" s="114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4"/>
      <c r="EE136" s="114"/>
      <c r="EF136" s="114"/>
      <c r="EG136" s="114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4"/>
      <c r="ES136" s="114"/>
      <c r="ET136" s="114"/>
      <c r="EU136" s="114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4"/>
      <c r="FG136" s="114"/>
      <c r="FH136" s="114"/>
      <c r="FI136" s="114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4"/>
      <c r="FU136" s="114"/>
      <c r="FV136" s="114"/>
      <c r="FW136" s="114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4"/>
      <c r="GI136" s="114"/>
      <c r="GJ136" s="114"/>
      <c r="GK136" s="114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4"/>
      <c r="GW136" s="114"/>
      <c r="GX136" s="114"/>
      <c r="GY136" s="114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4"/>
      <c r="HK136" s="114"/>
      <c r="HL136" s="114"/>
      <c r="HM136" s="114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4"/>
      <c r="HY136" s="114"/>
      <c r="HZ136" s="114"/>
      <c r="IA136" s="114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4"/>
      <c r="IM136" s="114"/>
      <c r="IN136" s="114"/>
      <c r="IO136" s="114"/>
      <c r="IP136" s="114"/>
      <c r="IQ136" s="114"/>
      <c r="IR136" s="114"/>
      <c r="IS136" s="114"/>
      <c r="IT136" s="114"/>
      <c r="IU136" s="114"/>
      <c r="IV136" s="114"/>
      <c r="IW136" s="114"/>
    </row>
    <row r="137" customFormat="false" ht="16.5" hidden="false" customHeight="true" outlineLevel="0" collapsed="false">
      <c r="A137" s="114"/>
      <c r="B137" s="114"/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  <c r="R137" s="114"/>
      <c r="S137" s="114"/>
      <c r="T137" s="114"/>
      <c r="U137" s="114"/>
      <c r="V137" s="114"/>
      <c r="W137" s="114"/>
      <c r="X137" s="114"/>
      <c r="Y137" s="114"/>
      <c r="Z137" s="114"/>
      <c r="AA137" s="114"/>
      <c r="AB137" s="114"/>
      <c r="AC137" s="114"/>
      <c r="AD137" s="114"/>
      <c r="AE137" s="114"/>
      <c r="AF137" s="114"/>
      <c r="AG137" s="114"/>
      <c r="AH137" s="114"/>
      <c r="AI137" s="114"/>
      <c r="AJ137" s="114"/>
      <c r="AK137" s="114"/>
      <c r="AL137" s="114"/>
      <c r="AM137" s="114"/>
      <c r="AN137" s="114"/>
      <c r="AO137" s="114"/>
      <c r="AP137" s="114"/>
      <c r="AQ137" s="202"/>
      <c r="AR137" s="202"/>
      <c r="AS137" s="202"/>
      <c r="AT137" s="202"/>
      <c r="AU137" s="202"/>
      <c r="AV137" s="114"/>
      <c r="AW137" s="114"/>
      <c r="AX137" s="114"/>
      <c r="AY137" s="114"/>
      <c r="AZ137" s="114"/>
      <c r="BA137" s="114"/>
      <c r="BB137" s="114"/>
      <c r="BC137" s="114"/>
      <c r="BD137" s="114"/>
      <c r="BE137" s="114"/>
      <c r="BF137" s="114"/>
      <c r="BG137" s="114"/>
      <c r="BH137" s="114"/>
      <c r="BI137" s="114"/>
      <c r="BJ137" s="114"/>
      <c r="BK137" s="114"/>
      <c r="BL137" s="114"/>
      <c r="BM137" s="114"/>
      <c r="BN137" s="114"/>
      <c r="BO137" s="114"/>
      <c r="BP137" s="114"/>
      <c r="BQ137" s="114"/>
      <c r="BR137" s="114"/>
      <c r="BS137" s="114"/>
      <c r="BT137" s="114"/>
      <c r="BU137" s="114"/>
      <c r="BV137" s="114"/>
      <c r="BW137" s="114"/>
      <c r="BX137" s="114"/>
      <c r="BY137" s="114"/>
      <c r="BZ137" s="114"/>
      <c r="CA137" s="114"/>
      <c r="CB137" s="114"/>
      <c r="CC137" s="114"/>
      <c r="CD137" s="114"/>
      <c r="CE137" s="114"/>
      <c r="CF137" s="114"/>
      <c r="CG137" s="114"/>
      <c r="CH137" s="114"/>
      <c r="CI137" s="114"/>
      <c r="CJ137" s="114"/>
      <c r="CK137" s="114"/>
      <c r="CL137" s="114"/>
      <c r="CM137" s="114"/>
      <c r="CN137" s="114"/>
      <c r="CO137" s="114"/>
      <c r="CP137" s="114"/>
      <c r="CQ137" s="114"/>
      <c r="CR137" s="114"/>
      <c r="CS137" s="114"/>
      <c r="CT137" s="114"/>
      <c r="CU137" s="114"/>
      <c r="CV137" s="114"/>
      <c r="CW137" s="114"/>
      <c r="CX137" s="114"/>
      <c r="CY137" s="114"/>
      <c r="CZ137" s="114"/>
      <c r="DA137" s="114"/>
      <c r="DB137" s="114"/>
      <c r="DC137" s="114"/>
      <c r="DD137" s="114"/>
      <c r="DE137" s="114"/>
      <c r="DF137" s="114"/>
      <c r="DG137" s="114"/>
      <c r="DH137" s="114"/>
      <c r="DI137" s="114"/>
      <c r="DJ137" s="114"/>
      <c r="DK137" s="114"/>
      <c r="DL137" s="114"/>
      <c r="DM137" s="114"/>
      <c r="DN137" s="114"/>
      <c r="DO137" s="114"/>
      <c r="DP137" s="114"/>
      <c r="DQ137" s="114"/>
      <c r="DR137" s="114"/>
      <c r="DS137" s="114"/>
      <c r="DT137" s="114"/>
      <c r="DU137" s="114"/>
      <c r="DV137" s="114"/>
      <c r="DW137" s="114"/>
      <c r="DX137" s="114"/>
      <c r="DY137" s="114"/>
      <c r="DZ137" s="114"/>
      <c r="EA137" s="114"/>
      <c r="EB137" s="114"/>
      <c r="EC137" s="114"/>
      <c r="ED137" s="114"/>
      <c r="EE137" s="114"/>
      <c r="EF137" s="114"/>
      <c r="EG137" s="114"/>
      <c r="EH137" s="114"/>
      <c r="EI137" s="114"/>
      <c r="EJ137" s="114"/>
      <c r="EK137" s="114"/>
      <c r="EL137" s="114"/>
      <c r="EM137" s="114"/>
      <c r="EN137" s="114"/>
      <c r="EO137" s="114"/>
      <c r="EP137" s="114"/>
      <c r="EQ137" s="114"/>
      <c r="ER137" s="114"/>
      <c r="ES137" s="114"/>
      <c r="ET137" s="114"/>
      <c r="EU137" s="114"/>
      <c r="EV137" s="114"/>
      <c r="EW137" s="114"/>
      <c r="EX137" s="114"/>
      <c r="EY137" s="114"/>
      <c r="EZ137" s="114"/>
      <c r="FA137" s="114"/>
      <c r="FB137" s="114"/>
      <c r="FC137" s="114"/>
      <c r="FD137" s="114"/>
      <c r="FE137" s="114"/>
      <c r="FF137" s="114"/>
      <c r="FG137" s="114"/>
      <c r="FH137" s="114"/>
      <c r="FI137" s="114"/>
      <c r="FJ137" s="114"/>
      <c r="FK137" s="114"/>
      <c r="FL137" s="114"/>
      <c r="FM137" s="114"/>
      <c r="FN137" s="114"/>
      <c r="FO137" s="114"/>
      <c r="FP137" s="114"/>
      <c r="FQ137" s="114"/>
      <c r="FR137" s="114"/>
      <c r="FS137" s="114"/>
      <c r="FT137" s="114"/>
      <c r="FU137" s="114"/>
      <c r="FV137" s="114"/>
      <c r="FW137" s="114"/>
      <c r="FX137" s="114"/>
      <c r="FY137" s="114"/>
      <c r="FZ137" s="114"/>
      <c r="GA137" s="114"/>
      <c r="GB137" s="114"/>
      <c r="GC137" s="114"/>
      <c r="GD137" s="114"/>
      <c r="GE137" s="114"/>
      <c r="GF137" s="114"/>
      <c r="GG137" s="114"/>
      <c r="GH137" s="114"/>
      <c r="GI137" s="114"/>
      <c r="GJ137" s="114"/>
      <c r="GK137" s="114"/>
      <c r="GL137" s="114"/>
      <c r="GM137" s="114"/>
      <c r="GN137" s="114"/>
      <c r="GO137" s="114"/>
      <c r="GP137" s="114"/>
      <c r="GQ137" s="114"/>
      <c r="GR137" s="114"/>
      <c r="GS137" s="114"/>
      <c r="GT137" s="114"/>
      <c r="GU137" s="114"/>
      <c r="GV137" s="114"/>
      <c r="GW137" s="114"/>
      <c r="GX137" s="114"/>
      <c r="GY137" s="114"/>
      <c r="GZ137" s="114"/>
      <c r="HA137" s="114"/>
      <c r="HB137" s="114"/>
      <c r="HC137" s="114"/>
      <c r="HD137" s="114"/>
      <c r="HE137" s="114"/>
      <c r="HF137" s="114"/>
      <c r="HG137" s="114"/>
      <c r="HH137" s="114"/>
      <c r="HI137" s="114"/>
      <c r="HJ137" s="114"/>
      <c r="HK137" s="114"/>
      <c r="HL137" s="114"/>
      <c r="HM137" s="114"/>
      <c r="HN137" s="114"/>
      <c r="HO137" s="114"/>
      <c r="HP137" s="114"/>
      <c r="HQ137" s="114"/>
      <c r="HR137" s="114"/>
      <c r="HS137" s="114"/>
      <c r="HT137" s="114"/>
      <c r="HU137" s="114"/>
      <c r="HV137" s="114"/>
      <c r="HW137" s="114"/>
      <c r="HX137" s="114"/>
      <c r="HY137" s="114"/>
      <c r="HZ137" s="114"/>
      <c r="IA137" s="114"/>
      <c r="IB137" s="114"/>
      <c r="IC137" s="114"/>
      <c r="ID137" s="114"/>
      <c r="IE137" s="114"/>
      <c r="IF137" s="114"/>
      <c r="IG137" s="114"/>
      <c r="IH137" s="114"/>
      <c r="II137" s="114"/>
      <c r="IJ137" s="114"/>
      <c r="IK137" s="114"/>
      <c r="IL137" s="114"/>
      <c r="IM137" s="114"/>
      <c r="IN137" s="114"/>
      <c r="IO137" s="114"/>
      <c r="IP137" s="114"/>
      <c r="IQ137" s="114"/>
      <c r="IR137" s="114"/>
      <c r="IS137" s="114"/>
      <c r="IT137" s="114"/>
      <c r="IU137" s="114"/>
      <c r="IV137" s="114"/>
      <c r="IW137" s="114"/>
    </row>
    <row r="138" customFormat="false" ht="11.25" hidden="false" customHeight="false" outlineLevel="0" collapsed="false">
      <c r="A138" s="533"/>
      <c r="B138" s="533"/>
      <c r="C138" s="533"/>
      <c r="D138" s="114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  <c r="R138" s="114"/>
      <c r="S138" s="114"/>
      <c r="T138" s="114"/>
      <c r="U138" s="114"/>
      <c r="V138" s="114"/>
      <c r="W138" s="114"/>
      <c r="X138" s="114"/>
      <c r="Y138" s="114"/>
      <c r="Z138" s="114"/>
      <c r="AA138" s="114"/>
      <c r="AB138" s="114"/>
      <c r="AC138" s="114"/>
      <c r="AD138" s="114"/>
      <c r="AE138" s="114"/>
      <c r="AF138" s="114"/>
      <c r="AG138" s="114"/>
      <c r="AH138" s="114"/>
      <c r="AI138" s="114"/>
      <c r="AJ138" s="114"/>
      <c r="AK138" s="114"/>
      <c r="AL138" s="114"/>
      <c r="AM138" s="114"/>
      <c r="AN138" s="114"/>
      <c r="AO138" s="114"/>
      <c r="AP138" s="114"/>
      <c r="AQ138" s="534"/>
      <c r="AR138" s="534"/>
      <c r="AS138" s="534"/>
      <c r="AT138" s="534"/>
      <c r="AU138" s="534"/>
      <c r="AV138" s="533"/>
      <c r="AW138" s="533"/>
      <c r="AX138" s="533"/>
      <c r="AY138" s="533"/>
      <c r="AZ138" s="533"/>
      <c r="BA138" s="533"/>
      <c r="BB138" s="533"/>
      <c r="BC138" s="533"/>
      <c r="BD138" s="533"/>
      <c r="BE138" s="533"/>
      <c r="BF138" s="533"/>
      <c r="BG138" s="533"/>
      <c r="BH138" s="533"/>
      <c r="BI138" s="533"/>
      <c r="BJ138" s="533"/>
      <c r="BK138" s="533"/>
      <c r="BL138" s="533"/>
      <c r="BM138" s="533"/>
      <c r="BN138" s="533"/>
      <c r="BO138" s="533"/>
      <c r="BP138" s="533"/>
      <c r="BQ138" s="533"/>
      <c r="BR138" s="533"/>
      <c r="BS138" s="533"/>
      <c r="BT138" s="533"/>
      <c r="BU138" s="533"/>
      <c r="BV138" s="533"/>
      <c r="BW138" s="533"/>
      <c r="BX138" s="533"/>
      <c r="BY138" s="533"/>
      <c r="BZ138" s="533"/>
      <c r="CA138" s="533"/>
      <c r="CB138" s="533"/>
      <c r="CC138" s="533"/>
      <c r="CD138" s="533"/>
      <c r="CE138" s="533"/>
      <c r="CF138" s="533"/>
      <c r="CG138" s="533"/>
      <c r="CH138" s="533"/>
      <c r="CI138" s="533"/>
      <c r="CJ138" s="533"/>
      <c r="CK138" s="533"/>
      <c r="CL138" s="533"/>
      <c r="CM138" s="533"/>
      <c r="CN138" s="533"/>
      <c r="CO138" s="533"/>
      <c r="CP138" s="533"/>
      <c r="CQ138" s="533"/>
      <c r="CR138" s="533"/>
      <c r="CS138" s="533"/>
      <c r="CT138" s="533"/>
      <c r="CU138" s="533"/>
      <c r="CV138" s="533"/>
      <c r="CW138" s="533"/>
      <c r="CX138" s="533"/>
      <c r="CY138" s="533"/>
      <c r="CZ138" s="533"/>
      <c r="DA138" s="533"/>
      <c r="DB138" s="533"/>
      <c r="DC138" s="533"/>
      <c r="DD138" s="533"/>
      <c r="DE138" s="533"/>
      <c r="DF138" s="533"/>
      <c r="DG138" s="533"/>
      <c r="DH138" s="533"/>
      <c r="DI138" s="533"/>
      <c r="DJ138" s="533"/>
      <c r="DK138" s="533"/>
      <c r="DL138" s="533"/>
      <c r="DM138" s="533"/>
      <c r="DN138" s="533"/>
      <c r="DO138" s="533"/>
      <c r="DP138" s="533"/>
      <c r="DQ138" s="533"/>
      <c r="DR138" s="533"/>
      <c r="DS138" s="533"/>
      <c r="DT138" s="533"/>
      <c r="DU138" s="533"/>
      <c r="DV138" s="533"/>
      <c r="DW138" s="533"/>
      <c r="DX138" s="533"/>
      <c r="DY138" s="533"/>
      <c r="DZ138" s="533"/>
      <c r="EA138" s="533"/>
      <c r="EB138" s="533"/>
      <c r="EC138" s="533"/>
      <c r="ED138" s="533"/>
      <c r="EE138" s="533"/>
      <c r="EF138" s="533"/>
      <c r="EG138" s="533"/>
      <c r="EH138" s="533"/>
      <c r="EI138" s="533"/>
      <c r="EJ138" s="533"/>
      <c r="EK138" s="533"/>
      <c r="EL138" s="533"/>
      <c r="EM138" s="533"/>
      <c r="EN138" s="533"/>
      <c r="EO138" s="533"/>
      <c r="EP138" s="533"/>
      <c r="EQ138" s="533"/>
      <c r="ER138" s="533"/>
      <c r="ES138" s="533"/>
      <c r="ET138" s="533"/>
      <c r="EU138" s="533"/>
      <c r="EV138" s="533"/>
      <c r="EW138" s="533"/>
      <c r="EX138" s="533"/>
      <c r="EY138" s="533"/>
      <c r="EZ138" s="533"/>
      <c r="FA138" s="533"/>
      <c r="FB138" s="533"/>
      <c r="FC138" s="533"/>
      <c r="FD138" s="533"/>
      <c r="FE138" s="533"/>
      <c r="FF138" s="533"/>
      <c r="FG138" s="533"/>
      <c r="FH138" s="533"/>
      <c r="FI138" s="533"/>
      <c r="FJ138" s="533"/>
      <c r="FK138" s="533"/>
      <c r="FL138" s="533"/>
      <c r="FM138" s="533"/>
      <c r="FN138" s="533"/>
      <c r="FO138" s="533"/>
      <c r="FP138" s="533"/>
      <c r="FQ138" s="533"/>
      <c r="FR138" s="533"/>
      <c r="FS138" s="533"/>
      <c r="FT138" s="533"/>
      <c r="FU138" s="533"/>
      <c r="FV138" s="533"/>
      <c r="FW138" s="533"/>
      <c r="FX138" s="533"/>
      <c r="FY138" s="533"/>
      <c r="FZ138" s="533"/>
      <c r="GA138" s="533"/>
      <c r="GB138" s="533"/>
      <c r="GC138" s="533"/>
      <c r="GD138" s="533"/>
      <c r="GE138" s="533"/>
      <c r="GF138" s="533"/>
      <c r="GG138" s="533"/>
      <c r="GH138" s="533"/>
      <c r="GI138" s="533"/>
      <c r="GJ138" s="533"/>
      <c r="GK138" s="533"/>
      <c r="GL138" s="533"/>
      <c r="GM138" s="533"/>
      <c r="GN138" s="533"/>
      <c r="GO138" s="533"/>
      <c r="GP138" s="533"/>
      <c r="GQ138" s="533"/>
      <c r="GR138" s="533"/>
      <c r="GS138" s="533"/>
      <c r="GT138" s="533"/>
      <c r="GU138" s="533"/>
      <c r="GV138" s="533"/>
      <c r="GW138" s="533"/>
      <c r="GX138" s="533"/>
      <c r="GY138" s="533"/>
      <c r="GZ138" s="533"/>
      <c r="HA138" s="533"/>
      <c r="HB138" s="533"/>
      <c r="HC138" s="533"/>
      <c r="HD138" s="533"/>
      <c r="HE138" s="533"/>
      <c r="HF138" s="533"/>
      <c r="HG138" s="533"/>
      <c r="HH138" s="533"/>
      <c r="HI138" s="533"/>
      <c r="HJ138" s="533"/>
      <c r="HK138" s="533"/>
      <c r="HL138" s="533"/>
      <c r="HM138" s="533"/>
      <c r="HN138" s="533"/>
      <c r="HO138" s="533"/>
      <c r="HP138" s="533"/>
      <c r="HQ138" s="533"/>
      <c r="HR138" s="533"/>
      <c r="HS138" s="533"/>
      <c r="HT138" s="533"/>
      <c r="HU138" s="533"/>
      <c r="HV138" s="533"/>
      <c r="HW138" s="533"/>
      <c r="HX138" s="533"/>
      <c r="HY138" s="533"/>
      <c r="HZ138" s="533"/>
      <c r="IA138" s="533"/>
      <c r="IB138" s="533"/>
      <c r="IC138" s="533"/>
      <c r="ID138" s="533"/>
      <c r="IE138" s="533"/>
      <c r="IF138" s="533"/>
      <c r="IG138" s="533"/>
      <c r="IH138" s="533"/>
      <c r="II138" s="533"/>
      <c r="IJ138" s="533"/>
      <c r="IK138" s="533"/>
      <c r="IL138" s="533"/>
      <c r="IM138" s="533"/>
      <c r="IN138" s="533"/>
      <c r="IO138" s="533"/>
      <c r="IP138" s="533"/>
      <c r="IQ138" s="533"/>
      <c r="IR138" s="533"/>
      <c r="IS138" s="533"/>
      <c r="IT138" s="533"/>
      <c r="IU138" s="533"/>
      <c r="IV138" s="533"/>
      <c r="IW138" s="533"/>
    </row>
    <row r="139" customFormat="false" ht="11.25" hidden="false" customHeight="false" outlineLevel="0" collapsed="false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  <c r="R139" s="114"/>
      <c r="S139" s="114"/>
      <c r="T139" s="114"/>
      <c r="U139" s="114"/>
      <c r="V139" s="114"/>
      <c r="W139" s="114"/>
      <c r="X139" s="114"/>
      <c r="Y139" s="114"/>
      <c r="Z139" s="114"/>
      <c r="AA139" s="114"/>
      <c r="AB139" s="114"/>
      <c r="AC139" s="114"/>
      <c r="AD139" s="114"/>
      <c r="AE139" s="114"/>
      <c r="AF139" s="114"/>
      <c r="AG139" s="114"/>
      <c r="AH139" s="114"/>
      <c r="AI139" s="114"/>
      <c r="AJ139" s="114"/>
      <c r="AK139" s="114"/>
      <c r="AL139" s="114"/>
      <c r="AM139" s="114"/>
      <c r="AN139" s="114"/>
      <c r="AO139" s="114"/>
      <c r="AP139" s="114"/>
      <c r="AQ139" s="202"/>
      <c r="AR139" s="202"/>
      <c r="AS139" s="202"/>
      <c r="AT139" s="202"/>
      <c r="AU139" s="202"/>
      <c r="AV139" s="114"/>
      <c r="AW139" s="114"/>
      <c r="AX139" s="114"/>
      <c r="AY139" s="114"/>
      <c r="AZ139" s="114"/>
      <c r="BA139" s="114"/>
      <c r="BB139" s="114"/>
      <c r="BC139" s="114"/>
      <c r="BD139" s="114"/>
      <c r="BE139" s="114"/>
      <c r="BF139" s="114"/>
      <c r="BG139" s="114"/>
      <c r="BH139" s="114"/>
      <c r="BI139" s="114"/>
      <c r="BJ139" s="114"/>
      <c r="BK139" s="114"/>
      <c r="BL139" s="114"/>
      <c r="BM139" s="114"/>
      <c r="BN139" s="114"/>
      <c r="BO139" s="114"/>
      <c r="BP139" s="114"/>
      <c r="BQ139" s="114"/>
      <c r="BR139" s="114"/>
      <c r="BS139" s="114"/>
      <c r="BT139" s="114"/>
      <c r="BU139" s="114"/>
      <c r="BV139" s="114"/>
      <c r="BW139" s="114"/>
      <c r="BX139" s="114"/>
      <c r="BY139" s="114"/>
      <c r="BZ139" s="114"/>
      <c r="CA139" s="114"/>
      <c r="CB139" s="114"/>
      <c r="CC139" s="114"/>
      <c r="CD139" s="114"/>
      <c r="CE139" s="114"/>
      <c r="CF139" s="114"/>
      <c r="CG139" s="114"/>
      <c r="CH139" s="114"/>
      <c r="CI139" s="114"/>
      <c r="CJ139" s="114"/>
      <c r="CK139" s="114"/>
      <c r="CL139" s="114"/>
      <c r="CM139" s="114"/>
      <c r="CN139" s="114"/>
      <c r="CO139" s="114"/>
      <c r="CP139" s="114"/>
      <c r="CQ139" s="114"/>
      <c r="CR139" s="114"/>
      <c r="CS139" s="114"/>
      <c r="CT139" s="114"/>
      <c r="CU139" s="114"/>
      <c r="CV139" s="114"/>
      <c r="CW139" s="114"/>
      <c r="CX139" s="114"/>
      <c r="CY139" s="114"/>
      <c r="CZ139" s="114"/>
      <c r="DA139" s="114"/>
      <c r="DB139" s="114"/>
      <c r="DC139" s="114"/>
      <c r="DD139" s="114"/>
      <c r="DE139" s="114"/>
      <c r="DF139" s="114"/>
      <c r="DG139" s="114"/>
      <c r="DH139" s="114"/>
      <c r="DI139" s="114"/>
      <c r="DJ139" s="114"/>
      <c r="DK139" s="114"/>
      <c r="DL139" s="114"/>
      <c r="DM139" s="114"/>
      <c r="DN139" s="114"/>
      <c r="DO139" s="114"/>
      <c r="DP139" s="114"/>
      <c r="DQ139" s="114"/>
      <c r="DR139" s="114"/>
      <c r="DS139" s="114"/>
      <c r="DT139" s="114"/>
      <c r="DU139" s="114"/>
      <c r="DV139" s="114"/>
      <c r="DW139" s="114"/>
      <c r="DX139" s="114"/>
      <c r="DY139" s="114"/>
      <c r="DZ139" s="114"/>
      <c r="EA139" s="114"/>
      <c r="EB139" s="114"/>
      <c r="EC139" s="114"/>
      <c r="ED139" s="114"/>
      <c r="EE139" s="114"/>
      <c r="EF139" s="114"/>
      <c r="EG139" s="114"/>
      <c r="EH139" s="114"/>
      <c r="EI139" s="114"/>
      <c r="EJ139" s="114"/>
      <c r="EK139" s="114"/>
      <c r="EL139" s="114"/>
      <c r="EM139" s="114"/>
      <c r="EN139" s="114"/>
      <c r="EO139" s="114"/>
      <c r="EP139" s="114"/>
      <c r="EQ139" s="114"/>
      <c r="ER139" s="114"/>
      <c r="ES139" s="114"/>
      <c r="ET139" s="114"/>
      <c r="EU139" s="114"/>
      <c r="EV139" s="114"/>
      <c r="EW139" s="114"/>
      <c r="EX139" s="114"/>
      <c r="EY139" s="114"/>
      <c r="EZ139" s="114"/>
      <c r="FA139" s="114"/>
      <c r="FB139" s="114"/>
      <c r="FC139" s="114"/>
      <c r="FD139" s="114"/>
      <c r="FE139" s="114"/>
      <c r="FF139" s="114"/>
      <c r="FG139" s="114"/>
      <c r="FH139" s="114"/>
      <c r="FI139" s="114"/>
      <c r="FJ139" s="114"/>
      <c r="FK139" s="114"/>
      <c r="FL139" s="114"/>
      <c r="FM139" s="114"/>
      <c r="FN139" s="114"/>
      <c r="FO139" s="114"/>
      <c r="FP139" s="114"/>
      <c r="FQ139" s="114"/>
      <c r="FR139" s="114"/>
      <c r="FS139" s="114"/>
      <c r="FT139" s="114"/>
      <c r="FU139" s="114"/>
      <c r="FV139" s="114"/>
      <c r="FW139" s="114"/>
      <c r="FX139" s="114"/>
      <c r="FY139" s="114"/>
      <c r="FZ139" s="114"/>
      <c r="GA139" s="114"/>
      <c r="GB139" s="114"/>
      <c r="GC139" s="114"/>
      <c r="GD139" s="114"/>
      <c r="GE139" s="114"/>
      <c r="GF139" s="114"/>
      <c r="GG139" s="114"/>
      <c r="GH139" s="114"/>
      <c r="GI139" s="114"/>
      <c r="GJ139" s="114"/>
      <c r="GK139" s="114"/>
      <c r="GL139" s="114"/>
      <c r="GM139" s="114"/>
      <c r="GN139" s="114"/>
      <c r="GO139" s="114"/>
      <c r="GP139" s="114"/>
      <c r="GQ139" s="114"/>
      <c r="GR139" s="114"/>
      <c r="GS139" s="114"/>
      <c r="GT139" s="114"/>
      <c r="GU139" s="114"/>
      <c r="GV139" s="114"/>
      <c r="GW139" s="114"/>
      <c r="GX139" s="114"/>
      <c r="GY139" s="114"/>
      <c r="GZ139" s="114"/>
      <c r="HA139" s="114"/>
      <c r="HB139" s="114"/>
      <c r="HC139" s="114"/>
      <c r="HD139" s="114"/>
      <c r="HE139" s="114"/>
      <c r="HF139" s="114"/>
      <c r="HG139" s="114"/>
      <c r="HH139" s="114"/>
      <c r="HI139" s="114"/>
      <c r="HJ139" s="114"/>
      <c r="HK139" s="114"/>
      <c r="HL139" s="114"/>
      <c r="HM139" s="114"/>
      <c r="HN139" s="114"/>
      <c r="HO139" s="114"/>
      <c r="HP139" s="114"/>
      <c r="HQ139" s="114"/>
      <c r="HR139" s="114"/>
      <c r="HS139" s="114"/>
      <c r="HT139" s="114"/>
      <c r="HU139" s="114"/>
      <c r="HV139" s="114"/>
      <c r="HW139" s="114"/>
      <c r="HX139" s="114"/>
      <c r="HY139" s="114"/>
      <c r="HZ139" s="114"/>
      <c r="IA139" s="114"/>
      <c r="IB139" s="114"/>
      <c r="IC139" s="114"/>
      <c r="ID139" s="114"/>
      <c r="IE139" s="114"/>
      <c r="IF139" s="114"/>
      <c r="IG139" s="114"/>
      <c r="IH139" s="114"/>
      <c r="II139" s="114"/>
      <c r="IJ139" s="114"/>
      <c r="IK139" s="114"/>
      <c r="IL139" s="114"/>
      <c r="IM139" s="114"/>
      <c r="IN139" s="114"/>
      <c r="IO139" s="114"/>
      <c r="IP139" s="114"/>
      <c r="IQ139" s="114"/>
      <c r="IR139" s="114"/>
      <c r="IS139" s="114"/>
      <c r="IT139" s="114"/>
      <c r="IU139" s="114"/>
      <c r="IV139" s="114"/>
      <c r="IW139" s="114"/>
    </row>
    <row r="140" customFormat="false" ht="11.25" hidden="false" customHeight="false" outlineLevel="0" collapsed="false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  <c r="AA140" s="114"/>
      <c r="AB140" s="114"/>
      <c r="AC140" s="114"/>
      <c r="AD140" s="114"/>
      <c r="AE140" s="114"/>
      <c r="AF140" s="114"/>
      <c r="AG140" s="114"/>
      <c r="AH140" s="114"/>
      <c r="AI140" s="114"/>
      <c r="AJ140" s="114"/>
      <c r="AK140" s="114"/>
      <c r="AL140" s="114"/>
      <c r="AM140" s="114"/>
      <c r="AN140" s="114"/>
      <c r="AO140" s="114"/>
      <c r="AP140" s="114"/>
      <c r="AQ140" s="202"/>
      <c r="AR140" s="202"/>
      <c r="AS140" s="202"/>
      <c r="AT140" s="202"/>
      <c r="AU140" s="202"/>
      <c r="AV140" s="114"/>
      <c r="AW140" s="114"/>
      <c r="AX140" s="114"/>
      <c r="AY140" s="114"/>
      <c r="AZ140" s="114"/>
      <c r="BA140" s="114"/>
      <c r="BB140" s="114"/>
      <c r="BC140" s="114"/>
      <c r="BD140" s="114"/>
      <c r="BE140" s="114"/>
      <c r="BF140" s="114"/>
      <c r="BG140" s="114"/>
      <c r="BH140" s="114"/>
      <c r="BI140" s="114"/>
      <c r="BJ140" s="114"/>
      <c r="BK140" s="114"/>
      <c r="BL140" s="114"/>
      <c r="BM140" s="114"/>
      <c r="BN140" s="114"/>
      <c r="BO140" s="114"/>
      <c r="BP140" s="114"/>
      <c r="BQ140" s="114"/>
      <c r="BR140" s="114"/>
      <c r="BS140" s="114"/>
      <c r="BT140" s="114"/>
      <c r="BU140" s="114"/>
      <c r="BV140" s="114"/>
      <c r="BW140" s="114"/>
      <c r="BX140" s="114"/>
      <c r="BY140" s="114"/>
      <c r="BZ140" s="114"/>
      <c r="CA140" s="114"/>
      <c r="CB140" s="114"/>
      <c r="CC140" s="114"/>
      <c r="CD140" s="114"/>
      <c r="CE140" s="114"/>
      <c r="CF140" s="114"/>
      <c r="CG140" s="114"/>
      <c r="CH140" s="114"/>
      <c r="CI140" s="114"/>
      <c r="CJ140" s="114"/>
      <c r="CK140" s="114"/>
      <c r="CL140" s="114"/>
      <c r="CM140" s="114"/>
      <c r="CN140" s="114"/>
      <c r="CO140" s="114"/>
      <c r="CP140" s="114"/>
      <c r="CQ140" s="114"/>
      <c r="CR140" s="114"/>
      <c r="CS140" s="114"/>
      <c r="CT140" s="114"/>
      <c r="CU140" s="114"/>
      <c r="CV140" s="114"/>
      <c r="CW140" s="114"/>
      <c r="CX140" s="114"/>
      <c r="CY140" s="114"/>
      <c r="CZ140" s="114"/>
      <c r="DA140" s="114"/>
      <c r="DB140" s="114"/>
      <c r="DC140" s="114"/>
      <c r="DD140" s="114"/>
      <c r="DE140" s="114"/>
      <c r="DF140" s="114"/>
      <c r="DG140" s="114"/>
      <c r="DH140" s="114"/>
      <c r="DI140" s="114"/>
      <c r="DJ140" s="114"/>
      <c r="DK140" s="114"/>
      <c r="DL140" s="114"/>
      <c r="DM140" s="114"/>
      <c r="DN140" s="114"/>
      <c r="DO140" s="114"/>
      <c r="DP140" s="114"/>
      <c r="DQ140" s="114"/>
      <c r="DR140" s="114"/>
      <c r="DS140" s="114"/>
      <c r="DT140" s="114"/>
      <c r="DU140" s="114"/>
      <c r="DV140" s="114"/>
      <c r="DW140" s="114"/>
      <c r="DX140" s="114"/>
      <c r="DY140" s="114"/>
      <c r="DZ140" s="114"/>
      <c r="EA140" s="114"/>
      <c r="EB140" s="114"/>
      <c r="EC140" s="114"/>
      <c r="ED140" s="114"/>
      <c r="EE140" s="114"/>
      <c r="EF140" s="114"/>
      <c r="EG140" s="114"/>
      <c r="EH140" s="114"/>
      <c r="EI140" s="114"/>
      <c r="EJ140" s="114"/>
      <c r="EK140" s="114"/>
      <c r="EL140" s="114"/>
      <c r="EM140" s="114"/>
      <c r="EN140" s="114"/>
      <c r="EO140" s="114"/>
      <c r="EP140" s="114"/>
      <c r="EQ140" s="114"/>
      <c r="ER140" s="114"/>
      <c r="ES140" s="114"/>
      <c r="ET140" s="114"/>
      <c r="EU140" s="114"/>
      <c r="EV140" s="114"/>
      <c r="EW140" s="114"/>
      <c r="EX140" s="114"/>
      <c r="EY140" s="114"/>
      <c r="EZ140" s="114"/>
      <c r="FA140" s="114"/>
      <c r="FB140" s="114"/>
      <c r="FC140" s="114"/>
      <c r="FD140" s="114"/>
      <c r="FE140" s="114"/>
      <c r="FF140" s="114"/>
      <c r="FG140" s="114"/>
      <c r="FH140" s="114"/>
      <c r="FI140" s="114"/>
      <c r="FJ140" s="114"/>
      <c r="FK140" s="114"/>
      <c r="FL140" s="114"/>
      <c r="FM140" s="114"/>
      <c r="FN140" s="114"/>
      <c r="FO140" s="114"/>
      <c r="FP140" s="114"/>
      <c r="FQ140" s="114"/>
      <c r="FR140" s="114"/>
      <c r="FS140" s="114"/>
      <c r="FT140" s="114"/>
      <c r="FU140" s="114"/>
      <c r="FV140" s="114"/>
      <c r="FW140" s="114"/>
      <c r="FX140" s="114"/>
      <c r="FY140" s="114"/>
      <c r="FZ140" s="114"/>
      <c r="GA140" s="114"/>
      <c r="GB140" s="114"/>
      <c r="GC140" s="114"/>
      <c r="GD140" s="114"/>
      <c r="GE140" s="114"/>
      <c r="GF140" s="114"/>
      <c r="GG140" s="114"/>
      <c r="GH140" s="114"/>
      <c r="GI140" s="114"/>
      <c r="GJ140" s="114"/>
      <c r="GK140" s="114"/>
      <c r="GL140" s="114"/>
      <c r="GM140" s="114"/>
      <c r="GN140" s="114"/>
      <c r="GO140" s="114"/>
      <c r="GP140" s="114"/>
      <c r="GQ140" s="114"/>
      <c r="GR140" s="114"/>
      <c r="GS140" s="114"/>
      <c r="GT140" s="114"/>
      <c r="GU140" s="114"/>
      <c r="GV140" s="114"/>
      <c r="GW140" s="114"/>
      <c r="GX140" s="114"/>
      <c r="GY140" s="114"/>
      <c r="GZ140" s="114"/>
      <c r="HA140" s="114"/>
      <c r="HB140" s="114"/>
      <c r="HC140" s="114"/>
      <c r="HD140" s="114"/>
      <c r="HE140" s="114"/>
      <c r="HF140" s="114"/>
      <c r="HG140" s="114"/>
      <c r="HH140" s="114"/>
      <c r="HI140" s="114"/>
      <c r="HJ140" s="114"/>
      <c r="HK140" s="114"/>
      <c r="HL140" s="114"/>
      <c r="HM140" s="114"/>
      <c r="HN140" s="114"/>
      <c r="HO140" s="114"/>
      <c r="HP140" s="114"/>
      <c r="HQ140" s="114"/>
      <c r="HR140" s="114"/>
      <c r="HS140" s="114"/>
      <c r="HT140" s="114"/>
      <c r="HU140" s="114"/>
      <c r="HV140" s="114"/>
      <c r="HW140" s="114"/>
      <c r="HX140" s="114"/>
      <c r="HY140" s="114"/>
      <c r="HZ140" s="114"/>
      <c r="IA140" s="114"/>
      <c r="IB140" s="114"/>
      <c r="IC140" s="114"/>
      <c r="ID140" s="114"/>
      <c r="IE140" s="114"/>
      <c r="IF140" s="114"/>
      <c r="IG140" s="114"/>
      <c r="IH140" s="114"/>
      <c r="II140" s="114"/>
      <c r="IJ140" s="114"/>
      <c r="IK140" s="114"/>
      <c r="IL140" s="114"/>
      <c r="IM140" s="114"/>
      <c r="IN140" s="114"/>
      <c r="IO140" s="114"/>
      <c r="IP140" s="114"/>
      <c r="IQ140" s="114"/>
      <c r="IR140" s="114"/>
      <c r="IS140" s="114"/>
      <c r="IT140" s="114"/>
      <c r="IU140" s="114"/>
      <c r="IV140" s="114"/>
      <c r="IW140" s="114"/>
    </row>
    <row r="141" customFormat="false" ht="11.25" hidden="false" customHeight="false" outlineLevel="0" collapsed="false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  <c r="AA141" s="114"/>
      <c r="AB141" s="114"/>
      <c r="AC141" s="114"/>
      <c r="AD141" s="114"/>
      <c r="AE141" s="114"/>
      <c r="AF141" s="114"/>
      <c r="AG141" s="114"/>
      <c r="AH141" s="114"/>
      <c r="AI141" s="114"/>
      <c r="AJ141" s="114"/>
      <c r="AK141" s="114"/>
      <c r="AL141" s="114"/>
      <c r="AM141" s="114"/>
      <c r="AN141" s="114"/>
      <c r="AO141" s="114"/>
      <c r="AP141" s="114"/>
      <c r="AQ141" s="202"/>
      <c r="AR141" s="202"/>
      <c r="AS141" s="202"/>
      <c r="AT141" s="202"/>
      <c r="AU141" s="202"/>
      <c r="AV141" s="114"/>
      <c r="AW141" s="114"/>
      <c r="AX141" s="114"/>
      <c r="AY141" s="114"/>
      <c r="AZ141" s="114"/>
      <c r="BA141" s="114"/>
      <c r="BB141" s="114"/>
      <c r="BC141" s="114"/>
      <c r="BD141" s="114"/>
      <c r="BE141" s="114"/>
      <c r="BF141" s="114"/>
      <c r="BG141" s="114"/>
      <c r="BH141" s="114"/>
      <c r="BI141" s="114"/>
      <c r="BJ141" s="114"/>
      <c r="BK141" s="114"/>
      <c r="BL141" s="114"/>
      <c r="BM141" s="114"/>
      <c r="BN141" s="114"/>
      <c r="BO141" s="114"/>
      <c r="BP141" s="114"/>
      <c r="BQ141" s="114"/>
      <c r="BR141" s="114"/>
      <c r="BS141" s="114"/>
      <c r="BT141" s="114"/>
      <c r="BU141" s="114"/>
      <c r="BV141" s="114"/>
      <c r="BW141" s="114"/>
      <c r="BX141" s="114"/>
      <c r="BY141" s="114"/>
      <c r="BZ141" s="114"/>
      <c r="CA141" s="114"/>
      <c r="CB141" s="114"/>
      <c r="CC141" s="114"/>
      <c r="CD141" s="114"/>
      <c r="CE141" s="114"/>
      <c r="CF141" s="114"/>
      <c r="CG141" s="114"/>
      <c r="CH141" s="114"/>
      <c r="CI141" s="114"/>
      <c r="CJ141" s="114"/>
      <c r="CK141" s="114"/>
      <c r="CL141" s="114"/>
      <c r="CM141" s="114"/>
      <c r="CN141" s="114"/>
      <c r="CO141" s="114"/>
      <c r="CP141" s="114"/>
      <c r="CQ141" s="114"/>
      <c r="CR141" s="114"/>
      <c r="CS141" s="114"/>
      <c r="CT141" s="114"/>
      <c r="CU141" s="114"/>
      <c r="CV141" s="114"/>
      <c r="CW141" s="114"/>
      <c r="CX141" s="114"/>
      <c r="CY141" s="114"/>
      <c r="CZ141" s="114"/>
      <c r="DA141" s="114"/>
      <c r="DB141" s="114"/>
      <c r="DC141" s="114"/>
      <c r="DD141" s="114"/>
      <c r="DE141" s="114"/>
      <c r="DF141" s="114"/>
      <c r="DG141" s="114"/>
      <c r="DH141" s="114"/>
      <c r="DI141" s="114"/>
      <c r="DJ141" s="114"/>
      <c r="DK141" s="114"/>
      <c r="DL141" s="114"/>
      <c r="DM141" s="114"/>
      <c r="DN141" s="114"/>
      <c r="DO141" s="114"/>
      <c r="DP141" s="114"/>
      <c r="DQ141" s="114"/>
      <c r="DR141" s="114"/>
      <c r="DS141" s="114"/>
      <c r="DT141" s="114"/>
      <c r="DU141" s="114"/>
      <c r="DV141" s="114"/>
      <c r="DW141" s="114"/>
      <c r="DX141" s="114"/>
      <c r="DY141" s="114"/>
      <c r="DZ141" s="114"/>
      <c r="EA141" s="114"/>
      <c r="EB141" s="114"/>
      <c r="EC141" s="114"/>
      <c r="ED141" s="114"/>
      <c r="EE141" s="114"/>
      <c r="EF141" s="114"/>
      <c r="EG141" s="114"/>
      <c r="EH141" s="114"/>
      <c r="EI141" s="114"/>
      <c r="EJ141" s="114"/>
      <c r="EK141" s="114"/>
      <c r="EL141" s="114"/>
      <c r="EM141" s="114"/>
      <c r="EN141" s="114"/>
      <c r="EO141" s="114"/>
      <c r="EP141" s="114"/>
      <c r="EQ141" s="114"/>
      <c r="ER141" s="114"/>
      <c r="ES141" s="114"/>
      <c r="ET141" s="114"/>
      <c r="EU141" s="114"/>
      <c r="EV141" s="114"/>
      <c r="EW141" s="114"/>
      <c r="EX141" s="114"/>
      <c r="EY141" s="114"/>
      <c r="EZ141" s="114"/>
      <c r="FA141" s="114"/>
      <c r="FB141" s="114"/>
      <c r="FC141" s="114"/>
      <c r="FD141" s="114"/>
      <c r="FE141" s="114"/>
      <c r="FF141" s="114"/>
      <c r="FG141" s="114"/>
      <c r="FH141" s="114"/>
      <c r="FI141" s="114"/>
      <c r="FJ141" s="114"/>
      <c r="FK141" s="114"/>
      <c r="FL141" s="114"/>
      <c r="FM141" s="114"/>
      <c r="FN141" s="114"/>
      <c r="FO141" s="114"/>
      <c r="FP141" s="114"/>
      <c r="FQ141" s="114"/>
      <c r="FR141" s="114"/>
      <c r="FS141" s="114"/>
      <c r="FT141" s="114"/>
      <c r="FU141" s="114"/>
      <c r="FV141" s="114"/>
      <c r="FW141" s="114"/>
      <c r="FX141" s="114"/>
      <c r="FY141" s="114"/>
      <c r="FZ141" s="114"/>
      <c r="GA141" s="114"/>
      <c r="GB141" s="114"/>
      <c r="GC141" s="114"/>
      <c r="GD141" s="114"/>
      <c r="GE141" s="114"/>
      <c r="GF141" s="114"/>
      <c r="GG141" s="114"/>
      <c r="GH141" s="114"/>
      <c r="GI141" s="114"/>
      <c r="GJ141" s="114"/>
      <c r="GK141" s="114"/>
      <c r="GL141" s="114"/>
      <c r="GM141" s="114"/>
      <c r="GN141" s="114"/>
      <c r="GO141" s="114"/>
      <c r="GP141" s="114"/>
      <c r="GQ141" s="114"/>
      <c r="GR141" s="114"/>
      <c r="GS141" s="114"/>
      <c r="GT141" s="114"/>
      <c r="GU141" s="114"/>
      <c r="GV141" s="114"/>
      <c r="GW141" s="114"/>
      <c r="GX141" s="114"/>
      <c r="GY141" s="114"/>
      <c r="GZ141" s="114"/>
      <c r="HA141" s="114"/>
      <c r="HB141" s="114"/>
      <c r="HC141" s="114"/>
      <c r="HD141" s="114"/>
      <c r="HE141" s="114"/>
      <c r="HF141" s="114"/>
      <c r="HG141" s="114"/>
      <c r="HH141" s="114"/>
      <c r="HI141" s="114"/>
      <c r="HJ141" s="114"/>
      <c r="HK141" s="114"/>
      <c r="HL141" s="114"/>
      <c r="HM141" s="114"/>
      <c r="HN141" s="114"/>
      <c r="HO141" s="114"/>
      <c r="HP141" s="114"/>
      <c r="HQ141" s="114"/>
      <c r="HR141" s="114"/>
      <c r="HS141" s="114"/>
      <c r="HT141" s="114"/>
      <c r="HU141" s="114"/>
      <c r="HV141" s="114"/>
      <c r="HW141" s="114"/>
      <c r="HX141" s="114"/>
      <c r="HY141" s="114"/>
      <c r="HZ141" s="114"/>
      <c r="IA141" s="114"/>
      <c r="IB141" s="114"/>
      <c r="IC141" s="114"/>
      <c r="ID141" s="114"/>
      <c r="IE141" s="114"/>
      <c r="IF141" s="114"/>
      <c r="IG141" s="114"/>
      <c r="IH141" s="114"/>
      <c r="II141" s="114"/>
      <c r="IJ141" s="114"/>
      <c r="IK141" s="114"/>
      <c r="IL141" s="114"/>
      <c r="IM141" s="114"/>
      <c r="IN141" s="114"/>
      <c r="IO141" s="114"/>
      <c r="IP141" s="114"/>
      <c r="IQ141" s="114"/>
      <c r="IR141" s="114"/>
      <c r="IS141" s="114"/>
      <c r="IT141" s="114"/>
      <c r="IU141" s="114"/>
      <c r="IV141" s="114"/>
      <c r="IW141" s="114"/>
    </row>
    <row r="142" customFormat="false" ht="11.25" hidden="false" customHeight="false" outlineLevel="0" collapsed="false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14"/>
      <c r="AA142" s="114"/>
      <c r="AB142" s="114"/>
      <c r="AC142" s="114"/>
      <c r="AD142" s="114"/>
      <c r="AE142" s="114"/>
      <c r="AF142" s="114"/>
      <c r="AG142" s="114"/>
      <c r="AH142" s="114"/>
      <c r="AI142" s="114"/>
      <c r="AJ142" s="114"/>
      <c r="AK142" s="114"/>
      <c r="AL142" s="114"/>
      <c r="AM142" s="114"/>
      <c r="AN142" s="114"/>
      <c r="AO142" s="114"/>
      <c r="AP142" s="114"/>
      <c r="AQ142" s="202"/>
      <c r="AR142" s="202"/>
      <c r="AS142" s="202"/>
      <c r="AT142" s="202"/>
      <c r="AU142" s="202"/>
      <c r="AV142" s="114"/>
      <c r="AW142" s="114"/>
      <c r="AX142" s="114"/>
      <c r="AY142" s="114"/>
      <c r="AZ142" s="114"/>
      <c r="BA142" s="114"/>
      <c r="BB142" s="114"/>
      <c r="BC142" s="114"/>
      <c r="BD142" s="114"/>
      <c r="BE142" s="114"/>
      <c r="BF142" s="114"/>
      <c r="BG142" s="114"/>
      <c r="BH142" s="114"/>
      <c r="BI142" s="114"/>
      <c r="BJ142" s="114"/>
      <c r="BK142" s="114"/>
      <c r="BL142" s="114"/>
      <c r="BM142" s="114"/>
      <c r="BN142" s="114"/>
      <c r="BO142" s="114"/>
      <c r="BP142" s="114"/>
      <c r="BQ142" s="114"/>
      <c r="BR142" s="114"/>
      <c r="BS142" s="114"/>
      <c r="BT142" s="114"/>
      <c r="BU142" s="114"/>
      <c r="BV142" s="114"/>
      <c r="BW142" s="114"/>
      <c r="BX142" s="114"/>
      <c r="BY142" s="114"/>
      <c r="BZ142" s="114"/>
      <c r="CA142" s="114"/>
      <c r="CB142" s="114"/>
      <c r="CC142" s="114"/>
      <c r="CD142" s="114"/>
      <c r="CE142" s="114"/>
      <c r="CF142" s="114"/>
      <c r="CG142" s="114"/>
      <c r="CH142" s="114"/>
      <c r="CI142" s="114"/>
      <c r="CJ142" s="114"/>
      <c r="CK142" s="114"/>
      <c r="CL142" s="114"/>
      <c r="CM142" s="114"/>
      <c r="CN142" s="114"/>
      <c r="CO142" s="114"/>
      <c r="CP142" s="114"/>
      <c r="CQ142" s="114"/>
      <c r="CR142" s="114"/>
      <c r="CS142" s="114"/>
      <c r="CT142" s="114"/>
      <c r="CU142" s="114"/>
      <c r="CV142" s="114"/>
      <c r="CW142" s="114"/>
      <c r="CX142" s="114"/>
      <c r="CY142" s="114"/>
      <c r="CZ142" s="114"/>
      <c r="DA142" s="114"/>
      <c r="DB142" s="114"/>
      <c r="DC142" s="114"/>
      <c r="DD142" s="114"/>
      <c r="DE142" s="114"/>
      <c r="DF142" s="114"/>
      <c r="DG142" s="114"/>
      <c r="DH142" s="114"/>
      <c r="DI142" s="114"/>
      <c r="DJ142" s="114"/>
      <c r="DK142" s="114"/>
      <c r="DL142" s="114"/>
      <c r="DM142" s="114"/>
      <c r="DN142" s="114"/>
      <c r="DO142" s="114"/>
      <c r="DP142" s="114"/>
      <c r="DQ142" s="114"/>
      <c r="DR142" s="114"/>
      <c r="DS142" s="114"/>
      <c r="DT142" s="114"/>
      <c r="DU142" s="114"/>
      <c r="DV142" s="114"/>
      <c r="DW142" s="114"/>
      <c r="DX142" s="114"/>
      <c r="DY142" s="114"/>
      <c r="DZ142" s="114"/>
      <c r="EA142" s="114"/>
      <c r="EB142" s="114"/>
      <c r="EC142" s="114"/>
      <c r="ED142" s="114"/>
      <c r="EE142" s="114"/>
      <c r="EF142" s="114"/>
      <c r="EG142" s="114"/>
      <c r="EH142" s="114"/>
      <c r="EI142" s="114"/>
      <c r="EJ142" s="114"/>
      <c r="EK142" s="114"/>
      <c r="EL142" s="114"/>
      <c r="EM142" s="114"/>
      <c r="EN142" s="114"/>
      <c r="EO142" s="114"/>
      <c r="EP142" s="114"/>
      <c r="EQ142" s="114"/>
      <c r="ER142" s="114"/>
      <c r="ES142" s="114"/>
      <c r="ET142" s="114"/>
      <c r="EU142" s="114"/>
      <c r="EV142" s="114"/>
      <c r="EW142" s="114"/>
      <c r="EX142" s="114"/>
      <c r="EY142" s="114"/>
      <c r="EZ142" s="114"/>
      <c r="FA142" s="114"/>
      <c r="FB142" s="114"/>
      <c r="FC142" s="114"/>
      <c r="FD142" s="114"/>
      <c r="FE142" s="114"/>
      <c r="FF142" s="114"/>
      <c r="FG142" s="114"/>
      <c r="FH142" s="114"/>
      <c r="FI142" s="114"/>
      <c r="FJ142" s="114"/>
      <c r="FK142" s="114"/>
      <c r="FL142" s="114"/>
      <c r="FM142" s="114"/>
      <c r="FN142" s="114"/>
      <c r="FO142" s="114"/>
      <c r="FP142" s="114"/>
      <c r="FQ142" s="114"/>
      <c r="FR142" s="114"/>
      <c r="FS142" s="114"/>
      <c r="FT142" s="114"/>
      <c r="FU142" s="114"/>
      <c r="FV142" s="114"/>
      <c r="FW142" s="114"/>
      <c r="FX142" s="114"/>
      <c r="FY142" s="114"/>
      <c r="FZ142" s="114"/>
      <c r="GA142" s="114"/>
      <c r="GB142" s="114"/>
      <c r="GC142" s="114"/>
      <c r="GD142" s="114"/>
      <c r="GE142" s="114"/>
      <c r="GF142" s="114"/>
      <c r="GG142" s="114"/>
      <c r="GH142" s="114"/>
      <c r="GI142" s="114"/>
      <c r="GJ142" s="114"/>
      <c r="GK142" s="114"/>
      <c r="GL142" s="114"/>
      <c r="GM142" s="114"/>
      <c r="GN142" s="114"/>
      <c r="GO142" s="114"/>
      <c r="GP142" s="114"/>
      <c r="GQ142" s="114"/>
      <c r="GR142" s="114"/>
      <c r="GS142" s="114"/>
      <c r="GT142" s="114"/>
      <c r="GU142" s="114"/>
      <c r="GV142" s="114"/>
      <c r="GW142" s="114"/>
      <c r="GX142" s="114"/>
      <c r="GY142" s="114"/>
      <c r="GZ142" s="114"/>
      <c r="HA142" s="114"/>
      <c r="HB142" s="114"/>
      <c r="HC142" s="114"/>
      <c r="HD142" s="114"/>
      <c r="HE142" s="114"/>
      <c r="HF142" s="114"/>
      <c r="HG142" s="114"/>
      <c r="HH142" s="114"/>
      <c r="HI142" s="114"/>
      <c r="HJ142" s="114"/>
      <c r="HK142" s="114"/>
      <c r="HL142" s="114"/>
      <c r="HM142" s="114"/>
      <c r="HN142" s="114"/>
      <c r="HO142" s="114"/>
      <c r="HP142" s="114"/>
      <c r="HQ142" s="114"/>
      <c r="HR142" s="114"/>
      <c r="HS142" s="114"/>
      <c r="HT142" s="114"/>
      <c r="HU142" s="114"/>
      <c r="HV142" s="114"/>
      <c r="HW142" s="114"/>
      <c r="HX142" s="114"/>
      <c r="HY142" s="114"/>
      <c r="HZ142" s="114"/>
      <c r="IA142" s="114"/>
      <c r="IB142" s="114"/>
      <c r="IC142" s="114"/>
      <c r="ID142" s="114"/>
      <c r="IE142" s="114"/>
      <c r="IF142" s="114"/>
      <c r="IG142" s="114"/>
      <c r="IH142" s="114"/>
      <c r="II142" s="114"/>
      <c r="IJ142" s="114"/>
      <c r="IK142" s="114"/>
      <c r="IL142" s="114"/>
      <c r="IM142" s="114"/>
      <c r="IN142" s="114"/>
      <c r="IO142" s="114"/>
      <c r="IP142" s="114"/>
      <c r="IQ142" s="114"/>
      <c r="IR142" s="114"/>
      <c r="IS142" s="114"/>
      <c r="IT142" s="114"/>
      <c r="IU142" s="114"/>
      <c r="IV142" s="114"/>
      <c r="IW142" s="114"/>
    </row>
    <row r="143" customFormat="false" ht="11.25" hidden="false" customHeight="false" outlineLevel="0" collapsed="false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14"/>
      <c r="AA143" s="114"/>
      <c r="AB143" s="114"/>
      <c r="AC143" s="114"/>
      <c r="AD143" s="114"/>
      <c r="AE143" s="114"/>
      <c r="AF143" s="114"/>
      <c r="AG143" s="114"/>
      <c r="AH143" s="114"/>
      <c r="AI143" s="114"/>
      <c r="AJ143" s="114"/>
      <c r="AK143" s="114"/>
      <c r="AL143" s="114"/>
      <c r="AM143" s="114"/>
      <c r="AN143" s="114"/>
      <c r="AO143" s="114"/>
      <c r="AP143" s="114"/>
      <c r="AQ143" s="202"/>
      <c r="AR143" s="202"/>
      <c r="AS143" s="202"/>
      <c r="AT143" s="202"/>
      <c r="AU143" s="202"/>
      <c r="AV143" s="114"/>
      <c r="AW143" s="114"/>
      <c r="AX143" s="114"/>
      <c r="AY143" s="114"/>
      <c r="AZ143" s="114"/>
      <c r="BA143" s="114"/>
      <c r="BB143" s="114"/>
      <c r="BC143" s="114"/>
      <c r="BD143" s="114"/>
      <c r="BE143" s="114"/>
      <c r="BF143" s="114"/>
      <c r="BG143" s="114"/>
      <c r="BH143" s="114"/>
      <c r="BI143" s="114"/>
      <c r="BJ143" s="114"/>
      <c r="BK143" s="114"/>
      <c r="BL143" s="114"/>
      <c r="BM143" s="114"/>
      <c r="BN143" s="114"/>
      <c r="BO143" s="114"/>
      <c r="BP143" s="114"/>
      <c r="BQ143" s="114"/>
      <c r="BR143" s="114"/>
      <c r="BS143" s="114"/>
      <c r="BT143" s="114"/>
      <c r="BU143" s="114"/>
      <c r="BV143" s="114"/>
      <c r="BW143" s="114"/>
      <c r="BX143" s="114"/>
      <c r="BY143" s="114"/>
      <c r="BZ143" s="114"/>
      <c r="CA143" s="114"/>
      <c r="CB143" s="114"/>
      <c r="CC143" s="114"/>
      <c r="CD143" s="114"/>
      <c r="CE143" s="114"/>
      <c r="CF143" s="114"/>
      <c r="CG143" s="114"/>
      <c r="CH143" s="114"/>
      <c r="CI143" s="114"/>
      <c r="CJ143" s="114"/>
      <c r="CK143" s="114"/>
      <c r="CL143" s="114"/>
      <c r="CM143" s="114"/>
      <c r="CN143" s="114"/>
      <c r="CO143" s="114"/>
      <c r="CP143" s="114"/>
      <c r="CQ143" s="114"/>
      <c r="CR143" s="114"/>
      <c r="CS143" s="114"/>
      <c r="CT143" s="114"/>
      <c r="CU143" s="114"/>
      <c r="CV143" s="114"/>
      <c r="CW143" s="114"/>
      <c r="CX143" s="114"/>
      <c r="CY143" s="114"/>
      <c r="CZ143" s="114"/>
      <c r="DA143" s="114"/>
      <c r="DB143" s="114"/>
      <c r="DC143" s="114"/>
      <c r="DD143" s="114"/>
      <c r="DE143" s="114"/>
      <c r="DF143" s="114"/>
      <c r="DG143" s="114"/>
      <c r="DH143" s="114"/>
      <c r="DI143" s="114"/>
      <c r="DJ143" s="114"/>
      <c r="DK143" s="114"/>
      <c r="DL143" s="114"/>
      <c r="DM143" s="114"/>
      <c r="DN143" s="114"/>
      <c r="DO143" s="114"/>
      <c r="DP143" s="114"/>
      <c r="DQ143" s="114"/>
      <c r="DR143" s="114"/>
      <c r="DS143" s="114"/>
      <c r="DT143" s="114"/>
      <c r="DU143" s="114"/>
      <c r="DV143" s="114"/>
      <c r="DW143" s="114"/>
      <c r="DX143" s="114"/>
      <c r="DY143" s="114"/>
      <c r="DZ143" s="114"/>
      <c r="EA143" s="114"/>
      <c r="EB143" s="114"/>
      <c r="EC143" s="114"/>
      <c r="ED143" s="114"/>
      <c r="EE143" s="114"/>
      <c r="EF143" s="114"/>
      <c r="EG143" s="114"/>
      <c r="EH143" s="114"/>
      <c r="EI143" s="114"/>
      <c r="EJ143" s="114"/>
      <c r="EK143" s="114"/>
      <c r="EL143" s="114"/>
      <c r="EM143" s="114"/>
      <c r="EN143" s="114"/>
      <c r="EO143" s="114"/>
      <c r="EP143" s="114"/>
      <c r="EQ143" s="114"/>
      <c r="ER143" s="114"/>
      <c r="ES143" s="114"/>
      <c r="ET143" s="114"/>
      <c r="EU143" s="114"/>
      <c r="EV143" s="114"/>
      <c r="EW143" s="114"/>
      <c r="EX143" s="114"/>
      <c r="EY143" s="114"/>
      <c r="EZ143" s="114"/>
      <c r="FA143" s="114"/>
      <c r="FB143" s="114"/>
      <c r="FC143" s="114"/>
      <c r="FD143" s="114"/>
      <c r="FE143" s="114"/>
      <c r="FF143" s="114"/>
      <c r="FG143" s="114"/>
      <c r="FH143" s="114"/>
      <c r="FI143" s="114"/>
      <c r="FJ143" s="114"/>
      <c r="FK143" s="114"/>
      <c r="FL143" s="114"/>
      <c r="FM143" s="114"/>
      <c r="FN143" s="114"/>
      <c r="FO143" s="114"/>
      <c r="FP143" s="114"/>
      <c r="FQ143" s="114"/>
      <c r="FR143" s="114"/>
      <c r="FS143" s="114"/>
      <c r="FT143" s="114"/>
      <c r="FU143" s="114"/>
      <c r="FV143" s="114"/>
      <c r="FW143" s="114"/>
      <c r="FX143" s="114"/>
      <c r="FY143" s="114"/>
      <c r="FZ143" s="114"/>
      <c r="GA143" s="114"/>
      <c r="GB143" s="114"/>
      <c r="GC143" s="114"/>
      <c r="GD143" s="114"/>
      <c r="GE143" s="114"/>
      <c r="GF143" s="114"/>
      <c r="GG143" s="114"/>
      <c r="GH143" s="114"/>
      <c r="GI143" s="114"/>
      <c r="GJ143" s="114"/>
      <c r="GK143" s="114"/>
      <c r="GL143" s="114"/>
      <c r="GM143" s="114"/>
      <c r="GN143" s="114"/>
      <c r="GO143" s="114"/>
      <c r="GP143" s="114"/>
      <c r="GQ143" s="114"/>
      <c r="GR143" s="114"/>
      <c r="GS143" s="114"/>
      <c r="GT143" s="114"/>
      <c r="GU143" s="114"/>
      <c r="GV143" s="114"/>
      <c r="GW143" s="114"/>
      <c r="GX143" s="114"/>
      <c r="GY143" s="114"/>
      <c r="GZ143" s="114"/>
      <c r="HA143" s="114"/>
      <c r="HB143" s="114"/>
      <c r="HC143" s="114"/>
      <c r="HD143" s="114"/>
      <c r="HE143" s="114"/>
      <c r="HF143" s="114"/>
      <c r="HG143" s="114"/>
      <c r="HH143" s="114"/>
      <c r="HI143" s="114"/>
      <c r="HJ143" s="114"/>
      <c r="HK143" s="114"/>
      <c r="HL143" s="114"/>
      <c r="HM143" s="114"/>
      <c r="HN143" s="114"/>
      <c r="HO143" s="114"/>
      <c r="HP143" s="114"/>
      <c r="HQ143" s="114"/>
      <c r="HR143" s="114"/>
      <c r="HS143" s="114"/>
      <c r="HT143" s="114"/>
      <c r="HU143" s="114"/>
      <c r="HV143" s="114"/>
      <c r="HW143" s="114"/>
      <c r="HX143" s="114"/>
      <c r="HY143" s="114"/>
      <c r="HZ143" s="114"/>
      <c r="IA143" s="114"/>
      <c r="IB143" s="114"/>
      <c r="IC143" s="114"/>
      <c r="ID143" s="114"/>
      <c r="IE143" s="114"/>
      <c r="IF143" s="114"/>
      <c r="IG143" s="114"/>
      <c r="IH143" s="114"/>
      <c r="II143" s="114"/>
      <c r="IJ143" s="114"/>
      <c r="IK143" s="114"/>
      <c r="IL143" s="114"/>
      <c r="IM143" s="114"/>
      <c r="IN143" s="114"/>
      <c r="IO143" s="114"/>
      <c r="IP143" s="114"/>
      <c r="IQ143" s="114"/>
      <c r="IR143" s="114"/>
      <c r="IS143" s="114"/>
      <c r="IT143" s="114"/>
      <c r="IU143" s="114"/>
      <c r="IV143" s="114"/>
      <c r="IW143" s="114"/>
    </row>
    <row r="144" customFormat="false" ht="11.25" hidden="false" customHeight="false" outlineLevel="0" collapsed="false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  <c r="R144" s="114"/>
      <c r="S144" s="114"/>
      <c r="T144" s="114"/>
      <c r="U144" s="114"/>
      <c r="V144" s="114"/>
      <c r="W144" s="114"/>
      <c r="X144" s="114"/>
      <c r="Y144" s="114"/>
      <c r="Z144" s="114"/>
      <c r="AA144" s="114"/>
      <c r="AB144" s="114"/>
      <c r="AC144" s="114"/>
      <c r="AD144" s="114"/>
      <c r="AE144" s="114"/>
      <c r="AF144" s="114"/>
      <c r="AG144" s="114"/>
      <c r="AH144" s="114"/>
      <c r="AI144" s="114"/>
      <c r="AJ144" s="114"/>
      <c r="AK144" s="114"/>
      <c r="AL144" s="114"/>
      <c r="AM144" s="114"/>
      <c r="AN144" s="114"/>
      <c r="AO144" s="114"/>
      <c r="AP144" s="114"/>
      <c r="AQ144" s="202"/>
      <c r="AR144" s="202"/>
      <c r="AS144" s="202"/>
      <c r="AT144" s="202"/>
      <c r="AU144" s="202"/>
      <c r="AV144" s="114"/>
      <c r="AW144" s="114"/>
      <c r="AX144" s="114"/>
      <c r="AY144" s="114"/>
      <c r="AZ144" s="114"/>
      <c r="BA144" s="114"/>
      <c r="BB144" s="114"/>
      <c r="BC144" s="114"/>
      <c r="BD144" s="114"/>
      <c r="BE144" s="114"/>
      <c r="BF144" s="114"/>
      <c r="BG144" s="114"/>
      <c r="BH144" s="114"/>
      <c r="BI144" s="114"/>
      <c r="BJ144" s="114"/>
      <c r="BK144" s="114"/>
      <c r="BL144" s="114"/>
      <c r="BM144" s="114"/>
      <c r="BN144" s="114"/>
      <c r="BO144" s="114"/>
      <c r="BP144" s="114"/>
      <c r="BQ144" s="114"/>
      <c r="BR144" s="114"/>
      <c r="BS144" s="114"/>
      <c r="BT144" s="114"/>
      <c r="BU144" s="114"/>
      <c r="BV144" s="114"/>
      <c r="BW144" s="114"/>
      <c r="BX144" s="114"/>
      <c r="BY144" s="114"/>
      <c r="BZ144" s="114"/>
      <c r="CA144" s="114"/>
      <c r="CB144" s="114"/>
      <c r="CC144" s="114"/>
      <c r="CD144" s="114"/>
      <c r="CE144" s="114"/>
      <c r="CF144" s="114"/>
      <c r="CG144" s="114"/>
      <c r="CH144" s="114"/>
      <c r="CI144" s="114"/>
      <c r="CJ144" s="114"/>
      <c r="CK144" s="114"/>
      <c r="CL144" s="114"/>
      <c r="CM144" s="114"/>
      <c r="CN144" s="114"/>
      <c r="CO144" s="114"/>
      <c r="CP144" s="114"/>
      <c r="CQ144" s="114"/>
      <c r="CR144" s="114"/>
      <c r="CS144" s="114"/>
      <c r="CT144" s="114"/>
      <c r="CU144" s="114"/>
      <c r="CV144" s="114"/>
      <c r="CW144" s="114"/>
      <c r="CX144" s="114"/>
      <c r="CY144" s="114"/>
      <c r="CZ144" s="114"/>
      <c r="DA144" s="114"/>
      <c r="DB144" s="114"/>
      <c r="DC144" s="114"/>
      <c r="DD144" s="114"/>
      <c r="DE144" s="114"/>
      <c r="DF144" s="114"/>
      <c r="DG144" s="114"/>
      <c r="DH144" s="114"/>
      <c r="DI144" s="114"/>
      <c r="DJ144" s="114"/>
      <c r="DK144" s="114"/>
      <c r="DL144" s="114"/>
      <c r="DM144" s="114"/>
      <c r="DN144" s="114"/>
      <c r="DO144" s="114"/>
      <c r="DP144" s="114"/>
      <c r="DQ144" s="114"/>
      <c r="DR144" s="114"/>
      <c r="DS144" s="114"/>
      <c r="DT144" s="114"/>
      <c r="DU144" s="114"/>
      <c r="DV144" s="114"/>
      <c r="DW144" s="114"/>
      <c r="DX144" s="114"/>
      <c r="DY144" s="114"/>
      <c r="DZ144" s="114"/>
      <c r="EA144" s="114"/>
      <c r="EB144" s="114"/>
      <c r="EC144" s="114"/>
      <c r="ED144" s="114"/>
      <c r="EE144" s="114"/>
      <c r="EF144" s="114"/>
      <c r="EG144" s="114"/>
      <c r="EH144" s="114"/>
      <c r="EI144" s="114"/>
      <c r="EJ144" s="114"/>
      <c r="EK144" s="114"/>
      <c r="EL144" s="114"/>
      <c r="EM144" s="114"/>
      <c r="EN144" s="114"/>
      <c r="EO144" s="114"/>
      <c r="EP144" s="114"/>
      <c r="EQ144" s="114"/>
      <c r="ER144" s="114"/>
      <c r="ES144" s="114"/>
      <c r="ET144" s="114"/>
      <c r="EU144" s="114"/>
      <c r="EV144" s="114"/>
      <c r="EW144" s="114"/>
      <c r="EX144" s="114"/>
      <c r="EY144" s="114"/>
      <c r="EZ144" s="114"/>
      <c r="FA144" s="114"/>
      <c r="FB144" s="114"/>
      <c r="FC144" s="114"/>
      <c r="FD144" s="114"/>
      <c r="FE144" s="114"/>
      <c r="FF144" s="114"/>
      <c r="FG144" s="114"/>
      <c r="FH144" s="114"/>
      <c r="FI144" s="114"/>
      <c r="FJ144" s="114"/>
      <c r="FK144" s="114"/>
      <c r="FL144" s="114"/>
      <c r="FM144" s="114"/>
      <c r="FN144" s="114"/>
      <c r="FO144" s="114"/>
      <c r="FP144" s="114"/>
      <c r="FQ144" s="114"/>
      <c r="FR144" s="114"/>
      <c r="FS144" s="114"/>
      <c r="FT144" s="114"/>
      <c r="FU144" s="114"/>
      <c r="FV144" s="114"/>
      <c r="FW144" s="114"/>
      <c r="FX144" s="114"/>
      <c r="FY144" s="114"/>
      <c r="FZ144" s="114"/>
      <c r="GA144" s="114"/>
      <c r="GB144" s="114"/>
      <c r="GC144" s="114"/>
      <c r="GD144" s="114"/>
      <c r="GE144" s="114"/>
      <c r="GF144" s="114"/>
      <c r="GG144" s="114"/>
      <c r="GH144" s="114"/>
      <c r="GI144" s="114"/>
      <c r="GJ144" s="114"/>
      <c r="GK144" s="114"/>
      <c r="GL144" s="114"/>
      <c r="GM144" s="114"/>
      <c r="GN144" s="114"/>
      <c r="GO144" s="114"/>
      <c r="GP144" s="114"/>
      <c r="GQ144" s="114"/>
      <c r="GR144" s="114"/>
      <c r="GS144" s="114"/>
      <c r="GT144" s="114"/>
      <c r="GU144" s="114"/>
      <c r="GV144" s="114"/>
      <c r="GW144" s="114"/>
      <c r="GX144" s="114"/>
      <c r="GY144" s="114"/>
      <c r="GZ144" s="114"/>
      <c r="HA144" s="114"/>
      <c r="HB144" s="114"/>
      <c r="HC144" s="114"/>
      <c r="HD144" s="114"/>
      <c r="HE144" s="114"/>
      <c r="HF144" s="114"/>
      <c r="HG144" s="114"/>
      <c r="HH144" s="114"/>
      <c r="HI144" s="114"/>
      <c r="HJ144" s="114"/>
      <c r="HK144" s="114"/>
      <c r="HL144" s="114"/>
      <c r="HM144" s="114"/>
      <c r="HN144" s="114"/>
      <c r="HO144" s="114"/>
      <c r="HP144" s="114"/>
      <c r="HQ144" s="114"/>
      <c r="HR144" s="114"/>
      <c r="HS144" s="114"/>
      <c r="HT144" s="114"/>
      <c r="HU144" s="114"/>
      <c r="HV144" s="114"/>
      <c r="HW144" s="114"/>
      <c r="HX144" s="114"/>
      <c r="HY144" s="114"/>
      <c r="HZ144" s="114"/>
      <c r="IA144" s="114"/>
      <c r="IB144" s="114"/>
      <c r="IC144" s="114"/>
      <c r="ID144" s="114"/>
      <c r="IE144" s="114"/>
      <c r="IF144" s="114"/>
      <c r="IG144" s="114"/>
      <c r="IH144" s="114"/>
      <c r="II144" s="114"/>
      <c r="IJ144" s="114"/>
      <c r="IK144" s="114"/>
      <c r="IL144" s="114"/>
      <c r="IM144" s="114"/>
      <c r="IN144" s="114"/>
      <c r="IO144" s="114"/>
      <c r="IP144" s="114"/>
      <c r="IQ144" s="114"/>
      <c r="IR144" s="114"/>
      <c r="IS144" s="114"/>
      <c r="IT144" s="114"/>
      <c r="IU144" s="114"/>
      <c r="IV144" s="114"/>
      <c r="IW144" s="114"/>
    </row>
    <row r="145" customFormat="false" ht="11.25" hidden="false" customHeight="false" outlineLevel="0" collapsed="false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  <c r="R145" s="114"/>
      <c r="S145" s="114"/>
      <c r="T145" s="114"/>
      <c r="U145" s="114"/>
      <c r="V145" s="114"/>
      <c r="W145" s="114"/>
      <c r="X145" s="114"/>
      <c r="Y145" s="114"/>
      <c r="Z145" s="114"/>
      <c r="AA145" s="114"/>
      <c r="AB145" s="114"/>
      <c r="AC145" s="114"/>
      <c r="AD145" s="114"/>
      <c r="AE145" s="114"/>
      <c r="AF145" s="114"/>
      <c r="AG145" s="114"/>
      <c r="AH145" s="114"/>
      <c r="AI145" s="114"/>
      <c r="AJ145" s="114"/>
      <c r="AK145" s="114"/>
      <c r="AL145" s="114"/>
      <c r="AM145" s="114"/>
      <c r="AN145" s="114"/>
      <c r="AO145" s="114"/>
      <c r="AP145" s="114"/>
      <c r="AQ145" s="202"/>
      <c r="AR145" s="202"/>
      <c r="AS145" s="202"/>
      <c r="AT145" s="202"/>
      <c r="AU145" s="202"/>
      <c r="AV145" s="114"/>
      <c r="AW145" s="114"/>
      <c r="AX145" s="114"/>
      <c r="AY145" s="114"/>
      <c r="AZ145" s="114"/>
      <c r="BA145" s="114"/>
      <c r="BB145" s="114"/>
      <c r="BC145" s="114"/>
      <c r="BD145" s="114"/>
      <c r="BE145" s="114"/>
      <c r="BF145" s="114"/>
      <c r="BG145" s="114"/>
      <c r="BH145" s="114"/>
      <c r="BI145" s="114"/>
      <c r="BJ145" s="114"/>
      <c r="BK145" s="114"/>
      <c r="BL145" s="114"/>
      <c r="BM145" s="114"/>
      <c r="BN145" s="114"/>
      <c r="BO145" s="114"/>
      <c r="BP145" s="114"/>
      <c r="BQ145" s="114"/>
      <c r="BR145" s="114"/>
      <c r="BS145" s="114"/>
      <c r="BT145" s="114"/>
      <c r="BU145" s="114"/>
      <c r="BV145" s="114"/>
      <c r="BW145" s="114"/>
      <c r="BX145" s="114"/>
      <c r="BY145" s="114"/>
      <c r="BZ145" s="114"/>
      <c r="CA145" s="114"/>
      <c r="CB145" s="114"/>
      <c r="CC145" s="114"/>
      <c r="CD145" s="114"/>
      <c r="CE145" s="114"/>
      <c r="CF145" s="114"/>
      <c r="CG145" s="114"/>
      <c r="CH145" s="114"/>
      <c r="CI145" s="114"/>
      <c r="CJ145" s="114"/>
      <c r="CK145" s="114"/>
      <c r="CL145" s="114"/>
      <c r="CM145" s="114"/>
      <c r="CN145" s="114"/>
      <c r="CO145" s="114"/>
      <c r="CP145" s="114"/>
      <c r="CQ145" s="114"/>
      <c r="CR145" s="114"/>
      <c r="CS145" s="114"/>
      <c r="CT145" s="114"/>
      <c r="CU145" s="114"/>
      <c r="CV145" s="114"/>
      <c r="CW145" s="114"/>
      <c r="CX145" s="114"/>
      <c r="CY145" s="114"/>
      <c r="CZ145" s="114"/>
      <c r="DA145" s="114"/>
      <c r="DB145" s="114"/>
      <c r="DC145" s="114"/>
      <c r="DD145" s="114"/>
      <c r="DE145" s="114"/>
      <c r="DF145" s="114"/>
      <c r="DG145" s="114"/>
      <c r="DH145" s="114"/>
      <c r="DI145" s="114"/>
      <c r="DJ145" s="114"/>
      <c r="DK145" s="114"/>
      <c r="DL145" s="114"/>
      <c r="DM145" s="114"/>
      <c r="DN145" s="114"/>
      <c r="DO145" s="114"/>
      <c r="DP145" s="114"/>
      <c r="DQ145" s="114"/>
      <c r="DR145" s="114"/>
      <c r="DS145" s="114"/>
      <c r="DT145" s="114"/>
      <c r="DU145" s="114"/>
      <c r="DV145" s="114"/>
      <c r="DW145" s="114"/>
      <c r="DX145" s="114"/>
      <c r="DY145" s="114"/>
      <c r="DZ145" s="114"/>
      <c r="EA145" s="114"/>
      <c r="EB145" s="114"/>
      <c r="EC145" s="114"/>
      <c r="ED145" s="114"/>
      <c r="EE145" s="114"/>
      <c r="EF145" s="114"/>
      <c r="EG145" s="114"/>
      <c r="EH145" s="114"/>
      <c r="EI145" s="114"/>
      <c r="EJ145" s="114"/>
      <c r="EK145" s="114"/>
      <c r="EL145" s="114"/>
      <c r="EM145" s="114"/>
      <c r="EN145" s="114"/>
      <c r="EO145" s="114"/>
      <c r="EP145" s="114"/>
      <c r="EQ145" s="114"/>
      <c r="ER145" s="114"/>
      <c r="ES145" s="114"/>
      <c r="ET145" s="114"/>
      <c r="EU145" s="114"/>
      <c r="EV145" s="114"/>
      <c r="EW145" s="114"/>
      <c r="EX145" s="114"/>
      <c r="EY145" s="114"/>
      <c r="EZ145" s="114"/>
      <c r="FA145" s="114"/>
      <c r="FB145" s="114"/>
      <c r="FC145" s="114"/>
      <c r="FD145" s="114"/>
      <c r="FE145" s="114"/>
      <c r="FF145" s="114"/>
      <c r="FG145" s="114"/>
      <c r="FH145" s="114"/>
      <c r="FI145" s="114"/>
      <c r="FJ145" s="114"/>
      <c r="FK145" s="114"/>
      <c r="FL145" s="114"/>
      <c r="FM145" s="114"/>
      <c r="FN145" s="114"/>
      <c r="FO145" s="114"/>
      <c r="FP145" s="114"/>
      <c r="FQ145" s="114"/>
      <c r="FR145" s="114"/>
      <c r="FS145" s="114"/>
      <c r="FT145" s="114"/>
      <c r="FU145" s="114"/>
      <c r="FV145" s="114"/>
      <c r="FW145" s="114"/>
      <c r="FX145" s="114"/>
      <c r="FY145" s="114"/>
      <c r="FZ145" s="114"/>
      <c r="GA145" s="114"/>
      <c r="GB145" s="114"/>
      <c r="GC145" s="114"/>
      <c r="GD145" s="114"/>
      <c r="GE145" s="114"/>
      <c r="GF145" s="114"/>
      <c r="GG145" s="114"/>
      <c r="GH145" s="114"/>
      <c r="GI145" s="114"/>
      <c r="GJ145" s="114"/>
      <c r="GK145" s="114"/>
      <c r="GL145" s="114"/>
      <c r="GM145" s="114"/>
      <c r="GN145" s="114"/>
      <c r="GO145" s="114"/>
      <c r="GP145" s="114"/>
      <c r="GQ145" s="114"/>
      <c r="GR145" s="114"/>
      <c r="GS145" s="114"/>
      <c r="GT145" s="114"/>
      <c r="GU145" s="114"/>
      <c r="GV145" s="114"/>
      <c r="GW145" s="114"/>
      <c r="GX145" s="114"/>
      <c r="GY145" s="114"/>
      <c r="GZ145" s="114"/>
      <c r="HA145" s="114"/>
      <c r="HB145" s="114"/>
      <c r="HC145" s="114"/>
      <c r="HD145" s="114"/>
      <c r="HE145" s="114"/>
      <c r="HF145" s="114"/>
      <c r="HG145" s="114"/>
      <c r="HH145" s="114"/>
      <c r="HI145" s="114"/>
      <c r="HJ145" s="114"/>
      <c r="HK145" s="114"/>
      <c r="HL145" s="114"/>
      <c r="HM145" s="114"/>
      <c r="HN145" s="114"/>
      <c r="HO145" s="114"/>
      <c r="HP145" s="114"/>
      <c r="HQ145" s="114"/>
      <c r="HR145" s="114"/>
      <c r="HS145" s="114"/>
      <c r="HT145" s="114"/>
      <c r="HU145" s="114"/>
      <c r="HV145" s="114"/>
      <c r="HW145" s="114"/>
      <c r="HX145" s="114"/>
      <c r="HY145" s="114"/>
      <c r="HZ145" s="114"/>
      <c r="IA145" s="114"/>
      <c r="IB145" s="114"/>
      <c r="IC145" s="114"/>
      <c r="ID145" s="114"/>
      <c r="IE145" s="114"/>
      <c r="IF145" s="114"/>
      <c r="IG145" s="114"/>
      <c r="IH145" s="114"/>
      <c r="II145" s="114"/>
      <c r="IJ145" s="114"/>
      <c r="IK145" s="114"/>
      <c r="IL145" s="114"/>
      <c r="IM145" s="114"/>
      <c r="IN145" s="114"/>
      <c r="IO145" s="114"/>
      <c r="IP145" s="114"/>
      <c r="IQ145" s="114"/>
      <c r="IR145" s="114"/>
      <c r="IS145" s="114"/>
      <c r="IT145" s="114"/>
      <c r="IU145" s="114"/>
      <c r="IV145" s="114"/>
      <c r="IW145" s="114"/>
    </row>
    <row r="146" customFormat="false" ht="11.25" hidden="false" customHeight="false" outlineLevel="0" collapsed="false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14"/>
      <c r="AA146" s="114"/>
      <c r="AB146" s="114"/>
      <c r="AC146" s="114"/>
      <c r="AD146" s="114"/>
      <c r="AE146" s="114"/>
      <c r="AF146" s="114"/>
      <c r="AG146" s="114"/>
      <c r="AH146" s="114"/>
      <c r="AI146" s="114"/>
      <c r="AJ146" s="114"/>
      <c r="AK146" s="114"/>
      <c r="AL146" s="114"/>
      <c r="AM146" s="114"/>
      <c r="AN146" s="114"/>
      <c r="AO146" s="114"/>
      <c r="AP146" s="114"/>
      <c r="AQ146" s="202"/>
      <c r="AR146" s="202"/>
      <c r="AS146" s="202"/>
      <c r="AT146" s="202"/>
      <c r="AU146" s="202"/>
      <c r="AV146" s="114"/>
      <c r="AW146" s="114"/>
      <c r="AX146" s="114"/>
      <c r="AY146" s="114"/>
      <c r="AZ146" s="114"/>
      <c r="BA146" s="114"/>
      <c r="BB146" s="114"/>
      <c r="BC146" s="114"/>
      <c r="BD146" s="114"/>
      <c r="BE146" s="114"/>
      <c r="BF146" s="114"/>
      <c r="BG146" s="114"/>
      <c r="BH146" s="114"/>
      <c r="BI146" s="114"/>
      <c r="BJ146" s="114"/>
      <c r="BK146" s="114"/>
      <c r="BL146" s="114"/>
      <c r="BM146" s="114"/>
      <c r="BN146" s="114"/>
      <c r="BO146" s="114"/>
      <c r="BP146" s="114"/>
      <c r="BQ146" s="114"/>
      <c r="BR146" s="114"/>
      <c r="BS146" s="114"/>
      <c r="BT146" s="114"/>
      <c r="BU146" s="114"/>
      <c r="BV146" s="114"/>
      <c r="BW146" s="114"/>
      <c r="BX146" s="114"/>
      <c r="BY146" s="114"/>
      <c r="BZ146" s="114"/>
      <c r="CA146" s="114"/>
      <c r="CB146" s="114"/>
      <c r="CC146" s="114"/>
      <c r="CD146" s="114"/>
      <c r="CE146" s="114"/>
      <c r="CF146" s="114"/>
      <c r="CG146" s="114"/>
      <c r="CH146" s="114"/>
      <c r="CI146" s="114"/>
      <c r="CJ146" s="114"/>
      <c r="CK146" s="114"/>
      <c r="CL146" s="114"/>
      <c r="CM146" s="114"/>
      <c r="CN146" s="114"/>
      <c r="CO146" s="114"/>
      <c r="CP146" s="114"/>
      <c r="CQ146" s="114"/>
      <c r="CR146" s="114"/>
      <c r="CS146" s="114"/>
      <c r="CT146" s="114"/>
      <c r="CU146" s="114"/>
      <c r="CV146" s="114"/>
      <c r="CW146" s="114"/>
      <c r="CX146" s="114"/>
      <c r="CY146" s="114"/>
      <c r="CZ146" s="114"/>
      <c r="DA146" s="114"/>
      <c r="DB146" s="114"/>
      <c r="DC146" s="114"/>
      <c r="DD146" s="114"/>
      <c r="DE146" s="114"/>
      <c r="DF146" s="114"/>
      <c r="DG146" s="114"/>
      <c r="DH146" s="114"/>
      <c r="DI146" s="114"/>
      <c r="DJ146" s="114"/>
      <c r="DK146" s="114"/>
      <c r="DL146" s="114"/>
      <c r="DM146" s="114"/>
      <c r="DN146" s="114"/>
      <c r="DO146" s="114"/>
      <c r="DP146" s="114"/>
      <c r="DQ146" s="114"/>
      <c r="DR146" s="114"/>
      <c r="DS146" s="114"/>
      <c r="DT146" s="114"/>
      <c r="DU146" s="114"/>
      <c r="DV146" s="114"/>
      <c r="DW146" s="114"/>
      <c r="DX146" s="114"/>
      <c r="DY146" s="114"/>
      <c r="DZ146" s="114"/>
      <c r="EA146" s="114"/>
      <c r="EB146" s="114"/>
      <c r="EC146" s="114"/>
      <c r="ED146" s="114"/>
      <c r="EE146" s="114"/>
      <c r="EF146" s="114"/>
      <c r="EG146" s="114"/>
      <c r="EH146" s="114"/>
      <c r="EI146" s="114"/>
      <c r="EJ146" s="114"/>
      <c r="EK146" s="114"/>
      <c r="EL146" s="114"/>
      <c r="EM146" s="114"/>
      <c r="EN146" s="114"/>
      <c r="EO146" s="114"/>
      <c r="EP146" s="114"/>
      <c r="EQ146" s="114"/>
      <c r="ER146" s="114"/>
      <c r="ES146" s="114"/>
      <c r="ET146" s="114"/>
      <c r="EU146" s="114"/>
      <c r="EV146" s="114"/>
      <c r="EW146" s="114"/>
      <c r="EX146" s="114"/>
      <c r="EY146" s="114"/>
      <c r="EZ146" s="114"/>
      <c r="FA146" s="114"/>
      <c r="FB146" s="114"/>
      <c r="FC146" s="114"/>
      <c r="FD146" s="114"/>
      <c r="FE146" s="114"/>
      <c r="FF146" s="114"/>
      <c r="FG146" s="114"/>
      <c r="FH146" s="114"/>
      <c r="FI146" s="114"/>
      <c r="FJ146" s="114"/>
      <c r="FK146" s="114"/>
      <c r="FL146" s="114"/>
      <c r="FM146" s="114"/>
      <c r="FN146" s="114"/>
      <c r="FO146" s="114"/>
      <c r="FP146" s="114"/>
      <c r="FQ146" s="114"/>
      <c r="FR146" s="114"/>
      <c r="FS146" s="114"/>
      <c r="FT146" s="114"/>
      <c r="FU146" s="114"/>
      <c r="FV146" s="114"/>
      <c r="FW146" s="114"/>
      <c r="FX146" s="114"/>
      <c r="FY146" s="114"/>
      <c r="FZ146" s="114"/>
      <c r="GA146" s="114"/>
      <c r="GB146" s="114"/>
      <c r="GC146" s="114"/>
      <c r="GD146" s="114"/>
      <c r="GE146" s="114"/>
      <c r="GF146" s="114"/>
      <c r="GG146" s="114"/>
      <c r="GH146" s="114"/>
      <c r="GI146" s="114"/>
      <c r="GJ146" s="114"/>
      <c r="GK146" s="114"/>
      <c r="GL146" s="114"/>
      <c r="GM146" s="114"/>
      <c r="GN146" s="114"/>
      <c r="GO146" s="114"/>
      <c r="GP146" s="114"/>
      <c r="GQ146" s="114"/>
      <c r="GR146" s="114"/>
      <c r="GS146" s="114"/>
      <c r="GT146" s="114"/>
      <c r="GU146" s="114"/>
      <c r="GV146" s="114"/>
      <c r="GW146" s="114"/>
      <c r="GX146" s="114"/>
      <c r="GY146" s="114"/>
      <c r="GZ146" s="114"/>
      <c r="HA146" s="114"/>
      <c r="HB146" s="114"/>
      <c r="HC146" s="114"/>
      <c r="HD146" s="114"/>
      <c r="HE146" s="114"/>
      <c r="HF146" s="114"/>
      <c r="HG146" s="114"/>
      <c r="HH146" s="114"/>
      <c r="HI146" s="114"/>
      <c r="HJ146" s="114"/>
      <c r="HK146" s="114"/>
      <c r="HL146" s="114"/>
      <c r="HM146" s="114"/>
      <c r="HN146" s="114"/>
      <c r="HO146" s="114"/>
      <c r="HP146" s="114"/>
      <c r="HQ146" s="114"/>
      <c r="HR146" s="114"/>
      <c r="HS146" s="114"/>
      <c r="HT146" s="114"/>
      <c r="HU146" s="114"/>
      <c r="HV146" s="114"/>
      <c r="HW146" s="114"/>
      <c r="HX146" s="114"/>
      <c r="HY146" s="114"/>
      <c r="HZ146" s="114"/>
      <c r="IA146" s="114"/>
      <c r="IB146" s="114"/>
      <c r="IC146" s="114"/>
      <c r="ID146" s="114"/>
      <c r="IE146" s="114"/>
      <c r="IF146" s="114"/>
      <c r="IG146" s="114"/>
      <c r="IH146" s="114"/>
      <c r="II146" s="114"/>
      <c r="IJ146" s="114"/>
      <c r="IK146" s="114"/>
      <c r="IL146" s="114"/>
      <c r="IM146" s="114"/>
      <c r="IN146" s="114"/>
      <c r="IO146" s="114"/>
      <c r="IP146" s="114"/>
      <c r="IQ146" s="114"/>
      <c r="IR146" s="114"/>
      <c r="IS146" s="114"/>
      <c r="IT146" s="114"/>
      <c r="IU146" s="114"/>
      <c r="IV146" s="114"/>
      <c r="IW146" s="114"/>
    </row>
    <row r="147" customFormat="false" ht="11.25" hidden="false" customHeight="false" outlineLevel="0" collapsed="false">
      <c r="A147" s="533"/>
      <c r="B147" s="533"/>
      <c r="C147" s="533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  <c r="R147" s="114"/>
      <c r="S147" s="114"/>
      <c r="T147" s="114"/>
      <c r="U147" s="114"/>
      <c r="V147" s="114"/>
      <c r="W147" s="114"/>
      <c r="X147" s="114"/>
      <c r="Y147" s="114"/>
      <c r="Z147" s="114"/>
      <c r="AA147" s="114"/>
      <c r="AB147" s="114"/>
      <c r="AC147" s="114"/>
      <c r="AD147" s="114"/>
      <c r="AE147" s="114"/>
      <c r="AF147" s="114"/>
      <c r="AG147" s="114"/>
      <c r="AH147" s="114"/>
      <c r="AI147" s="114"/>
      <c r="AJ147" s="114"/>
      <c r="AK147" s="114"/>
      <c r="AL147" s="114"/>
      <c r="AM147" s="114"/>
      <c r="AN147" s="114"/>
      <c r="AO147" s="114"/>
      <c r="AP147" s="114"/>
      <c r="AQ147" s="534"/>
      <c r="AR147" s="534"/>
      <c r="AS147" s="534"/>
      <c r="AT147" s="534"/>
      <c r="AU147" s="534"/>
      <c r="AV147" s="534"/>
      <c r="AW147" s="534"/>
      <c r="AX147" s="534"/>
      <c r="AY147" s="534"/>
      <c r="AZ147" s="534"/>
      <c r="BA147" s="534"/>
      <c r="BB147" s="534"/>
      <c r="BC147" s="533"/>
      <c r="BD147" s="533"/>
      <c r="BE147" s="533"/>
      <c r="BF147" s="533"/>
      <c r="BG147" s="533"/>
      <c r="BH147" s="533"/>
      <c r="BI147" s="533"/>
      <c r="BJ147" s="533"/>
      <c r="BK147" s="533"/>
      <c r="BL147" s="533"/>
      <c r="BM147" s="533"/>
      <c r="BN147" s="533"/>
      <c r="BO147" s="533"/>
      <c r="BP147" s="533"/>
      <c r="BQ147" s="533"/>
      <c r="BR147" s="533"/>
      <c r="BS147" s="533"/>
      <c r="BT147" s="533"/>
      <c r="BU147" s="533"/>
      <c r="BV147" s="533"/>
      <c r="BW147" s="533"/>
      <c r="BX147" s="533"/>
      <c r="BY147" s="533"/>
      <c r="BZ147" s="533"/>
      <c r="CA147" s="533"/>
      <c r="CB147" s="533"/>
      <c r="CC147" s="533"/>
      <c r="CD147" s="533"/>
      <c r="CE147" s="533"/>
      <c r="CF147" s="533"/>
      <c r="CG147" s="533"/>
      <c r="CH147" s="533"/>
      <c r="CI147" s="533"/>
      <c r="CJ147" s="533"/>
      <c r="CK147" s="533"/>
      <c r="CL147" s="533"/>
      <c r="CM147" s="533"/>
      <c r="CN147" s="533"/>
      <c r="CO147" s="533"/>
      <c r="CP147" s="533"/>
      <c r="CQ147" s="533"/>
      <c r="CR147" s="533"/>
      <c r="CS147" s="533"/>
      <c r="CT147" s="533"/>
      <c r="CU147" s="533"/>
      <c r="CV147" s="533"/>
      <c r="CW147" s="533"/>
      <c r="CX147" s="533"/>
      <c r="CY147" s="533"/>
      <c r="CZ147" s="533"/>
      <c r="DA147" s="533"/>
      <c r="DB147" s="533"/>
      <c r="DC147" s="533"/>
      <c r="DD147" s="533"/>
      <c r="DE147" s="533"/>
      <c r="DF147" s="533"/>
      <c r="DG147" s="533"/>
      <c r="DH147" s="533"/>
      <c r="DI147" s="533"/>
      <c r="DJ147" s="533"/>
      <c r="DK147" s="533"/>
      <c r="DL147" s="533"/>
      <c r="DM147" s="533"/>
      <c r="DN147" s="533"/>
      <c r="DO147" s="533"/>
      <c r="DP147" s="533"/>
      <c r="DQ147" s="533"/>
      <c r="DR147" s="533"/>
      <c r="DS147" s="533"/>
      <c r="DT147" s="533"/>
      <c r="DU147" s="533"/>
      <c r="DV147" s="533"/>
      <c r="DW147" s="533"/>
      <c r="DX147" s="533"/>
      <c r="DY147" s="533"/>
      <c r="DZ147" s="533"/>
      <c r="EA147" s="533"/>
      <c r="EB147" s="533"/>
      <c r="EC147" s="533"/>
      <c r="ED147" s="533"/>
      <c r="EE147" s="533"/>
      <c r="EF147" s="533"/>
      <c r="EG147" s="533"/>
      <c r="EH147" s="533"/>
      <c r="EI147" s="533"/>
      <c r="EJ147" s="533"/>
      <c r="EK147" s="533"/>
      <c r="EL147" s="533"/>
      <c r="EM147" s="533"/>
      <c r="EN147" s="533"/>
      <c r="EO147" s="533"/>
      <c r="EP147" s="533"/>
      <c r="EQ147" s="533"/>
      <c r="ER147" s="533"/>
      <c r="ES147" s="533"/>
      <c r="ET147" s="533"/>
      <c r="EU147" s="533"/>
      <c r="EV147" s="533"/>
      <c r="EW147" s="533"/>
      <c r="EX147" s="533"/>
      <c r="EY147" s="533"/>
      <c r="EZ147" s="533"/>
      <c r="FA147" s="533"/>
      <c r="FB147" s="533"/>
      <c r="FC147" s="533"/>
      <c r="FD147" s="533"/>
      <c r="FE147" s="533"/>
      <c r="FF147" s="533"/>
      <c r="FG147" s="533"/>
      <c r="FH147" s="533"/>
      <c r="FI147" s="533"/>
      <c r="FJ147" s="533"/>
      <c r="FK147" s="533"/>
      <c r="FL147" s="533"/>
      <c r="FM147" s="533"/>
      <c r="FN147" s="533"/>
      <c r="FO147" s="533"/>
      <c r="FP147" s="533"/>
      <c r="FQ147" s="533"/>
      <c r="FR147" s="533"/>
      <c r="FS147" s="533"/>
      <c r="FT147" s="533"/>
      <c r="FU147" s="533"/>
      <c r="FV147" s="533"/>
      <c r="FW147" s="533"/>
      <c r="FX147" s="533"/>
      <c r="FY147" s="533"/>
      <c r="FZ147" s="533"/>
      <c r="GA147" s="533"/>
      <c r="GB147" s="533"/>
      <c r="GC147" s="533"/>
      <c r="GD147" s="533"/>
      <c r="GE147" s="533"/>
      <c r="GF147" s="533"/>
      <c r="GG147" s="533"/>
      <c r="GH147" s="533"/>
      <c r="GI147" s="533"/>
      <c r="GJ147" s="533"/>
      <c r="GK147" s="533"/>
      <c r="GL147" s="533"/>
      <c r="GM147" s="533"/>
      <c r="GN147" s="533"/>
      <c r="GO147" s="533"/>
      <c r="GP147" s="533"/>
      <c r="GQ147" s="533"/>
      <c r="GR147" s="533"/>
      <c r="GS147" s="533"/>
      <c r="GT147" s="533"/>
      <c r="GU147" s="533"/>
      <c r="GV147" s="533"/>
      <c r="GW147" s="533"/>
      <c r="GX147" s="533"/>
      <c r="GY147" s="533"/>
      <c r="GZ147" s="533"/>
      <c r="HA147" s="533"/>
      <c r="HB147" s="533"/>
      <c r="HC147" s="533"/>
      <c r="HD147" s="533"/>
      <c r="HE147" s="533"/>
      <c r="HF147" s="533"/>
      <c r="HG147" s="533"/>
      <c r="HH147" s="533"/>
      <c r="HI147" s="533"/>
      <c r="HJ147" s="533"/>
      <c r="HK147" s="533"/>
      <c r="HL147" s="533"/>
      <c r="HM147" s="533"/>
      <c r="HN147" s="533"/>
      <c r="HO147" s="533"/>
      <c r="HP147" s="533"/>
      <c r="HQ147" s="533"/>
      <c r="HR147" s="533"/>
      <c r="HS147" s="533"/>
      <c r="HT147" s="533"/>
      <c r="HU147" s="533"/>
      <c r="HV147" s="533"/>
      <c r="HW147" s="533"/>
      <c r="HX147" s="533"/>
      <c r="HY147" s="533"/>
      <c r="HZ147" s="533"/>
      <c r="IA147" s="533"/>
      <c r="IB147" s="533"/>
      <c r="IC147" s="533"/>
      <c r="ID147" s="533"/>
      <c r="IE147" s="533"/>
      <c r="IF147" s="533"/>
      <c r="IG147" s="533"/>
      <c r="IH147" s="533"/>
      <c r="II147" s="533"/>
      <c r="IJ147" s="533"/>
      <c r="IK147" s="533"/>
      <c r="IL147" s="533"/>
      <c r="IM147" s="533"/>
      <c r="IN147" s="533"/>
      <c r="IO147" s="533"/>
      <c r="IP147" s="533"/>
      <c r="IQ147" s="533"/>
      <c r="IR147" s="533"/>
      <c r="IS147" s="533"/>
      <c r="IT147" s="533"/>
      <c r="IU147" s="533"/>
      <c r="IV147" s="533"/>
      <c r="IW147" s="533"/>
    </row>
    <row r="148" customFormat="false" ht="11.25" hidden="false" customHeight="false" outlineLevel="0" collapsed="false">
      <c r="A148" s="533"/>
      <c r="B148" s="498"/>
      <c r="C148" s="498"/>
      <c r="D148" s="498"/>
      <c r="E148" s="498"/>
      <c r="F148" s="498"/>
      <c r="G148" s="498"/>
      <c r="H148" s="498"/>
      <c r="I148" s="498"/>
      <c r="J148" s="498"/>
      <c r="K148" s="498"/>
      <c r="L148" s="498"/>
      <c r="M148" s="498"/>
      <c r="N148" s="498"/>
      <c r="O148" s="498"/>
      <c r="P148" s="498"/>
      <c r="Q148" s="498"/>
      <c r="R148" s="498"/>
      <c r="S148" s="498"/>
      <c r="T148" s="498"/>
      <c r="U148" s="498"/>
      <c r="V148" s="498"/>
      <c r="W148" s="498"/>
      <c r="X148" s="498"/>
      <c r="Y148" s="498"/>
      <c r="Z148" s="498"/>
      <c r="AA148" s="498"/>
      <c r="AB148" s="498"/>
      <c r="AC148" s="498"/>
      <c r="AD148" s="498"/>
      <c r="AE148" s="498"/>
      <c r="AF148" s="498"/>
      <c r="AG148" s="498"/>
      <c r="AH148" s="498"/>
      <c r="AI148" s="498"/>
      <c r="AJ148" s="498"/>
      <c r="AK148" s="498"/>
      <c r="AL148" s="498"/>
      <c r="AM148" s="498"/>
      <c r="AN148" s="498"/>
      <c r="AO148" s="498"/>
      <c r="AP148" s="498"/>
      <c r="AQ148" s="534"/>
      <c r="AR148" s="534"/>
      <c r="AS148" s="534"/>
      <c r="AT148" s="534"/>
      <c r="AU148" s="534"/>
      <c r="AV148" s="534"/>
      <c r="AW148" s="534"/>
      <c r="AX148" s="534"/>
      <c r="AY148" s="534"/>
      <c r="AZ148" s="534"/>
      <c r="BA148" s="534"/>
      <c r="BB148" s="534"/>
      <c r="BC148" s="533"/>
      <c r="BD148" s="533"/>
      <c r="BE148" s="533"/>
      <c r="BF148" s="533"/>
      <c r="BG148" s="533"/>
      <c r="BH148" s="533"/>
      <c r="BI148" s="533"/>
      <c r="BJ148" s="533"/>
      <c r="BK148" s="533"/>
      <c r="BL148" s="533"/>
      <c r="BM148" s="533"/>
      <c r="BN148" s="533"/>
      <c r="BO148" s="533"/>
      <c r="BP148" s="533"/>
      <c r="BQ148" s="533"/>
      <c r="BR148" s="533"/>
      <c r="BS148" s="533"/>
      <c r="BT148" s="533"/>
      <c r="BU148" s="533"/>
      <c r="BV148" s="533"/>
      <c r="BW148" s="533"/>
      <c r="BX148" s="533"/>
      <c r="BY148" s="533"/>
      <c r="BZ148" s="533"/>
      <c r="CA148" s="533"/>
      <c r="CB148" s="533"/>
      <c r="CC148" s="533"/>
      <c r="CD148" s="533"/>
      <c r="CE148" s="533"/>
      <c r="CF148" s="533"/>
      <c r="CG148" s="533"/>
      <c r="CH148" s="533"/>
      <c r="CI148" s="533"/>
      <c r="CJ148" s="533"/>
      <c r="CK148" s="533"/>
      <c r="CL148" s="533"/>
      <c r="CM148" s="533"/>
      <c r="CN148" s="533"/>
      <c r="CO148" s="533"/>
      <c r="CP148" s="533"/>
      <c r="CQ148" s="533"/>
      <c r="CR148" s="533"/>
      <c r="CS148" s="533"/>
      <c r="CT148" s="533"/>
      <c r="CU148" s="533"/>
      <c r="CV148" s="533"/>
      <c r="CW148" s="533"/>
      <c r="CX148" s="533"/>
      <c r="CY148" s="533"/>
      <c r="CZ148" s="533"/>
      <c r="DA148" s="533"/>
      <c r="DB148" s="533"/>
      <c r="DC148" s="533"/>
      <c r="DD148" s="533"/>
      <c r="DE148" s="533"/>
      <c r="DF148" s="533"/>
      <c r="DG148" s="533"/>
      <c r="DH148" s="533"/>
      <c r="DI148" s="533"/>
      <c r="DJ148" s="533"/>
      <c r="DK148" s="533"/>
      <c r="DL148" s="533"/>
      <c r="DM148" s="533"/>
      <c r="DN148" s="533"/>
      <c r="DO148" s="533"/>
      <c r="DP148" s="533"/>
      <c r="DQ148" s="533"/>
      <c r="DR148" s="533"/>
      <c r="DS148" s="533"/>
      <c r="DT148" s="533"/>
      <c r="DU148" s="533"/>
      <c r="DV148" s="533"/>
      <c r="DW148" s="533"/>
      <c r="DX148" s="533"/>
      <c r="DY148" s="533"/>
      <c r="DZ148" s="533"/>
      <c r="EA148" s="533"/>
      <c r="EB148" s="533"/>
      <c r="EC148" s="533"/>
      <c r="ED148" s="533"/>
      <c r="EE148" s="533"/>
      <c r="EF148" s="533"/>
      <c r="EG148" s="533"/>
      <c r="EH148" s="533"/>
      <c r="EI148" s="533"/>
      <c r="EJ148" s="533"/>
      <c r="EK148" s="533"/>
      <c r="EL148" s="533"/>
      <c r="EM148" s="533"/>
      <c r="EN148" s="533"/>
      <c r="EO148" s="533"/>
      <c r="EP148" s="533"/>
      <c r="EQ148" s="533"/>
      <c r="ER148" s="533"/>
      <c r="ES148" s="533"/>
      <c r="ET148" s="533"/>
      <c r="EU148" s="533"/>
      <c r="EV148" s="533"/>
      <c r="EW148" s="533"/>
      <c r="EX148" s="533"/>
      <c r="EY148" s="533"/>
      <c r="EZ148" s="533"/>
      <c r="FA148" s="533"/>
      <c r="FB148" s="533"/>
      <c r="FC148" s="533"/>
      <c r="FD148" s="533"/>
      <c r="FE148" s="533"/>
      <c r="FF148" s="533"/>
      <c r="FG148" s="533"/>
      <c r="FH148" s="533"/>
      <c r="FI148" s="533"/>
      <c r="FJ148" s="533"/>
      <c r="FK148" s="533"/>
      <c r="FL148" s="533"/>
      <c r="FM148" s="533"/>
      <c r="FN148" s="533"/>
      <c r="FO148" s="533"/>
      <c r="FP148" s="533"/>
      <c r="FQ148" s="533"/>
      <c r="FR148" s="533"/>
      <c r="FS148" s="533"/>
      <c r="FT148" s="533"/>
      <c r="FU148" s="533"/>
      <c r="FV148" s="533"/>
      <c r="FW148" s="533"/>
      <c r="FX148" s="533"/>
      <c r="FY148" s="533"/>
      <c r="FZ148" s="533"/>
      <c r="GA148" s="533"/>
      <c r="GB148" s="533"/>
      <c r="GC148" s="533"/>
      <c r="GD148" s="533"/>
      <c r="GE148" s="533"/>
      <c r="GF148" s="533"/>
      <c r="GG148" s="533"/>
      <c r="GH148" s="533"/>
      <c r="GI148" s="533"/>
      <c r="GJ148" s="533"/>
      <c r="GK148" s="533"/>
      <c r="GL148" s="533"/>
      <c r="GM148" s="533"/>
      <c r="GN148" s="533"/>
      <c r="GO148" s="533"/>
      <c r="GP148" s="533"/>
      <c r="GQ148" s="533"/>
      <c r="GR148" s="533"/>
      <c r="GS148" s="533"/>
      <c r="GT148" s="533"/>
      <c r="GU148" s="533"/>
      <c r="GV148" s="533"/>
      <c r="GW148" s="533"/>
      <c r="GX148" s="533"/>
      <c r="GY148" s="533"/>
      <c r="GZ148" s="533"/>
      <c r="HA148" s="533"/>
      <c r="HB148" s="533"/>
      <c r="HC148" s="533"/>
      <c r="HD148" s="533"/>
      <c r="HE148" s="533"/>
      <c r="HF148" s="533"/>
      <c r="HG148" s="533"/>
      <c r="HH148" s="533"/>
      <c r="HI148" s="533"/>
      <c r="HJ148" s="533"/>
      <c r="HK148" s="533"/>
      <c r="HL148" s="533"/>
      <c r="HM148" s="533"/>
      <c r="HN148" s="533"/>
      <c r="HO148" s="533"/>
      <c r="HP148" s="533"/>
      <c r="HQ148" s="533"/>
      <c r="HR148" s="533"/>
      <c r="HS148" s="533"/>
      <c r="HT148" s="533"/>
      <c r="HU148" s="533"/>
      <c r="HV148" s="533"/>
      <c r="HW148" s="533"/>
      <c r="HX148" s="533"/>
      <c r="HY148" s="533"/>
      <c r="HZ148" s="533"/>
      <c r="IA148" s="533"/>
      <c r="IB148" s="533"/>
      <c r="IC148" s="533"/>
      <c r="ID148" s="533"/>
      <c r="IE148" s="533"/>
      <c r="IF148" s="533"/>
      <c r="IG148" s="533"/>
      <c r="IH148" s="533"/>
      <c r="II148" s="533"/>
      <c r="IJ148" s="533"/>
      <c r="IK148" s="533"/>
      <c r="IL148" s="533"/>
      <c r="IM148" s="533"/>
      <c r="IN148" s="533"/>
      <c r="IO148" s="533"/>
      <c r="IP148" s="533"/>
      <c r="IQ148" s="533"/>
      <c r="IR148" s="533"/>
      <c r="IS148" s="533"/>
      <c r="IT148" s="533"/>
      <c r="IU148" s="533"/>
      <c r="IV148" s="533"/>
      <c r="IW148" s="533"/>
    </row>
    <row r="149" customFormat="false" ht="11.25" hidden="false" customHeight="false" outlineLevel="0" collapsed="false">
      <c r="A149" s="533"/>
      <c r="B149" s="202"/>
      <c r="C149" s="202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  <c r="AA149" s="202"/>
      <c r="AB149" s="202"/>
      <c r="AC149" s="202"/>
      <c r="AD149" s="202"/>
      <c r="AE149" s="202"/>
      <c r="AF149" s="202"/>
      <c r="AG149" s="202"/>
      <c r="AH149" s="202"/>
      <c r="AI149" s="202"/>
      <c r="AJ149" s="202"/>
      <c r="AK149" s="202"/>
      <c r="AL149" s="202"/>
      <c r="AM149" s="202"/>
      <c r="AN149" s="202"/>
      <c r="AO149" s="202"/>
      <c r="AP149" s="202"/>
      <c r="AQ149" s="534"/>
      <c r="AR149" s="534"/>
      <c r="AS149" s="534"/>
      <c r="AT149" s="534"/>
      <c r="AU149" s="534"/>
      <c r="AV149" s="534"/>
      <c r="AW149" s="534"/>
      <c r="AX149" s="534"/>
      <c r="AY149" s="534"/>
      <c r="AZ149" s="534"/>
      <c r="BA149" s="534"/>
      <c r="BB149" s="534"/>
      <c r="BC149" s="533"/>
      <c r="BD149" s="533"/>
      <c r="BE149" s="533"/>
      <c r="BF149" s="533"/>
      <c r="BG149" s="533"/>
      <c r="BH149" s="533"/>
      <c r="BI149" s="533"/>
      <c r="BJ149" s="533"/>
      <c r="BK149" s="533"/>
      <c r="BL149" s="533"/>
      <c r="BM149" s="533"/>
      <c r="BN149" s="533"/>
      <c r="BO149" s="533"/>
      <c r="BP149" s="533"/>
      <c r="BQ149" s="533"/>
      <c r="BR149" s="533"/>
      <c r="BS149" s="533"/>
      <c r="BT149" s="533"/>
      <c r="BU149" s="533"/>
      <c r="BV149" s="533"/>
      <c r="BW149" s="533"/>
      <c r="BX149" s="533"/>
      <c r="BY149" s="533"/>
      <c r="BZ149" s="533"/>
      <c r="CA149" s="533"/>
      <c r="CB149" s="533"/>
      <c r="CC149" s="533"/>
      <c r="CD149" s="533"/>
      <c r="CE149" s="533"/>
      <c r="CF149" s="533"/>
      <c r="CG149" s="533"/>
      <c r="CH149" s="533"/>
      <c r="CI149" s="533"/>
      <c r="CJ149" s="533"/>
      <c r="CK149" s="533"/>
      <c r="CL149" s="533"/>
      <c r="CM149" s="533"/>
      <c r="CN149" s="533"/>
      <c r="CO149" s="533"/>
      <c r="CP149" s="533"/>
      <c r="CQ149" s="533"/>
      <c r="CR149" s="533"/>
      <c r="CS149" s="533"/>
      <c r="CT149" s="533"/>
      <c r="CU149" s="533"/>
      <c r="CV149" s="533"/>
      <c r="CW149" s="533"/>
      <c r="CX149" s="533"/>
      <c r="CY149" s="533"/>
      <c r="CZ149" s="533"/>
      <c r="DA149" s="533"/>
      <c r="DB149" s="533"/>
      <c r="DC149" s="533"/>
      <c r="DD149" s="533"/>
      <c r="DE149" s="533"/>
      <c r="DF149" s="533"/>
      <c r="DG149" s="533"/>
      <c r="DH149" s="533"/>
      <c r="DI149" s="533"/>
      <c r="DJ149" s="533"/>
      <c r="DK149" s="533"/>
      <c r="DL149" s="533"/>
      <c r="DM149" s="533"/>
      <c r="DN149" s="533"/>
      <c r="DO149" s="533"/>
      <c r="DP149" s="533"/>
      <c r="DQ149" s="533"/>
      <c r="DR149" s="533"/>
      <c r="DS149" s="533"/>
      <c r="DT149" s="533"/>
      <c r="DU149" s="533"/>
      <c r="DV149" s="533"/>
      <c r="DW149" s="533"/>
      <c r="DX149" s="533"/>
      <c r="DY149" s="533"/>
      <c r="DZ149" s="533"/>
      <c r="EA149" s="533"/>
      <c r="EB149" s="533"/>
      <c r="EC149" s="533"/>
      <c r="ED149" s="533"/>
      <c r="EE149" s="533"/>
      <c r="EF149" s="533"/>
      <c r="EG149" s="533"/>
      <c r="EH149" s="533"/>
      <c r="EI149" s="533"/>
      <c r="EJ149" s="533"/>
      <c r="EK149" s="533"/>
      <c r="EL149" s="533"/>
      <c r="EM149" s="533"/>
      <c r="EN149" s="533"/>
      <c r="EO149" s="533"/>
      <c r="EP149" s="533"/>
      <c r="EQ149" s="533"/>
      <c r="ER149" s="533"/>
      <c r="ES149" s="533"/>
      <c r="ET149" s="533"/>
      <c r="EU149" s="533"/>
      <c r="EV149" s="533"/>
      <c r="EW149" s="533"/>
      <c r="EX149" s="533"/>
      <c r="EY149" s="533"/>
      <c r="EZ149" s="533"/>
      <c r="FA149" s="533"/>
      <c r="FB149" s="533"/>
      <c r="FC149" s="533"/>
      <c r="FD149" s="533"/>
      <c r="FE149" s="533"/>
      <c r="FF149" s="533"/>
      <c r="FG149" s="533"/>
      <c r="FH149" s="533"/>
      <c r="FI149" s="533"/>
      <c r="FJ149" s="533"/>
      <c r="FK149" s="533"/>
      <c r="FL149" s="533"/>
      <c r="FM149" s="533"/>
      <c r="FN149" s="533"/>
      <c r="FO149" s="533"/>
      <c r="FP149" s="533"/>
      <c r="FQ149" s="533"/>
      <c r="FR149" s="533"/>
      <c r="FS149" s="533"/>
      <c r="FT149" s="533"/>
      <c r="FU149" s="533"/>
      <c r="FV149" s="533"/>
      <c r="FW149" s="533"/>
      <c r="FX149" s="533"/>
      <c r="FY149" s="533"/>
      <c r="FZ149" s="533"/>
      <c r="GA149" s="533"/>
      <c r="GB149" s="533"/>
      <c r="GC149" s="533"/>
      <c r="GD149" s="533"/>
      <c r="GE149" s="533"/>
      <c r="GF149" s="533"/>
      <c r="GG149" s="533"/>
      <c r="GH149" s="533"/>
      <c r="GI149" s="533"/>
      <c r="GJ149" s="533"/>
      <c r="GK149" s="533"/>
      <c r="GL149" s="533"/>
      <c r="GM149" s="533"/>
      <c r="GN149" s="533"/>
      <c r="GO149" s="533"/>
      <c r="GP149" s="533"/>
      <c r="GQ149" s="533"/>
      <c r="GR149" s="533"/>
      <c r="GS149" s="533"/>
      <c r="GT149" s="533"/>
      <c r="GU149" s="533"/>
      <c r="GV149" s="533"/>
      <c r="GW149" s="533"/>
      <c r="GX149" s="533"/>
      <c r="GY149" s="533"/>
      <c r="GZ149" s="533"/>
      <c r="HA149" s="533"/>
      <c r="HB149" s="533"/>
      <c r="HC149" s="533"/>
      <c r="HD149" s="533"/>
      <c r="HE149" s="533"/>
      <c r="HF149" s="533"/>
      <c r="HG149" s="533"/>
      <c r="HH149" s="533"/>
      <c r="HI149" s="533"/>
      <c r="HJ149" s="533"/>
      <c r="HK149" s="533"/>
      <c r="HL149" s="533"/>
      <c r="HM149" s="533"/>
      <c r="HN149" s="533"/>
      <c r="HO149" s="533"/>
      <c r="HP149" s="533"/>
      <c r="HQ149" s="533"/>
      <c r="HR149" s="533"/>
      <c r="HS149" s="533"/>
      <c r="HT149" s="533"/>
      <c r="HU149" s="533"/>
      <c r="HV149" s="533"/>
      <c r="HW149" s="533"/>
      <c r="HX149" s="533"/>
      <c r="HY149" s="533"/>
      <c r="HZ149" s="533"/>
      <c r="IA149" s="533"/>
      <c r="IB149" s="533"/>
      <c r="IC149" s="533"/>
      <c r="ID149" s="533"/>
      <c r="IE149" s="533"/>
      <c r="IF149" s="533"/>
      <c r="IG149" s="533"/>
      <c r="IH149" s="533"/>
      <c r="II149" s="533"/>
      <c r="IJ149" s="533"/>
      <c r="IK149" s="533"/>
      <c r="IL149" s="533"/>
      <c r="IM149" s="533"/>
      <c r="IN149" s="533"/>
      <c r="IO149" s="533"/>
      <c r="IP149" s="533"/>
      <c r="IQ149" s="533"/>
      <c r="IR149" s="533"/>
      <c r="IS149" s="533"/>
      <c r="IT149" s="533"/>
      <c r="IU149" s="533"/>
      <c r="IV149" s="533"/>
      <c r="IW149" s="533"/>
    </row>
    <row r="150" customFormat="false" ht="11.25" hidden="false" customHeight="false" outlineLevel="0" collapsed="false">
      <c r="A150" s="114"/>
      <c r="B150" s="498"/>
      <c r="C150" s="202"/>
      <c r="D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BB150" s="202"/>
      <c r="BC150" s="114"/>
      <c r="BD150" s="114"/>
      <c r="BE150" s="114"/>
      <c r="BF150" s="114"/>
      <c r="BG150" s="114"/>
      <c r="BH150" s="114"/>
      <c r="BI150" s="114"/>
      <c r="BJ150" s="114"/>
      <c r="BK150" s="114"/>
      <c r="BL150" s="114"/>
      <c r="BM150" s="114"/>
      <c r="BN150" s="114"/>
      <c r="BO150" s="114"/>
      <c r="BP150" s="114"/>
      <c r="BQ150" s="114"/>
      <c r="BR150" s="114"/>
      <c r="BS150" s="114"/>
      <c r="BT150" s="114"/>
      <c r="BU150" s="114"/>
      <c r="BV150" s="114"/>
      <c r="BW150" s="114"/>
      <c r="BX150" s="114"/>
      <c r="BY150" s="114"/>
      <c r="BZ150" s="114"/>
      <c r="CA150" s="114"/>
      <c r="CB150" s="114"/>
      <c r="CC150" s="114"/>
      <c r="CD150" s="114"/>
      <c r="CE150" s="114"/>
      <c r="CF150" s="114"/>
      <c r="CG150" s="114"/>
      <c r="CH150" s="114"/>
      <c r="CI150" s="114"/>
      <c r="CJ150" s="114"/>
      <c r="CK150" s="114"/>
      <c r="CL150" s="114"/>
      <c r="CM150" s="114"/>
      <c r="CN150" s="114"/>
      <c r="CO150" s="114"/>
      <c r="CP150" s="114"/>
      <c r="CQ150" s="114"/>
      <c r="CR150" s="114"/>
      <c r="CS150" s="114"/>
      <c r="CT150" s="114"/>
      <c r="CU150" s="114"/>
      <c r="CV150" s="114"/>
      <c r="CW150" s="114"/>
      <c r="CX150" s="114"/>
      <c r="CY150" s="114"/>
      <c r="CZ150" s="114"/>
      <c r="DA150" s="114"/>
      <c r="DB150" s="114"/>
      <c r="DC150" s="114"/>
      <c r="DD150" s="114"/>
      <c r="DE150" s="114"/>
      <c r="DF150" s="114"/>
      <c r="DG150" s="114"/>
      <c r="DH150" s="114"/>
      <c r="DI150" s="114"/>
      <c r="DJ150" s="114"/>
      <c r="DK150" s="114"/>
      <c r="DL150" s="114"/>
      <c r="DM150" s="114"/>
      <c r="DN150" s="114"/>
      <c r="DO150" s="114"/>
      <c r="DP150" s="114"/>
      <c r="DQ150" s="114"/>
      <c r="DR150" s="114"/>
      <c r="DS150" s="114"/>
      <c r="DT150" s="114"/>
      <c r="DU150" s="114"/>
      <c r="DV150" s="114"/>
      <c r="DW150" s="114"/>
      <c r="DX150" s="114"/>
      <c r="DY150" s="114"/>
      <c r="DZ150" s="114"/>
      <c r="EA150" s="114"/>
      <c r="EB150" s="114"/>
      <c r="EC150" s="114"/>
      <c r="ED150" s="114"/>
      <c r="EE150" s="114"/>
      <c r="EF150" s="114"/>
      <c r="EG150" s="114"/>
      <c r="EH150" s="114"/>
      <c r="EI150" s="114"/>
      <c r="EJ150" s="114"/>
      <c r="EK150" s="114"/>
      <c r="EL150" s="114"/>
      <c r="EM150" s="114"/>
      <c r="EN150" s="114"/>
      <c r="EO150" s="114"/>
      <c r="EP150" s="114"/>
      <c r="EQ150" s="114"/>
      <c r="ER150" s="114"/>
      <c r="ES150" s="114"/>
      <c r="ET150" s="114"/>
      <c r="EU150" s="114"/>
      <c r="EV150" s="114"/>
      <c r="EW150" s="114"/>
      <c r="EX150" s="114"/>
      <c r="EY150" s="114"/>
      <c r="EZ150" s="114"/>
      <c r="FA150" s="114"/>
      <c r="FB150" s="114"/>
      <c r="FC150" s="114"/>
      <c r="FD150" s="114"/>
      <c r="FE150" s="114"/>
      <c r="FF150" s="114"/>
      <c r="FG150" s="114"/>
      <c r="FH150" s="114"/>
      <c r="FI150" s="114"/>
      <c r="FJ150" s="114"/>
      <c r="FK150" s="114"/>
      <c r="FL150" s="114"/>
      <c r="FM150" s="114"/>
      <c r="FN150" s="114"/>
      <c r="FO150" s="114"/>
      <c r="FP150" s="114"/>
      <c r="FQ150" s="114"/>
      <c r="FR150" s="114"/>
      <c r="FS150" s="114"/>
      <c r="FT150" s="114"/>
      <c r="FU150" s="114"/>
      <c r="FV150" s="114"/>
      <c r="FW150" s="114"/>
      <c r="FX150" s="114"/>
      <c r="FY150" s="114"/>
      <c r="FZ150" s="114"/>
      <c r="GA150" s="114"/>
      <c r="GB150" s="114"/>
      <c r="GC150" s="114"/>
      <c r="GD150" s="114"/>
      <c r="GE150" s="114"/>
      <c r="GF150" s="114"/>
      <c r="GG150" s="114"/>
      <c r="GH150" s="114"/>
      <c r="GI150" s="114"/>
      <c r="GJ150" s="114"/>
      <c r="GK150" s="114"/>
      <c r="GL150" s="114"/>
      <c r="GM150" s="114"/>
      <c r="GN150" s="114"/>
      <c r="GO150" s="114"/>
      <c r="GP150" s="114"/>
      <c r="GQ150" s="114"/>
      <c r="GR150" s="114"/>
      <c r="GS150" s="114"/>
      <c r="GT150" s="114"/>
      <c r="GU150" s="114"/>
      <c r="GV150" s="114"/>
      <c r="GW150" s="114"/>
      <c r="GX150" s="114"/>
      <c r="GY150" s="114"/>
      <c r="GZ150" s="114"/>
      <c r="HA150" s="114"/>
      <c r="HB150" s="114"/>
      <c r="HC150" s="114"/>
      <c r="HD150" s="114"/>
      <c r="HE150" s="114"/>
      <c r="HF150" s="114"/>
      <c r="HG150" s="114"/>
      <c r="HH150" s="114"/>
      <c r="HI150" s="114"/>
      <c r="HJ150" s="114"/>
      <c r="HK150" s="114"/>
      <c r="HL150" s="114"/>
      <c r="HM150" s="114"/>
      <c r="HN150" s="114"/>
      <c r="HO150" s="114"/>
      <c r="HP150" s="114"/>
      <c r="HQ150" s="114"/>
      <c r="HR150" s="114"/>
      <c r="HS150" s="114"/>
      <c r="HT150" s="114"/>
      <c r="HU150" s="114"/>
      <c r="HV150" s="114"/>
      <c r="HW150" s="114"/>
      <c r="HX150" s="114"/>
      <c r="HY150" s="114"/>
      <c r="HZ150" s="114"/>
      <c r="IA150" s="114"/>
      <c r="IB150" s="114"/>
      <c r="IC150" s="114"/>
      <c r="ID150" s="114"/>
      <c r="IE150" s="114"/>
      <c r="IF150" s="114"/>
      <c r="IG150" s="114"/>
      <c r="IH150" s="114"/>
      <c r="II150" s="114"/>
      <c r="IJ150" s="114"/>
      <c r="IK150" s="114"/>
      <c r="IL150" s="114"/>
      <c r="IM150" s="114"/>
      <c r="IN150" s="114"/>
      <c r="IO150" s="114"/>
      <c r="IP150" s="114"/>
      <c r="IQ150" s="114"/>
      <c r="IR150" s="114"/>
      <c r="IS150" s="114"/>
      <c r="IT150" s="114"/>
      <c r="IU150" s="114"/>
      <c r="IV150" s="114"/>
      <c r="IW150" s="114"/>
    </row>
    <row r="151" customFormat="false" ht="11.25" hidden="false" customHeight="false" outlineLevel="0" collapsed="false">
      <c r="A151" s="114"/>
      <c r="B151" s="498"/>
      <c r="C151" s="619"/>
      <c r="D151" s="372"/>
      <c r="E151" s="372"/>
      <c r="F151" s="372"/>
      <c r="G151" s="372"/>
      <c r="H151" s="372"/>
      <c r="I151" s="372"/>
      <c r="J151" s="372"/>
      <c r="K151" s="372"/>
      <c r="L151" s="372"/>
      <c r="M151" s="372"/>
      <c r="N151" s="372"/>
      <c r="O151" s="372"/>
      <c r="P151" s="372"/>
      <c r="Q151" s="372"/>
      <c r="R151" s="372"/>
      <c r="S151" s="372"/>
      <c r="T151" s="372"/>
      <c r="U151" s="372"/>
      <c r="V151" s="372"/>
      <c r="W151" s="372"/>
      <c r="X151" s="372"/>
      <c r="Y151" s="372"/>
      <c r="Z151" s="372"/>
      <c r="AA151" s="372"/>
      <c r="AB151" s="372"/>
      <c r="AC151" s="372"/>
      <c r="AD151" s="372"/>
      <c r="AE151" s="372"/>
      <c r="AF151" s="372"/>
      <c r="AG151" s="372"/>
      <c r="AH151" s="372"/>
      <c r="AI151" s="372"/>
      <c r="AJ151" s="372"/>
      <c r="AK151" s="372"/>
      <c r="AL151" s="372"/>
      <c r="AM151" s="372"/>
      <c r="AN151" s="372"/>
      <c r="AO151" s="372"/>
      <c r="AP151" s="37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BB151" s="202"/>
      <c r="BC151" s="114"/>
      <c r="BD151" s="114"/>
      <c r="BE151" s="114"/>
      <c r="BF151" s="114"/>
      <c r="BG151" s="114"/>
      <c r="BH151" s="114"/>
      <c r="BI151" s="114"/>
      <c r="BJ151" s="114"/>
      <c r="BK151" s="114"/>
      <c r="BL151" s="114"/>
      <c r="BM151" s="114"/>
      <c r="BN151" s="114"/>
      <c r="BO151" s="114"/>
      <c r="BP151" s="114"/>
      <c r="BQ151" s="114"/>
      <c r="BR151" s="114"/>
      <c r="BS151" s="114"/>
      <c r="BT151" s="114"/>
      <c r="BU151" s="114"/>
      <c r="BV151" s="114"/>
      <c r="BW151" s="114"/>
      <c r="BX151" s="114"/>
      <c r="BY151" s="114"/>
      <c r="BZ151" s="114"/>
      <c r="CA151" s="114"/>
      <c r="CB151" s="114"/>
      <c r="CC151" s="114"/>
      <c r="CD151" s="114"/>
      <c r="CE151" s="114"/>
      <c r="CF151" s="114"/>
      <c r="CG151" s="114"/>
      <c r="CH151" s="114"/>
      <c r="CI151" s="114"/>
      <c r="CJ151" s="114"/>
      <c r="CK151" s="114"/>
      <c r="CL151" s="114"/>
      <c r="CM151" s="114"/>
      <c r="CN151" s="114"/>
      <c r="CO151" s="114"/>
      <c r="CP151" s="114"/>
      <c r="CQ151" s="114"/>
      <c r="CR151" s="114"/>
      <c r="CS151" s="114"/>
      <c r="CT151" s="114"/>
      <c r="CU151" s="114"/>
      <c r="CV151" s="114"/>
      <c r="CW151" s="114"/>
      <c r="CX151" s="114"/>
      <c r="CY151" s="114"/>
      <c r="CZ151" s="114"/>
      <c r="DA151" s="114"/>
      <c r="DB151" s="114"/>
      <c r="DC151" s="114"/>
      <c r="DD151" s="114"/>
      <c r="DE151" s="114"/>
      <c r="DF151" s="114"/>
      <c r="DG151" s="114"/>
      <c r="DH151" s="114"/>
      <c r="DI151" s="114"/>
      <c r="DJ151" s="114"/>
      <c r="DK151" s="114"/>
      <c r="DL151" s="114"/>
      <c r="DM151" s="114"/>
      <c r="DN151" s="114"/>
      <c r="DO151" s="114"/>
      <c r="DP151" s="114"/>
      <c r="DQ151" s="114"/>
      <c r="DR151" s="114"/>
      <c r="DS151" s="114"/>
      <c r="DT151" s="114"/>
      <c r="DU151" s="114"/>
      <c r="DV151" s="114"/>
      <c r="DW151" s="114"/>
      <c r="DX151" s="114"/>
      <c r="DY151" s="114"/>
      <c r="DZ151" s="114"/>
      <c r="EA151" s="114"/>
      <c r="EB151" s="114"/>
      <c r="EC151" s="114"/>
      <c r="ED151" s="114"/>
      <c r="EE151" s="114"/>
      <c r="EF151" s="114"/>
      <c r="EG151" s="114"/>
      <c r="EH151" s="114"/>
      <c r="EI151" s="114"/>
      <c r="EJ151" s="114"/>
      <c r="EK151" s="114"/>
      <c r="EL151" s="114"/>
      <c r="EM151" s="114"/>
      <c r="EN151" s="114"/>
      <c r="EO151" s="114"/>
      <c r="EP151" s="114"/>
      <c r="EQ151" s="114"/>
      <c r="ER151" s="114"/>
      <c r="ES151" s="114"/>
      <c r="ET151" s="114"/>
      <c r="EU151" s="114"/>
      <c r="EV151" s="114"/>
      <c r="EW151" s="114"/>
      <c r="EX151" s="114"/>
      <c r="EY151" s="114"/>
      <c r="EZ151" s="114"/>
      <c r="FA151" s="114"/>
      <c r="FB151" s="114"/>
      <c r="FC151" s="114"/>
      <c r="FD151" s="114"/>
      <c r="FE151" s="114"/>
      <c r="FF151" s="114"/>
      <c r="FG151" s="114"/>
      <c r="FH151" s="114"/>
      <c r="FI151" s="114"/>
      <c r="FJ151" s="114"/>
      <c r="FK151" s="114"/>
      <c r="FL151" s="114"/>
      <c r="FM151" s="114"/>
      <c r="FN151" s="114"/>
      <c r="FO151" s="114"/>
      <c r="FP151" s="114"/>
      <c r="FQ151" s="114"/>
      <c r="FR151" s="114"/>
      <c r="FS151" s="114"/>
      <c r="FT151" s="114"/>
      <c r="FU151" s="114"/>
      <c r="FV151" s="114"/>
      <c r="FW151" s="114"/>
      <c r="FX151" s="114"/>
      <c r="FY151" s="114"/>
      <c r="FZ151" s="114"/>
      <c r="GA151" s="114"/>
      <c r="GB151" s="114"/>
      <c r="GC151" s="114"/>
      <c r="GD151" s="114"/>
      <c r="GE151" s="114"/>
      <c r="GF151" s="114"/>
      <c r="GG151" s="114"/>
      <c r="GH151" s="114"/>
      <c r="GI151" s="114"/>
      <c r="GJ151" s="114"/>
      <c r="GK151" s="114"/>
      <c r="GL151" s="114"/>
      <c r="GM151" s="114"/>
      <c r="GN151" s="114"/>
      <c r="GO151" s="114"/>
      <c r="GP151" s="114"/>
      <c r="GQ151" s="114"/>
      <c r="GR151" s="114"/>
      <c r="GS151" s="114"/>
      <c r="GT151" s="114"/>
      <c r="GU151" s="114"/>
      <c r="GV151" s="114"/>
      <c r="GW151" s="114"/>
      <c r="GX151" s="114"/>
      <c r="GY151" s="114"/>
      <c r="GZ151" s="114"/>
      <c r="HA151" s="114"/>
      <c r="HB151" s="114"/>
      <c r="HC151" s="114"/>
      <c r="HD151" s="114"/>
      <c r="HE151" s="114"/>
      <c r="HF151" s="114"/>
      <c r="HG151" s="114"/>
      <c r="HH151" s="114"/>
      <c r="HI151" s="114"/>
      <c r="HJ151" s="114"/>
      <c r="HK151" s="114"/>
      <c r="HL151" s="114"/>
      <c r="HM151" s="114"/>
      <c r="HN151" s="114"/>
      <c r="HO151" s="114"/>
      <c r="HP151" s="114"/>
      <c r="HQ151" s="114"/>
      <c r="HR151" s="114"/>
      <c r="HS151" s="114"/>
      <c r="HT151" s="114"/>
      <c r="HU151" s="114"/>
      <c r="HV151" s="114"/>
      <c r="HW151" s="114"/>
      <c r="HX151" s="114"/>
      <c r="HY151" s="114"/>
      <c r="HZ151" s="114"/>
      <c r="IA151" s="114"/>
      <c r="IB151" s="114"/>
      <c r="IC151" s="114"/>
      <c r="ID151" s="114"/>
      <c r="IE151" s="114"/>
      <c r="IF151" s="114"/>
      <c r="IG151" s="114"/>
      <c r="IH151" s="114"/>
      <c r="II151" s="114"/>
      <c r="IJ151" s="114"/>
      <c r="IK151" s="114"/>
      <c r="IL151" s="114"/>
      <c r="IM151" s="114"/>
      <c r="IN151" s="114"/>
      <c r="IO151" s="114"/>
      <c r="IP151" s="114"/>
      <c r="IQ151" s="114"/>
      <c r="IR151" s="114"/>
      <c r="IS151" s="114"/>
      <c r="IT151" s="114"/>
      <c r="IU151" s="114"/>
      <c r="IV151" s="114"/>
      <c r="IW151" s="114"/>
    </row>
    <row r="152" customFormat="false" ht="11.25" hidden="false" customHeight="false" outlineLevel="0" collapsed="false">
      <c r="A152" s="114"/>
      <c r="B152" s="202"/>
      <c r="C152" s="202"/>
      <c r="D152" s="202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498"/>
      <c r="AR152" s="498"/>
      <c r="AS152" s="498"/>
      <c r="AT152" s="498"/>
      <c r="AU152" s="498"/>
      <c r="AV152" s="498"/>
      <c r="AW152" s="498"/>
      <c r="AX152" s="498"/>
      <c r="AY152" s="498"/>
      <c r="AZ152" s="202"/>
      <c r="BA152" s="202"/>
      <c r="BB152" s="202"/>
      <c r="BC152" s="114"/>
      <c r="BD152" s="114"/>
      <c r="BE152" s="114"/>
      <c r="BF152" s="114"/>
      <c r="BG152" s="114"/>
      <c r="BH152" s="114"/>
      <c r="BI152" s="114"/>
      <c r="BJ152" s="114"/>
      <c r="BK152" s="114"/>
      <c r="BL152" s="114"/>
      <c r="BM152" s="114"/>
      <c r="BN152" s="114"/>
      <c r="BO152" s="114"/>
      <c r="BP152" s="114"/>
      <c r="BQ152" s="114"/>
      <c r="BR152" s="114"/>
      <c r="BS152" s="114"/>
      <c r="BT152" s="114"/>
      <c r="BU152" s="114"/>
      <c r="BV152" s="114"/>
      <c r="BW152" s="114"/>
      <c r="BX152" s="114"/>
      <c r="BY152" s="114"/>
      <c r="BZ152" s="114"/>
      <c r="CA152" s="114"/>
      <c r="CB152" s="114"/>
      <c r="CC152" s="114"/>
      <c r="CD152" s="114"/>
      <c r="CE152" s="114"/>
      <c r="CF152" s="114"/>
      <c r="CG152" s="114"/>
      <c r="CH152" s="114"/>
      <c r="CI152" s="114"/>
      <c r="CJ152" s="114"/>
      <c r="CK152" s="114"/>
      <c r="CL152" s="114"/>
      <c r="CM152" s="114"/>
      <c r="CN152" s="114"/>
      <c r="CO152" s="114"/>
      <c r="CP152" s="114"/>
      <c r="CQ152" s="114"/>
      <c r="CR152" s="114"/>
      <c r="CS152" s="114"/>
      <c r="CT152" s="114"/>
      <c r="CU152" s="114"/>
      <c r="CV152" s="114"/>
      <c r="CW152" s="114"/>
      <c r="CX152" s="114"/>
      <c r="CY152" s="114"/>
      <c r="CZ152" s="114"/>
      <c r="DA152" s="114"/>
      <c r="DB152" s="114"/>
      <c r="DC152" s="114"/>
      <c r="DD152" s="114"/>
      <c r="DE152" s="114"/>
      <c r="DF152" s="114"/>
      <c r="DG152" s="114"/>
      <c r="DH152" s="114"/>
      <c r="DI152" s="114"/>
      <c r="DJ152" s="114"/>
      <c r="DK152" s="114"/>
      <c r="DL152" s="114"/>
      <c r="DM152" s="114"/>
      <c r="DN152" s="114"/>
      <c r="DO152" s="114"/>
      <c r="DP152" s="114"/>
      <c r="DQ152" s="114"/>
      <c r="DR152" s="114"/>
      <c r="DS152" s="114"/>
      <c r="DT152" s="114"/>
      <c r="DU152" s="114"/>
      <c r="DV152" s="114"/>
      <c r="DW152" s="114"/>
      <c r="DX152" s="114"/>
      <c r="DY152" s="114"/>
      <c r="DZ152" s="114"/>
      <c r="EA152" s="114"/>
      <c r="EB152" s="114"/>
      <c r="EC152" s="114"/>
      <c r="ED152" s="114"/>
      <c r="EE152" s="114"/>
      <c r="EF152" s="114"/>
      <c r="EG152" s="114"/>
      <c r="EH152" s="114"/>
      <c r="EI152" s="114"/>
      <c r="EJ152" s="114"/>
      <c r="EK152" s="114"/>
      <c r="EL152" s="114"/>
      <c r="EM152" s="114"/>
      <c r="EN152" s="114"/>
      <c r="EO152" s="114"/>
      <c r="EP152" s="114"/>
      <c r="EQ152" s="114"/>
      <c r="ER152" s="114"/>
      <c r="ES152" s="114"/>
      <c r="ET152" s="114"/>
      <c r="EU152" s="114"/>
      <c r="EV152" s="114"/>
      <c r="EW152" s="114"/>
      <c r="EX152" s="114"/>
      <c r="EY152" s="114"/>
      <c r="EZ152" s="114"/>
      <c r="FA152" s="114"/>
      <c r="FB152" s="114"/>
      <c r="FC152" s="114"/>
      <c r="FD152" s="114"/>
      <c r="FE152" s="114"/>
      <c r="FF152" s="114"/>
      <c r="FG152" s="114"/>
      <c r="FH152" s="114"/>
      <c r="FI152" s="114"/>
      <c r="FJ152" s="114"/>
      <c r="FK152" s="114"/>
      <c r="FL152" s="114"/>
      <c r="FM152" s="114"/>
      <c r="FN152" s="114"/>
      <c r="FO152" s="114"/>
      <c r="FP152" s="114"/>
      <c r="FQ152" s="114"/>
      <c r="FR152" s="114"/>
      <c r="FS152" s="114"/>
      <c r="FT152" s="114"/>
      <c r="FU152" s="114"/>
      <c r="FV152" s="114"/>
      <c r="FW152" s="114"/>
      <c r="FX152" s="114"/>
      <c r="FY152" s="114"/>
      <c r="FZ152" s="114"/>
      <c r="GA152" s="114"/>
      <c r="GB152" s="114"/>
      <c r="GC152" s="114"/>
      <c r="GD152" s="114"/>
      <c r="GE152" s="114"/>
      <c r="GF152" s="114"/>
      <c r="GG152" s="114"/>
      <c r="GH152" s="114"/>
      <c r="GI152" s="114"/>
      <c r="GJ152" s="114"/>
      <c r="GK152" s="114"/>
      <c r="GL152" s="114"/>
      <c r="GM152" s="114"/>
      <c r="GN152" s="114"/>
      <c r="GO152" s="114"/>
      <c r="GP152" s="114"/>
      <c r="GQ152" s="114"/>
      <c r="GR152" s="114"/>
      <c r="GS152" s="114"/>
      <c r="GT152" s="114"/>
      <c r="GU152" s="114"/>
      <c r="GV152" s="114"/>
      <c r="GW152" s="114"/>
      <c r="GX152" s="114"/>
      <c r="GY152" s="114"/>
      <c r="GZ152" s="114"/>
      <c r="HA152" s="114"/>
      <c r="HB152" s="114"/>
      <c r="HC152" s="114"/>
      <c r="HD152" s="114"/>
      <c r="HE152" s="114"/>
      <c r="HF152" s="114"/>
      <c r="HG152" s="114"/>
      <c r="HH152" s="114"/>
      <c r="HI152" s="114"/>
      <c r="HJ152" s="114"/>
      <c r="HK152" s="114"/>
      <c r="HL152" s="114"/>
      <c r="HM152" s="114"/>
      <c r="HN152" s="114"/>
      <c r="HO152" s="114"/>
      <c r="HP152" s="114"/>
      <c r="HQ152" s="114"/>
      <c r="HR152" s="114"/>
      <c r="HS152" s="114"/>
      <c r="HT152" s="114"/>
      <c r="HU152" s="114"/>
      <c r="HV152" s="114"/>
      <c r="HW152" s="114"/>
      <c r="HX152" s="114"/>
      <c r="HY152" s="114"/>
      <c r="HZ152" s="114"/>
      <c r="IA152" s="114"/>
      <c r="IB152" s="114"/>
      <c r="IC152" s="114"/>
      <c r="ID152" s="114"/>
      <c r="IE152" s="114"/>
      <c r="IF152" s="114"/>
      <c r="IG152" s="114"/>
      <c r="IH152" s="114"/>
      <c r="II152" s="114"/>
      <c r="IJ152" s="114"/>
      <c r="IK152" s="114"/>
      <c r="IL152" s="114"/>
      <c r="IM152" s="114"/>
      <c r="IN152" s="114"/>
      <c r="IO152" s="114"/>
      <c r="IP152" s="114"/>
      <c r="IQ152" s="114"/>
      <c r="IR152" s="114"/>
      <c r="IS152" s="114"/>
      <c r="IT152" s="114"/>
      <c r="IU152" s="114"/>
      <c r="IV152" s="114"/>
      <c r="IW152" s="114"/>
    </row>
    <row r="153" customFormat="false" ht="11.25" hidden="false" customHeight="false" outlineLevel="0" collapsed="false">
      <c r="A153" s="114"/>
      <c r="B153" s="498"/>
      <c r="C153" s="498"/>
      <c r="D153" s="498"/>
      <c r="E153" s="498"/>
      <c r="F153" s="498"/>
      <c r="G153" s="498"/>
      <c r="H153" s="498"/>
      <c r="I153" s="498"/>
      <c r="J153" s="498"/>
      <c r="K153" s="498"/>
      <c r="L153" s="498"/>
      <c r="M153" s="498"/>
      <c r="N153" s="498"/>
      <c r="O153" s="498"/>
      <c r="P153" s="498"/>
      <c r="Q153" s="498"/>
      <c r="R153" s="498"/>
      <c r="S153" s="498"/>
      <c r="T153" s="498"/>
      <c r="U153" s="498"/>
      <c r="V153" s="498"/>
      <c r="W153" s="498"/>
      <c r="X153" s="498"/>
      <c r="Y153" s="498"/>
      <c r="Z153" s="498"/>
      <c r="AA153" s="498"/>
      <c r="AB153" s="498"/>
      <c r="AC153" s="498"/>
      <c r="AD153" s="498"/>
      <c r="AE153" s="498"/>
      <c r="AF153" s="498"/>
      <c r="AG153" s="498"/>
      <c r="AH153" s="498"/>
      <c r="AI153" s="498"/>
      <c r="AJ153" s="498"/>
      <c r="AK153" s="498"/>
      <c r="AL153" s="498"/>
      <c r="AM153" s="498"/>
      <c r="AN153" s="498"/>
      <c r="AO153" s="498"/>
      <c r="AP153" s="498"/>
      <c r="AQ153" s="498"/>
      <c r="AR153" s="498"/>
      <c r="AS153" s="498"/>
      <c r="AT153" s="498"/>
      <c r="AU153" s="498"/>
      <c r="AV153" s="498"/>
      <c r="AW153" s="498"/>
      <c r="AX153" s="498"/>
      <c r="AY153" s="498"/>
      <c r="AZ153" s="202"/>
      <c r="BA153" s="202"/>
      <c r="BB153" s="202"/>
      <c r="BC153" s="114"/>
      <c r="BD153" s="114"/>
      <c r="BE153" s="114"/>
      <c r="BF153" s="114"/>
      <c r="BG153" s="114"/>
      <c r="BH153" s="114"/>
      <c r="BI153" s="114"/>
      <c r="BJ153" s="114"/>
      <c r="BK153" s="114"/>
      <c r="BL153" s="114"/>
      <c r="BM153" s="114"/>
      <c r="BN153" s="114"/>
      <c r="BO153" s="114"/>
      <c r="BP153" s="114"/>
      <c r="BQ153" s="114"/>
      <c r="BR153" s="114"/>
      <c r="BS153" s="114"/>
      <c r="BT153" s="114"/>
      <c r="BU153" s="114"/>
      <c r="BV153" s="114"/>
      <c r="BW153" s="114"/>
      <c r="BX153" s="114"/>
      <c r="BY153" s="114"/>
      <c r="BZ153" s="114"/>
      <c r="CA153" s="114"/>
      <c r="CB153" s="114"/>
      <c r="CC153" s="114"/>
      <c r="CD153" s="114"/>
      <c r="CE153" s="114"/>
      <c r="CF153" s="114"/>
      <c r="CG153" s="114"/>
      <c r="CH153" s="114"/>
      <c r="CI153" s="114"/>
      <c r="CJ153" s="114"/>
      <c r="CK153" s="114"/>
      <c r="CL153" s="114"/>
      <c r="CM153" s="114"/>
      <c r="CN153" s="114"/>
      <c r="CO153" s="114"/>
      <c r="CP153" s="114"/>
      <c r="CQ153" s="114"/>
      <c r="CR153" s="114"/>
      <c r="CS153" s="114"/>
      <c r="CT153" s="114"/>
      <c r="CU153" s="114"/>
      <c r="CV153" s="114"/>
      <c r="CW153" s="114"/>
      <c r="CX153" s="114"/>
      <c r="CY153" s="114"/>
      <c r="CZ153" s="114"/>
      <c r="DA153" s="114"/>
      <c r="DB153" s="114"/>
      <c r="DC153" s="114"/>
      <c r="DD153" s="114"/>
      <c r="DE153" s="114"/>
      <c r="DF153" s="114"/>
      <c r="DG153" s="114"/>
      <c r="DH153" s="114"/>
      <c r="DI153" s="114"/>
      <c r="DJ153" s="114"/>
      <c r="DK153" s="114"/>
      <c r="DL153" s="114"/>
      <c r="DM153" s="114"/>
      <c r="DN153" s="114"/>
      <c r="DO153" s="114"/>
      <c r="DP153" s="114"/>
      <c r="DQ153" s="114"/>
      <c r="DR153" s="114"/>
      <c r="DS153" s="114"/>
      <c r="DT153" s="114"/>
      <c r="DU153" s="114"/>
      <c r="DV153" s="114"/>
      <c r="DW153" s="114"/>
      <c r="DX153" s="114"/>
      <c r="DY153" s="114"/>
      <c r="DZ153" s="114"/>
      <c r="EA153" s="114"/>
      <c r="EB153" s="114"/>
      <c r="EC153" s="114"/>
      <c r="ED153" s="114"/>
      <c r="EE153" s="114"/>
      <c r="EF153" s="114"/>
      <c r="EG153" s="114"/>
      <c r="EH153" s="114"/>
      <c r="EI153" s="114"/>
      <c r="EJ153" s="114"/>
      <c r="EK153" s="114"/>
      <c r="EL153" s="114"/>
      <c r="EM153" s="114"/>
      <c r="EN153" s="114"/>
      <c r="EO153" s="114"/>
      <c r="EP153" s="114"/>
      <c r="EQ153" s="114"/>
      <c r="ER153" s="114"/>
      <c r="ES153" s="114"/>
      <c r="ET153" s="114"/>
      <c r="EU153" s="114"/>
      <c r="EV153" s="114"/>
      <c r="EW153" s="114"/>
      <c r="EX153" s="114"/>
      <c r="EY153" s="114"/>
      <c r="EZ153" s="114"/>
      <c r="FA153" s="114"/>
      <c r="FB153" s="114"/>
      <c r="FC153" s="114"/>
      <c r="FD153" s="114"/>
      <c r="FE153" s="114"/>
      <c r="FF153" s="114"/>
      <c r="FG153" s="114"/>
      <c r="FH153" s="114"/>
      <c r="FI153" s="114"/>
      <c r="FJ153" s="114"/>
      <c r="FK153" s="114"/>
      <c r="FL153" s="114"/>
      <c r="FM153" s="114"/>
      <c r="FN153" s="114"/>
      <c r="FO153" s="114"/>
      <c r="FP153" s="114"/>
      <c r="FQ153" s="114"/>
      <c r="FR153" s="114"/>
      <c r="FS153" s="114"/>
      <c r="FT153" s="114"/>
      <c r="FU153" s="114"/>
      <c r="FV153" s="114"/>
      <c r="FW153" s="114"/>
      <c r="FX153" s="114"/>
      <c r="FY153" s="114"/>
      <c r="FZ153" s="114"/>
      <c r="GA153" s="114"/>
      <c r="GB153" s="114"/>
      <c r="GC153" s="114"/>
      <c r="GD153" s="114"/>
      <c r="GE153" s="114"/>
      <c r="GF153" s="114"/>
      <c r="GG153" s="114"/>
      <c r="GH153" s="114"/>
      <c r="GI153" s="114"/>
      <c r="GJ153" s="114"/>
      <c r="GK153" s="114"/>
      <c r="GL153" s="114"/>
      <c r="GM153" s="114"/>
      <c r="GN153" s="114"/>
      <c r="GO153" s="114"/>
      <c r="GP153" s="114"/>
      <c r="GQ153" s="114"/>
      <c r="GR153" s="114"/>
      <c r="GS153" s="114"/>
      <c r="GT153" s="114"/>
      <c r="GU153" s="114"/>
      <c r="GV153" s="114"/>
      <c r="GW153" s="114"/>
      <c r="GX153" s="114"/>
      <c r="GY153" s="114"/>
      <c r="GZ153" s="114"/>
      <c r="HA153" s="114"/>
      <c r="HB153" s="114"/>
      <c r="HC153" s="114"/>
      <c r="HD153" s="114"/>
      <c r="HE153" s="114"/>
      <c r="HF153" s="114"/>
      <c r="HG153" s="114"/>
      <c r="HH153" s="114"/>
      <c r="HI153" s="114"/>
      <c r="HJ153" s="114"/>
      <c r="HK153" s="114"/>
      <c r="HL153" s="114"/>
      <c r="HM153" s="114"/>
      <c r="HN153" s="114"/>
      <c r="HO153" s="114"/>
      <c r="HP153" s="114"/>
      <c r="HQ153" s="114"/>
      <c r="HR153" s="114"/>
      <c r="HS153" s="114"/>
      <c r="HT153" s="114"/>
      <c r="HU153" s="114"/>
      <c r="HV153" s="114"/>
      <c r="HW153" s="114"/>
      <c r="HX153" s="114"/>
      <c r="HY153" s="114"/>
      <c r="HZ153" s="114"/>
      <c r="IA153" s="114"/>
      <c r="IB153" s="114"/>
      <c r="IC153" s="114"/>
      <c r="ID153" s="114"/>
      <c r="IE153" s="114"/>
      <c r="IF153" s="114"/>
      <c r="IG153" s="114"/>
      <c r="IH153" s="114"/>
      <c r="II153" s="114"/>
      <c r="IJ153" s="114"/>
      <c r="IK153" s="114"/>
      <c r="IL153" s="114"/>
      <c r="IM153" s="114"/>
      <c r="IN153" s="114"/>
      <c r="IO153" s="114"/>
      <c r="IP153" s="114"/>
      <c r="IQ153" s="114"/>
      <c r="IR153" s="114"/>
      <c r="IS153" s="114"/>
      <c r="IT153" s="114"/>
      <c r="IU153" s="114"/>
      <c r="IV153" s="114"/>
      <c r="IW153" s="114"/>
    </row>
    <row r="154" customFormat="false" ht="11.25" hidden="false" customHeight="false" outlineLevel="0" collapsed="false">
      <c r="A154" s="620"/>
      <c r="B154" s="498"/>
      <c r="C154" s="498"/>
      <c r="D154" s="498"/>
      <c r="E154" s="498"/>
      <c r="F154" s="498"/>
      <c r="G154" s="498"/>
      <c r="H154" s="498"/>
      <c r="I154" s="498"/>
      <c r="J154" s="498"/>
      <c r="K154" s="498"/>
      <c r="L154" s="498"/>
      <c r="M154" s="498"/>
      <c r="N154" s="498"/>
      <c r="O154" s="498"/>
      <c r="P154" s="498"/>
      <c r="Q154" s="498"/>
      <c r="R154" s="498"/>
      <c r="S154" s="498"/>
      <c r="T154" s="498"/>
      <c r="U154" s="498"/>
      <c r="V154" s="498"/>
      <c r="W154" s="498"/>
      <c r="X154" s="498"/>
      <c r="Y154" s="498"/>
      <c r="Z154" s="498"/>
      <c r="AA154" s="498"/>
      <c r="AB154" s="498"/>
      <c r="AC154" s="498"/>
      <c r="AD154" s="498"/>
      <c r="AE154" s="498"/>
      <c r="AF154" s="498"/>
      <c r="AG154" s="498"/>
      <c r="AH154" s="498"/>
      <c r="AI154" s="498"/>
      <c r="AJ154" s="498"/>
      <c r="AK154" s="498"/>
      <c r="AL154" s="498"/>
      <c r="AM154" s="498"/>
      <c r="AN154" s="498"/>
      <c r="AO154" s="498"/>
      <c r="AP154" s="498"/>
      <c r="AQ154" s="621"/>
      <c r="AR154" s="621"/>
      <c r="AS154" s="621"/>
      <c r="AT154" s="621"/>
      <c r="AU154" s="621"/>
      <c r="AV154" s="621"/>
      <c r="AW154" s="621"/>
      <c r="AX154" s="621"/>
      <c r="AY154" s="621"/>
      <c r="AZ154" s="621"/>
      <c r="BA154" s="621"/>
      <c r="BB154" s="621"/>
      <c r="BC154" s="620"/>
      <c r="BD154" s="620"/>
      <c r="BE154" s="620"/>
      <c r="BF154" s="620"/>
      <c r="BG154" s="620"/>
      <c r="BH154" s="620"/>
      <c r="BI154" s="620"/>
      <c r="BJ154" s="620"/>
      <c r="BK154" s="620"/>
      <c r="BL154" s="620"/>
      <c r="BM154" s="620"/>
      <c r="BN154" s="620"/>
      <c r="BO154" s="620"/>
      <c r="BP154" s="620"/>
      <c r="BQ154" s="620"/>
      <c r="BR154" s="620"/>
      <c r="BS154" s="620"/>
      <c r="BT154" s="620"/>
      <c r="BU154" s="620"/>
      <c r="BV154" s="620"/>
      <c r="BW154" s="620"/>
      <c r="BX154" s="620"/>
      <c r="BY154" s="620"/>
      <c r="BZ154" s="620"/>
      <c r="CA154" s="620"/>
      <c r="CB154" s="620"/>
      <c r="CC154" s="620"/>
      <c r="CD154" s="620"/>
      <c r="CE154" s="620"/>
      <c r="CF154" s="620"/>
      <c r="CG154" s="620"/>
      <c r="CH154" s="620"/>
      <c r="CI154" s="620"/>
      <c r="CJ154" s="620"/>
      <c r="CK154" s="620"/>
      <c r="CL154" s="620"/>
      <c r="CM154" s="620"/>
      <c r="CN154" s="620"/>
      <c r="CO154" s="620"/>
      <c r="CP154" s="620"/>
      <c r="CQ154" s="620"/>
      <c r="CR154" s="620"/>
      <c r="CS154" s="620"/>
      <c r="CT154" s="620"/>
      <c r="CU154" s="620"/>
      <c r="CV154" s="620"/>
      <c r="CW154" s="620"/>
      <c r="CX154" s="620"/>
      <c r="CY154" s="620"/>
      <c r="CZ154" s="620"/>
      <c r="DA154" s="620"/>
      <c r="DB154" s="620"/>
      <c r="DC154" s="620"/>
      <c r="DD154" s="620"/>
      <c r="DE154" s="620"/>
      <c r="DF154" s="620"/>
      <c r="DG154" s="620"/>
      <c r="DH154" s="620"/>
      <c r="DI154" s="620"/>
      <c r="DJ154" s="620"/>
      <c r="DK154" s="620"/>
      <c r="DL154" s="620"/>
      <c r="DM154" s="620"/>
      <c r="DN154" s="620"/>
      <c r="DO154" s="620"/>
      <c r="DP154" s="620"/>
      <c r="DQ154" s="620"/>
      <c r="DR154" s="620"/>
      <c r="DS154" s="620"/>
      <c r="DT154" s="620"/>
      <c r="DU154" s="620"/>
      <c r="DV154" s="620"/>
      <c r="DW154" s="620"/>
      <c r="DX154" s="620"/>
      <c r="DY154" s="620"/>
      <c r="DZ154" s="620"/>
      <c r="EA154" s="620"/>
      <c r="EB154" s="620"/>
      <c r="EC154" s="620"/>
      <c r="ED154" s="620"/>
      <c r="EE154" s="620"/>
      <c r="EF154" s="620"/>
      <c r="EG154" s="620"/>
      <c r="EH154" s="620"/>
      <c r="EI154" s="620"/>
      <c r="EJ154" s="620"/>
      <c r="EK154" s="620"/>
      <c r="EL154" s="620"/>
      <c r="EM154" s="620"/>
      <c r="EN154" s="620"/>
      <c r="EO154" s="620"/>
      <c r="EP154" s="620"/>
      <c r="EQ154" s="620"/>
      <c r="ER154" s="620"/>
      <c r="ES154" s="620"/>
      <c r="ET154" s="620"/>
      <c r="EU154" s="620"/>
      <c r="EV154" s="620"/>
      <c r="EW154" s="620"/>
      <c r="EX154" s="620"/>
      <c r="EY154" s="620"/>
      <c r="EZ154" s="620"/>
      <c r="FA154" s="620"/>
      <c r="FB154" s="620"/>
      <c r="FC154" s="620"/>
      <c r="FD154" s="620"/>
      <c r="FE154" s="620"/>
      <c r="FF154" s="620"/>
      <c r="FG154" s="620"/>
      <c r="FH154" s="620"/>
      <c r="FI154" s="620"/>
      <c r="FJ154" s="620"/>
      <c r="FK154" s="620"/>
      <c r="FL154" s="620"/>
      <c r="FM154" s="620"/>
      <c r="FN154" s="620"/>
      <c r="FO154" s="620"/>
      <c r="FP154" s="620"/>
      <c r="FQ154" s="620"/>
      <c r="FR154" s="620"/>
      <c r="FS154" s="620"/>
      <c r="FT154" s="620"/>
      <c r="FU154" s="620"/>
      <c r="FV154" s="620"/>
      <c r="FW154" s="620"/>
      <c r="FX154" s="620"/>
      <c r="FY154" s="620"/>
      <c r="FZ154" s="620"/>
      <c r="GA154" s="620"/>
      <c r="GB154" s="620"/>
      <c r="GC154" s="620"/>
      <c r="GD154" s="620"/>
      <c r="GE154" s="620"/>
      <c r="GF154" s="620"/>
      <c r="GG154" s="620"/>
      <c r="GH154" s="620"/>
      <c r="GI154" s="620"/>
      <c r="GJ154" s="620"/>
      <c r="GK154" s="620"/>
      <c r="GL154" s="620"/>
      <c r="GM154" s="620"/>
      <c r="GN154" s="620"/>
      <c r="GO154" s="620"/>
      <c r="GP154" s="620"/>
      <c r="GQ154" s="620"/>
      <c r="GR154" s="620"/>
      <c r="GS154" s="620"/>
      <c r="GT154" s="620"/>
      <c r="GU154" s="620"/>
      <c r="GV154" s="620"/>
      <c r="GW154" s="620"/>
      <c r="GX154" s="620"/>
      <c r="GY154" s="620"/>
      <c r="GZ154" s="620"/>
      <c r="HA154" s="620"/>
      <c r="HB154" s="620"/>
      <c r="HC154" s="620"/>
      <c r="HD154" s="620"/>
      <c r="HE154" s="620"/>
      <c r="HF154" s="620"/>
      <c r="HG154" s="620"/>
      <c r="HH154" s="620"/>
      <c r="HI154" s="620"/>
      <c r="HJ154" s="620"/>
      <c r="HK154" s="620"/>
      <c r="HL154" s="620"/>
      <c r="HM154" s="620"/>
      <c r="HN154" s="620"/>
      <c r="HO154" s="620"/>
      <c r="HP154" s="620"/>
      <c r="HQ154" s="620"/>
      <c r="HR154" s="620"/>
      <c r="HS154" s="620"/>
      <c r="HT154" s="620"/>
      <c r="HU154" s="620"/>
      <c r="HV154" s="620"/>
      <c r="HW154" s="620"/>
      <c r="HX154" s="620"/>
      <c r="HY154" s="620"/>
      <c r="HZ154" s="620"/>
      <c r="IA154" s="620"/>
      <c r="IB154" s="620"/>
      <c r="IC154" s="620"/>
      <c r="ID154" s="620"/>
      <c r="IE154" s="620"/>
      <c r="IF154" s="620"/>
      <c r="IG154" s="620"/>
      <c r="IH154" s="620"/>
      <c r="II154" s="620"/>
      <c r="IJ154" s="620"/>
      <c r="IK154" s="620"/>
      <c r="IL154" s="620"/>
      <c r="IM154" s="620"/>
      <c r="IN154" s="620"/>
      <c r="IO154" s="620"/>
      <c r="IP154" s="620"/>
      <c r="IQ154" s="620"/>
      <c r="IR154" s="620"/>
      <c r="IS154" s="620"/>
      <c r="IT154" s="620"/>
      <c r="IU154" s="620"/>
      <c r="IV154" s="620"/>
      <c r="IW154" s="620"/>
    </row>
    <row r="155" customFormat="false" ht="11.25" hidden="false" customHeight="false" outlineLevel="0" collapsed="false">
      <c r="A155" s="620"/>
      <c r="B155" s="498"/>
      <c r="C155" s="498"/>
      <c r="D155" s="498"/>
      <c r="E155" s="498"/>
      <c r="F155" s="498"/>
      <c r="G155" s="498"/>
      <c r="H155" s="498"/>
      <c r="I155" s="498"/>
      <c r="J155" s="498"/>
      <c r="K155" s="498"/>
      <c r="L155" s="498"/>
      <c r="M155" s="498"/>
      <c r="N155" s="498"/>
      <c r="O155" s="498"/>
      <c r="P155" s="498"/>
      <c r="Q155" s="498"/>
      <c r="R155" s="498"/>
      <c r="S155" s="498"/>
      <c r="T155" s="498"/>
      <c r="U155" s="498"/>
      <c r="V155" s="498"/>
      <c r="W155" s="498"/>
      <c r="X155" s="498"/>
      <c r="Y155" s="498"/>
      <c r="Z155" s="498"/>
      <c r="AA155" s="498"/>
      <c r="AB155" s="498"/>
      <c r="AC155" s="498"/>
      <c r="AD155" s="498"/>
      <c r="AE155" s="498"/>
      <c r="AF155" s="498"/>
      <c r="AG155" s="498"/>
      <c r="AH155" s="498"/>
      <c r="AI155" s="498"/>
      <c r="AJ155" s="498"/>
      <c r="AK155" s="498"/>
      <c r="AL155" s="498"/>
      <c r="AM155" s="498"/>
      <c r="AN155" s="498"/>
      <c r="AO155" s="498"/>
      <c r="AP155" s="498"/>
      <c r="AQ155" s="622"/>
      <c r="AR155" s="622"/>
      <c r="AS155" s="622"/>
      <c r="AT155" s="622"/>
      <c r="AU155" s="622"/>
      <c r="AV155" s="622"/>
      <c r="AW155" s="621"/>
      <c r="AX155" s="621"/>
      <c r="AY155" s="621"/>
      <c r="AZ155" s="621"/>
      <c r="BA155" s="621"/>
      <c r="BB155" s="621"/>
      <c r="BC155" s="620"/>
      <c r="BD155" s="620"/>
      <c r="BE155" s="620"/>
      <c r="BF155" s="620"/>
      <c r="BG155" s="620"/>
      <c r="BH155" s="620"/>
      <c r="BI155" s="620"/>
      <c r="BJ155" s="620"/>
      <c r="BK155" s="620"/>
      <c r="BL155" s="620"/>
      <c r="BM155" s="620"/>
      <c r="BN155" s="620"/>
      <c r="BO155" s="620"/>
      <c r="BP155" s="620"/>
      <c r="BQ155" s="620"/>
      <c r="BR155" s="620"/>
      <c r="BS155" s="620"/>
      <c r="BT155" s="620"/>
      <c r="BU155" s="620"/>
      <c r="BV155" s="620"/>
      <c r="BW155" s="620"/>
      <c r="BX155" s="620"/>
      <c r="BY155" s="620"/>
      <c r="BZ155" s="620"/>
      <c r="CA155" s="620"/>
      <c r="CB155" s="620"/>
      <c r="CC155" s="620"/>
      <c r="CD155" s="620"/>
      <c r="CE155" s="620"/>
      <c r="CF155" s="620"/>
      <c r="CG155" s="620"/>
      <c r="CH155" s="620"/>
      <c r="CI155" s="620"/>
      <c r="CJ155" s="620"/>
      <c r="CK155" s="620"/>
      <c r="CL155" s="620"/>
      <c r="CM155" s="620"/>
      <c r="CN155" s="620"/>
      <c r="CO155" s="620"/>
      <c r="CP155" s="620"/>
      <c r="CQ155" s="620"/>
      <c r="CR155" s="620"/>
      <c r="CS155" s="620"/>
      <c r="CT155" s="620"/>
      <c r="CU155" s="620"/>
      <c r="CV155" s="620"/>
      <c r="CW155" s="620"/>
      <c r="CX155" s="620"/>
      <c r="CY155" s="620"/>
      <c r="CZ155" s="620"/>
      <c r="DA155" s="620"/>
      <c r="DB155" s="620"/>
      <c r="DC155" s="620"/>
      <c r="DD155" s="620"/>
      <c r="DE155" s="620"/>
      <c r="DF155" s="620"/>
      <c r="DG155" s="620"/>
      <c r="DH155" s="620"/>
      <c r="DI155" s="620"/>
      <c r="DJ155" s="620"/>
      <c r="DK155" s="620"/>
      <c r="DL155" s="620"/>
      <c r="DM155" s="620"/>
      <c r="DN155" s="620"/>
      <c r="DO155" s="620"/>
      <c r="DP155" s="620"/>
      <c r="DQ155" s="620"/>
      <c r="DR155" s="620"/>
      <c r="DS155" s="620"/>
      <c r="DT155" s="620"/>
      <c r="DU155" s="620"/>
      <c r="DV155" s="620"/>
      <c r="DW155" s="620"/>
      <c r="DX155" s="620"/>
      <c r="DY155" s="620"/>
      <c r="DZ155" s="620"/>
      <c r="EA155" s="620"/>
      <c r="EB155" s="620"/>
      <c r="EC155" s="620"/>
      <c r="ED155" s="620"/>
      <c r="EE155" s="620"/>
      <c r="EF155" s="620"/>
      <c r="EG155" s="620"/>
      <c r="EH155" s="620"/>
      <c r="EI155" s="620"/>
      <c r="EJ155" s="620"/>
      <c r="EK155" s="620"/>
      <c r="EL155" s="620"/>
      <c r="EM155" s="620"/>
      <c r="EN155" s="620"/>
      <c r="EO155" s="620"/>
      <c r="EP155" s="620"/>
      <c r="EQ155" s="620"/>
      <c r="ER155" s="620"/>
      <c r="ES155" s="620"/>
      <c r="ET155" s="620"/>
      <c r="EU155" s="620"/>
      <c r="EV155" s="620"/>
      <c r="EW155" s="620"/>
      <c r="EX155" s="620"/>
      <c r="EY155" s="620"/>
      <c r="EZ155" s="620"/>
      <c r="FA155" s="620"/>
      <c r="FB155" s="620"/>
      <c r="FC155" s="620"/>
      <c r="FD155" s="620"/>
      <c r="FE155" s="620"/>
      <c r="FF155" s="620"/>
      <c r="FG155" s="620"/>
      <c r="FH155" s="620"/>
      <c r="FI155" s="620"/>
      <c r="FJ155" s="620"/>
      <c r="FK155" s="620"/>
      <c r="FL155" s="620"/>
      <c r="FM155" s="620"/>
      <c r="FN155" s="620"/>
      <c r="FO155" s="620"/>
      <c r="FP155" s="620"/>
      <c r="FQ155" s="620"/>
      <c r="FR155" s="620"/>
      <c r="FS155" s="620"/>
      <c r="FT155" s="620"/>
      <c r="FU155" s="620"/>
      <c r="FV155" s="620"/>
      <c r="FW155" s="620"/>
      <c r="FX155" s="620"/>
      <c r="FY155" s="620"/>
      <c r="FZ155" s="620"/>
      <c r="GA155" s="620"/>
      <c r="GB155" s="620"/>
      <c r="GC155" s="620"/>
      <c r="GD155" s="620"/>
      <c r="GE155" s="620"/>
      <c r="GF155" s="620"/>
      <c r="GG155" s="620"/>
      <c r="GH155" s="620"/>
      <c r="GI155" s="620"/>
      <c r="GJ155" s="620"/>
      <c r="GK155" s="620"/>
      <c r="GL155" s="620"/>
      <c r="GM155" s="620"/>
      <c r="GN155" s="620"/>
      <c r="GO155" s="620"/>
      <c r="GP155" s="620"/>
      <c r="GQ155" s="620"/>
      <c r="GR155" s="620"/>
      <c r="GS155" s="620"/>
      <c r="GT155" s="620"/>
      <c r="GU155" s="620"/>
      <c r="GV155" s="620"/>
      <c r="GW155" s="620"/>
      <c r="GX155" s="620"/>
      <c r="GY155" s="620"/>
      <c r="GZ155" s="620"/>
      <c r="HA155" s="620"/>
      <c r="HB155" s="620"/>
      <c r="HC155" s="620"/>
      <c r="HD155" s="620"/>
      <c r="HE155" s="620"/>
      <c r="HF155" s="620"/>
      <c r="HG155" s="620"/>
      <c r="HH155" s="620"/>
      <c r="HI155" s="620"/>
      <c r="HJ155" s="620"/>
      <c r="HK155" s="620"/>
      <c r="HL155" s="620"/>
      <c r="HM155" s="620"/>
      <c r="HN155" s="620"/>
      <c r="HO155" s="620"/>
      <c r="HP155" s="620"/>
      <c r="HQ155" s="620"/>
      <c r="HR155" s="620"/>
      <c r="HS155" s="620"/>
      <c r="HT155" s="620"/>
      <c r="HU155" s="620"/>
      <c r="HV155" s="620"/>
      <c r="HW155" s="620"/>
      <c r="HX155" s="620"/>
      <c r="HY155" s="620"/>
      <c r="HZ155" s="620"/>
      <c r="IA155" s="620"/>
      <c r="IB155" s="620"/>
      <c r="IC155" s="620"/>
      <c r="ID155" s="620"/>
      <c r="IE155" s="620"/>
      <c r="IF155" s="620"/>
      <c r="IG155" s="620"/>
      <c r="IH155" s="620"/>
      <c r="II155" s="620"/>
      <c r="IJ155" s="620"/>
      <c r="IK155" s="620"/>
      <c r="IL155" s="620"/>
      <c r="IM155" s="620"/>
      <c r="IN155" s="620"/>
      <c r="IO155" s="620"/>
      <c r="IP155" s="620"/>
      <c r="IQ155" s="620"/>
      <c r="IR155" s="620"/>
      <c r="IS155" s="620"/>
      <c r="IT155" s="620"/>
      <c r="IU155" s="620"/>
      <c r="IV155" s="620"/>
      <c r="IW155" s="620"/>
    </row>
    <row r="156" customFormat="false" ht="11.25" hidden="false" customHeight="false" outlineLevel="0" collapsed="false">
      <c r="A156" s="620"/>
      <c r="B156" s="498"/>
      <c r="C156" s="498"/>
      <c r="D156" s="498"/>
      <c r="E156" s="498"/>
      <c r="F156" s="498"/>
      <c r="G156" s="498"/>
      <c r="H156" s="498"/>
      <c r="I156" s="498"/>
      <c r="J156" s="498"/>
      <c r="K156" s="498"/>
      <c r="L156" s="498"/>
      <c r="M156" s="498"/>
      <c r="N156" s="498"/>
      <c r="O156" s="498"/>
      <c r="P156" s="498"/>
      <c r="Q156" s="498"/>
      <c r="R156" s="498"/>
      <c r="S156" s="498"/>
      <c r="T156" s="498"/>
      <c r="U156" s="498"/>
      <c r="V156" s="498"/>
      <c r="W156" s="498"/>
      <c r="X156" s="498"/>
      <c r="Y156" s="498"/>
      <c r="Z156" s="498"/>
      <c r="AA156" s="498"/>
      <c r="AB156" s="498"/>
      <c r="AC156" s="498"/>
      <c r="AD156" s="498"/>
      <c r="AE156" s="498"/>
      <c r="AF156" s="498"/>
      <c r="AG156" s="498"/>
      <c r="AH156" s="498"/>
      <c r="AI156" s="498"/>
      <c r="AJ156" s="498"/>
      <c r="AK156" s="498"/>
      <c r="AL156" s="498"/>
      <c r="AM156" s="498"/>
      <c r="AN156" s="498"/>
      <c r="AO156" s="498"/>
      <c r="AP156" s="498"/>
      <c r="AQ156" s="622"/>
      <c r="AR156" s="622"/>
      <c r="AS156" s="622"/>
      <c r="AT156" s="622"/>
      <c r="AU156" s="622"/>
      <c r="AV156" s="622"/>
      <c r="AW156" s="621"/>
      <c r="AX156" s="621"/>
      <c r="AY156" s="621"/>
      <c r="AZ156" s="621"/>
      <c r="BA156" s="621"/>
      <c r="BB156" s="621"/>
      <c r="BC156" s="620"/>
      <c r="BD156" s="620"/>
      <c r="BE156" s="620"/>
      <c r="BF156" s="620"/>
      <c r="BG156" s="620"/>
      <c r="BH156" s="620"/>
      <c r="BI156" s="620"/>
      <c r="BJ156" s="620"/>
      <c r="BK156" s="620"/>
      <c r="BL156" s="620"/>
      <c r="BM156" s="620"/>
      <c r="BN156" s="620"/>
      <c r="BO156" s="620"/>
      <c r="BP156" s="620"/>
      <c r="BQ156" s="620"/>
      <c r="BR156" s="620"/>
      <c r="BS156" s="620"/>
      <c r="BT156" s="620"/>
      <c r="BU156" s="620"/>
      <c r="BV156" s="620"/>
      <c r="BW156" s="620"/>
      <c r="BX156" s="620"/>
      <c r="BY156" s="620"/>
      <c r="BZ156" s="620"/>
      <c r="CA156" s="620"/>
      <c r="CB156" s="620"/>
      <c r="CC156" s="620"/>
      <c r="CD156" s="620"/>
      <c r="CE156" s="620"/>
      <c r="CF156" s="620"/>
      <c r="CG156" s="620"/>
      <c r="CH156" s="620"/>
      <c r="CI156" s="620"/>
      <c r="CJ156" s="620"/>
      <c r="CK156" s="620"/>
      <c r="CL156" s="620"/>
      <c r="CM156" s="620"/>
      <c r="CN156" s="620"/>
      <c r="CO156" s="620"/>
      <c r="CP156" s="620"/>
      <c r="CQ156" s="620"/>
      <c r="CR156" s="620"/>
      <c r="CS156" s="620"/>
      <c r="CT156" s="620"/>
      <c r="CU156" s="620"/>
      <c r="CV156" s="620"/>
      <c r="CW156" s="620"/>
      <c r="CX156" s="620"/>
      <c r="CY156" s="620"/>
      <c r="CZ156" s="620"/>
      <c r="DA156" s="620"/>
      <c r="DB156" s="620"/>
      <c r="DC156" s="620"/>
      <c r="DD156" s="620"/>
      <c r="DE156" s="620"/>
      <c r="DF156" s="620"/>
      <c r="DG156" s="620"/>
      <c r="DH156" s="620"/>
      <c r="DI156" s="620"/>
      <c r="DJ156" s="620"/>
      <c r="DK156" s="620"/>
      <c r="DL156" s="620"/>
      <c r="DM156" s="620"/>
      <c r="DN156" s="620"/>
      <c r="DO156" s="620"/>
      <c r="DP156" s="620"/>
      <c r="DQ156" s="620"/>
      <c r="DR156" s="620"/>
      <c r="DS156" s="620"/>
      <c r="DT156" s="620"/>
      <c r="DU156" s="620"/>
      <c r="DV156" s="620"/>
      <c r="DW156" s="620"/>
      <c r="DX156" s="620"/>
      <c r="DY156" s="620"/>
      <c r="DZ156" s="620"/>
      <c r="EA156" s="620"/>
      <c r="EB156" s="620"/>
      <c r="EC156" s="620"/>
      <c r="ED156" s="620"/>
      <c r="EE156" s="620"/>
      <c r="EF156" s="620"/>
      <c r="EG156" s="620"/>
      <c r="EH156" s="620"/>
      <c r="EI156" s="620"/>
      <c r="EJ156" s="620"/>
      <c r="EK156" s="620"/>
      <c r="EL156" s="620"/>
      <c r="EM156" s="620"/>
      <c r="EN156" s="620"/>
      <c r="EO156" s="620"/>
      <c r="EP156" s="620"/>
      <c r="EQ156" s="620"/>
      <c r="ER156" s="620"/>
      <c r="ES156" s="620"/>
      <c r="ET156" s="620"/>
      <c r="EU156" s="620"/>
      <c r="EV156" s="620"/>
      <c r="EW156" s="620"/>
      <c r="EX156" s="620"/>
      <c r="EY156" s="620"/>
      <c r="EZ156" s="620"/>
      <c r="FA156" s="620"/>
      <c r="FB156" s="620"/>
      <c r="FC156" s="620"/>
      <c r="FD156" s="620"/>
      <c r="FE156" s="620"/>
      <c r="FF156" s="620"/>
      <c r="FG156" s="620"/>
      <c r="FH156" s="620"/>
      <c r="FI156" s="620"/>
      <c r="FJ156" s="620"/>
      <c r="FK156" s="620"/>
      <c r="FL156" s="620"/>
      <c r="FM156" s="620"/>
      <c r="FN156" s="620"/>
      <c r="FO156" s="620"/>
      <c r="FP156" s="620"/>
      <c r="FQ156" s="620"/>
      <c r="FR156" s="620"/>
      <c r="FS156" s="620"/>
      <c r="FT156" s="620"/>
      <c r="FU156" s="620"/>
      <c r="FV156" s="620"/>
      <c r="FW156" s="620"/>
      <c r="FX156" s="620"/>
      <c r="FY156" s="620"/>
      <c r="FZ156" s="620"/>
      <c r="GA156" s="620"/>
      <c r="GB156" s="620"/>
      <c r="GC156" s="620"/>
      <c r="GD156" s="620"/>
      <c r="GE156" s="620"/>
      <c r="GF156" s="620"/>
      <c r="GG156" s="620"/>
      <c r="GH156" s="620"/>
      <c r="GI156" s="620"/>
      <c r="GJ156" s="620"/>
      <c r="GK156" s="620"/>
      <c r="GL156" s="620"/>
      <c r="GM156" s="620"/>
      <c r="GN156" s="620"/>
      <c r="GO156" s="620"/>
      <c r="GP156" s="620"/>
      <c r="GQ156" s="620"/>
      <c r="GR156" s="620"/>
      <c r="GS156" s="620"/>
      <c r="GT156" s="620"/>
      <c r="GU156" s="620"/>
      <c r="GV156" s="620"/>
      <c r="GW156" s="620"/>
      <c r="GX156" s="620"/>
      <c r="GY156" s="620"/>
      <c r="GZ156" s="620"/>
      <c r="HA156" s="620"/>
      <c r="HB156" s="620"/>
      <c r="HC156" s="620"/>
      <c r="HD156" s="620"/>
      <c r="HE156" s="620"/>
      <c r="HF156" s="620"/>
      <c r="HG156" s="620"/>
      <c r="HH156" s="620"/>
      <c r="HI156" s="620"/>
      <c r="HJ156" s="620"/>
      <c r="HK156" s="620"/>
      <c r="HL156" s="620"/>
      <c r="HM156" s="620"/>
      <c r="HN156" s="620"/>
      <c r="HO156" s="620"/>
      <c r="HP156" s="620"/>
      <c r="HQ156" s="620"/>
      <c r="HR156" s="620"/>
      <c r="HS156" s="620"/>
      <c r="HT156" s="620"/>
      <c r="HU156" s="620"/>
      <c r="HV156" s="620"/>
      <c r="HW156" s="620"/>
      <c r="HX156" s="620"/>
      <c r="HY156" s="620"/>
      <c r="HZ156" s="620"/>
      <c r="IA156" s="620"/>
      <c r="IB156" s="620"/>
      <c r="IC156" s="620"/>
      <c r="ID156" s="620"/>
      <c r="IE156" s="620"/>
      <c r="IF156" s="620"/>
      <c r="IG156" s="620"/>
      <c r="IH156" s="620"/>
      <c r="II156" s="620"/>
      <c r="IJ156" s="620"/>
      <c r="IK156" s="620"/>
      <c r="IL156" s="620"/>
      <c r="IM156" s="620"/>
      <c r="IN156" s="620"/>
      <c r="IO156" s="620"/>
      <c r="IP156" s="620"/>
      <c r="IQ156" s="620"/>
      <c r="IR156" s="620"/>
      <c r="IS156" s="620"/>
      <c r="IT156" s="620"/>
      <c r="IU156" s="620"/>
      <c r="IV156" s="620"/>
      <c r="IW156" s="620"/>
    </row>
    <row r="157" customFormat="false" ht="11.25" hidden="false" customHeight="false" outlineLevel="0" collapsed="false">
      <c r="A157" s="620"/>
      <c r="B157" s="498"/>
      <c r="C157" s="498"/>
      <c r="D157" s="498"/>
      <c r="E157" s="498"/>
      <c r="F157" s="498"/>
      <c r="G157" s="498"/>
      <c r="H157" s="498"/>
      <c r="I157" s="498"/>
      <c r="J157" s="498"/>
      <c r="K157" s="498"/>
      <c r="L157" s="498"/>
      <c r="M157" s="498"/>
      <c r="N157" s="498"/>
      <c r="O157" s="498"/>
      <c r="P157" s="498"/>
      <c r="Q157" s="498"/>
      <c r="R157" s="498"/>
      <c r="S157" s="498"/>
      <c r="T157" s="498"/>
      <c r="U157" s="498"/>
      <c r="V157" s="498"/>
      <c r="W157" s="498"/>
      <c r="X157" s="498"/>
      <c r="Y157" s="498"/>
      <c r="Z157" s="498"/>
      <c r="AA157" s="498"/>
      <c r="AB157" s="498"/>
      <c r="AC157" s="498"/>
      <c r="AD157" s="498"/>
      <c r="AE157" s="498"/>
      <c r="AF157" s="498"/>
      <c r="AG157" s="498"/>
      <c r="AH157" s="498"/>
      <c r="AI157" s="498"/>
      <c r="AJ157" s="498"/>
      <c r="AK157" s="498"/>
      <c r="AL157" s="498"/>
      <c r="AM157" s="498"/>
      <c r="AN157" s="498"/>
      <c r="AO157" s="498"/>
      <c r="AP157" s="498"/>
      <c r="AQ157" s="621"/>
      <c r="AR157" s="621"/>
      <c r="AS157" s="621"/>
      <c r="AT157" s="621"/>
      <c r="AU157" s="621"/>
      <c r="AV157" s="621"/>
      <c r="AW157" s="621"/>
      <c r="AX157" s="621"/>
      <c r="AY157" s="621"/>
      <c r="AZ157" s="621"/>
      <c r="BA157" s="621"/>
      <c r="BB157" s="621"/>
      <c r="BC157" s="620"/>
      <c r="BD157" s="620"/>
      <c r="BE157" s="620"/>
      <c r="BF157" s="620"/>
      <c r="BG157" s="620"/>
      <c r="BH157" s="620"/>
      <c r="BI157" s="620"/>
      <c r="BJ157" s="620"/>
      <c r="BK157" s="620"/>
      <c r="BL157" s="620"/>
      <c r="BM157" s="620"/>
      <c r="BN157" s="620"/>
      <c r="BO157" s="620"/>
      <c r="BP157" s="620"/>
      <c r="BQ157" s="620"/>
      <c r="BR157" s="620"/>
      <c r="BS157" s="620"/>
      <c r="BT157" s="620"/>
      <c r="BU157" s="620"/>
      <c r="BV157" s="620"/>
      <c r="BW157" s="620"/>
      <c r="BX157" s="620"/>
      <c r="BY157" s="620"/>
      <c r="BZ157" s="620"/>
      <c r="CA157" s="620"/>
      <c r="CB157" s="620"/>
      <c r="CC157" s="620"/>
      <c r="CD157" s="620"/>
      <c r="CE157" s="620"/>
      <c r="CF157" s="620"/>
      <c r="CG157" s="620"/>
      <c r="CH157" s="620"/>
      <c r="CI157" s="620"/>
      <c r="CJ157" s="620"/>
      <c r="CK157" s="620"/>
      <c r="CL157" s="620"/>
      <c r="CM157" s="620"/>
      <c r="CN157" s="620"/>
      <c r="CO157" s="620"/>
      <c r="CP157" s="620"/>
      <c r="CQ157" s="620"/>
      <c r="CR157" s="620"/>
      <c r="CS157" s="620"/>
      <c r="CT157" s="620"/>
      <c r="CU157" s="620"/>
      <c r="CV157" s="620"/>
      <c r="CW157" s="620"/>
      <c r="CX157" s="620"/>
      <c r="CY157" s="620"/>
      <c r="CZ157" s="620"/>
      <c r="DA157" s="620"/>
      <c r="DB157" s="620"/>
      <c r="DC157" s="620"/>
      <c r="DD157" s="620"/>
      <c r="DE157" s="620"/>
      <c r="DF157" s="620"/>
      <c r="DG157" s="620"/>
      <c r="DH157" s="620"/>
      <c r="DI157" s="620"/>
      <c r="DJ157" s="620"/>
      <c r="DK157" s="620"/>
      <c r="DL157" s="620"/>
      <c r="DM157" s="620"/>
      <c r="DN157" s="620"/>
      <c r="DO157" s="620"/>
      <c r="DP157" s="620"/>
      <c r="DQ157" s="620"/>
      <c r="DR157" s="620"/>
      <c r="DS157" s="620"/>
      <c r="DT157" s="620"/>
      <c r="DU157" s="620"/>
      <c r="DV157" s="620"/>
      <c r="DW157" s="620"/>
      <c r="DX157" s="620"/>
      <c r="DY157" s="620"/>
      <c r="DZ157" s="620"/>
      <c r="EA157" s="620"/>
      <c r="EB157" s="620"/>
      <c r="EC157" s="620"/>
      <c r="ED157" s="620"/>
      <c r="EE157" s="620"/>
      <c r="EF157" s="620"/>
      <c r="EG157" s="620"/>
      <c r="EH157" s="620"/>
      <c r="EI157" s="620"/>
      <c r="EJ157" s="620"/>
      <c r="EK157" s="620"/>
      <c r="EL157" s="620"/>
      <c r="EM157" s="620"/>
      <c r="EN157" s="620"/>
      <c r="EO157" s="620"/>
      <c r="EP157" s="620"/>
      <c r="EQ157" s="620"/>
      <c r="ER157" s="620"/>
      <c r="ES157" s="620"/>
      <c r="ET157" s="620"/>
      <c r="EU157" s="620"/>
      <c r="EV157" s="620"/>
      <c r="EW157" s="620"/>
      <c r="EX157" s="620"/>
      <c r="EY157" s="620"/>
      <c r="EZ157" s="620"/>
      <c r="FA157" s="620"/>
      <c r="FB157" s="620"/>
      <c r="FC157" s="620"/>
      <c r="FD157" s="620"/>
      <c r="FE157" s="620"/>
      <c r="FF157" s="620"/>
      <c r="FG157" s="620"/>
      <c r="FH157" s="620"/>
      <c r="FI157" s="620"/>
      <c r="FJ157" s="620"/>
      <c r="FK157" s="620"/>
      <c r="FL157" s="620"/>
      <c r="FM157" s="620"/>
      <c r="FN157" s="620"/>
      <c r="FO157" s="620"/>
      <c r="FP157" s="620"/>
      <c r="FQ157" s="620"/>
      <c r="FR157" s="620"/>
      <c r="FS157" s="620"/>
      <c r="FT157" s="620"/>
      <c r="FU157" s="620"/>
      <c r="FV157" s="620"/>
      <c r="FW157" s="620"/>
      <c r="FX157" s="620"/>
      <c r="FY157" s="620"/>
      <c r="FZ157" s="620"/>
      <c r="GA157" s="620"/>
      <c r="GB157" s="620"/>
      <c r="GC157" s="620"/>
      <c r="GD157" s="620"/>
      <c r="GE157" s="620"/>
      <c r="GF157" s="620"/>
      <c r="GG157" s="620"/>
      <c r="GH157" s="620"/>
      <c r="GI157" s="620"/>
      <c r="GJ157" s="620"/>
      <c r="GK157" s="620"/>
      <c r="GL157" s="620"/>
      <c r="GM157" s="620"/>
      <c r="GN157" s="620"/>
      <c r="GO157" s="620"/>
      <c r="GP157" s="620"/>
      <c r="GQ157" s="620"/>
      <c r="GR157" s="620"/>
      <c r="GS157" s="620"/>
      <c r="GT157" s="620"/>
      <c r="GU157" s="620"/>
      <c r="GV157" s="620"/>
      <c r="GW157" s="620"/>
      <c r="GX157" s="620"/>
      <c r="GY157" s="620"/>
      <c r="GZ157" s="620"/>
      <c r="HA157" s="620"/>
      <c r="HB157" s="620"/>
      <c r="HC157" s="620"/>
      <c r="HD157" s="620"/>
      <c r="HE157" s="620"/>
      <c r="HF157" s="620"/>
      <c r="HG157" s="620"/>
      <c r="HH157" s="620"/>
      <c r="HI157" s="620"/>
      <c r="HJ157" s="620"/>
      <c r="HK157" s="620"/>
      <c r="HL157" s="620"/>
      <c r="HM157" s="620"/>
      <c r="HN157" s="620"/>
      <c r="HO157" s="620"/>
      <c r="HP157" s="620"/>
      <c r="HQ157" s="620"/>
      <c r="HR157" s="620"/>
      <c r="HS157" s="620"/>
      <c r="HT157" s="620"/>
      <c r="HU157" s="620"/>
      <c r="HV157" s="620"/>
      <c r="HW157" s="620"/>
      <c r="HX157" s="620"/>
      <c r="HY157" s="620"/>
      <c r="HZ157" s="620"/>
      <c r="IA157" s="620"/>
      <c r="IB157" s="620"/>
      <c r="IC157" s="620"/>
      <c r="ID157" s="620"/>
      <c r="IE157" s="620"/>
      <c r="IF157" s="620"/>
      <c r="IG157" s="620"/>
      <c r="IH157" s="620"/>
      <c r="II157" s="620"/>
      <c r="IJ157" s="620"/>
      <c r="IK157" s="620"/>
      <c r="IL157" s="620"/>
      <c r="IM157" s="620"/>
      <c r="IN157" s="620"/>
      <c r="IO157" s="620"/>
      <c r="IP157" s="620"/>
      <c r="IQ157" s="620"/>
      <c r="IR157" s="620"/>
      <c r="IS157" s="620"/>
      <c r="IT157" s="620"/>
      <c r="IU157" s="620"/>
      <c r="IV157" s="620"/>
      <c r="IW157" s="620"/>
    </row>
    <row r="158" customFormat="false" ht="11.25" hidden="false" customHeight="false" outlineLevel="0" collapsed="false">
      <c r="A158" s="620"/>
      <c r="B158" s="623"/>
      <c r="C158" s="623"/>
      <c r="D158" s="517"/>
      <c r="E158" s="517"/>
      <c r="F158" s="517"/>
      <c r="G158" s="517"/>
      <c r="H158" s="517"/>
      <c r="I158" s="517"/>
      <c r="J158" s="517"/>
      <c r="K158" s="517"/>
      <c r="L158" s="517"/>
      <c r="M158" s="517"/>
      <c r="N158" s="517"/>
      <c r="O158" s="517"/>
      <c r="P158" s="517"/>
      <c r="Q158" s="517"/>
      <c r="R158" s="517"/>
      <c r="S158" s="517"/>
      <c r="T158" s="517"/>
      <c r="U158" s="517"/>
      <c r="V158" s="517"/>
      <c r="W158" s="517"/>
      <c r="X158" s="517"/>
      <c r="Y158" s="517"/>
      <c r="Z158" s="517"/>
      <c r="AA158" s="517"/>
      <c r="AB158" s="517"/>
      <c r="AC158" s="517"/>
      <c r="AD158" s="517"/>
      <c r="AE158" s="517"/>
      <c r="AF158" s="517"/>
      <c r="AG158" s="517"/>
      <c r="AH158" s="517"/>
      <c r="AI158" s="517"/>
      <c r="AJ158" s="517"/>
      <c r="AK158" s="517"/>
      <c r="AL158" s="517"/>
      <c r="AM158" s="517"/>
      <c r="AN158" s="517"/>
      <c r="AO158" s="517"/>
      <c r="AP158" s="517"/>
      <c r="AQ158" s="623"/>
      <c r="AR158" s="623"/>
      <c r="AS158" s="623"/>
      <c r="AT158" s="623"/>
      <c r="AU158" s="623"/>
      <c r="AV158" s="623"/>
      <c r="AW158" s="623"/>
      <c r="AX158" s="621"/>
      <c r="AY158" s="621"/>
      <c r="AZ158" s="621"/>
      <c r="BA158" s="621"/>
      <c r="BB158" s="621"/>
      <c r="BC158" s="620"/>
      <c r="BD158" s="620"/>
      <c r="BE158" s="620"/>
      <c r="BF158" s="620"/>
      <c r="BG158" s="620"/>
      <c r="BH158" s="620"/>
      <c r="BI158" s="620"/>
      <c r="BJ158" s="620"/>
      <c r="BK158" s="620"/>
      <c r="BL158" s="620"/>
      <c r="BM158" s="620"/>
      <c r="BN158" s="620"/>
      <c r="BO158" s="620"/>
      <c r="BP158" s="620"/>
      <c r="BQ158" s="620"/>
      <c r="BR158" s="620"/>
      <c r="BS158" s="620"/>
      <c r="BT158" s="620"/>
      <c r="BU158" s="620"/>
      <c r="BV158" s="620"/>
      <c r="BW158" s="620"/>
      <c r="BX158" s="620"/>
      <c r="BY158" s="620"/>
      <c r="BZ158" s="620"/>
      <c r="CA158" s="620"/>
      <c r="CB158" s="620"/>
      <c r="CC158" s="620"/>
      <c r="CD158" s="620"/>
      <c r="CE158" s="620"/>
      <c r="CF158" s="620"/>
      <c r="CG158" s="620"/>
      <c r="CH158" s="620"/>
      <c r="CI158" s="620"/>
      <c r="CJ158" s="620"/>
      <c r="CK158" s="620"/>
      <c r="CL158" s="620"/>
      <c r="CM158" s="620"/>
      <c r="CN158" s="620"/>
      <c r="CO158" s="620"/>
      <c r="CP158" s="620"/>
      <c r="CQ158" s="620"/>
      <c r="CR158" s="620"/>
      <c r="CS158" s="620"/>
      <c r="CT158" s="620"/>
      <c r="CU158" s="620"/>
      <c r="CV158" s="620"/>
      <c r="CW158" s="620"/>
      <c r="CX158" s="620"/>
      <c r="CY158" s="620"/>
      <c r="CZ158" s="620"/>
      <c r="DA158" s="620"/>
      <c r="DB158" s="620"/>
      <c r="DC158" s="620"/>
      <c r="DD158" s="620"/>
      <c r="DE158" s="620"/>
      <c r="DF158" s="620"/>
      <c r="DG158" s="620"/>
      <c r="DH158" s="620"/>
      <c r="DI158" s="620"/>
      <c r="DJ158" s="620"/>
      <c r="DK158" s="620"/>
      <c r="DL158" s="620"/>
      <c r="DM158" s="620"/>
      <c r="DN158" s="620"/>
      <c r="DO158" s="620"/>
      <c r="DP158" s="620"/>
      <c r="DQ158" s="620"/>
      <c r="DR158" s="620"/>
      <c r="DS158" s="620"/>
      <c r="DT158" s="620"/>
      <c r="DU158" s="620"/>
      <c r="DV158" s="620"/>
      <c r="DW158" s="620"/>
      <c r="DX158" s="620"/>
      <c r="DY158" s="620"/>
      <c r="DZ158" s="620"/>
      <c r="EA158" s="620"/>
      <c r="EB158" s="620"/>
      <c r="EC158" s="620"/>
      <c r="ED158" s="620"/>
      <c r="EE158" s="620"/>
      <c r="EF158" s="620"/>
      <c r="EG158" s="620"/>
      <c r="EH158" s="620"/>
      <c r="EI158" s="620"/>
      <c r="EJ158" s="620"/>
      <c r="EK158" s="620"/>
      <c r="EL158" s="620"/>
      <c r="EM158" s="620"/>
      <c r="EN158" s="620"/>
      <c r="EO158" s="620"/>
      <c r="EP158" s="620"/>
      <c r="EQ158" s="620"/>
      <c r="ER158" s="620"/>
      <c r="ES158" s="620"/>
      <c r="ET158" s="620"/>
      <c r="EU158" s="620"/>
      <c r="EV158" s="620"/>
      <c r="EW158" s="620"/>
      <c r="EX158" s="620"/>
      <c r="EY158" s="620"/>
      <c r="EZ158" s="620"/>
      <c r="FA158" s="620"/>
      <c r="FB158" s="620"/>
      <c r="FC158" s="620"/>
      <c r="FD158" s="620"/>
      <c r="FE158" s="620"/>
      <c r="FF158" s="620"/>
      <c r="FG158" s="620"/>
      <c r="FH158" s="620"/>
      <c r="FI158" s="620"/>
      <c r="FJ158" s="620"/>
      <c r="FK158" s="620"/>
      <c r="FL158" s="620"/>
      <c r="FM158" s="620"/>
      <c r="FN158" s="620"/>
      <c r="FO158" s="620"/>
      <c r="FP158" s="620"/>
      <c r="FQ158" s="620"/>
      <c r="FR158" s="620"/>
      <c r="FS158" s="620"/>
      <c r="FT158" s="620"/>
      <c r="FU158" s="620"/>
      <c r="FV158" s="620"/>
      <c r="FW158" s="620"/>
      <c r="FX158" s="620"/>
      <c r="FY158" s="620"/>
      <c r="FZ158" s="620"/>
      <c r="GA158" s="620"/>
      <c r="GB158" s="620"/>
      <c r="GC158" s="620"/>
      <c r="GD158" s="620"/>
      <c r="GE158" s="620"/>
      <c r="GF158" s="620"/>
      <c r="GG158" s="620"/>
      <c r="GH158" s="620"/>
      <c r="GI158" s="620"/>
      <c r="GJ158" s="620"/>
      <c r="GK158" s="620"/>
      <c r="GL158" s="620"/>
      <c r="GM158" s="620"/>
      <c r="GN158" s="620"/>
      <c r="GO158" s="620"/>
      <c r="GP158" s="620"/>
      <c r="GQ158" s="620"/>
      <c r="GR158" s="620"/>
      <c r="GS158" s="620"/>
      <c r="GT158" s="620"/>
      <c r="GU158" s="620"/>
      <c r="GV158" s="620"/>
      <c r="GW158" s="620"/>
      <c r="GX158" s="620"/>
      <c r="GY158" s="620"/>
      <c r="GZ158" s="620"/>
      <c r="HA158" s="620"/>
      <c r="HB158" s="620"/>
      <c r="HC158" s="620"/>
      <c r="HD158" s="620"/>
      <c r="HE158" s="620"/>
      <c r="HF158" s="620"/>
      <c r="HG158" s="620"/>
      <c r="HH158" s="620"/>
      <c r="HI158" s="620"/>
      <c r="HJ158" s="620"/>
      <c r="HK158" s="620"/>
      <c r="HL158" s="620"/>
      <c r="HM158" s="620"/>
      <c r="HN158" s="620"/>
      <c r="HO158" s="620"/>
      <c r="HP158" s="620"/>
      <c r="HQ158" s="620"/>
      <c r="HR158" s="620"/>
      <c r="HS158" s="620"/>
      <c r="HT158" s="620"/>
      <c r="HU158" s="620"/>
      <c r="HV158" s="620"/>
      <c r="HW158" s="620"/>
      <c r="HX158" s="620"/>
      <c r="HY158" s="620"/>
      <c r="HZ158" s="620"/>
      <c r="IA158" s="620"/>
      <c r="IB158" s="620"/>
      <c r="IC158" s="620"/>
      <c r="ID158" s="620"/>
      <c r="IE158" s="620"/>
      <c r="IF158" s="620"/>
      <c r="IG158" s="620"/>
      <c r="IH158" s="620"/>
      <c r="II158" s="620"/>
      <c r="IJ158" s="620"/>
      <c r="IK158" s="620"/>
      <c r="IL158" s="620"/>
      <c r="IM158" s="620"/>
      <c r="IN158" s="620"/>
      <c r="IO158" s="620"/>
      <c r="IP158" s="620"/>
      <c r="IQ158" s="620"/>
      <c r="IR158" s="620"/>
      <c r="IS158" s="620"/>
      <c r="IT158" s="620"/>
      <c r="IU158" s="620"/>
      <c r="IV158" s="620"/>
      <c r="IW158" s="620"/>
    </row>
    <row r="159" customFormat="false" ht="11.25" hidden="false" customHeight="false" outlineLevel="0" collapsed="false">
      <c r="A159" s="620"/>
      <c r="B159" s="202"/>
      <c r="C159" s="202"/>
      <c r="D159" s="202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  <c r="Q159" s="202"/>
      <c r="R159" s="202"/>
      <c r="S159" s="202"/>
      <c r="T159" s="202"/>
      <c r="U159" s="202"/>
      <c r="V159" s="202"/>
      <c r="W159" s="202"/>
      <c r="X159" s="202"/>
      <c r="Y159" s="202"/>
      <c r="Z159" s="202"/>
      <c r="AA159" s="202"/>
      <c r="AB159" s="202"/>
      <c r="AC159" s="202"/>
      <c r="AD159" s="202"/>
      <c r="AE159" s="202"/>
      <c r="AF159" s="202"/>
      <c r="AG159" s="202"/>
      <c r="AH159" s="202"/>
      <c r="AI159" s="202"/>
      <c r="AJ159" s="202"/>
      <c r="AK159" s="202"/>
      <c r="AL159" s="202"/>
      <c r="AM159" s="202"/>
      <c r="AN159" s="202"/>
      <c r="AO159" s="202"/>
      <c r="AP159" s="202"/>
      <c r="AQ159" s="621"/>
      <c r="AR159" s="621"/>
      <c r="AS159" s="621"/>
      <c r="AT159" s="621"/>
      <c r="AU159" s="621"/>
      <c r="AV159" s="621"/>
      <c r="AW159" s="621"/>
      <c r="AX159" s="621"/>
      <c r="AY159" s="621"/>
      <c r="AZ159" s="621"/>
      <c r="BA159" s="621"/>
      <c r="BB159" s="621"/>
      <c r="BC159" s="620"/>
      <c r="BD159" s="620"/>
      <c r="BE159" s="620"/>
      <c r="BF159" s="620"/>
      <c r="BG159" s="620"/>
      <c r="BH159" s="620"/>
      <c r="BI159" s="620"/>
      <c r="BJ159" s="620"/>
      <c r="BK159" s="620"/>
      <c r="BL159" s="620"/>
      <c r="BM159" s="620"/>
      <c r="BN159" s="620"/>
      <c r="BO159" s="620"/>
      <c r="BP159" s="620"/>
      <c r="BQ159" s="620"/>
      <c r="BR159" s="620"/>
      <c r="BS159" s="620"/>
      <c r="BT159" s="620"/>
      <c r="BU159" s="620"/>
      <c r="BV159" s="620"/>
      <c r="BW159" s="620"/>
      <c r="BX159" s="620"/>
      <c r="BY159" s="620"/>
      <c r="BZ159" s="620"/>
      <c r="CA159" s="620"/>
      <c r="CB159" s="620"/>
      <c r="CC159" s="620"/>
      <c r="CD159" s="620"/>
      <c r="CE159" s="620"/>
      <c r="CF159" s="620"/>
      <c r="CG159" s="620"/>
      <c r="CH159" s="620"/>
      <c r="CI159" s="620"/>
      <c r="CJ159" s="620"/>
      <c r="CK159" s="620"/>
      <c r="CL159" s="620"/>
      <c r="CM159" s="620"/>
      <c r="CN159" s="620"/>
      <c r="CO159" s="620"/>
      <c r="CP159" s="620"/>
      <c r="CQ159" s="620"/>
      <c r="CR159" s="620"/>
      <c r="CS159" s="620"/>
      <c r="CT159" s="620"/>
      <c r="CU159" s="620"/>
      <c r="CV159" s="620"/>
      <c r="CW159" s="620"/>
      <c r="CX159" s="620"/>
      <c r="CY159" s="620"/>
      <c r="CZ159" s="620"/>
      <c r="DA159" s="620"/>
      <c r="DB159" s="620"/>
      <c r="DC159" s="620"/>
      <c r="DD159" s="620"/>
      <c r="DE159" s="620"/>
      <c r="DF159" s="620"/>
      <c r="DG159" s="620"/>
      <c r="DH159" s="620"/>
      <c r="DI159" s="620"/>
      <c r="DJ159" s="620"/>
      <c r="DK159" s="620"/>
      <c r="DL159" s="620"/>
      <c r="DM159" s="620"/>
      <c r="DN159" s="620"/>
      <c r="DO159" s="620"/>
      <c r="DP159" s="620"/>
      <c r="DQ159" s="620"/>
      <c r="DR159" s="620"/>
      <c r="DS159" s="620"/>
      <c r="DT159" s="620"/>
      <c r="DU159" s="620"/>
      <c r="DV159" s="620"/>
      <c r="DW159" s="620"/>
      <c r="DX159" s="620"/>
      <c r="DY159" s="620"/>
      <c r="DZ159" s="620"/>
      <c r="EA159" s="620"/>
      <c r="EB159" s="620"/>
      <c r="EC159" s="620"/>
      <c r="ED159" s="620"/>
      <c r="EE159" s="620"/>
      <c r="EF159" s="620"/>
      <c r="EG159" s="620"/>
      <c r="EH159" s="620"/>
      <c r="EI159" s="620"/>
      <c r="EJ159" s="620"/>
      <c r="EK159" s="620"/>
      <c r="EL159" s="620"/>
      <c r="EM159" s="620"/>
      <c r="EN159" s="620"/>
      <c r="EO159" s="620"/>
      <c r="EP159" s="620"/>
      <c r="EQ159" s="620"/>
      <c r="ER159" s="620"/>
      <c r="ES159" s="620"/>
      <c r="ET159" s="620"/>
      <c r="EU159" s="620"/>
      <c r="EV159" s="620"/>
      <c r="EW159" s="620"/>
      <c r="EX159" s="620"/>
      <c r="EY159" s="620"/>
      <c r="EZ159" s="620"/>
      <c r="FA159" s="620"/>
      <c r="FB159" s="620"/>
      <c r="FC159" s="620"/>
      <c r="FD159" s="620"/>
      <c r="FE159" s="620"/>
      <c r="FF159" s="620"/>
      <c r="FG159" s="620"/>
      <c r="FH159" s="620"/>
      <c r="FI159" s="620"/>
      <c r="FJ159" s="620"/>
      <c r="FK159" s="620"/>
      <c r="FL159" s="620"/>
      <c r="FM159" s="620"/>
      <c r="FN159" s="620"/>
      <c r="FO159" s="620"/>
      <c r="FP159" s="620"/>
      <c r="FQ159" s="620"/>
      <c r="FR159" s="620"/>
      <c r="FS159" s="620"/>
      <c r="FT159" s="620"/>
      <c r="FU159" s="620"/>
      <c r="FV159" s="620"/>
      <c r="FW159" s="620"/>
      <c r="FX159" s="620"/>
      <c r="FY159" s="620"/>
      <c r="FZ159" s="620"/>
      <c r="GA159" s="620"/>
      <c r="GB159" s="620"/>
      <c r="GC159" s="620"/>
      <c r="GD159" s="620"/>
      <c r="GE159" s="620"/>
      <c r="GF159" s="620"/>
      <c r="GG159" s="620"/>
      <c r="GH159" s="620"/>
      <c r="GI159" s="620"/>
      <c r="GJ159" s="620"/>
      <c r="GK159" s="620"/>
      <c r="GL159" s="620"/>
      <c r="GM159" s="620"/>
      <c r="GN159" s="620"/>
      <c r="GO159" s="620"/>
      <c r="GP159" s="620"/>
      <c r="GQ159" s="620"/>
      <c r="GR159" s="620"/>
      <c r="GS159" s="620"/>
      <c r="GT159" s="620"/>
      <c r="GU159" s="620"/>
      <c r="GV159" s="620"/>
      <c r="GW159" s="620"/>
      <c r="GX159" s="620"/>
      <c r="GY159" s="620"/>
      <c r="GZ159" s="620"/>
      <c r="HA159" s="620"/>
      <c r="HB159" s="620"/>
      <c r="HC159" s="620"/>
      <c r="HD159" s="620"/>
      <c r="HE159" s="620"/>
      <c r="HF159" s="620"/>
      <c r="HG159" s="620"/>
      <c r="HH159" s="620"/>
      <c r="HI159" s="620"/>
      <c r="HJ159" s="620"/>
      <c r="HK159" s="620"/>
      <c r="HL159" s="620"/>
      <c r="HM159" s="620"/>
      <c r="HN159" s="620"/>
      <c r="HO159" s="620"/>
      <c r="HP159" s="620"/>
      <c r="HQ159" s="620"/>
      <c r="HR159" s="620"/>
      <c r="HS159" s="620"/>
      <c r="HT159" s="620"/>
      <c r="HU159" s="620"/>
      <c r="HV159" s="620"/>
      <c r="HW159" s="620"/>
      <c r="HX159" s="620"/>
      <c r="HY159" s="620"/>
      <c r="HZ159" s="620"/>
      <c r="IA159" s="620"/>
      <c r="IB159" s="620"/>
      <c r="IC159" s="620"/>
      <c r="ID159" s="620"/>
      <c r="IE159" s="620"/>
      <c r="IF159" s="620"/>
      <c r="IG159" s="620"/>
      <c r="IH159" s="620"/>
      <c r="II159" s="620"/>
      <c r="IJ159" s="620"/>
      <c r="IK159" s="620"/>
      <c r="IL159" s="620"/>
      <c r="IM159" s="620"/>
      <c r="IN159" s="620"/>
      <c r="IO159" s="620"/>
      <c r="IP159" s="620"/>
      <c r="IQ159" s="620"/>
      <c r="IR159" s="620"/>
      <c r="IS159" s="620"/>
      <c r="IT159" s="620"/>
      <c r="IU159" s="620"/>
      <c r="IV159" s="620"/>
      <c r="IW159" s="620"/>
    </row>
    <row r="160" customFormat="false" ht="11.25" hidden="false" customHeight="false" outlineLevel="0" collapsed="false">
      <c r="A160" s="114"/>
      <c r="B160" s="202"/>
      <c r="C160" s="202"/>
      <c r="D160" s="202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  <c r="AA160" s="202"/>
      <c r="AB160" s="202"/>
      <c r="AC160" s="202"/>
      <c r="AD160" s="202"/>
      <c r="AE160" s="202"/>
      <c r="AF160" s="202"/>
      <c r="AG160" s="202"/>
      <c r="AH160" s="202"/>
      <c r="AI160" s="202"/>
      <c r="AJ160" s="202"/>
      <c r="AK160" s="202"/>
      <c r="AL160" s="202"/>
      <c r="AM160" s="202"/>
      <c r="AN160" s="202"/>
      <c r="AO160" s="202"/>
      <c r="AP160" s="202"/>
      <c r="AQ160" s="202"/>
      <c r="AR160" s="202"/>
      <c r="AS160" s="202"/>
      <c r="AT160" s="202"/>
      <c r="AU160" s="202"/>
      <c r="AV160" s="202"/>
      <c r="AW160" s="202"/>
      <c r="AX160" s="202"/>
      <c r="AY160" s="202"/>
      <c r="AZ160" s="202"/>
      <c r="BA160" s="202"/>
      <c r="BB160" s="202"/>
      <c r="BC160" s="202"/>
      <c r="BD160" s="202"/>
      <c r="BE160" s="202"/>
      <c r="BF160" s="202"/>
      <c r="BG160" s="202"/>
      <c r="BH160" s="202"/>
      <c r="BI160" s="202"/>
      <c r="BJ160" s="202"/>
      <c r="BK160" s="202"/>
      <c r="BL160" s="202"/>
      <c r="BM160" s="202"/>
      <c r="BN160" s="114"/>
      <c r="BO160" s="114"/>
      <c r="BP160" s="114"/>
      <c r="BQ160" s="114"/>
      <c r="BR160" s="114"/>
      <c r="BS160" s="114"/>
      <c r="BT160" s="114"/>
      <c r="BU160" s="114"/>
      <c r="BV160" s="114"/>
      <c r="BW160" s="114"/>
      <c r="BX160" s="114"/>
      <c r="BY160" s="114"/>
      <c r="BZ160" s="114"/>
      <c r="CA160" s="114"/>
      <c r="CB160" s="114"/>
      <c r="CC160" s="114"/>
      <c r="CD160" s="114"/>
      <c r="CE160" s="114"/>
      <c r="CF160" s="114"/>
      <c r="CG160" s="114"/>
      <c r="CH160" s="114"/>
      <c r="CI160" s="114"/>
      <c r="CJ160" s="114"/>
      <c r="CK160" s="114"/>
      <c r="CL160" s="114"/>
      <c r="CM160" s="114"/>
      <c r="CN160" s="114"/>
      <c r="CO160" s="114"/>
      <c r="CP160" s="114"/>
      <c r="CQ160" s="114"/>
      <c r="CR160" s="114"/>
      <c r="CS160" s="114"/>
      <c r="CT160" s="114"/>
      <c r="CU160" s="114"/>
      <c r="CV160" s="114"/>
      <c r="CW160" s="114"/>
      <c r="CX160" s="114"/>
      <c r="CY160" s="114"/>
      <c r="CZ160" s="114"/>
      <c r="DA160" s="114"/>
      <c r="DB160" s="114"/>
      <c r="DC160" s="114"/>
      <c r="DD160" s="114"/>
      <c r="DE160" s="114"/>
      <c r="DF160" s="114"/>
      <c r="DG160" s="114"/>
      <c r="DH160" s="114"/>
      <c r="DI160" s="114"/>
      <c r="DJ160" s="114"/>
      <c r="DK160" s="114"/>
      <c r="DL160" s="114"/>
      <c r="DM160" s="114"/>
      <c r="DN160" s="114"/>
      <c r="DO160" s="114"/>
      <c r="DP160" s="114"/>
      <c r="DQ160" s="114"/>
      <c r="DR160" s="114"/>
      <c r="DS160" s="114"/>
      <c r="DT160" s="114"/>
      <c r="DU160" s="114"/>
      <c r="DV160" s="114"/>
      <c r="DW160" s="114"/>
      <c r="DX160" s="114"/>
      <c r="DY160" s="114"/>
      <c r="DZ160" s="114"/>
      <c r="EA160" s="114"/>
      <c r="EB160" s="114"/>
      <c r="EC160" s="114"/>
      <c r="ED160" s="114"/>
      <c r="EE160" s="114"/>
      <c r="EF160" s="114"/>
      <c r="EG160" s="114"/>
      <c r="EH160" s="114"/>
      <c r="EI160" s="114"/>
      <c r="EJ160" s="114"/>
      <c r="EK160" s="114"/>
      <c r="EL160" s="114"/>
      <c r="EM160" s="114"/>
      <c r="EN160" s="114"/>
      <c r="EO160" s="114"/>
      <c r="EP160" s="114"/>
      <c r="EQ160" s="114"/>
      <c r="ER160" s="114"/>
      <c r="ES160" s="114"/>
      <c r="ET160" s="114"/>
      <c r="EU160" s="114"/>
      <c r="EV160" s="114"/>
      <c r="EW160" s="114"/>
      <c r="EX160" s="114"/>
      <c r="EY160" s="114"/>
      <c r="EZ160" s="114"/>
      <c r="FA160" s="114"/>
      <c r="FB160" s="114"/>
      <c r="FC160" s="114"/>
      <c r="FD160" s="114"/>
      <c r="FE160" s="114"/>
      <c r="FF160" s="114"/>
      <c r="FG160" s="114"/>
      <c r="FH160" s="114"/>
      <c r="FI160" s="114"/>
      <c r="FJ160" s="114"/>
      <c r="FK160" s="114"/>
      <c r="FL160" s="114"/>
      <c r="FM160" s="114"/>
      <c r="FN160" s="114"/>
      <c r="FO160" s="114"/>
      <c r="FP160" s="114"/>
      <c r="FQ160" s="114"/>
      <c r="FR160" s="114"/>
      <c r="FS160" s="114"/>
      <c r="FT160" s="114"/>
      <c r="FU160" s="114"/>
      <c r="FV160" s="114"/>
      <c r="FW160" s="114"/>
      <c r="FX160" s="114"/>
      <c r="FY160" s="114"/>
      <c r="FZ160" s="114"/>
      <c r="GA160" s="114"/>
      <c r="GB160" s="114"/>
      <c r="GC160" s="114"/>
      <c r="GD160" s="114"/>
      <c r="GE160" s="114"/>
      <c r="GF160" s="114"/>
      <c r="GG160" s="114"/>
      <c r="GH160" s="114"/>
      <c r="GI160" s="114"/>
      <c r="GJ160" s="114"/>
      <c r="GK160" s="114"/>
      <c r="GL160" s="114"/>
      <c r="GM160" s="114"/>
      <c r="GN160" s="114"/>
      <c r="GO160" s="114"/>
      <c r="GP160" s="114"/>
      <c r="GQ160" s="114"/>
      <c r="GR160" s="114"/>
      <c r="GS160" s="114"/>
      <c r="GT160" s="114"/>
      <c r="GU160" s="114"/>
      <c r="GV160" s="114"/>
      <c r="GW160" s="114"/>
      <c r="GX160" s="114"/>
      <c r="GY160" s="114"/>
      <c r="GZ160" s="114"/>
      <c r="HA160" s="114"/>
      <c r="HB160" s="114"/>
      <c r="HC160" s="114"/>
      <c r="HD160" s="114"/>
      <c r="HE160" s="114"/>
      <c r="HF160" s="114"/>
      <c r="HG160" s="114"/>
      <c r="HH160" s="114"/>
      <c r="HI160" s="114"/>
      <c r="HJ160" s="114"/>
      <c r="HK160" s="114"/>
      <c r="HL160" s="114"/>
      <c r="HM160" s="114"/>
      <c r="HN160" s="114"/>
      <c r="HO160" s="114"/>
      <c r="HP160" s="114"/>
      <c r="HQ160" s="114"/>
      <c r="HR160" s="114"/>
      <c r="HS160" s="114"/>
      <c r="HT160" s="114"/>
      <c r="HU160" s="114"/>
      <c r="HV160" s="114"/>
      <c r="HW160" s="114"/>
      <c r="HX160" s="114"/>
      <c r="HY160" s="114"/>
      <c r="HZ160" s="114"/>
      <c r="IA160" s="114"/>
      <c r="IB160" s="114"/>
      <c r="IC160" s="114"/>
      <c r="ID160" s="114"/>
      <c r="IE160" s="114"/>
      <c r="IF160" s="114"/>
      <c r="IG160" s="114"/>
      <c r="IH160" s="114"/>
      <c r="II160" s="114"/>
      <c r="IJ160" s="114"/>
      <c r="IK160" s="114"/>
      <c r="IL160" s="114"/>
      <c r="IM160" s="114"/>
      <c r="IN160" s="114"/>
      <c r="IO160" s="114"/>
      <c r="IP160" s="114"/>
      <c r="IQ160" s="114"/>
      <c r="IR160" s="114"/>
      <c r="IS160" s="114"/>
      <c r="IT160" s="114"/>
      <c r="IU160" s="114"/>
      <c r="IV160" s="114"/>
      <c r="IW160" s="114"/>
    </row>
    <row r="161" customFormat="false" ht="11.25" hidden="false" customHeight="false" outlineLevel="0" collapsed="false">
      <c r="A161" s="114"/>
      <c r="B161" s="624"/>
      <c r="C161" s="624"/>
      <c r="D161" s="517"/>
      <c r="E161" s="517"/>
      <c r="F161" s="517"/>
      <c r="G161" s="517"/>
      <c r="H161" s="517"/>
      <c r="I161" s="517"/>
      <c r="J161" s="517"/>
      <c r="K161" s="517"/>
      <c r="L161" s="517"/>
      <c r="M161" s="517"/>
      <c r="N161" s="517"/>
      <c r="O161" s="517"/>
      <c r="P161" s="517"/>
      <c r="Q161" s="517"/>
      <c r="R161" s="517"/>
      <c r="S161" s="517"/>
      <c r="T161" s="517"/>
      <c r="U161" s="517"/>
      <c r="V161" s="517"/>
      <c r="W161" s="517"/>
      <c r="X161" s="517"/>
      <c r="Y161" s="517"/>
      <c r="Z161" s="517"/>
      <c r="AA161" s="517"/>
      <c r="AB161" s="517"/>
      <c r="AC161" s="517"/>
      <c r="AD161" s="517"/>
      <c r="AE161" s="517"/>
      <c r="AF161" s="517"/>
      <c r="AG161" s="517"/>
      <c r="AH161" s="517"/>
      <c r="AI161" s="517"/>
      <c r="AJ161" s="517"/>
      <c r="AK161" s="517"/>
      <c r="AL161" s="517"/>
      <c r="AM161" s="517"/>
      <c r="AN161" s="517"/>
      <c r="AO161" s="517"/>
      <c r="AP161" s="517"/>
      <c r="AQ161" s="202"/>
      <c r="AR161" s="202"/>
      <c r="AS161" s="202"/>
      <c r="AT161" s="202"/>
      <c r="AU161" s="202"/>
      <c r="AV161" s="202"/>
      <c r="AW161" s="202"/>
      <c r="AX161" s="202"/>
      <c r="AY161" s="202"/>
      <c r="AZ161" s="202"/>
      <c r="BA161" s="202"/>
      <c r="BB161" s="202"/>
      <c r="BC161" s="114"/>
      <c r="BD161" s="114"/>
      <c r="BE161" s="114"/>
      <c r="BF161" s="114"/>
      <c r="BG161" s="114"/>
      <c r="BH161" s="114"/>
      <c r="BI161" s="114"/>
      <c r="BJ161" s="114"/>
      <c r="BK161" s="114"/>
      <c r="BL161" s="114"/>
      <c r="BM161" s="114"/>
      <c r="BN161" s="114"/>
      <c r="BO161" s="114"/>
      <c r="BP161" s="114"/>
      <c r="BQ161" s="114"/>
      <c r="BR161" s="114"/>
      <c r="BS161" s="114"/>
      <c r="BT161" s="114"/>
      <c r="BU161" s="114"/>
      <c r="BV161" s="114"/>
      <c r="BW161" s="114"/>
      <c r="BX161" s="114"/>
      <c r="BY161" s="114"/>
      <c r="BZ161" s="114"/>
      <c r="CA161" s="114"/>
      <c r="CB161" s="114"/>
      <c r="CC161" s="114"/>
      <c r="CD161" s="114"/>
      <c r="CE161" s="114"/>
      <c r="CF161" s="114"/>
      <c r="CG161" s="114"/>
      <c r="CH161" s="114"/>
      <c r="CI161" s="114"/>
      <c r="CJ161" s="114"/>
      <c r="CK161" s="114"/>
      <c r="CL161" s="114"/>
      <c r="CM161" s="114"/>
      <c r="CN161" s="114"/>
      <c r="CO161" s="114"/>
      <c r="CP161" s="114"/>
      <c r="CQ161" s="114"/>
      <c r="CR161" s="114"/>
      <c r="CS161" s="114"/>
      <c r="CT161" s="114"/>
      <c r="CU161" s="114"/>
      <c r="CV161" s="114"/>
      <c r="CW161" s="114"/>
      <c r="CX161" s="114"/>
      <c r="CY161" s="114"/>
      <c r="CZ161" s="114"/>
      <c r="DA161" s="114"/>
      <c r="DB161" s="114"/>
      <c r="DC161" s="114"/>
      <c r="DD161" s="114"/>
      <c r="DE161" s="114"/>
      <c r="DF161" s="114"/>
      <c r="DG161" s="114"/>
      <c r="DH161" s="114"/>
      <c r="DI161" s="114"/>
      <c r="DJ161" s="114"/>
      <c r="DK161" s="114"/>
      <c r="DL161" s="114"/>
      <c r="DM161" s="114"/>
      <c r="DN161" s="114"/>
      <c r="DO161" s="114"/>
      <c r="DP161" s="114"/>
      <c r="DQ161" s="114"/>
      <c r="DR161" s="114"/>
      <c r="DS161" s="114"/>
      <c r="DT161" s="114"/>
      <c r="DU161" s="114"/>
      <c r="DV161" s="114"/>
      <c r="DW161" s="114"/>
      <c r="DX161" s="114"/>
      <c r="DY161" s="114"/>
      <c r="DZ161" s="114"/>
      <c r="EA161" s="114"/>
      <c r="EB161" s="114"/>
      <c r="EC161" s="114"/>
      <c r="ED161" s="114"/>
      <c r="EE161" s="114"/>
      <c r="EF161" s="114"/>
      <c r="EG161" s="114"/>
      <c r="EH161" s="114"/>
      <c r="EI161" s="114"/>
      <c r="EJ161" s="114"/>
      <c r="EK161" s="114"/>
      <c r="EL161" s="114"/>
      <c r="EM161" s="114"/>
      <c r="EN161" s="114"/>
      <c r="EO161" s="114"/>
      <c r="EP161" s="114"/>
      <c r="EQ161" s="114"/>
      <c r="ER161" s="114"/>
      <c r="ES161" s="114"/>
      <c r="ET161" s="114"/>
      <c r="EU161" s="114"/>
      <c r="EV161" s="114"/>
      <c r="EW161" s="114"/>
      <c r="EX161" s="114"/>
      <c r="EY161" s="114"/>
      <c r="EZ161" s="114"/>
      <c r="FA161" s="114"/>
      <c r="FB161" s="114"/>
      <c r="FC161" s="114"/>
      <c r="FD161" s="114"/>
      <c r="FE161" s="114"/>
      <c r="FF161" s="114"/>
      <c r="FG161" s="114"/>
      <c r="FH161" s="114"/>
      <c r="FI161" s="114"/>
      <c r="FJ161" s="114"/>
      <c r="FK161" s="114"/>
      <c r="FL161" s="114"/>
      <c r="FM161" s="114"/>
      <c r="FN161" s="114"/>
      <c r="FO161" s="114"/>
      <c r="FP161" s="114"/>
      <c r="FQ161" s="114"/>
      <c r="FR161" s="114"/>
      <c r="FS161" s="114"/>
      <c r="FT161" s="114"/>
      <c r="FU161" s="114"/>
      <c r="FV161" s="114"/>
      <c r="FW161" s="114"/>
      <c r="FX161" s="114"/>
      <c r="FY161" s="114"/>
      <c r="FZ161" s="114"/>
      <c r="GA161" s="114"/>
      <c r="GB161" s="114"/>
      <c r="GC161" s="114"/>
      <c r="GD161" s="114"/>
      <c r="GE161" s="114"/>
      <c r="GF161" s="114"/>
      <c r="GG161" s="114"/>
      <c r="GH161" s="114"/>
      <c r="GI161" s="114"/>
      <c r="GJ161" s="114"/>
      <c r="GK161" s="114"/>
      <c r="GL161" s="114"/>
      <c r="GM161" s="114"/>
      <c r="GN161" s="114"/>
      <c r="GO161" s="114"/>
      <c r="GP161" s="114"/>
      <c r="GQ161" s="114"/>
      <c r="GR161" s="114"/>
      <c r="GS161" s="114"/>
      <c r="GT161" s="114"/>
      <c r="GU161" s="114"/>
      <c r="GV161" s="114"/>
      <c r="GW161" s="114"/>
      <c r="GX161" s="114"/>
      <c r="GY161" s="114"/>
      <c r="GZ161" s="114"/>
      <c r="HA161" s="114"/>
      <c r="HB161" s="114"/>
      <c r="HC161" s="114"/>
      <c r="HD161" s="114"/>
      <c r="HE161" s="114"/>
      <c r="HF161" s="114"/>
      <c r="HG161" s="114"/>
      <c r="HH161" s="114"/>
      <c r="HI161" s="114"/>
      <c r="HJ161" s="114"/>
      <c r="HK161" s="114"/>
      <c r="HL161" s="114"/>
      <c r="HM161" s="114"/>
      <c r="HN161" s="114"/>
      <c r="HO161" s="114"/>
      <c r="HP161" s="114"/>
      <c r="HQ161" s="114"/>
      <c r="HR161" s="114"/>
      <c r="HS161" s="114"/>
      <c r="HT161" s="114"/>
      <c r="HU161" s="114"/>
      <c r="HV161" s="114"/>
      <c r="HW161" s="114"/>
      <c r="HX161" s="114"/>
      <c r="HY161" s="114"/>
      <c r="HZ161" s="114"/>
      <c r="IA161" s="114"/>
      <c r="IB161" s="114"/>
      <c r="IC161" s="114"/>
      <c r="ID161" s="114"/>
      <c r="IE161" s="114"/>
      <c r="IF161" s="114"/>
      <c r="IG161" s="114"/>
      <c r="IH161" s="114"/>
      <c r="II161" s="114"/>
      <c r="IJ161" s="114"/>
      <c r="IK161" s="114"/>
      <c r="IL161" s="114"/>
      <c r="IM161" s="114"/>
      <c r="IN161" s="114"/>
      <c r="IO161" s="114"/>
      <c r="IP161" s="114"/>
      <c r="IQ161" s="114"/>
      <c r="IR161" s="114"/>
      <c r="IS161" s="114"/>
      <c r="IT161" s="114"/>
      <c r="IU161" s="114"/>
      <c r="IV161" s="114"/>
      <c r="IW161" s="114"/>
    </row>
    <row r="162" customFormat="false" ht="11.25" hidden="false" customHeight="false" outlineLevel="0" collapsed="false">
      <c r="A162" s="114"/>
      <c r="B162" s="498"/>
      <c r="C162" s="498"/>
      <c r="D162" s="498"/>
      <c r="E162" s="498"/>
      <c r="F162" s="498"/>
      <c r="G162" s="498"/>
      <c r="H162" s="498"/>
      <c r="I162" s="498"/>
      <c r="J162" s="498"/>
      <c r="K162" s="498"/>
      <c r="L162" s="498"/>
      <c r="M162" s="498"/>
      <c r="N162" s="498"/>
      <c r="O162" s="498"/>
      <c r="P162" s="498"/>
      <c r="Q162" s="498"/>
      <c r="R162" s="498"/>
      <c r="S162" s="498"/>
      <c r="T162" s="498"/>
      <c r="U162" s="498"/>
      <c r="V162" s="498"/>
      <c r="W162" s="498"/>
      <c r="X162" s="498"/>
      <c r="Y162" s="498"/>
      <c r="Z162" s="498"/>
      <c r="AA162" s="498"/>
      <c r="AB162" s="498"/>
      <c r="AC162" s="498"/>
      <c r="AD162" s="498"/>
      <c r="AE162" s="498"/>
      <c r="AF162" s="498"/>
      <c r="AG162" s="498"/>
      <c r="AH162" s="498"/>
      <c r="AI162" s="498"/>
      <c r="AJ162" s="498"/>
      <c r="AK162" s="498"/>
      <c r="AL162" s="498"/>
      <c r="AM162" s="498"/>
      <c r="AN162" s="498"/>
      <c r="AO162" s="498"/>
      <c r="AP162" s="498"/>
      <c r="AQ162" s="202"/>
      <c r="AR162" s="202"/>
      <c r="AS162" s="202"/>
      <c r="AT162" s="202"/>
      <c r="AU162" s="202"/>
      <c r="AV162" s="202"/>
      <c r="AW162" s="202"/>
      <c r="AX162" s="202"/>
      <c r="AY162" s="202"/>
      <c r="AZ162" s="202"/>
      <c r="BA162" s="202"/>
      <c r="BB162" s="202"/>
      <c r="BC162" s="114"/>
      <c r="BD162" s="114"/>
      <c r="BE162" s="114"/>
      <c r="BF162" s="114"/>
      <c r="BG162" s="114"/>
      <c r="BH162" s="114"/>
      <c r="BI162" s="114"/>
      <c r="BJ162" s="114"/>
      <c r="BK162" s="114"/>
      <c r="BL162" s="114"/>
      <c r="BM162" s="114"/>
      <c r="BN162" s="114"/>
      <c r="BO162" s="114"/>
      <c r="BP162" s="114"/>
      <c r="BQ162" s="114"/>
      <c r="BR162" s="114"/>
      <c r="BS162" s="114"/>
      <c r="BT162" s="114"/>
      <c r="BU162" s="114"/>
      <c r="BV162" s="114"/>
      <c r="BW162" s="114"/>
      <c r="BX162" s="114"/>
      <c r="BY162" s="114"/>
      <c r="BZ162" s="114"/>
      <c r="CA162" s="114"/>
      <c r="CB162" s="114"/>
      <c r="CC162" s="114"/>
      <c r="CD162" s="114"/>
      <c r="CE162" s="114"/>
      <c r="CF162" s="114"/>
      <c r="CG162" s="114"/>
      <c r="CH162" s="114"/>
      <c r="CI162" s="114"/>
      <c r="CJ162" s="114"/>
      <c r="CK162" s="114"/>
      <c r="CL162" s="114"/>
      <c r="CM162" s="114"/>
      <c r="CN162" s="114"/>
      <c r="CO162" s="114"/>
      <c r="CP162" s="114"/>
      <c r="CQ162" s="114"/>
      <c r="CR162" s="114"/>
      <c r="CS162" s="114"/>
      <c r="CT162" s="114"/>
      <c r="CU162" s="114"/>
      <c r="CV162" s="114"/>
      <c r="CW162" s="114"/>
      <c r="CX162" s="114"/>
      <c r="CY162" s="114"/>
      <c r="CZ162" s="114"/>
      <c r="DA162" s="114"/>
      <c r="DB162" s="114"/>
      <c r="DC162" s="114"/>
      <c r="DD162" s="114"/>
      <c r="DE162" s="114"/>
      <c r="DF162" s="114"/>
      <c r="DG162" s="114"/>
      <c r="DH162" s="114"/>
      <c r="DI162" s="114"/>
      <c r="DJ162" s="114"/>
      <c r="DK162" s="114"/>
      <c r="DL162" s="114"/>
      <c r="DM162" s="114"/>
      <c r="DN162" s="114"/>
      <c r="DO162" s="114"/>
      <c r="DP162" s="114"/>
      <c r="DQ162" s="114"/>
      <c r="DR162" s="114"/>
      <c r="DS162" s="114"/>
      <c r="DT162" s="114"/>
      <c r="DU162" s="114"/>
      <c r="DV162" s="114"/>
      <c r="DW162" s="114"/>
      <c r="DX162" s="114"/>
      <c r="DY162" s="114"/>
      <c r="DZ162" s="114"/>
      <c r="EA162" s="114"/>
      <c r="EB162" s="114"/>
      <c r="EC162" s="114"/>
      <c r="ED162" s="114"/>
      <c r="EE162" s="114"/>
      <c r="EF162" s="114"/>
      <c r="EG162" s="114"/>
      <c r="EH162" s="114"/>
      <c r="EI162" s="114"/>
      <c r="EJ162" s="114"/>
      <c r="EK162" s="114"/>
      <c r="EL162" s="114"/>
      <c r="EM162" s="114"/>
      <c r="EN162" s="114"/>
      <c r="EO162" s="114"/>
      <c r="EP162" s="114"/>
      <c r="EQ162" s="114"/>
      <c r="ER162" s="114"/>
      <c r="ES162" s="114"/>
      <c r="ET162" s="114"/>
      <c r="EU162" s="114"/>
      <c r="EV162" s="114"/>
      <c r="EW162" s="114"/>
      <c r="EX162" s="114"/>
      <c r="EY162" s="114"/>
      <c r="EZ162" s="114"/>
      <c r="FA162" s="114"/>
      <c r="FB162" s="114"/>
      <c r="FC162" s="114"/>
      <c r="FD162" s="114"/>
      <c r="FE162" s="114"/>
      <c r="FF162" s="114"/>
      <c r="FG162" s="114"/>
      <c r="FH162" s="114"/>
      <c r="FI162" s="114"/>
      <c r="FJ162" s="114"/>
      <c r="FK162" s="114"/>
      <c r="FL162" s="114"/>
      <c r="FM162" s="114"/>
      <c r="FN162" s="114"/>
      <c r="FO162" s="114"/>
      <c r="FP162" s="114"/>
      <c r="FQ162" s="114"/>
      <c r="FR162" s="114"/>
      <c r="FS162" s="114"/>
      <c r="FT162" s="114"/>
      <c r="FU162" s="114"/>
      <c r="FV162" s="114"/>
      <c r="FW162" s="114"/>
      <c r="FX162" s="114"/>
      <c r="FY162" s="114"/>
      <c r="FZ162" s="114"/>
      <c r="GA162" s="114"/>
      <c r="GB162" s="114"/>
      <c r="GC162" s="114"/>
      <c r="GD162" s="114"/>
      <c r="GE162" s="114"/>
      <c r="GF162" s="114"/>
      <c r="GG162" s="114"/>
      <c r="GH162" s="114"/>
      <c r="GI162" s="114"/>
      <c r="GJ162" s="114"/>
      <c r="GK162" s="114"/>
      <c r="GL162" s="114"/>
      <c r="GM162" s="114"/>
      <c r="GN162" s="114"/>
      <c r="GO162" s="114"/>
      <c r="GP162" s="114"/>
      <c r="GQ162" s="114"/>
      <c r="GR162" s="114"/>
      <c r="GS162" s="114"/>
      <c r="GT162" s="114"/>
      <c r="GU162" s="114"/>
      <c r="GV162" s="114"/>
      <c r="GW162" s="114"/>
      <c r="GX162" s="114"/>
      <c r="GY162" s="114"/>
      <c r="GZ162" s="114"/>
      <c r="HA162" s="114"/>
      <c r="HB162" s="114"/>
      <c r="HC162" s="114"/>
      <c r="HD162" s="114"/>
      <c r="HE162" s="114"/>
      <c r="HF162" s="114"/>
      <c r="HG162" s="114"/>
      <c r="HH162" s="114"/>
      <c r="HI162" s="114"/>
      <c r="HJ162" s="114"/>
      <c r="HK162" s="114"/>
      <c r="HL162" s="114"/>
      <c r="HM162" s="114"/>
      <c r="HN162" s="114"/>
      <c r="HO162" s="114"/>
      <c r="HP162" s="114"/>
      <c r="HQ162" s="114"/>
      <c r="HR162" s="114"/>
      <c r="HS162" s="114"/>
      <c r="HT162" s="114"/>
      <c r="HU162" s="114"/>
      <c r="HV162" s="114"/>
      <c r="HW162" s="114"/>
      <c r="HX162" s="114"/>
      <c r="HY162" s="114"/>
      <c r="HZ162" s="114"/>
      <c r="IA162" s="114"/>
      <c r="IB162" s="114"/>
      <c r="IC162" s="114"/>
      <c r="ID162" s="114"/>
      <c r="IE162" s="114"/>
      <c r="IF162" s="114"/>
      <c r="IG162" s="114"/>
      <c r="IH162" s="114"/>
      <c r="II162" s="114"/>
      <c r="IJ162" s="114"/>
      <c r="IK162" s="114"/>
      <c r="IL162" s="114"/>
      <c r="IM162" s="114"/>
      <c r="IN162" s="114"/>
      <c r="IO162" s="114"/>
      <c r="IP162" s="114"/>
      <c r="IQ162" s="114"/>
      <c r="IR162" s="114"/>
      <c r="IS162" s="114"/>
      <c r="IT162" s="114"/>
      <c r="IU162" s="114"/>
      <c r="IV162" s="114"/>
      <c r="IW162" s="114"/>
    </row>
    <row r="163" customFormat="false" ht="11.25" hidden="false" customHeight="false" outlineLevel="0" collapsed="false">
      <c r="A163" s="114"/>
      <c r="B163" s="498"/>
      <c r="C163" s="498"/>
      <c r="D163" s="498"/>
      <c r="E163" s="498"/>
      <c r="F163" s="498"/>
      <c r="G163" s="498"/>
      <c r="H163" s="498"/>
      <c r="I163" s="498"/>
      <c r="J163" s="498"/>
      <c r="K163" s="498"/>
      <c r="L163" s="498"/>
      <c r="M163" s="498"/>
      <c r="N163" s="498"/>
      <c r="O163" s="498"/>
      <c r="P163" s="498"/>
      <c r="Q163" s="498"/>
      <c r="R163" s="498"/>
      <c r="S163" s="498"/>
      <c r="T163" s="498"/>
      <c r="U163" s="498"/>
      <c r="V163" s="498"/>
      <c r="W163" s="498"/>
      <c r="X163" s="498"/>
      <c r="Y163" s="498"/>
      <c r="Z163" s="498"/>
      <c r="AA163" s="498"/>
      <c r="AB163" s="498"/>
      <c r="AC163" s="498"/>
      <c r="AD163" s="498"/>
      <c r="AE163" s="498"/>
      <c r="AF163" s="498"/>
      <c r="AG163" s="498"/>
      <c r="AH163" s="498"/>
      <c r="AI163" s="498"/>
      <c r="AJ163" s="498"/>
      <c r="AK163" s="498"/>
      <c r="AL163" s="498"/>
      <c r="AM163" s="498"/>
      <c r="AN163" s="498"/>
      <c r="AO163" s="498"/>
      <c r="AP163" s="498"/>
      <c r="AQ163" s="114"/>
      <c r="AR163" s="114"/>
      <c r="AS163" s="114"/>
      <c r="AT163" s="114"/>
      <c r="AU163" s="114"/>
      <c r="AV163" s="114"/>
      <c r="AW163" s="114"/>
      <c r="AX163" s="114"/>
      <c r="AY163" s="114"/>
      <c r="AZ163" s="114"/>
      <c r="BA163" s="114"/>
      <c r="BB163" s="114"/>
      <c r="BC163" s="114"/>
      <c r="BD163" s="114"/>
      <c r="BE163" s="114"/>
      <c r="BF163" s="114"/>
      <c r="BG163" s="114"/>
      <c r="BH163" s="114"/>
      <c r="BI163" s="114"/>
      <c r="BJ163" s="114"/>
      <c r="BK163" s="114"/>
      <c r="BL163" s="114"/>
      <c r="BM163" s="114"/>
      <c r="BN163" s="114"/>
      <c r="BO163" s="114"/>
      <c r="BP163" s="114"/>
      <c r="BQ163" s="114"/>
      <c r="BR163" s="114"/>
      <c r="BS163" s="114"/>
      <c r="BT163" s="114"/>
      <c r="BU163" s="114"/>
      <c r="BV163" s="114"/>
      <c r="BW163" s="114"/>
      <c r="BX163" s="114"/>
      <c r="BY163" s="114"/>
      <c r="BZ163" s="114"/>
      <c r="CA163" s="114"/>
      <c r="CB163" s="114"/>
      <c r="CC163" s="114"/>
      <c r="CD163" s="114"/>
      <c r="CE163" s="114"/>
      <c r="CF163" s="114"/>
      <c r="CG163" s="114"/>
      <c r="CH163" s="114"/>
      <c r="CI163" s="114"/>
      <c r="CJ163" s="114"/>
      <c r="CK163" s="114"/>
      <c r="CL163" s="114"/>
      <c r="CM163" s="114"/>
      <c r="CN163" s="114"/>
      <c r="CO163" s="114"/>
      <c r="CP163" s="114"/>
      <c r="CQ163" s="114"/>
      <c r="CR163" s="114"/>
      <c r="CS163" s="114"/>
      <c r="CT163" s="114"/>
      <c r="CU163" s="114"/>
      <c r="CV163" s="114"/>
      <c r="CW163" s="114"/>
      <c r="CX163" s="114"/>
      <c r="CY163" s="114"/>
      <c r="CZ163" s="114"/>
      <c r="DA163" s="114"/>
      <c r="DB163" s="114"/>
      <c r="DC163" s="114"/>
      <c r="DD163" s="114"/>
      <c r="DE163" s="114"/>
      <c r="DF163" s="114"/>
      <c r="DG163" s="114"/>
      <c r="DH163" s="114"/>
      <c r="DI163" s="114"/>
      <c r="DJ163" s="114"/>
      <c r="DK163" s="114"/>
      <c r="DL163" s="114"/>
      <c r="DM163" s="114"/>
      <c r="DN163" s="114"/>
      <c r="DO163" s="114"/>
      <c r="DP163" s="114"/>
      <c r="DQ163" s="114"/>
      <c r="DR163" s="114"/>
      <c r="DS163" s="114"/>
      <c r="DT163" s="114"/>
      <c r="DU163" s="114"/>
      <c r="DV163" s="114"/>
      <c r="DW163" s="114"/>
      <c r="DX163" s="114"/>
      <c r="DY163" s="114"/>
      <c r="DZ163" s="114"/>
      <c r="EA163" s="114"/>
      <c r="EB163" s="114"/>
      <c r="EC163" s="114"/>
      <c r="ED163" s="114"/>
      <c r="EE163" s="114"/>
      <c r="EF163" s="114"/>
      <c r="EG163" s="114"/>
      <c r="EH163" s="114"/>
      <c r="EI163" s="114"/>
      <c r="EJ163" s="114"/>
      <c r="EK163" s="114"/>
      <c r="EL163" s="114"/>
      <c r="EM163" s="114"/>
      <c r="EN163" s="114"/>
      <c r="EO163" s="114"/>
      <c r="EP163" s="114"/>
      <c r="EQ163" s="114"/>
      <c r="ER163" s="114"/>
      <c r="ES163" s="114"/>
      <c r="ET163" s="114"/>
      <c r="EU163" s="114"/>
      <c r="EV163" s="114"/>
      <c r="EW163" s="114"/>
      <c r="EX163" s="114"/>
      <c r="EY163" s="114"/>
      <c r="EZ163" s="114"/>
      <c r="FA163" s="114"/>
      <c r="FB163" s="114"/>
      <c r="FC163" s="114"/>
      <c r="FD163" s="114"/>
      <c r="FE163" s="114"/>
      <c r="FF163" s="114"/>
      <c r="FG163" s="114"/>
      <c r="FH163" s="114"/>
      <c r="FI163" s="114"/>
      <c r="FJ163" s="114"/>
      <c r="FK163" s="114"/>
      <c r="FL163" s="114"/>
      <c r="FM163" s="114"/>
      <c r="FN163" s="114"/>
      <c r="FO163" s="114"/>
      <c r="FP163" s="114"/>
      <c r="FQ163" s="114"/>
      <c r="FR163" s="114"/>
      <c r="FS163" s="114"/>
      <c r="FT163" s="114"/>
      <c r="FU163" s="114"/>
      <c r="FV163" s="114"/>
      <c r="FW163" s="114"/>
      <c r="FX163" s="114"/>
      <c r="FY163" s="114"/>
      <c r="FZ163" s="114"/>
      <c r="GA163" s="114"/>
      <c r="GB163" s="114"/>
      <c r="GC163" s="114"/>
      <c r="GD163" s="114"/>
      <c r="GE163" s="114"/>
      <c r="GF163" s="114"/>
      <c r="GG163" s="114"/>
      <c r="GH163" s="114"/>
      <c r="GI163" s="114"/>
      <c r="GJ163" s="114"/>
      <c r="GK163" s="114"/>
      <c r="GL163" s="114"/>
      <c r="GM163" s="114"/>
      <c r="GN163" s="114"/>
      <c r="GO163" s="114"/>
      <c r="GP163" s="114"/>
      <c r="GQ163" s="114"/>
      <c r="GR163" s="114"/>
      <c r="GS163" s="114"/>
      <c r="GT163" s="114"/>
      <c r="GU163" s="114"/>
      <c r="GV163" s="114"/>
      <c r="GW163" s="114"/>
      <c r="GX163" s="114"/>
      <c r="GY163" s="114"/>
      <c r="GZ163" s="114"/>
      <c r="HA163" s="114"/>
      <c r="HB163" s="114"/>
      <c r="HC163" s="114"/>
      <c r="HD163" s="114"/>
      <c r="HE163" s="114"/>
      <c r="HF163" s="114"/>
      <c r="HG163" s="114"/>
      <c r="HH163" s="114"/>
      <c r="HI163" s="114"/>
      <c r="HJ163" s="114"/>
      <c r="HK163" s="114"/>
      <c r="HL163" s="114"/>
      <c r="HM163" s="114"/>
      <c r="HN163" s="114"/>
      <c r="HO163" s="114"/>
      <c r="HP163" s="114"/>
      <c r="HQ163" s="114"/>
      <c r="HR163" s="114"/>
      <c r="HS163" s="114"/>
      <c r="HT163" s="114"/>
      <c r="HU163" s="114"/>
      <c r="HV163" s="114"/>
      <c r="HW163" s="114"/>
      <c r="HX163" s="114"/>
      <c r="HY163" s="114"/>
      <c r="HZ163" s="114"/>
      <c r="IA163" s="114"/>
      <c r="IB163" s="114"/>
      <c r="IC163" s="114"/>
      <c r="ID163" s="114"/>
      <c r="IE163" s="114"/>
      <c r="IF163" s="114"/>
      <c r="IG163" s="114"/>
      <c r="IH163" s="114"/>
      <c r="II163" s="114"/>
      <c r="IJ163" s="114"/>
      <c r="IK163" s="114"/>
      <c r="IL163" s="114"/>
      <c r="IM163" s="114"/>
      <c r="IN163" s="114"/>
      <c r="IO163" s="114"/>
      <c r="IP163" s="114"/>
      <c r="IQ163" s="114"/>
      <c r="IR163" s="114"/>
      <c r="IS163" s="114"/>
      <c r="IT163" s="114"/>
      <c r="IU163" s="114"/>
      <c r="IV163" s="114"/>
      <c r="IW163" s="114"/>
    </row>
    <row r="164" customFormat="false" ht="11.25" hidden="false" customHeight="false" outlineLevel="0" collapsed="false">
      <c r="A164" s="114"/>
      <c r="B164" s="498"/>
      <c r="C164" s="498"/>
      <c r="D164" s="498"/>
      <c r="E164" s="498"/>
      <c r="F164" s="498"/>
      <c r="G164" s="498"/>
      <c r="H164" s="498"/>
      <c r="I164" s="498"/>
      <c r="J164" s="498"/>
      <c r="K164" s="498"/>
      <c r="L164" s="498"/>
      <c r="M164" s="498"/>
      <c r="N164" s="498"/>
      <c r="O164" s="498"/>
      <c r="P164" s="498"/>
      <c r="Q164" s="498"/>
      <c r="R164" s="498"/>
      <c r="S164" s="498"/>
      <c r="T164" s="498"/>
      <c r="U164" s="498"/>
      <c r="V164" s="498"/>
      <c r="W164" s="498"/>
      <c r="X164" s="498"/>
      <c r="Y164" s="498"/>
      <c r="Z164" s="498"/>
      <c r="AA164" s="498"/>
      <c r="AB164" s="498"/>
      <c r="AC164" s="498"/>
      <c r="AD164" s="498"/>
      <c r="AE164" s="498"/>
      <c r="AF164" s="498"/>
      <c r="AG164" s="498"/>
      <c r="AH164" s="498"/>
      <c r="AI164" s="498"/>
      <c r="AJ164" s="498"/>
      <c r="AK164" s="498"/>
      <c r="AL164" s="498"/>
      <c r="AM164" s="498"/>
      <c r="AN164" s="498"/>
      <c r="AO164" s="498"/>
      <c r="AP164" s="498"/>
      <c r="AQ164" s="114"/>
      <c r="AR164" s="114"/>
      <c r="AS164" s="114"/>
      <c r="AT164" s="114"/>
      <c r="AU164" s="114"/>
      <c r="AV164" s="114"/>
      <c r="AW164" s="114"/>
      <c r="AX164" s="114"/>
      <c r="AY164" s="114"/>
      <c r="AZ164" s="114"/>
      <c r="BA164" s="114"/>
      <c r="BB164" s="114"/>
      <c r="BC164" s="114"/>
      <c r="BD164" s="114"/>
      <c r="BE164" s="114"/>
      <c r="BF164" s="114"/>
      <c r="BG164" s="114"/>
      <c r="BH164" s="114"/>
      <c r="BI164" s="114"/>
      <c r="BJ164" s="114"/>
      <c r="BK164" s="114"/>
      <c r="BL164" s="114"/>
      <c r="BM164" s="114"/>
      <c r="BN164" s="114"/>
      <c r="BO164" s="114"/>
      <c r="BP164" s="114"/>
      <c r="BQ164" s="114"/>
      <c r="BR164" s="114"/>
      <c r="BS164" s="114"/>
      <c r="BT164" s="114"/>
      <c r="BU164" s="114"/>
      <c r="BV164" s="114"/>
      <c r="BW164" s="114"/>
      <c r="BX164" s="114"/>
      <c r="BY164" s="114"/>
      <c r="BZ164" s="114"/>
      <c r="CA164" s="114"/>
      <c r="CB164" s="114"/>
      <c r="CC164" s="114"/>
      <c r="CD164" s="114"/>
      <c r="CE164" s="114"/>
      <c r="CF164" s="114"/>
      <c r="CG164" s="114"/>
      <c r="CH164" s="114"/>
      <c r="CI164" s="114"/>
      <c r="CJ164" s="114"/>
      <c r="CK164" s="114"/>
      <c r="CL164" s="114"/>
      <c r="CM164" s="114"/>
      <c r="CN164" s="114"/>
      <c r="CO164" s="114"/>
      <c r="CP164" s="114"/>
      <c r="CQ164" s="114"/>
      <c r="CR164" s="114"/>
      <c r="CS164" s="114"/>
      <c r="CT164" s="114"/>
      <c r="CU164" s="114"/>
      <c r="CV164" s="114"/>
      <c r="CW164" s="114"/>
      <c r="CX164" s="114"/>
      <c r="CY164" s="114"/>
      <c r="CZ164" s="114"/>
      <c r="DA164" s="114"/>
      <c r="DB164" s="114"/>
      <c r="DC164" s="114"/>
      <c r="DD164" s="114"/>
      <c r="DE164" s="114"/>
      <c r="DF164" s="114"/>
      <c r="DG164" s="114"/>
      <c r="DH164" s="114"/>
      <c r="DI164" s="114"/>
      <c r="DJ164" s="114"/>
      <c r="DK164" s="114"/>
      <c r="DL164" s="114"/>
      <c r="DM164" s="114"/>
      <c r="DN164" s="114"/>
      <c r="DO164" s="114"/>
      <c r="DP164" s="114"/>
      <c r="DQ164" s="114"/>
      <c r="DR164" s="114"/>
      <c r="DS164" s="114"/>
      <c r="DT164" s="114"/>
      <c r="DU164" s="114"/>
      <c r="DV164" s="114"/>
      <c r="DW164" s="114"/>
      <c r="DX164" s="114"/>
      <c r="DY164" s="114"/>
      <c r="DZ164" s="114"/>
      <c r="EA164" s="114"/>
      <c r="EB164" s="114"/>
      <c r="EC164" s="114"/>
      <c r="ED164" s="114"/>
      <c r="EE164" s="114"/>
      <c r="EF164" s="114"/>
      <c r="EG164" s="114"/>
      <c r="EH164" s="114"/>
      <c r="EI164" s="114"/>
      <c r="EJ164" s="114"/>
      <c r="EK164" s="114"/>
      <c r="EL164" s="114"/>
      <c r="EM164" s="114"/>
      <c r="EN164" s="114"/>
      <c r="EO164" s="114"/>
      <c r="EP164" s="114"/>
      <c r="EQ164" s="114"/>
      <c r="ER164" s="114"/>
      <c r="ES164" s="114"/>
      <c r="ET164" s="114"/>
      <c r="EU164" s="114"/>
      <c r="EV164" s="114"/>
      <c r="EW164" s="114"/>
      <c r="EX164" s="114"/>
      <c r="EY164" s="114"/>
      <c r="EZ164" s="114"/>
      <c r="FA164" s="114"/>
      <c r="FB164" s="114"/>
      <c r="FC164" s="114"/>
      <c r="FD164" s="114"/>
      <c r="FE164" s="114"/>
      <c r="FF164" s="114"/>
      <c r="FG164" s="114"/>
      <c r="FH164" s="114"/>
      <c r="FI164" s="114"/>
      <c r="FJ164" s="114"/>
      <c r="FK164" s="114"/>
      <c r="FL164" s="114"/>
      <c r="FM164" s="114"/>
      <c r="FN164" s="114"/>
      <c r="FO164" s="114"/>
      <c r="FP164" s="114"/>
      <c r="FQ164" s="114"/>
      <c r="FR164" s="114"/>
      <c r="FS164" s="114"/>
      <c r="FT164" s="114"/>
      <c r="FU164" s="114"/>
      <c r="FV164" s="114"/>
      <c r="FW164" s="114"/>
      <c r="FX164" s="114"/>
      <c r="FY164" s="114"/>
      <c r="FZ164" s="114"/>
      <c r="GA164" s="114"/>
      <c r="GB164" s="114"/>
      <c r="GC164" s="114"/>
      <c r="GD164" s="114"/>
      <c r="GE164" s="114"/>
      <c r="GF164" s="114"/>
      <c r="GG164" s="114"/>
      <c r="GH164" s="114"/>
      <c r="GI164" s="114"/>
      <c r="GJ164" s="114"/>
      <c r="GK164" s="114"/>
      <c r="GL164" s="114"/>
      <c r="GM164" s="114"/>
      <c r="GN164" s="114"/>
      <c r="GO164" s="114"/>
      <c r="GP164" s="114"/>
      <c r="GQ164" s="114"/>
      <c r="GR164" s="114"/>
      <c r="GS164" s="114"/>
      <c r="GT164" s="114"/>
      <c r="GU164" s="114"/>
      <c r="GV164" s="114"/>
      <c r="GW164" s="114"/>
      <c r="GX164" s="114"/>
      <c r="GY164" s="114"/>
      <c r="GZ164" s="114"/>
      <c r="HA164" s="114"/>
      <c r="HB164" s="114"/>
      <c r="HC164" s="114"/>
      <c r="HD164" s="114"/>
      <c r="HE164" s="114"/>
      <c r="HF164" s="114"/>
      <c r="HG164" s="114"/>
      <c r="HH164" s="114"/>
      <c r="HI164" s="114"/>
      <c r="HJ164" s="114"/>
      <c r="HK164" s="114"/>
      <c r="HL164" s="114"/>
      <c r="HM164" s="114"/>
      <c r="HN164" s="114"/>
      <c r="HO164" s="114"/>
      <c r="HP164" s="114"/>
      <c r="HQ164" s="114"/>
      <c r="HR164" s="114"/>
      <c r="HS164" s="114"/>
      <c r="HT164" s="114"/>
      <c r="HU164" s="114"/>
      <c r="HV164" s="114"/>
      <c r="HW164" s="114"/>
      <c r="HX164" s="114"/>
      <c r="HY164" s="114"/>
      <c r="HZ164" s="114"/>
      <c r="IA164" s="114"/>
      <c r="IB164" s="114"/>
      <c r="IC164" s="114"/>
      <c r="ID164" s="114"/>
      <c r="IE164" s="114"/>
      <c r="IF164" s="114"/>
      <c r="IG164" s="114"/>
      <c r="IH164" s="114"/>
      <c r="II164" s="114"/>
      <c r="IJ164" s="114"/>
      <c r="IK164" s="114"/>
      <c r="IL164" s="114"/>
      <c r="IM164" s="114"/>
      <c r="IN164" s="114"/>
      <c r="IO164" s="114"/>
      <c r="IP164" s="114"/>
      <c r="IQ164" s="114"/>
      <c r="IR164" s="114"/>
      <c r="IS164" s="114"/>
      <c r="IT164" s="114"/>
      <c r="IU164" s="114"/>
      <c r="IV164" s="114"/>
      <c r="IW164" s="114"/>
    </row>
    <row r="165" customFormat="false" ht="11.25" hidden="false" customHeight="false" outlineLevel="0" collapsed="false">
      <c r="A165" s="114"/>
      <c r="B165" s="498"/>
      <c r="C165" s="498"/>
      <c r="D165" s="498"/>
      <c r="E165" s="498"/>
      <c r="F165" s="498"/>
      <c r="G165" s="498"/>
      <c r="H165" s="498"/>
      <c r="I165" s="498"/>
      <c r="J165" s="498"/>
      <c r="K165" s="498"/>
      <c r="L165" s="498"/>
      <c r="M165" s="498"/>
      <c r="N165" s="498"/>
      <c r="O165" s="498"/>
      <c r="P165" s="498"/>
      <c r="Q165" s="498"/>
      <c r="R165" s="498"/>
      <c r="S165" s="498"/>
      <c r="T165" s="498"/>
      <c r="U165" s="498"/>
      <c r="V165" s="498"/>
      <c r="W165" s="498"/>
      <c r="X165" s="498"/>
      <c r="Y165" s="498"/>
      <c r="Z165" s="498"/>
      <c r="AA165" s="498"/>
      <c r="AB165" s="498"/>
      <c r="AC165" s="498"/>
      <c r="AD165" s="498"/>
      <c r="AE165" s="498"/>
      <c r="AF165" s="498"/>
      <c r="AG165" s="498"/>
      <c r="AH165" s="498"/>
      <c r="AI165" s="498"/>
      <c r="AJ165" s="498"/>
      <c r="AK165" s="498"/>
      <c r="AL165" s="498"/>
      <c r="AM165" s="498"/>
      <c r="AN165" s="498"/>
      <c r="AO165" s="498"/>
      <c r="AP165" s="498"/>
      <c r="AQ165" s="114"/>
      <c r="AR165" s="114"/>
      <c r="AS165" s="114"/>
      <c r="AT165" s="114"/>
      <c r="AU165" s="114"/>
      <c r="AV165" s="114"/>
      <c r="AW165" s="114"/>
      <c r="AX165" s="114"/>
      <c r="AY165" s="114"/>
      <c r="AZ165" s="114"/>
      <c r="BA165" s="114"/>
      <c r="BB165" s="114"/>
      <c r="BC165" s="114"/>
      <c r="BD165" s="114"/>
      <c r="BE165" s="114"/>
      <c r="BF165" s="114"/>
      <c r="BG165" s="114"/>
      <c r="BH165" s="114"/>
      <c r="BI165" s="114"/>
      <c r="BJ165" s="114"/>
      <c r="BK165" s="114"/>
      <c r="BL165" s="114"/>
      <c r="BM165" s="114"/>
      <c r="BN165" s="114"/>
      <c r="BO165" s="114"/>
      <c r="BP165" s="114"/>
      <c r="BQ165" s="114"/>
      <c r="BR165" s="114"/>
      <c r="BS165" s="114"/>
      <c r="BT165" s="114"/>
      <c r="BU165" s="114"/>
      <c r="BV165" s="114"/>
      <c r="BW165" s="114"/>
      <c r="BX165" s="114"/>
      <c r="BY165" s="114"/>
      <c r="BZ165" s="114"/>
      <c r="CA165" s="114"/>
      <c r="CB165" s="114"/>
      <c r="CC165" s="114"/>
      <c r="CD165" s="114"/>
      <c r="CE165" s="114"/>
      <c r="CF165" s="114"/>
      <c r="CG165" s="114"/>
      <c r="CH165" s="114"/>
      <c r="CI165" s="114"/>
      <c r="CJ165" s="114"/>
      <c r="CK165" s="114"/>
      <c r="CL165" s="114"/>
      <c r="CM165" s="114"/>
      <c r="CN165" s="114"/>
      <c r="CO165" s="114"/>
      <c r="CP165" s="114"/>
      <c r="CQ165" s="114"/>
      <c r="CR165" s="114"/>
      <c r="CS165" s="114"/>
      <c r="CT165" s="114"/>
      <c r="CU165" s="114"/>
      <c r="CV165" s="114"/>
      <c r="CW165" s="114"/>
      <c r="CX165" s="114"/>
      <c r="CY165" s="114"/>
      <c r="CZ165" s="114"/>
      <c r="DA165" s="114"/>
      <c r="DB165" s="114"/>
      <c r="DC165" s="114"/>
      <c r="DD165" s="114"/>
      <c r="DE165" s="114"/>
      <c r="DF165" s="114"/>
      <c r="DG165" s="114"/>
      <c r="DH165" s="114"/>
      <c r="DI165" s="114"/>
      <c r="DJ165" s="114"/>
      <c r="DK165" s="114"/>
      <c r="DL165" s="114"/>
      <c r="DM165" s="114"/>
      <c r="DN165" s="114"/>
      <c r="DO165" s="114"/>
      <c r="DP165" s="114"/>
      <c r="DQ165" s="114"/>
      <c r="DR165" s="114"/>
      <c r="DS165" s="114"/>
      <c r="DT165" s="114"/>
      <c r="DU165" s="114"/>
      <c r="DV165" s="114"/>
      <c r="DW165" s="114"/>
      <c r="DX165" s="114"/>
      <c r="DY165" s="114"/>
      <c r="DZ165" s="114"/>
      <c r="EA165" s="114"/>
      <c r="EB165" s="114"/>
      <c r="EC165" s="114"/>
      <c r="ED165" s="114"/>
      <c r="EE165" s="114"/>
      <c r="EF165" s="114"/>
      <c r="EG165" s="114"/>
      <c r="EH165" s="114"/>
      <c r="EI165" s="114"/>
      <c r="EJ165" s="114"/>
      <c r="EK165" s="114"/>
      <c r="EL165" s="114"/>
      <c r="EM165" s="114"/>
      <c r="EN165" s="114"/>
      <c r="EO165" s="114"/>
      <c r="EP165" s="114"/>
      <c r="EQ165" s="114"/>
      <c r="ER165" s="114"/>
      <c r="ES165" s="114"/>
      <c r="ET165" s="114"/>
      <c r="EU165" s="114"/>
      <c r="EV165" s="114"/>
      <c r="EW165" s="114"/>
      <c r="EX165" s="114"/>
      <c r="EY165" s="114"/>
      <c r="EZ165" s="114"/>
      <c r="FA165" s="114"/>
      <c r="FB165" s="114"/>
      <c r="FC165" s="114"/>
      <c r="FD165" s="114"/>
      <c r="FE165" s="114"/>
      <c r="FF165" s="114"/>
      <c r="FG165" s="114"/>
      <c r="FH165" s="114"/>
      <c r="FI165" s="114"/>
      <c r="FJ165" s="114"/>
      <c r="FK165" s="114"/>
      <c r="FL165" s="114"/>
      <c r="FM165" s="114"/>
      <c r="FN165" s="114"/>
      <c r="FO165" s="114"/>
      <c r="FP165" s="114"/>
      <c r="FQ165" s="114"/>
      <c r="FR165" s="114"/>
      <c r="FS165" s="114"/>
      <c r="FT165" s="114"/>
      <c r="FU165" s="114"/>
      <c r="FV165" s="114"/>
      <c r="FW165" s="114"/>
      <c r="FX165" s="114"/>
      <c r="FY165" s="114"/>
      <c r="FZ165" s="114"/>
      <c r="GA165" s="114"/>
      <c r="GB165" s="114"/>
      <c r="GC165" s="114"/>
      <c r="GD165" s="114"/>
      <c r="GE165" s="114"/>
      <c r="GF165" s="114"/>
      <c r="GG165" s="114"/>
      <c r="GH165" s="114"/>
      <c r="GI165" s="114"/>
      <c r="GJ165" s="114"/>
      <c r="GK165" s="114"/>
      <c r="GL165" s="114"/>
      <c r="GM165" s="114"/>
      <c r="GN165" s="114"/>
      <c r="GO165" s="114"/>
      <c r="GP165" s="114"/>
      <c r="GQ165" s="114"/>
      <c r="GR165" s="114"/>
      <c r="GS165" s="114"/>
      <c r="GT165" s="114"/>
      <c r="GU165" s="114"/>
      <c r="GV165" s="114"/>
      <c r="GW165" s="114"/>
      <c r="GX165" s="114"/>
      <c r="GY165" s="114"/>
      <c r="GZ165" s="114"/>
      <c r="HA165" s="114"/>
      <c r="HB165" s="114"/>
      <c r="HC165" s="114"/>
      <c r="HD165" s="114"/>
      <c r="HE165" s="114"/>
      <c r="HF165" s="114"/>
      <c r="HG165" s="114"/>
      <c r="HH165" s="114"/>
      <c r="HI165" s="114"/>
      <c r="HJ165" s="114"/>
      <c r="HK165" s="114"/>
      <c r="HL165" s="114"/>
      <c r="HM165" s="114"/>
      <c r="HN165" s="114"/>
      <c r="HO165" s="114"/>
      <c r="HP165" s="114"/>
      <c r="HQ165" s="114"/>
      <c r="HR165" s="114"/>
      <c r="HS165" s="114"/>
      <c r="HT165" s="114"/>
      <c r="HU165" s="114"/>
      <c r="HV165" s="114"/>
      <c r="HW165" s="114"/>
      <c r="HX165" s="114"/>
      <c r="HY165" s="114"/>
      <c r="HZ165" s="114"/>
      <c r="IA165" s="114"/>
      <c r="IB165" s="114"/>
      <c r="IC165" s="114"/>
      <c r="ID165" s="114"/>
      <c r="IE165" s="114"/>
      <c r="IF165" s="114"/>
      <c r="IG165" s="114"/>
      <c r="IH165" s="114"/>
      <c r="II165" s="114"/>
      <c r="IJ165" s="114"/>
      <c r="IK165" s="114"/>
      <c r="IL165" s="114"/>
      <c r="IM165" s="114"/>
      <c r="IN165" s="114"/>
      <c r="IO165" s="114"/>
      <c r="IP165" s="114"/>
      <c r="IQ165" s="114"/>
      <c r="IR165" s="114"/>
      <c r="IS165" s="114"/>
      <c r="IT165" s="114"/>
      <c r="IU165" s="114"/>
      <c r="IV165" s="114"/>
      <c r="IW165" s="114"/>
    </row>
    <row r="166" customFormat="false" ht="11.25" hidden="false" customHeight="false" outlineLevel="0" collapsed="false">
      <c r="A166" s="114"/>
      <c r="B166" s="498"/>
      <c r="C166" s="498"/>
      <c r="D166" s="498"/>
      <c r="E166" s="498"/>
      <c r="F166" s="498"/>
      <c r="G166" s="498"/>
      <c r="H166" s="498"/>
      <c r="I166" s="498"/>
      <c r="J166" s="498"/>
      <c r="K166" s="498"/>
      <c r="L166" s="498"/>
      <c r="M166" s="498"/>
      <c r="N166" s="498"/>
      <c r="O166" s="498"/>
      <c r="P166" s="498"/>
      <c r="Q166" s="498"/>
      <c r="R166" s="498"/>
      <c r="S166" s="498"/>
      <c r="T166" s="498"/>
      <c r="U166" s="498"/>
      <c r="V166" s="498"/>
      <c r="W166" s="498"/>
      <c r="X166" s="498"/>
      <c r="Y166" s="498"/>
      <c r="Z166" s="498"/>
      <c r="AA166" s="498"/>
      <c r="AB166" s="498"/>
      <c r="AC166" s="498"/>
      <c r="AD166" s="498"/>
      <c r="AE166" s="498"/>
      <c r="AF166" s="498"/>
      <c r="AG166" s="498"/>
      <c r="AH166" s="498"/>
      <c r="AI166" s="498"/>
      <c r="AJ166" s="498"/>
      <c r="AK166" s="498"/>
      <c r="AL166" s="498"/>
      <c r="AM166" s="498"/>
      <c r="AN166" s="498"/>
      <c r="AO166" s="498"/>
      <c r="AP166" s="498"/>
      <c r="AQ166" s="114"/>
      <c r="AR166" s="114"/>
      <c r="AS166" s="114"/>
      <c r="AT166" s="114"/>
      <c r="AU166" s="114"/>
      <c r="AV166" s="114"/>
      <c r="AW166" s="114"/>
      <c r="AX166" s="114"/>
      <c r="AY166" s="114"/>
      <c r="AZ166" s="114"/>
      <c r="BA166" s="114"/>
      <c r="BB166" s="114"/>
      <c r="BC166" s="114"/>
      <c r="BD166" s="114"/>
      <c r="BE166" s="114"/>
      <c r="BF166" s="114"/>
      <c r="BG166" s="114"/>
      <c r="BH166" s="114"/>
      <c r="BI166" s="114"/>
      <c r="BJ166" s="114"/>
      <c r="BK166" s="114"/>
      <c r="BL166" s="114"/>
      <c r="BM166" s="114"/>
      <c r="BN166" s="114"/>
      <c r="BO166" s="114"/>
      <c r="BP166" s="114"/>
      <c r="BQ166" s="114"/>
      <c r="BR166" s="114"/>
      <c r="BS166" s="114"/>
      <c r="BT166" s="114"/>
      <c r="BU166" s="114"/>
      <c r="BV166" s="114"/>
      <c r="BW166" s="114"/>
      <c r="BX166" s="114"/>
      <c r="BY166" s="114"/>
      <c r="BZ166" s="114"/>
      <c r="CA166" s="114"/>
      <c r="CB166" s="114"/>
      <c r="CC166" s="114"/>
      <c r="CD166" s="114"/>
      <c r="CE166" s="114"/>
      <c r="CF166" s="114"/>
      <c r="CG166" s="114"/>
      <c r="CH166" s="114"/>
      <c r="CI166" s="114"/>
      <c r="CJ166" s="114"/>
      <c r="CK166" s="114"/>
      <c r="CL166" s="114"/>
      <c r="CM166" s="114"/>
      <c r="CN166" s="114"/>
      <c r="CO166" s="114"/>
      <c r="CP166" s="114"/>
      <c r="CQ166" s="114"/>
      <c r="CR166" s="114"/>
      <c r="CS166" s="114"/>
      <c r="CT166" s="114"/>
      <c r="CU166" s="114"/>
      <c r="CV166" s="114"/>
      <c r="CW166" s="114"/>
      <c r="CX166" s="114"/>
      <c r="CY166" s="114"/>
      <c r="CZ166" s="114"/>
      <c r="DA166" s="114"/>
      <c r="DB166" s="114"/>
      <c r="DC166" s="114"/>
      <c r="DD166" s="114"/>
      <c r="DE166" s="114"/>
      <c r="DF166" s="114"/>
      <c r="DG166" s="114"/>
      <c r="DH166" s="114"/>
      <c r="DI166" s="114"/>
      <c r="DJ166" s="114"/>
      <c r="DK166" s="114"/>
      <c r="DL166" s="114"/>
      <c r="DM166" s="114"/>
      <c r="DN166" s="114"/>
      <c r="DO166" s="114"/>
      <c r="DP166" s="114"/>
      <c r="DQ166" s="114"/>
      <c r="DR166" s="114"/>
      <c r="DS166" s="114"/>
      <c r="DT166" s="114"/>
      <c r="DU166" s="114"/>
      <c r="DV166" s="114"/>
      <c r="DW166" s="114"/>
      <c r="DX166" s="114"/>
      <c r="DY166" s="114"/>
      <c r="DZ166" s="114"/>
      <c r="EA166" s="114"/>
      <c r="EB166" s="114"/>
      <c r="EC166" s="114"/>
      <c r="ED166" s="114"/>
      <c r="EE166" s="114"/>
      <c r="EF166" s="114"/>
      <c r="EG166" s="114"/>
      <c r="EH166" s="114"/>
      <c r="EI166" s="114"/>
      <c r="EJ166" s="114"/>
      <c r="EK166" s="114"/>
      <c r="EL166" s="114"/>
      <c r="EM166" s="114"/>
      <c r="EN166" s="114"/>
      <c r="EO166" s="114"/>
      <c r="EP166" s="114"/>
      <c r="EQ166" s="114"/>
      <c r="ER166" s="114"/>
      <c r="ES166" s="114"/>
      <c r="ET166" s="114"/>
      <c r="EU166" s="114"/>
      <c r="EV166" s="114"/>
      <c r="EW166" s="114"/>
      <c r="EX166" s="114"/>
      <c r="EY166" s="114"/>
      <c r="EZ166" s="114"/>
      <c r="FA166" s="114"/>
      <c r="FB166" s="114"/>
      <c r="FC166" s="114"/>
      <c r="FD166" s="114"/>
      <c r="FE166" s="114"/>
      <c r="FF166" s="114"/>
      <c r="FG166" s="114"/>
      <c r="FH166" s="114"/>
      <c r="FI166" s="114"/>
      <c r="FJ166" s="114"/>
      <c r="FK166" s="114"/>
      <c r="FL166" s="114"/>
      <c r="FM166" s="114"/>
      <c r="FN166" s="114"/>
      <c r="FO166" s="114"/>
      <c r="FP166" s="114"/>
      <c r="FQ166" s="114"/>
      <c r="FR166" s="114"/>
      <c r="FS166" s="114"/>
      <c r="FT166" s="114"/>
      <c r="FU166" s="114"/>
      <c r="FV166" s="114"/>
      <c r="FW166" s="114"/>
      <c r="FX166" s="114"/>
      <c r="FY166" s="114"/>
      <c r="FZ166" s="114"/>
      <c r="GA166" s="114"/>
      <c r="GB166" s="114"/>
      <c r="GC166" s="114"/>
      <c r="GD166" s="114"/>
      <c r="GE166" s="114"/>
      <c r="GF166" s="114"/>
      <c r="GG166" s="114"/>
      <c r="GH166" s="114"/>
      <c r="GI166" s="114"/>
      <c r="GJ166" s="114"/>
      <c r="GK166" s="114"/>
      <c r="GL166" s="114"/>
      <c r="GM166" s="114"/>
      <c r="GN166" s="114"/>
      <c r="GO166" s="114"/>
      <c r="GP166" s="114"/>
      <c r="GQ166" s="114"/>
      <c r="GR166" s="114"/>
      <c r="GS166" s="114"/>
      <c r="GT166" s="114"/>
      <c r="GU166" s="114"/>
      <c r="GV166" s="114"/>
      <c r="GW166" s="114"/>
      <c r="GX166" s="114"/>
      <c r="GY166" s="114"/>
      <c r="GZ166" s="114"/>
      <c r="HA166" s="114"/>
      <c r="HB166" s="114"/>
      <c r="HC166" s="114"/>
      <c r="HD166" s="114"/>
      <c r="HE166" s="114"/>
      <c r="HF166" s="114"/>
      <c r="HG166" s="114"/>
      <c r="HH166" s="114"/>
      <c r="HI166" s="114"/>
      <c r="HJ166" s="114"/>
      <c r="HK166" s="114"/>
      <c r="HL166" s="114"/>
      <c r="HM166" s="114"/>
      <c r="HN166" s="114"/>
      <c r="HO166" s="114"/>
      <c r="HP166" s="114"/>
      <c r="HQ166" s="114"/>
      <c r="HR166" s="114"/>
      <c r="HS166" s="114"/>
      <c r="HT166" s="114"/>
      <c r="HU166" s="114"/>
      <c r="HV166" s="114"/>
      <c r="HW166" s="114"/>
      <c r="HX166" s="114"/>
      <c r="HY166" s="114"/>
      <c r="HZ166" s="114"/>
      <c r="IA166" s="114"/>
      <c r="IB166" s="114"/>
      <c r="IC166" s="114"/>
      <c r="ID166" s="114"/>
      <c r="IE166" s="114"/>
      <c r="IF166" s="114"/>
      <c r="IG166" s="114"/>
      <c r="IH166" s="114"/>
      <c r="II166" s="114"/>
      <c r="IJ166" s="114"/>
      <c r="IK166" s="114"/>
      <c r="IL166" s="114"/>
      <c r="IM166" s="114"/>
      <c r="IN166" s="114"/>
      <c r="IO166" s="114"/>
      <c r="IP166" s="114"/>
      <c r="IQ166" s="114"/>
      <c r="IR166" s="114"/>
      <c r="IS166" s="114"/>
      <c r="IT166" s="114"/>
      <c r="IU166" s="114"/>
      <c r="IV166" s="114"/>
      <c r="IW166" s="114"/>
    </row>
    <row r="167" customFormat="false" ht="11.25" hidden="false" customHeight="false" outlineLevel="0" collapsed="false">
      <c r="A167" s="114"/>
      <c r="B167" s="498"/>
      <c r="C167" s="498"/>
      <c r="D167" s="498"/>
      <c r="E167" s="498"/>
      <c r="F167" s="498"/>
      <c r="G167" s="498"/>
      <c r="H167" s="498"/>
      <c r="I167" s="498"/>
      <c r="J167" s="498"/>
      <c r="K167" s="498"/>
      <c r="L167" s="498"/>
      <c r="M167" s="498"/>
      <c r="N167" s="498"/>
      <c r="O167" s="498"/>
      <c r="P167" s="498"/>
      <c r="Q167" s="498"/>
      <c r="R167" s="498"/>
      <c r="S167" s="498"/>
      <c r="T167" s="498"/>
      <c r="U167" s="498"/>
      <c r="V167" s="498"/>
      <c r="W167" s="498"/>
      <c r="X167" s="498"/>
      <c r="Y167" s="498"/>
      <c r="Z167" s="498"/>
      <c r="AA167" s="498"/>
      <c r="AB167" s="498"/>
      <c r="AC167" s="498"/>
      <c r="AD167" s="498"/>
      <c r="AE167" s="498"/>
      <c r="AF167" s="498"/>
      <c r="AG167" s="498"/>
      <c r="AH167" s="498"/>
      <c r="AI167" s="498"/>
      <c r="AJ167" s="498"/>
      <c r="AK167" s="498"/>
      <c r="AL167" s="498"/>
      <c r="AM167" s="498"/>
      <c r="AN167" s="498"/>
      <c r="AO167" s="498"/>
      <c r="AP167" s="498"/>
      <c r="AQ167" s="114"/>
      <c r="AR167" s="114"/>
      <c r="AS167" s="114"/>
      <c r="AT167" s="114"/>
      <c r="AU167" s="114"/>
      <c r="AV167" s="114"/>
      <c r="AW167" s="114"/>
      <c r="AX167" s="114"/>
      <c r="AY167" s="114"/>
      <c r="AZ167" s="114"/>
      <c r="BA167" s="114"/>
      <c r="BB167" s="114"/>
      <c r="BC167" s="114"/>
      <c r="BD167" s="114"/>
      <c r="BE167" s="114"/>
      <c r="BF167" s="114"/>
      <c r="BG167" s="114"/>
      <c r="BH167" s="114"/>
      <c r="BI167" s="114"/>
      <c r="BJ167" s="114"/>
      <c r="BK167" s="114"/>
      <c r="BL167" s="114"/>
      <c r="BM167" s="114"/>
      <c r="BN167" s="114"/>
      <c r="BO167" s="114"/>
      <c r="BP167" s="114"/>
      <c r="BQ167" s="114"/>
      <c r="BR167" s="114"/>
      <c r="BS167" s="114"/>
      <c r="BT167" s="114"/>
      <c r="BU167" s="114"/>
      <c r="BV167" s="114"/>
      <c r="BW167" s="114"/>
      <c r="BX167" s="114"/>
      <c r="BY167" s="114"/>
      <c r="BZ167" s="114"/>
      <c r="CA167" s="114"/>
      <c r="CB167" s="114"/>
      <c r="CC167" s="114"/>
      <c r="CD167" s="114"/>
      <c r="CE167" s="114"/>
      <c r="CF167" s="114"/>
      <c r="CG167" s="114"/>
      <c r="CH167" s="114"/>
      <c r="CI167" s="114"/>
      <c r="CJ167" s="114"/>
      <c r="CK167" s="114"/>
      <c r="CL167" s="114"/>
      <c r="CM167" s="114"/>
      <c r="CN167" s="114"/>
      <c r="CO167" s="114"/>
      <c r="CP167" s="114"/>
      <c r="CQ167" s="114"/>
      <c r="CR167" s="114"/>
      <c r="CS167" s="114"/>
      <c r="CT167" s="114"/>
      <c r="CU167" s="114"/>
      <c r="CV167" s="114"/>
      <c r="CW167" s="114"/>
      <c r="CX167" s="114"/>
      <c r="CY167" s="114"/>
      <c r="CZ167" s="114"/>
      <c r="DA167" s="114"/>
      <c r="DB167" s="114"/>
      <c r="DC167" s="114"/>
      <c r="DD167" s="114"/>
      <c r="DE167" s="114"/>
      <c r="DF167" s="114"/>
      <c r="DG167" s="114"/>
      <c r="DH167" s="114"/>
      <c r="DI167" s="114"/>
      <c r="DJ167" s="114"/>
      <c r="DK167" s="114"/>
      <c r="DL167" s="114"/>
      <c r="DM167" s="114"/>
      <c r="DN167" s="114"/>
      <c r="DO167" s="114"/>
      <c r="DP167" s="114"/>
      <c r="DQ167" s="114"/>
      <c r="DR167" s="114"/>
      <c r="DS167" s="114"/>
      <c r="DT167" s="114"/>
      <c r="DU167" s="114"/>
      <c r="DV167" s="114"/>
      <c r="DW167" s="114"/>
      <c r="DX167" s="114"/>
      <c r="DY167" s="114"/>
      <c r="DZ167" s="114"/>
      <c r="EA167" s="114"/>
      <c r="EB167" s="114"/>
      <c r="EC167" s="114"/>
      <c r="ED167" s="114"/>
      <c r="EE167" s="114"/>
      <c r="EF167" s="114"/>
      <c r="EG167" s="114"/>
      <c r="EH167" s="114"/>
      <c r="EI167" s="114"/>
      <c r="EJ167" s="114"/>
      <c r="EK167" s="114"/>
      <c r="EL167" s="114"/>
      <c r="EM167" s="114"/>
      <c r="EN167" s="114"/>
      <c r="EO167" s="114"/>
      <c r="EP167" s="114"/>
      <c r="EQ167" s="114"/>
      <c r="ER167" s="114"/>
      <c r="ES167" s="114"/>
      <c r="ET167" s="114"/>
      <c r="EU167" s="114"/>
      <c r="EV167" s="114"/>
      <c r="EW167" s="114"/>
      <c r="EX167" s="114"/>
      <c r="EY167" s="114"/>
      <c r="EZ167" s="114"/>
      <c r="FA167" s="114"/>
      <c r="FB167" s="114"/>
      <c r="FC167" s="114"/>
      <c r="FD167" s="114"/>
      <c r="FE167" s="114"/>
      <c r="FF167" s="114"/>
      <c r="FG167" s="114"/>
      <c r="FH167" s="114"/>
      <c r="FI167" s="114"/>
      <c r="FJ167" s="114"/>
      <c r="FK167" s="114"/>
      <c r="FL167" s="114"/>
      <c r="FM167" s="114"/>
      <c r="FN167" s="114"/>
      <c r="FO167" s="114"/>
      <c r="FP167" s="114"/>
      <c r="FQ167" s="114"/>
      <c r="FR167" s="114"/>
      <c r="FS167" s="114"/>
      <c r="FT167" s="114"/>
      <c r="FU167" s="114"/>
      <c r="FV167" s="114"/>
      <c r="FW167" s="114"/>
      <c r="FX167" s="114"/>
      <c r="FY167" s="114"/>
      <c r="FZ167" s="114"/>
      <c r="GA167" s="114"/>
      <c r="GB167" s="114"/>
      <c r="GC167" s="114"/>
      <c r="GD167" s="114"/>
      <c r="GE167" s="114"/>
      <c r="GF167" s="114"/>
      <c r="GG167" s="114"/>
      <c r="GH167" s="114"/>
      <c r="GI167" s="114"/>
      <c r="GJ167" s="114"/>
      <c r="GK167" s="114"/>
      <c r="GL167" s="114"/>
      <c r="GM167" s="114"/>
      <c r="GN167" s="114"/>
      <c r="GO167" s="114"/>
      <c r="GP167" s="114"/>
      <c r="GQ167" s="114"/>
      <c r="GR167" s="114"/>
      <c r="GS167" s="114"/>
      <c r="GT167" s="114"/>
      <c r="GU167" s="114"/>
      <c r="GV167" s="114"/>
      <c r="GW167" s="114"/>
      <c r="GX167" s="114"/>
      <c r="GY167" s="114"/>
      <c r="GZ167" s="114"/>
      <c r="HA167" s="114"/>
      <c r="HB167" s="114"/>
      <c r="HC167" s="114"/>
      <c r="HD167" s="114"/>
      <c r="HE167" s="114"/>
      <c r="HF167" s="114"/>
      <c r="HG167" s="114"/>
      <c r="HH167" s="114"/>
      <c r="HI167" s="114"/>
      <c r="HJ167" s="114"/>
      <c r="HK167" s="114"/>
      <c r="HL167" s="114"/>
      <c r="HM167" s="114"/>
      <c r="HN167" s="114"/>
      <c r="HO167" s="114"/>
      <c r="HP167" s="114"/>
      <c r="HQ167" s="114"/>
      <c r="HR167" s="114"/>
      <c r="HS167" s="114"/>
      <c r="HT167" s="114"/>
      <c r="HU167" s="114"/>
      <c r="HV167" s="114"/>
      <c r="HW167" s="114"/>
      <c r="HX167" s="114"/>
      <c r="HY167" s="114"/>
      <c r="HZ167" s="114"/>
      <c r="IA167" s="114"/>
      <c r="IB167" s="114"/>
      <c r="IC167" s="114"/>
      <c r="ID167" s="114"/>
      <c r="IE167" s="114"/>
      <c r="IF167" s="114"/>
      <c r="IG167" s="114"/>
      <c r="IH167" s="114"/>
      <c r="II167" s="114"/>
      <c r="IJ167" s="114"/>
      <c r="IK167" s="114"/>
      <c r="IL167" s="114"/>
      <c r="IM167" s="114"/>
      <c r="IN167" s="114"/>
      <c r="IO167" s="114"/>
      <c r="IP167" s="114"/>
      <c r="IQ167" s="114"/>
      <c r="IR167" s="114"/>
      <c r="IS167" s="114"/>
      <c r="IT167" s="114"/>
      <c r="IU167" s="114"/>
      <c r="IV167" s="114"/>
      <c r="IW167" s="114"/>
    </row>
    <row r="168" customFormat="false" ht="11.25" hidden="false" customHeight="false" outlineLevel="0" collapsed="false">
      <c r="A168" s="525"/>
      <c r="B168" s="498"/>
      <c r="C168" s="498"/>
      <c r="D168" s="498"/>
      <c r="E168" s="498"/>
      <c r="F168" s="498"/>
      <c r="G168" s="498"/>
      <c r="H168" s="498"/>
      <c r="I168" s="498"/>
      <c r="J168" s="498"/>
      <c r="K168" s="498"/>
      <c r="L168" s="498"/>
      <c r="M168" s="498"/>
      <c r="N168" s="498"/>
      <c r="O168" s="498"/>
      <c r="P168" s="498"/>
      <c r="Q168" s="498"/>
      <c r="R168" s="498"/>
      <c r="S168" s="498"/>
      <c r="T168" s="498"/>
      <c r="U168" s="498"/>
      <c r="V168" s="498"/>
      <c r="W168" s="498"/>
      <c r="X168" s="498"/>
      <c r="Y168" s="498"/>
      <c r="Z168" s="498"/>
      <c r="AA168" s="498"/>
      <c r="AB168" s="498"/>
      <c r="AC168" s="498"/>
      <c r="AD168" s="498"/>
      <c r="AE168" s="498"/>
      <c r="AF168" s="498"/>
      <c r="AG168" s="498"/>
      <c r="AH168" s="498"/>
      <c r="AI168" s="498"/>
      <c r="AJ168" s="498"/>
      <c r="AK168" s="498"/>
      <c r="AL168" s="498"/>
      <c r="AM168" s="498"/>
      <c r="AN168" s="498"/>
      <c r="AO168" s="498"/>
      <c r="AP168" s="498"/>
      <c r="AQ168" s="525"/>
      <c r="AR168" s="525"/>
      <c r="AS168" s="525"/>
      <c r="AT168" s="525"/>
      <c r="AU168" s="525"/>
      <c r="AV168" s="525"/>
      <c r="AW168" s="525"/>
      <c r="AX168" s="525"/>
      <c r="AY168" s="525"/>
      <c r="AZ168" s="525"/>
      <c r="BA168" s="525"/>
      <c r="BB168" s="525"/>
      <c r="BC168" s="525"/>
      <c r="BD168" s="525"/>
      <c r="BE168" s="525"/>
      <c r="BF168" s="525"/>
      <c r="BG168" s="525"/>
      <c r="BH168" s="525"/>
      <c r="BI168" s="525"/>
      <c r="BJ168" s="525"/>
      <c r="BK168" s="525"/>
      <c r="BL168" s="525"/>
      <c r="BM168" s="525"/>
      <c r="BN168" s="525"/>
      <c r="BO168" s="525"/>
      <c r="BP168" s="525"/>
      <c r="BQ168" s="525"/>
      <c r="BR168" s="525"/>
      <c r="BS168" s="525"/>
      <c r="BT168" s="525"/>
      <c r="BU168" s="525"/>
      <c r="BV168" s="525"/>
      <c r="BW168" s="525"/>
      <c r="BX168" s="525"/>
      <c r="BY168" s="525"/>
      <c r="BZ168" s="525"/>
      <c r="CA168" s="525"/>
      <c r="CB168" s="525"/>
      <c r="CC168" s="525"/>
      <c r="CD168" s="525"/>
      <c r="CE168" s="525"/>
      <c r="CF168" s="525"/>
      <c r="CG168" s="525"/>
      <c r="CH168" s="525"/>
      <c r="CI168" s="525"/>
      <c r="CJ168" s="525"/>
      <c r="CK168" s="525"/>
      <c r="CL168" s="525"/>
      <c r="CM168" s="525"/>
      <c r="CN168" s="525"/>
      <c r="CO168" s="525"/>
      <c r="CP168" s="525"/>
      <c r="CQ168" s="525"/>
      <c r="CR168" s="525"/>
      <c r="CS168" s="525"/>
      <c r="CT168" s="525"/>
      <c r="CU168" s="525"/>
      <c r="CV168" s="525"/>
      <c r="CW168" s="525"/>
      <c r="CX168" s="525"/>
      <c r="CY168" s="525"/>
      <c r="CZ168" s="525"/>
      <c r="DA168" s="525"/>
      <c r="DB168" s="525"/>
      <c r="DC168" s="525"/>
      <c r="DD168" s="525"/>
      <c r="DE168" s="525"/>
      <c r="DF168" s="525"/>
      <c r="DG168" s="525"/>
      <c r="DH168" s="525"/>
      <c r="DI168" s="525"/>
      <c r="DJ168" s="525"/>
      <c r="DK168" s="525"/>
      <c r="DL168" s="525"/>
      <c r="DM168" s="525"/>
      <c r="DN168" s="525"/>
      <c r="DO168" s="525"/>
      <c r="DP168" s="525"/>
      <c r="DQ168" s="525"/>
      <c r="DR168" s="525"/>
      <c r="DS168" s="525"/>
      <c r="DT168" s="525"/>
      <c r="DU168" s="525"/>
      <c r="DV168" s="525"/>
      <c r="DW168" s="525"/>
      <c r="DX168" s="525"/>
      <c r="DY168" s="525"/>
      <c r="DZ168" s="525"/>
      <c r="EA168" s="525"/>
      <c r="EB168" s="525"/>
      <c r="EC168" s="525"/>
      <c r="ED168" s="525"/>
      <c r="EE168" s="525"/>
      <c r="EF168" s="525"/>
      <c r="EG168" s="525"/>
      <c r="EH168" s="525"/>
      <c r="EI168" s="525"/>
      <c r="EJ168" s="525"/>
      <c r="EK168" s="525"/>
      <c r="EL168" s="525"/>
      <c r="EM168" s="525"/>
      <c r="EN168" s="525"/>
      <c r="EO168" s="525"/>
      <c r="EP168" s="525"/>
      <c r="EQ168" s="525"/>
      <c r="ER168" s="525"/>
      <c r="ES168" s="525"/>
      <c r="ET168" s="525"/>
      <c r="EU168" s="525"/>
      <c r="EV168" s="525"/>
      <c r="EW168" s="525"/>
      <c r="EX168" s="525"/>
      <c r="EY168" s="525"/>
      <c r="EZ168" s="525"/>
      <c r="FA168" s="525"/>
      <c r="FB168" s="525"/>
      <c r="FC168" s="525"/>
      <c r="FD168" s="525"/>
      <c r="FE168" s="525"/>
      <c r="FF168" s="525"/>
      <c r="FG168" s="525"/>
      <c r="FH168" s="525"/>
      <c r="FI168" s="525"/>
      <c r="FJ168" s="525"/>
      <c r="FK168" s="525"/>
      <c r="FL168" s="525"/>
      <c r="FM168" s="525"/>
      <c r="FN168" s="525"/>
      <c r="FO168" s="525"/>
      <c r="FP168" s="525"/>
      <c r="FQ168" s="525"/>
      <c r="FR168" s="525"/>
      <c r="FS168" s="525"/>
      <c r="FT168" s="525"/>
      <c r="FU168" s="525"/>
      <c r="FV168" s="525"/>
      <c r="FW168" s="525"/>
      <c r="FX168" s="525"/>
      <c r="FY168" s="525"/>
      <c r="FZ168" s="525"/>
      <c r="GA168" s="525"/>
      <c r="GB168" s="525"/>
      <c r="GC168" s="525"/>
      <c r="GD168" s="525"/>
      <c r="GE168" s="525"/>
      <c r="GF168" s="525"/>
      <c r="GG168" s="525"/>
      <c r="GH168" s="525"/>
      <c r="GI168" s="525"/>
      <c r="GJ168" s="525"/>
      <c r="GK168" s="525"/>
      <c r="GL168" s="525"/>
      <c r="GM168" s="525"/>
      <c r="GN168" s="525"/>
      <c r="GO168" s="525"/>
      <c r="GP168" s="525"/>
      <c r="GQ168" s="525"/>
      <c r="GR168" s="525"/>
      <c r="GS168" s="525"/>
      <c r="GT168" s="525"/>
      <c r="GU168" s="525"/>
      <c r="GV168" s="525"/>
      <c r="GW168" s="525"/>
      <c r="GX168" s="525"/>
      <c r="GY168" s="525"/>
      <c r="GZ168" s="525"/>
      <c r="HA168" s="525"/>
      <c r="HB168" s="525"/>
      <c r="HC168" s="525"/>
      <c r="HD168" s="525"/>
      <c r="HE168" s="525"/>
      <c r="HF168" s="525"/>
      <c r="HG168" s="525"/>
      <c r="HH168" s="525"/>
      <c r="HI168" s="525"/>
      <c r="HJ168" s="525"/>
      <c r="HK168" s="525"/>
      <c r="HL168" s="525"/>
      <c r="HM168" s="525"/>
      <c r="HN168" s="525"/>
      <c r="HO168" s="525"/>
      <c r="HP168" s="525"/>
      <c r="HQ168" s="525"/>
      <c r="HR168" s="525"/>
      <c r="HS168" s="525"/>
      <c r="HT168" s="525"/>
      <c r="HU168" s="525"/>
      <c r="HV168" s="525"/>
      <c r="HW168" s="525"/>
      <c r="HX168" s="525"/>
      <c r="HY168" s="525"/>
      <c r="HZ168" s="525"/>
      <c r="IA168" s="525"/>
      <c r="IB168" s="525"/>
      <c r="IC168" s="525"/>
      <c r="ID168" s="525"/>
      <c r="IE168" s="525"/>
      <c r="IF168" s="525"/>
      <c r="IG168" s="525"/>
      <c r="IH168" s="525"/>
      <c r="II168" s="525"/>
      <c r="IJ168" s="525"/>
      <c r="IK168" s="525"/>
      <c r="IL168" s="525"/>
      <c r="IM168" s="525"/>
      <c r="IN168" s="525"/>
      <c r="IO168" s="525"/>
      <c r="IP168" s="525"/>
      <c r="IQ168" s="525"/>
      <c r="IR168" s="525"/>
      <c r="IS168" s="525"/>
      <c r="IT168" s="525"/>
      <c r="IU168" s="525"/>
      <c r="IV168" s="525"/>
      <c r="IW168" s="525"/>
    </row>
    <row r="169" customFormat="false" ht="11.25" hidden="false" customHeight="false" outlineLevel="0" collapsed="false">
      <c r="A169" s="525"/>
      <c r="B169" s="498"/>
      <c r="C169" s="498"/>
      <c r="D169" s="498"/>
      <c r="E169" s="498"/>
      <c r="F169" s="498"/>
      <c r="G169" s="498"/>
      <c r="H169" s="498"/>
      <c r="I169" s="498"/>
      <c r="J169" s="498"/>
      <c r="K169" s="498"/>
      <c r="L169" s="498"/>
      <c r="M169" s="498"/>
      <c r="N169" s="498"/>
      <c r="O169" s="498"/>
      <c r="P169" s="498"/>
      <c r="Q169" s="498"/>
      <c r="R169" s="498"/>
      <c r="S169" s="498"/>
      <c r="T169" s="498"/>
      <c r="U169" s="498"/>
      <c r="V169" s="498"/>
      <c r="W169" s="498"/>
      <c r="X169" s="498"/>
      <c r="Y169" s="498"/>
      <c r="Z169" s="498"/>
      <c r="AA169" s="498"/>
      <c r="AB169" s="498"/>
      <c r="AC169" s="498"/>
      <c r="AD169" s="498"/>
      <c r="AE169" s="498"/>
      <c r="AF169" s="498"/>
      <c r="AG169" s="498"/>
      <c r="AH169" s="498"/>
      <c r="AI169" s="498"/>
      <c r="AJ169" s="498"/>
      <c r="AK169" s="498"/>
      <c r="AL169" s="498"/>
      <c r="AM169" s="498"/>
      <c r="AN169" s="498"/>
      <c r="AO169" s="498"/>
      <c r="AP169" s="498"/>
      <c r="AQ169" s="525"/>
      <c r="AR169" s="525"/>
      <c r="AS169" s="525"/>
      <c r="AT169" s="525"/>
      <c r="AU169" s="525"/>
      <c r="AV169" s="525"/>
      <c r="AW169" s="525"/>
      <c r="AX169" s="525"/>
      <c r="AY169" s="525"/>
      <c r="AZ169" s="525"/>
      <c r="BA169" s="525"/>
      <c r="BB169" s="525"/>
      <c r="BC169" s="525"/>
      <c r="BD169" s="525"/>
      <c r="BE169" s="525"/>
      <c r="BF169" s="525"/>
      <c r="BG169" s="525"/>
      <c r="BH169" s="525"/>
      <c r="BI169" s="525"/>
      <c r="BJ169" s="525"/>
      <c r="BK169" s="525"/>
      <c r="BL169" s="525"/>
      <c r="BM169" s="525"/>
      <c r="BN169" s="525"/>
      <c r="BO169" s="525"/>
      <c r="BP169" s="525"/>
      <c r="BQ169" s="525"/>
      <c r="BR169" s="525"/>
      <c r="BS169" s="525"/>
      <c r="BT169" s="525"/>
      <c r="BU169" s="525"/>
      <c r="BV169" s="525"/>
      <c r="BW169" s="525"/>
      <c r="BX169" s="525"/>
      <c r="BY169" s="525"/>
      <c r="BZ169" s="525"/>
      <c r="CA169" s="525"/>
      <c r="CB169" s="525"/>
      <c r="CC169" s="525"/>
      <c r="CD169" s="525"/>
      <c r="CE169" s="525"/>
      <c r="CF169" s="525"/>
      <c r="CG169" s="525"/>
      <c r="CH169" s="525"/>
      <c r="CI169" s="525"/>
      <c r="CJ169" s="525"/>
      <c r="CK169" s="525"/>
      <c r="CL169" s="525"/>
      <c r="CM169" s="525"/>
      <c r="CN169" s="525"/>
      <c r="CO169" s="525"/>
      <c r="CP169" s="525"/>
      <c r="CQ169" s="525"/>
      <c r="CR169" s="525"/>
      <c r="CS169" s="525"/>
      <c r="CT169" s="525"/>
      <c r="CU169" s="525"/>
      <c r="CV169" s="525"/>
      <c r="CW169" s="525"/>
      <c r="CX169" s="525"/>
      <c r="CY169" s="525"/>
      <c r="CZ169" s="525"/>
      <c r="DA169" s="525"/>
      <c r="DB169" s="525"/>
      <c r="DC169" s="525"/>
      <c r="DD169" s="525"/>
      <c r="DE169" s="525"/>
      <c r="DF169" s="525"/>
      <c r="DG169" s="525"/>
      <c r="DH169" s="525"/>
      <c r="DI169" s="525"/>
      <c r="DJ169" s="525"/>
      <c r="DK169" s="525"/>
      <c r="DL169" s="525"/>
      <c r="DM169" s="525"/>
      <c r="DN169" s="525"/>
      <c r="DO169" s="525"/>
      <c r="DP169" s="525"/>
      <c r="DQ169" s="525"/>
      <c r="DR169" s="525"/>
      <c r="DS169" s="525"/>
      <c r="DT169" s="525"/>
      <c r="DU169" s="525"/>
      <c r="DV169" s="525"/>
      <c r="DW169" s="525"/>
      <c r="DX169" s="525"/>
      <c r="DY169" s="525"/>
      <c r="DZ169" s="525"/>
      <c r="EA169" s="525"/>
      <c r="EB169" s="525"/>
      <c r="EC169" s="525"/>
      <c r="ED169" s="525"/>
      <c r="EE169" s="525"/>
      <c r="EF169" s="525"/>
      <c r="EG169" s="525"/>
      <c r="EH169" s="525"/>
      <c r="EI169" s="525"/>
      <c r="EJ169" s="525"/>
      <c r="EK169" s="525"/>
      <c r="EL169" s="525"/>
      <c r="EM169" s="525"/>
      <c r="EN169" s="525"/>
      <c r="EO169" s="525"/>
      <c r="EP169" s="525"/>
      <c r="EQ169" s="525"/>
      <c r="ER169" s="525"/>
      <c r="ES169" s="525"/>
      <c r="ET169" s="525"/>
      <c r="EU169" s="525"/>
      <c r="EV169" s="525"/>
      <c r="EW169" s="525"/>
      <c r="EX169" s="525"/>
      <c r="EY169" s="525"/>
      <c r="EZ169" s="525"/>
      <c r="FA169" s="525"/>
      <c r="FB169" s="525"/>
      <c r="FC169" s="525"/>
      <c r="FD169" s="525"/>
      <c r="FE169" s="525"/>
      <c r="FF169" s="525"/>
      <c r="FG169" s="525"/>
      <c r="FH169" s="525"/>
      <c r="FI169" s="525"/>
      <c r="FJ169" s="525"/>
      <c r="FK169" s="525"/>
      <c r="FL169" s="525"/>
      <c r="FM169" s="525"/>
      <c r="FN169" s="525"/>
      <c r="FO169" s="525"/>
      <c r="FP169" s="525"/>
      <c r="FQ169" s="525"/>
      <c r="FR169" s="525"/>
      <c r="FS169" s="525"/>
      <c r="FT169" s="525"/>
      <c r="FU169" s="525"/>
      <c r="FV169" s="525"/>
      <c r="FW169" s="525"/>
      <c r="FX169" s="525"/>
      <c r="FY169" s="525"/>
      <c r="FZ169" s="525"/>
      <c r="GA169" s="525"/>
      <c r="GB169" s="525"/>
      <c r="GC169" s="525"/>
      <c r="GD169" s="525"/>
      <c r="GE169" s="525"/>
      <c r="GF169" s="525"/>
      <c r="GG169" s="525"/>
      <c r="GH169" s="525"/>
      <c r="GI169" s="525"/>
      <c r="GJ169" s="525"/>
      <c r="GK169" s="525"/>
      <c r="GL169" s="525"/>
      <c r="GM169" s="525"/>
      <c r="GN169" s="525"/>
      <c r="GO169" s="525"/>
      <c r="GP169" s="525"/>
      <c r="GQ169" s="525"/>
      <c r="GR169" s="525"/>
      <c r="GS169" s="525"/>
      <c r="GT169" s="525"/>
      <c r="GU169" s="525"/>
      <c r="GV169" s="525"/>
      <c r="GW169" s="525"/>
      <c r="GX169" s="525"/>
      <c r="GY169" s="525"/>
      <c r="GZ169" s="525"/>
      <c r="HA169" s="525"/>
      <c r="HB169" s="525"/>
      <c r="HC169" s="525"/>
      <c r="HD169" s="525"/>
      <c r="HE169" s="525"/>
      <c r="HF169" s="525"/>
      <c r="HG169" s="525"/>
      <c r="HH169" s="525"/>
      <c r="HI169" s="525"/>
      <c r="HJ169" s="525"/>
      <c r="HK169" s="525"/>
      <c r="HL169" s="525"/>
      <c r="HM169" s="525"/>
      <c r="HN169" s="525"/>
      <c r="HO169" s="525"/>
      <c r="HP169" s="525"/>
      <c r="HQ169" s="525"/>
      <c r="HR169" s="525"/>
      <c r="HS169" s="525"/>
      <c r="HT169" s="525"/>
      <c r="HU169" s="525"/>
      <c r="HV169" s="525"/>
      <c r="HW169" s="525"/>
      <c r="HX169" s="525"/>
      <c r="HY169" s="525"/>
      <c r="HZ169" s="525"/>
      <c r="IA169" s="525"/>
      <c r="IB169" s="525"/>
      <c r="IC169" s="525"/>
      <c r="ID169" s="525"/>
      <c r="IE169" s="525"/>
      <c r="IF169" s="525"/>
      <c r="IG169" s="525"/>
      <c r="IH169" s="525"/>
      <c r="II169" s="525"/>
      <c r="IJ169" s="525"/>
      <c r="IK169" s="525"/>
      <c r="IL169" s="525"/>
      <c r="IM169" s="525"/>
      <c r="IN169" s="525"/>
      <c r="IO169" s="525"/>
      <c r="IP169" s="525"/>
      <c r="IQ169" s="525"/>
      <c r="IR169" s="525"/>
      <c r="IS169" s="525"/>
      <c r="IT169" s="525"/>
      <c r="IU169" s="525"/>
      <c r="IV169" s="525"/>
      <c r="IW169" s="525"/>
    </row>
    <row r="170" customFormat="false" ht="11.25" hidden="false" customHeight="false" outlineLevel="0" collapsed="false">
      <c r="A170" s="525"/>
      <c r="B170" s="498"/>
      <c r="C170" s="498"/>
      <c r="D170" s="498"/>
      <c r="E170" s="498"/>
      <c r="F170" s="498"/>
      <c r="G170" s="498"/>
      <c r="H170" s="498"/>
      <c r="I170" s="498"/>
      <c r="J170" s="498"/>
      <c r="K170" s="498"/>
      <c r="L170" s="498"/>
      <c r="M170" s="498"/>
      <c r="N170" s="498"/>
      <c r="O170" s="498"/>
      <c r="P170" s="498"/>
      <c r="Q170" s="498"/>
      <c r="R170" s="498"/>
      <c r="S170" s="498"/>
      <c r="T170" s="498"/>
      <c r="U170" s="498"/>
      <c r="V170" s="498"/>
      <c r="W170" s="498"/>
      <c r="X170" s="498"/>
      <c r="Y170" s="498"/>
      <c r="Z170" s="498"/>
      <c r="AA170" s="498"/>
      <c r="AB170" s="498"/>
      <c r="AC170" s="498"/>
      <c r="AD170" s="498"/>
      <c r="AE170" s="498"/>
      <c r="AF170" s="498"/>
      <c r="AG170" s="498"/>
      <c r="AH170" s="498"/>
      <c r="AI170" s="498"/>
      <c r="AJ170" s="498"/>
      <c r="AK170" s="498"/>
      <c r="AL170" s="498"/>
      <c r="AM170" s="498"/>
      <c r="AN170" s="498"/>
      <c r="AO170" s="498"/>
      <c r="AP170" s="498"/>
      <c r="AQ170" s="525"/>
      <c r="AR170" s="525"/>
      <c r="AS170" s="525"/>
      <c r="AT170" s="525"/>
      <c r="AU170" s="525"/>
      <c r="AV170" s="525"/>
      <c r="AW170" s="525"/>
      <c r="AX170" s="525"/>
      <c r="AY170" s="525"/>
      <c r="AZ170" s="525"/>
      <c r="BA170" s="525"/>
      <c r="BB170" s="525"/>
      <c r="BC170" s="525"/>
      <c r="BD170" s="525"/>
      <c r="BE170" s="525"/>
      <c r="BF170" s="525"/>
      <c r="BG170" s="525"/>
      <c r="BH170" s="525"/>
      <c r="BI170" s="525"/>
      <c r="BJ170" s="525"/>
      <c r="BK170" s="525"/>
      <c r="BL170" s="525"/>
      <c r="BM170" s="525"/>
      <c r="BN170" s="525"/>
      <c r="BO170" s="525"/>
      <c r="BP170" s="525"/>
      <c r="BQ170" s="525"/>
      <c r="BR170" s="525"/>
      <c r="BS170" s="525"/>
      <c r="BT170" s="525"/>
      <c r="BU170" s="525"/>
      <c r="BV170" s="525"/>
      <c r="BW170" s="525"/>
      <c r="BX170" s="525"/>
      <c r="BY170" s="525"/>
      <c r="BZ170" s="525"/>
      <c r="CA170" s="525"/>
      <c r="CB170" s="525"/>
      <c r="CC170" s="525"/>
      <c r="CD170" s="525"/>
      <c r="CE170" s="525"/>
      <c r="CF170" s="525"/>
      <c r="CG170" s="525"/>
      <c r="CH170" s="525"/>
      <c r="CI170" s="525"/>
      <c r="CJ170" s="525"/>
      <c r="CK170" s="525"/>
      <c r="CL170" s="525"/>
      <c r="CM170" s="525"/>
      <c r="CN170" s="525"/>
      <c r="CO170" s="525"/>
      <c r="CP170" s="525"/>
      <c r="CQ170" s="525"/>
      <c r="CR170" s="525"/>
      <c r="CS170" s="525"/>
      <c r="CT170" s="525"/>
      <c r="CU170" s="525"/>
      <c r="CV170" s="525"/>
      <c r="CW170" s="525"/>
      <c r="CX170" s="525"/>
      <c r="CY170" s="525"/>
      <c r="CZ170" s="525"/>
      <c r="DA170" s="525"/>
      <c r="DB170" s="525"/>
      <c r="DC170" s="525"/>
      <c r="DD170" s="525"/>
      <c r="DE170" s="525"/>
      <c r="DF170" s="525"/>
      <c r="DG170" s="525"/>
      <c r="DH170" s="525"/>
      <c r="DI170" s="525"/>
      <c r="DJ170" s="525"/>
      <c r="DK170" s="525"/>
      <c r="DL170" s="525"/>
      <c r="DM170" s="525"/>
      <c r="DN170" s="525"/>
      <c r="DO170" s="525"/>
      <c r="DP170" s="525"/>
      <c r="DQ170" s="525"/>
      <c r="DR170" s="525"/>
      <c r="DS170" s="525"/>
      <c r="DT170" s="525"/>
      <c r="DU170" s="525"/>
      <c r="DV170" s="525"/>
      <c r="DW170" s="525"/>
      <c r="DX170" s="525"/>
      <c r="DY170" s="525"/>
      <c r="DZ170" s="525"/>
      <c r="EA170" s="525"/>
      <c r="EB170" s="525"/>
      <c r="EC170" s="525"/>
      <c r="ED170" s="525"/>
      <c r="EE170" s="525"/>
      <c r="EF170" s="525"/>
      <c r="EG170" s="525"/>
      <c r="EH170" s="525"/>
      <c r="EI170" s="525"/>
      <c r="EJ170" s="525"/>
      <c r="EK170" s="525"/>
      <c r="EL170" s="525"/>
      <c r="EM170" s="525"/>
      <c r="EN170" s="525"/>
      <c r="EO170" s="525"/>
      <c r="EP170" s="525"/>
      <c r="EQ170" s="525"/>
      <c r="ER170" s="525"/>
      <c r="ES170" s="525"/>
      <c r="ET170" s="525"/>
      <c r="EU170" s="525"/>
      <c r="EV170" s="525"/>
      <c r="EW170" s="525"/>
      <c r="EX170" s="525"/>
      <c r="EY170" s="525"/>
      <c r="EZ170" s="525"/>
      <c r="FA170" s="525"/>
      <c r="FB170" s="525"/>
      <c r="FC170" s="525"/>
      <c r="FD170" s="525"/>
      <c r="FE170" s="525"/>
      <c r="FF170" s="525"/>
      <c r="FG170" s="525"/>
      <c r="FH170" s="525"/>
      <c r="FI170" s="525"/>
      <c r="FJ170" s="525"/>
      <c r="FK170" s="525"/>
      <c r="FL170" s="525"/>
      <c r="FM170" s="525"/>
      <c r="FN170" s="525"/>
      <c r="FO170" s="525"/>
      <c r="FP170" s="525"/>
      <c r="FQ170" s="525"/>
      <c r="FR170" s="525"/>
      <c r="FS170" s="525"/>
      <c r="FT170" s="525"/>
      <c r="FU170" s="525"/>
      <c r="FV170" s="525"/>
      <c r="FW170" s="525"/>
      <c r="FX170" s="525"/>
      <c r="FY170" s="525"/>
      <c r="FZ170" s="525"/>
      <c r="GA170" s="525"/>
      <c r="GB170" s="525"/>
      <c r="GC170" s="525"/>
      <c r="GD170" s="525"/>
      <c r="GE170" s="525"/>
      <c r="GF170" s="525"/>
      <c r="GG170" s="525"/>
      <c r="GH170" s="525"/>
      <c r="GI170" s="525"/>
      <c r="GJ170" s="525"/>
      <c r="GK170" s="525"/>
      <c r="GL170" s="525"/>
      <c r="GM170" s="525"/>
      <c r="GN170" s="525"/>
      <c r="GO170" s="525"/>
      <c r="GP170" s="525"/>
      <c r="GQ170" s="525"/>
      <c r="GR170" s="525"/>
      <c r="GS170" s="525"/>
      <c r="GT170" s="525"/>
      <c r="GU170" s="525"/>
      <c r="GV170" s="525"/>
      <c r="GW170" s="525"/>
      <c r="GX170" s="525"/>
      <c r="GY170" s="525"/>
      <c r="GZ170" s="525"/>
      <c r="HA170" s="525"/>
      <c r="HB170" s="525"/>
      <c r="HC170" s="525"/>
      <c r="HD170" s="525"/>
      <c r="HE170" s="525"/>
      <c r="HF170" s="525"/>
      <c r="HG170" s="525"/>
      <c r="HH170" s="525"/>
      <c r="HI170" s="525"/>
      <c r="HJ170" s="525"/>
      <c r="HK170" s="525"/>
      <c r="HL170" s="525"/>
      <c r="HM170" s="525"/>
      <c r="HN170" s="525"/>
      <c r="HO170" s="525"/>
      <c r="HP170" s="525"/>
      <c r="HQ170" s="525"/>
      <c r="HR170" s="525"/>
      <c r="HS170" s="525"/>
      <c r="HT170" s="525"/>
      <c r="HU170" s="525"/>
      <c r="HV170" s="525"/>
      <c r="HW170" s="525"/>
      <c r="HX170" s="525"/>
      <c r="HY170" s="525"/>
      <c r="HZ170" s="525"/>
      <c r="IA170" s="525"/>
      <c r="IB170" s="525"/>
      <c r="IC170" s="525"/>
      <c r="ID170" s="525"/>
      <c r="IE170" s="525"/>
      <c r="IF170" s="525"/>
      <c r="IG170" s="525"/>
      <c r="IH170" s="525"/>
      <c r="II170" s="525"/>
      <c r="IJ170" s="525"/>
      <c r="IK170" s="525"/>
      <c r="IL170" s="525"/>
      <c r="IM170" s="525"/>
      <c r="IN170" s="525"/>
      <c r="IO170" s="525"/>
      <c r="IP170" s="525"/>
      <c r="IQ170" s="525"/>
      <c r="IR170" s="525"/>
      <c r="IS170" s="525"/>
      <c r="IT170" s="525"/>
      <c r="IU170" s="525"/>
      <c r="IV170" s="525"/>
      <c r="IW170" s="525"/>
    </row>
    <row r="171" customFormat="false" ht="11.25" hidden="false" customHeight="false" outlineLevel="0" collapsed="false">
      <c r="A171" s="525"/>
      <c r="B171" s="498"/>
      <c r="C171" s="498"/>
      <c r="D171" s="498"/>
      <c r="E171" s="498"/>
      <c r="F171" s="498"/>
      <c r="G171" s="498"/>
      <c r="H171" s="498"/>
      <c r="I171" s="498"/>
      <c r="J171" s="498"/>
      <c r="K171" s="498"/>
      <c r="L171" s="498"/>
      <c r="M171" s="498"/>
      <c r="N171" s="498"/>
      <c r="O171" s="498"/>
      <c r="P171" s="498"/>
      <c r="Q171" s="498"/>
      <c r="R171" s="498"/>
      <c r="S171" s="498"/>
      <c r="T171" s="498"/>
      <c r="U171" s="498"/>
      <c r="V171" s="498"/>
      <c r="W171" s="498"/>
      <c r="X171" s="498"/>
      <c r="Y171" s="498"/>
      <c r="Z171" s="498"/>
      <c r="AA171" s="498"/>
      <c r="AB171" s="498"/>
      <c r="AC171" s="498"/>
      <c r="AD171" s="498"/>
      <c r="AE171" s="498"/>
      <c r="AF171" s="498"/>
      <c r="AG171" s="498"/>
      <c r="AH171" s="498"/>
      <c r="AI171" s="498"/>
      <c r="AJ171" s="498"/>
      <c r="AK171" s="498"/>
      <c r="AL171" s="498"/>
      <c r="AM171" s="498"/>
      <c r="AN171" s="498"/>
      <c r="AO171" s="498"/>
      <c r="AP171" s="498"/>
      <c r="AQ171" s="525"/>
      <c r="AR171" s="525"/>
      <c r="AS171" s="525"/>
      <c r="AT171" s="525"/>
      <c r="AU171" s="525"/>
      <c r="AV171" s="525"/>
      <c r="AW171" s="525"/>
      <c r="AX171" s="525"/>
      <c r="AY171" s="525"/>
      <c r="AZ171" s="525"/>
      <c r="BA171" s="525"/>
      <c r="BB171" s="525"/>
      <c r="BC171" s="525"/>
      <c r="BD171" s="525"/>
      <c r="BE171" s="525"/>
      <c r="BF171" s="525"/>
      <c r="BG171" s="525"/>
      <c r="BH171" s="525"/>
      <c r="BI171" s="525"/>
      <c r="BJ171" s="525"/>
      <c r="BK171" s="525"/>
      <c r="BL171" s="525"/>
      <c r="BM171" s="525"/>
      <c r="BN171" s="525"/>
      <c r="BO171" s="525"/>
      <c r="BP171" s="525"/>
      <c r="BQ171" s="525"/>
      <c r="BR171" s="525"/>
      <c r="BS171" s="525"/>
      <c r="BT171" s="525"/>
      <c r="BU171" s="525"/>
      <c r="BV171" s="525"/>
      <c r="BW171" s="525"/>
      <c r="BX171" s="525"/>
      <c r="BY171" s="525"/>
      <c r="BZ171" s="525"/>
      <c r="CA171" s="525"/>
      <c r="CB171" s="525"/>
      <c r="CC171" s="525"/>
      <c r="CD171" s="525"/>
      <c r="CE171" s="525"/>
      <c r="CF171" s="525"/>
      <c r="CG171" s="525"/>
      <c r="CH171" s="525"/>
      <c r="CI171" s="525"/>
      <c r="CJ171" s="525"/>
      <c r="CK171" s="525"/>
      <c r="CL171" s="525"/>
      <c r="CM171" s="525"/>
      <c r="CN171" s="525"/>
      <c r="CO171" s="525"/>
      <c r="CP171" s="525"/>
      <c r="CQ171" s="525"/>
      <c r="CR171" s="525"/>
      <c r="CS171" s="525"/>
      <c r="CT171" s="525"/>
      <c r="CU171" s="525"/>
      <c r="CV171" s="525"/>
      <c r="CW171" s="525"/>
      <c r="CX171" s="525"/>
      <c r="CY171" s="525"/>
      <c r="CZ171" s="525"/>
      <c r="DA171" s="525"/>
      <c r="DB171" s="525"/>
      <c r="DC171" s="525"/>
      <c r="DD171" s="525"/>
      <c r="DE171" s="525"/>
      <c r="DF171" s="525"/>
      <c r="DG171" s="525"/>
      <c r="DH171" s="525"/>
      <c r="DI171" s="525"/>
      <c r="DJ171" s="525"/>
      <c r="DK171" s="525"/>
      <c r="DL171" s="525"/>
      <c r="DM171" s="525"/>
      <c r="DN171" s="525"/>
      <c r="DO171" s="525"/>
      <c r="DP171" s="525"/>
      <c r="DQ171" s="525"/>
      <c r="DR171" s="525"/>
      <c r="DS171" s="525"/>
      <c r="DT171" s="525"/>
      <c r="DU171" s="525"/>
      <c r="DV171" s="525"/>
      <c r="DW171" s="525"/>
      <c r="DX171" s="525"/>
      <c r="DY171" s="525"/>
      <c r="DZ171" s="525"/>
      <c r="EA171" s="525"/>
      <c r="EB171" s="525"/>
      <c r="EC171" s="525"/>
      <c r="ED171" s="525"/>
      <c r="EE171" s="525"/>
      <c r="EF171" s="525"/>
      <c r="EG171" s="525"/>
      <c r="EH171" s="525"/>
      <c r="EI171" s="525"/>
      <c r="EJ171" s="525"/>
      <c r="EK171" s="525"/>
      <c r="EL171" s="525"/>
      <c r="EM171" s="525"/>
      <c r="EN171" s="525"/>
      <c r="EO171" s="525"/>
      <c r="EP171" s="525"/>
      <c r="EQ171" s="525"/>
      <c r="ER171" s="525"/>
      <c r="ES171" s="525"/>
      <c r="ET171" s="525"/>
      <c r="EU171" s="525"/>
      <c r="EV171" s="525"/>
      <c r="EW171" s="525"/>
      <c r="EX171" s="525"/>
      <c r="EY171" s="525"/>
      <c r="EZ171" s="525"/>
      <c r="FA171" s="525"/>
      <c r="FB171" s="525"/>
      <c r="FC171" s="525"/>
      <c r="FD171" s="525"/>
      <c r="FE171" s="525"/>
      <c r="FF171" s="525"/>
      <c r="FG171" s="525"/>
      <c r="FH171" s="525"/>
      <c r="FI171" s="525"/>
      <c r="FJ171" s="525"/>
      <c r="FK171" s="525"/>
      <c r="FL171" s="525"/>
      <c r="FM171" s="525"/>
      <c r="FN171" s="525"/>
      <c r="FO171" s="525"/>
      <c r="FP171" s="525"/>
      <c r="FQ171" s="525"/>
      <c r="FR171" s="525"/>
      <c r="FS171" s="525"/>
      <c r="FT171" s="525"/>
      <c r="FU171" s="525"/>
      <c r="FV171" s="525"/>
      <c r="FW171" s="525"/>
      <c r="FX171" s="525"/>
      <c r="FY171" s="525"/>
      <c r="FZ171" s="525"/>
      <c r="GA171" s="525"/>
      <c r="GB171" s="525"/>
      <c r="GC171" s="525"/>
      <c r="GD171" s="525"/>
      <c r="GE171" s="525"/>
      <c r="GF171" s="525"/>
      <c r="GG171" s="525"/>
      <c r="GH171" s="525"/>
      <c r="GI171" s="525"/>
      <c r="GJ171" s="525"/>
      <c r="GK171" s="525"/>
      <c r="GL171" s="525"/>
      <c r="GM171" s="525"/>
      <c r="GN171" s="525"/>
      <c r="GO171" s="525"/>
      <c r="GP171" s="525"/>
      <c r="GQ171" s="525"/>
      <c r="GR171" s="525"/>
      <c r="GS171" s="525"/>
      <c r="GT171" s="525"/>
      <c r="GU171" s="525"/>
      <c r="GV171" s="525"/>
      <c r="GW171" s="525"/>
      <c r="GX171" s="525"/>
      <c r="GY171" s="525"/>
      <c r="GZ171" s="525"/>
      <c r="HA171" s="525"/>
      <c r="HB171" s="525"/>
      <c r="HC171" s="525"/>
      <c r="HD171" s="525"/>
      <c r="HE171" s="525"/>
      <c r="HF171" s="525"/>
      <c r="HG171" s="525"/>
      <c r="HH171" s="525"/>
      <c r="HI171" s="525"/>
      <c r="HJ171" s="525"/>
      <c r="HK171" s="525"/>
      <c r="HL171" s="525"/>
      <c r="HM171" s="525"/>
      <c r="HN171" s="525"/>
      <c r="HO171" s="525"/>
      <c r="HP171" s="525"/>
      <c r="HQ171" s="525"/>
      <c r="HR171" s="525"/>
      <c r="HS171" s="525"/>
      <c r="HT171" s="525"/>
      <c r="HU171" s="525"/>
      <c r="HV171" s="525"/>
      <c r="HW171" s="525"/>
      <c r="HX171" s="525"/>
      <c r="HY171" s="525"/>
      <c r="HZ171" s="525"/>
      <c r="IA171" s="525"/>
      <c r="IB171" s="525"/>
      <c r="IC171" s="525"/>
      <c r="ID171" s="525"/>
      <c r="IE171" s="525"/>
      <c r="IF171" s="525"/>
      <c r="IG171" s="525"/>
      <c r="IH171" s="525"/>
      <c r="II171" s="525"/>
      <c r="IJ171" s="525"/>
      <c r="IK171" s="525"/>
      <c r="IL171" s="525"/>
      <c r="IM171" s="525"/>
      <c r="IN171" s="525"/>
      <c r="IO171" s="525"/>
      <c r="IP171" s="525"/>
      <c r="IQ171" s="525"/>
      <c r="IR171" s="525"/>
      <c r="IS171" s="525"/>
      <c r="IT171" s="525"/>
      <c r="IU171" s="525"/>
      <c r="IV171" s="525"/>
      <c r="IW171" s="525"/>
    </row>
    <row r="172" customFormat="false" ht="11.25" hidden="false" customHeight="false" outlineLevel="0" collapsed="false">
      <c r="A172" s="114"/>
      <c r="B172" s="498"/>
      <c r="C172" s="498"/>
      <c r="D172" s="498"/>
      <c r="E172" s="498"/>
      <c r="F172" s="498"/>
      <c r="G172" s="498"/>
      <c r="H172" s="498"/>
      <c r="I172" s="498"/>
      <c r="J172" s="498"/>
      <c r="K172" s="498"/>
      <c r="L172" s="498"/>
      <c r="M172" s="498"/>
      <c r="N172" s="498"/>
      <c r="O172" s="498"/>
      <c r="P172" s="498"/>
      <c r="Q172" s="498"/>
      <c r="R172" s="498"/>
      <c r="S172" s="498"/>
      <c r="T172" s="498"/>
      <c r="U172" s="498"/>
      <c r="V172" s="498"/>
      <c r="W172" s="498"/>
      <c r="X172" s="498"/>
      <c r="Y172" s="498"/>
      <c r="Z172" s="498"/>
      <c r="AA172" s="498"/>
      <c r="AB172" s="498"/>
      <c r="AC172" s="498"/>
      <c r="AD172" s="498"/>
      <c r="AE172" s="498"/>
      <c r="AF172" s="498"/>
      <c r="AG172" s="498"/>
      <c r="AH172" s="498"/>
      <c r="AI172" s="498"/>
      <c r="AJ172" s="498"/>
      <c r="AK172" s="498"/>
      <c r="AL172" s="498"/>
      <c r="AM172" s="498"/>
      <c r="AN172" s="498"/>
      <c r="AO172" s="498"/>
      <c r="AP172" s="498"/>
      <c r="AQ172" s="114"/>
      <c r="AR172" s="114"/>
      <c r="AS172" s="114"/>
      <c r="AT172" s="114"/>
      <c r="AU172" s="114"/>
      <c r="AV172" s="114"/>
      <c r="AW172" s="114"/>
      <c r="AX172" s="114"/>
      <c r="AY172" s="114"/>
      <c r="AZ172" s="114"/>
      <c r="BA172" s="114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4"/>
      <c r="BM172" s="114"/>
      <c r="BN172" s="114"/>
      <c r="BO172" s="114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4"/>
      <c r="CA172" s="114"/>
      <c r="CB172" s="114"/>
      <c r="CC172" s="114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4"/>
      <c r="CO172" s="114"/>
      <c r="CP172" s="114"/>
      <c r="CQ172" s="114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4"/>
      <c r="DC172" s="114"/>
      <c r="DD172" s="114"/>
      <c r="DE172" s="114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4"/>
      <c r="DQ172" s="114"/>
      <c r="DR172" s="114"/>
      <c r="DS172" s="114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4"/>
      <c r="EE172" s="114"/>
      <c r="EF172" s="114"/>
      <c r="EG172" s="114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4"/>
      <c r="ES172" s="114"/>
      <c r="ET172" s="114"/>
      <c r="EU172" s="114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4"/>
      <c r="FG172" s="114"/>
      <c r="FH172" s="114"/>
      <c r="FI172" s="114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4"/>
      <c r="FU172" s="114"/>
      <c r="FV172" s="114"/>
      <c r="FW172" s="114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4"/>
      <c r="GI172" s="114"/>
      <c r="GJ172" s="114"/>
      <c r="GK172" s="114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4"/>
      <c r="GW172" s="114"/>
      <c r="GX172" s="114"/>
      <c r="GY172" s="114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4"/>
      <c r="HK172" s="114"/>
      <c r="HL172" s="114"/>
      <c r="HM172" s="114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4"/>
      <c r="HY172" s="114"/>
      <c r="HZ172" s="114"/>
      <c r="IA172" s="114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4"/>
      <c r="IM172" s="114"/>
      <c r="IN172" s="114"/>
      <c r="IO172" s="114"/>
      <c r="IP172" s="114"/>
      <c r="IQ172" s="114"/>
      <c r="IR172" s="114"/>
      <c r="IS172" s="114"/>
      <c r="IT172" s="114"/>
      <c r="IU172" s="114"/>
      <c r="IV172" s="114"/>
      <c r="IW172" s="114"/>
    </row>
    <row r="173" customFormat="false" ht="11.25" hidden="false" customHeight="false" outlineLevel="0" collapsed="false">
      <c r="A173" s="114"/>
      <c r="B173" s="498"/>
      <c r="C173" s="498"/>
      <c r="D173" s="498"/>
      <c r="E173" s="498"/>
      <c r="F173" s="498"/>
      <c r="G173" s="498"/>
      <c r="H173" s="498"/>
      <c r="I173" s="498"/>
      <c r="J173" s="498"/>
      <c r="K173" s="498"/>
      <c r="L173" s="498"/>
      <c r="M173" s="498"/>
      <c r="N173" s="498"/>
      <c r="O173" s="498"/>
      <c r="P173" s="498"/>
      <c r="Q173" s="498"/>
      <c r="R173" s="498"/>
      <c r="S173" s="498"/>
      <c r="T173" s="498"/>
      <c r="U173" s="498"/>
      <c r="V173" s="498"/>
      <c r="W173" s="498"/>
      <c r="X173" s="498"/>
      <c r="Y173" s="498"/>
      <c r="Z173" s="498"/>
      <c r="AA173" s="498"/>
      <c r="AB173" s="498"/>
      <c r="AC173" s="498"/>
      <c r="AD173" s="498"/>
      <c r="AE173" s="498"/>
      <c r="AF173" s="498"/>
      <c r="AG173" s="498"/>
      <c r="AH173" s="498"/>
      <c r="AI173" s="498"/>
      <c r="AJ173" s="498"/>
      <c r="AK173" s="498"/>
      <c r="AL173" s="498"/>
      <c r="AM173" s="498"/>
      <c r="AN173" s="498"/>
      <c r="AO173" s="498"/>
      <c r="AP173" s="498"/>
      <c r="AQ173" s="114"/>
      <c r="AR173" s="114"/>
      <c r="AS173" s="114"/>
      <c r="AT173" s="114"/>
      <c r="AU173" s="114"/>
      <c r="AV173" s="114"/>
      <c r="AW173" s="114"/>
      <c r="AX173" s="114"/>
      <c r="AY173" s="114"/>
      <c r="AZ173" s="114"/>
      <c r="BA173" s="114"/>
      <c r="BB173" s="114"/>
      <c r="BC173" s="114"/>
      <c r="BD173" s="114"/>
      <c r="BE173" s="114"/>
      <c r="BF173" s="114"/>
      <c r="BG173" s="114"/>
      <c r="BH173" s="114"/>
      <c r="BI173" s="114"/>
      <c r="BJ173" s="114"/>
      <c r="BK173" s="114"/>
      <c r="BL173" s="114"/>
      <c r="BM173" s="114"/>
      <c r="BN173" s="114"/>
      <c r="BO173" s="114"/>
      <c r="BP173" s="114"/>
      <c r="BQ173" s="114"/>
      <c r="BR173" s="114"/>
      <c r="BS173" s="114"/>
      <c r="BT173" s="114"/>
      <c r="BU173" s="114"/>
      <c r="BV173" s="114"/>
      <c r="BW173" s="114"/>
      <c r="BX173" s="114"/>
      <c r="BY173" s="114"/>
      <c r="BZ173" s="114"/>
      <c r="CA173" s="114"/>
      <c r="CB173" s="114"/>
      <c r="CC173" s="114"/>
      <c r="CD173" s="114"/>
      <c r="CE173" s="114"/>
      <c r="CF173" s="114"/>
      <c r="CG173" s="114"/>
      <c r="CH173" s="114"/>
      <c r="CI173" s="114"/>
      <c r="CJ173" s="114"/>
      <c r="CK173" s="114"/>
      <c r="CL173" s="114"/>
      <c r="CM173" s="114"/>
      <c r="CN173" s="114"/>
      <c r="CO173" s="114"/>
      <c r="CP173" s="114"/>
      <c r="CQ173" s="114"/>
      <c r="CR173" s="114"/>
      <c r="CS173" s="114"/>
      <c r="CT173" s="114"/>
      <c r="CU173" s="114"/>
      <c r="CV173" s="114"/>
      <c r="CW173" s="114"/>
      <c r="CX173" s="114"/>
      <c r="CY173" s="114"/>
      <c r="CZ173" s="114"/>
      <c r="DA173" s="114"/>
      <c r="DB173" s="114"/>
      <c r="DC173" s="114"/>
      <c r="DD173" s="114"/>
      <c r="DE173" s="114"/>
      <c r="DF173" s="114"/>
      <c r="DG173" s="114"/>
      <c r="DH173" s="114"/>
      <c r="DI173" s="114"/>
      <c r="DJ173" s="114"/>
      <c r="DK173" s="114"/>
      <c r="DL173" s="114"/>
      <c r="DM173" s="114"/>
      <c r="DN173" s="114"/>
      <c r="DO173" s="114"/>
      <c r="DP173" s="114"/>
      <c r="DQ173" s="114"/>
      <c r="DR173" s="114"/>
      <c r="DS173" s="114"/>
      <c r="DT173" s="114"/>
      <c r="DU173" s="114"/>
      <c r="DV173" s="114"/>
      <c r="DW173" s="114"/>
      <c r="DX173" s="114"/>
      <c r="DY173" s="114"/>
      <c r="DZ173" s="114"/>
      <c r="EA173" s="114"/>
      <c r="EB173" s="114"/>
      <c r="EC173" s="114"/>
      <c r="ED173" s="114"/>
      <c r="EE173" s="114"/>
      <c r="EF173" s="114"/>
      <c r="EG173" s="114"/>
      <c r="EH173" s="114"/>
      <c r="EI173" s="114"/>
      <c r="EJ173" s="114"/>
      <c r="EK173" s="114"/>
      <c r="EL173" s="114"/>
      <c r="EM173" s="114"/>
      <c r="EN173" s="114"/>
      <c r="EO173" s="114"/>
      <c r="EP173" s="114"/>
      <c r="EQ173" s="114"/>
      <c r="ER173" s="114"/>
      <c r="ES173" s="114"/>
      <c r="ET173" s="114"/>
      <c r="EU173" s="114"/>
      <c r="EV173" s="114"/>
      <c r="EW173" s="114"/>
      <c r="EX173" s="114"/>
      <c r="EY173" s="114"/>
      <c r="EZ173" s="114"/>
      <c r="FA173" s="114"/>
      <c r="FB173" s="114"/>
      <c r="FC173" s="114"/>
      <c r="FD173" s="114"/>
      <c r="FE173" s="114"/>
      <c r="FF173" s="114"/>
      <c r="FG173" s="114"/>
      <c r="FH173" s="114"/>
      <c r="FI173" s="114"/>
      <c r="FJ173" s="114"/>
      <c r="FK173" s="114"/>
      <c r="FL173" s="114"/>
      <c r="FM173" s="114"/>
      <c r="FN173" s="114"/>
      <c r="FO173" s="114"/>
      <c r="FP173" s="114"/>
      <c r="FQ173" s="114"/>
      <c r="FR173" s="114"/>
      <c r="FS173" s="114"/>
      <c r="FT173" s="114"/>
      <c r="FU173" s="114"/>
      <c r="FV173" s="114"/>
      <c r="FW173" s="114"/>
      <c r="FX173" s="114"/>
      <c r="FY173" s="114"/>
      <c r="FZ173" s="114"/>
      <c r="GA173" s="114"/>
      <c r="GB173" s="114"/>
      <c r="GC173" s="114"/>
      <c r="GD173" s="114"/>
      <c r="GE173" s="114"/>
      <c r="GF173" s="114"/>
      <c r="GG173" s="114"/>
      <c r="GH173" s="114"/>
      <c r="GI173" s="114"/>
      <c r="GJ173" s="114"/>
      <c r="GK173" s="114"/>
      <c r="GL173" s="114"/>
      <c r="GM173" s="114"/>
      <c r="GN173" s="114"/>
      <c r="GO173" s="114"/>
      <c r="GP173" s="114"/>
      <c r="GQ173" s="114"/>
      <c r="GR173" s="114"/>
      <c r="GS173" s="114"/>
      <c r="GT173" s="114"/>
      <c r="GU173" s="114"/>
      <c r="GV173" s="114"/>
      <c r="GW173" s="114"/>
      <c r="GX173" s="114"/>
      <c r="GY173" s="114"/>
      <c r="GZ173" s="114"/>
      <c r="HA173" s="114"/>
      <c r="HB173" s="114"/>
      <c r="HC173" s="114"/>
      <c r="HD173" s="114"/>
      <c r="HE173" s="114"/>
      <c r="HF173" s="114"/>
      <c r="HG173" s="114"/>
      <c r="HH173" s="114"/>
      <c r="HI173" s="114"/>
      <c r="HJ173" s="114"/>
      <c r="HK173" s="114"/>
      <c r="HL173" s="114"/>
      <c r="HM173" s="114"/>
      <c r="HN173" s="114"/>
      <c r="HO173" s="114"/>
      <c r="HP173" s="114"/>
      <c r="HQ173" s="114"/>
      <c r="HR173" s="114"/>
      <c r="HS173" s="114"/>
      <c r="HT173" s="114"/>
      <c r="HU173" s="114"/>
      <c r="HV173" s="114"/>
      <c r="HW173" s="114"/>
      <c r="HX173" s="114"/>
      <c r="HY173" s="114"/>
      <c r="HZ173" s="114"/>
      <c r="IA173" s="114"/>
      <c r="IB173" s="114"/>
      <c r="IC173" s="114"/>
      <c r="ID173" s="114"/>
      <c r="IE173" s="114"/>
      <c r="IF173" s="114"/>
      <c r="IG173" s="114"/>
      <c r="IH173" s="114"/>
      <c r="II173" s="114"/>
      <c r="IJ173" s="114"/>
      <c r="IK173" s="114"/>
      <c r="IL173" s="114"/>
      <c r="IM173" s="114"/>
      <c r="IN173" s="114"/>
      <c r="IO173" s="114"/>
      <c r="IP173" s="114"/>
      <c r="IQ173" s="114"/>
      <c r="IR173" s="114"/>
      <c r="IS173" s="114"/>
      <c r="IT173" s="114"/>
      <c r="IU173" s="114"/>
      <c r="IV173" s="114"/>
      <c r="IW173" s="114"/>
    </row>
    <row r="174" customFormat="false" ht="11.25" hidden="false" customHeight="false" outlineLevel="0" collapsed="false">
      <c r="A174" s="529"/>
      <c r="B174" s="498"/>
      <c r="C174" s="498"/>
      <c r="D174" s="498"/>
      <c r="E174" s="498"/>
      <c r="F174" s="498"/>
      <c r="G174" s="498"/>
      <c r="H174" s="498"/>
      <c r="I174" s="498"/>
      <c r="J174" s="498"/>
      <c r="K174" s="498"/>
      <c r="L174" s="498"/>
      <c r="M174" s="498"/>
      <c r="N174" s="498"/>
      <c r="O174" s="498"/>
      <c r="P174" s="498"/>
      <c r="Q174" s="498"/>
      <c r="R174" s="498"/>
      <c r="S174" s="498"/>
      <c r="T174" s="498"/>
      <c r="U174" s="498"/>
      <c r="V174" s="498"/>
      <c r="W174" s="498"/>
      <c r="X174" s="498"/>
      <c r="Y174" s="498"/>
      <c r="Z174" s="498"/>
      <c r="AA174" s="498"/>
      <c r="AB174" s="498"/>
      <c r="AC174" s="498"/>
      <c r="AD174" s="498"/>
      <c r="AE174" s="498"/>
      <c r="AF174" s="498"/>
      <c r="AG174" s="498"/>
      <c r="AH174" s="498"/>
      <c r="AI174" s="498"/>
      <c r="AJ174" s="498"/>
      <c r="AK174" s="498"/>
      <c r="AL174" s="498"/>
      <c r="AM174" s="498"/>
      <c r="AN174" s="498"/>
      <c r="AO174" s="498"/>
      <c r="AP174" s="498"/>
      <c r="AQ174" s="529"/>
      <c r="AR174" s="529"/>
      <c r="AS174" s="529"/>
      <c r="AT174" s="529"/>
      <c r="AU174" s="529"/>
      <c r="AV174" s="529"/>
      <c r="AW174" s="529"/>
      <c r="AX174" s="529"/>
      <c r="AY174" s="529"/>
      <c r="AZ174" s="529"/>
      <c r="BA174" s="529"/>
      <c r="BB174" s="529"/>
      <c r="BC174" s="529"/>
      <c r="BD174" s="529"/>
      <c r="BE174" s="529"/>
      <c r="BF174" s="529"/>
      <c r="BG174" s="529"/>
      <c r="BH174" s="529"/>
      <c r="BI174" s="529"/>
      <c r="BJ174" s="529"/>
      <c r="BK174" s="529"/>
      <c r="BL174" s="529"/>
      <c r="BM174" s="529"/>
      <c r="BN174" s="529"/>
      <c r="BO174" s="529"/>
      <c r="BP174" s="529"/>
      <c r="BQ174" s="529"/>
      <c r="BR174" s="529"/>
      <c r="BS174" s="529"/>
      <c r="BT174" s="529"/>
      <c r="BU174" s="529"/>
      <c r="BV174" s="529"/>
      <c r="BW174" s="529"/>
      <c r="BX174" s="529"/>
      <c r="BY174" s="529"/>
      <c r="BZ174" s="529"/>
      <c r="CA174" s="529"/>
      <c r="CB174" s="529"/>
      <c r="CC174" s="529"/>
      <c r="CD174" s="529"/>
      <c r="CE174" s="529"/>
      <c r="CF174" s="529"/>
      <c r="CG174" s="529"/>
      <c r="CH174" s="529"/>
      <c r="CI174" s="529"/>
      <c r="CJ174" s="529"/>
      <c r="CK174" s="529"/>
      <c r="CL174" s="529"/>
      <c r="CM174" s="529"/>
      <c r="CN174" s="529"/>
      <c r="CO174" s="529"/>
      <c r="CP174" s="529"/>
      <c r="CQ174" s="529"/>
      <c r="CR174" s="529"/>
      <c r="CS174" s="529"/>
      <c r="CT174" s="529"/>
      <c r="CU174" s="529"/>
      <c r="CV174" s="529"/>
      <c r="CW174" s="529"/>
      <c r="CX174" s="529"/>
      <c r="CY174" s="529"/>
      <c r="CZ174" s="529"/>
      <c r="DA174" s="529"/>
      <c r="DB174" s="529"/>
      <c r="DC174" s="529"/>
      <c r="DD174" s="529"/>
      <c r="DE174" s="529"/>
      <c r="DF174" s="529"/>
      <c r="DG174" s="529"/>
      <c r="DH174" s="529"/>
      <c r="DI174" s="529"/>
      <c r="DJ174" s="529"/>
      <c r="DK174" s="529"/>
      <c r="DL174" s="529"/>
      <c r="DM174" s="529"/>
      <c r="DN174" s="529"/>
      <c r="DO174" s="529"/>
      <c r="DP174" s="529"/>
      <c r="DQ174" s="529"/>
      <c r="DR174" s="529"/>
      <c r="DS174" s="529"/>
      <c r="DT174" s="529"/>
      <c r="DU174" s="529"/>
      <c r="DV174" s="529"/>
      <c r="DW174" s="529"/>
      <c r="DX174" s="529"/>
      <c r="DY174" s="529"/>
      <c r="DZ174" s="529"/>
      <c r="EA174" s="529"/>
      <c r="EB174" s="529"/>
      <c r="EC174" s="529"/>
      <c r="ED174" s="529"/>
      <c r="EE174" s="529"/>
      <c r="EF174" s="529"/>
      <c r="EG174" s="529"/>
      <c r="EH174" s="529"/>
      <c r="EI174" s="529"/>
      <c r="EJ174" s="529"/>
      <c r="EK174" s="529"/>
      <c r="EL174" s="529"/>
      <c r="EM174" s="529"/>
      <c r="EN174" s="529"/>
      <c r="EO174" s="529"/>
      <c r="EP174" s="529"/>
      <c r="EQ174" s="529"/>
      <c r="ER174" s="529"/>
      <c r="ES174" s="529"/>
      <c r="ET174" s="529"/>
      <c r="EU174" s="529"/>
      <c r="EV174" s="529"/>
      <c r="EW174" s="529"/>
      <c r="EX174" s="529"/>
      <c r="EY174" s="529"/>
      <c r="EZ174" s="529"/>
      <c r="FA174" s="529"/>
      <c r="FB174" s="529"/>
      <c r="FC174" s="529"/>
      <c r="FD174" s="529"/>
      <c r="FE174" s="529"/>
      <c r="FF174" s="529"/>
      <c r="FG174" s="529"/>
      <c r="FH174" s="529"/>
      <c r="FI174" s="529"/>
      <c r="FJ174" s="529"/>
      <c r="FK174" s="529"/>
      <c r="FL174" s="529"/>
      <c r="FM174" s="529"/>
      <c r="FN174" s="529"/>
      <c r="FO174" s="529"/>
      <c r="FP174" s="529"/>
      <c r="FQ174" s="529"/>
      <c r="FR174" s="529"/>
      <c r="FS174" s="529"/>
      <c r="FT174" s="529"/>
      <c r="FU174" s="529"/>
      <c r="FV174" s="529"/>
      <c r="FW174" s="529"/>
      <c r="FX174" s="529"/>
      <c r="FY174" s="529"/>
      <c r="FZ174" s="529"/>
      <c r="GA174" s="529"/>
      <c r="GB174" s="529"/>
      <c r="GC174" s="529"/>
      <c r="GD174" s="529"/>
      <c r="GE174" s="529"/>
      <c r="GF174" s="529"/>
      <c r="GG174" s="529"/>
      <c r="GH174" s="529"/>
      <c r="GI174" s="529"/>
      <c r="GJ174" s="529"/>
      <c r="GK174" s="529"/>
      <c r="GL174" s="529"/>
      <c r="GM174" s="529"/>
      <c r="GN174" s="529"/>
      <c r="GO174" s="529"/>
      <c r="GP174" s="529"/>
      <c r="GQ174" s="529"/>
      <c r="GR174" s="529"/>
      <c r="GS174" s="529"/>
      <c r="GT174" s="529"/>
      <c r="GU174" s="529"/>
      <c r="GV174" s="529"/>
      <c r="GW174" s="529"/>
      <c r="GX174" s="529"/>
      <c r="GY174" s="529"/>
      <c r="GZ174" s="529"/>
      <c r="HA174" s="529"/>
      <c r="HB174" s="529"/>
      <c r="HC174" s="529"/>
      <c r="HD174" s="529"/>
      <c r="HE174" s="529"/>
      <c r="HF174" s="529"/>
      <c r="HG174" s="529"/>
      <c r="HH174" s="529"/>
      <c r="HI174" s="529"/>
      <c r="HJ174" s="529"/>
      <c r="HK174" s="529"/>
      <c r="HL174" s="529"/>
      <c r="HM174" s="529"/>
      <c r="HN174" s="529"/>
      <c r="HO174" s="529"/>
      <c r="HP174" s="529"/>
      <c r="HQ174" s="529"/>
      <c r="HR174" s="529"/>
      <c r="HS174" s="529"/>
      <c r="HT174" s="529"/>
      <c r="HU174" s="529"/>
      <c r="HV174" s="529"/>
      <c r="HW174" s="529"/>
      <c r="HX174" s="529"/>
      <c r="HY174" s="529"/>
      <c r="HZ174" s="529"/>
      <c r="IA174" s="529"/>
      <c r="IB174" s="529"/>
      <c r="IC174" s="529"/>
      <c r="ID174" s="529"/>
      <c r="IE174" s="529"/>
      <c r="IF174" s="529"/>
      <c r="IG174" s="529"/>
      <c r="IH174" s="529"/>
      <c r="II174" s="529"/>
      <c r="IJ174" s="529"/>
      <c r="IK174" s="529"/>
      <c r="IL174" s="529"/>
      <c r="IM174" s="529"/>
      <c r="IN174" s="529"/>
      <c r="IO174" s="529"/>
      <c r="IP174" s="529"/>
      <c r="IQ174" s="529"/>
      <c r="IR174" s="529"/>
      <c r="IS174" s="529"/>
      <c r="IT174" s="529"/>
      <c r="IU174" s="529"/>
      <c r="IV174" s="529"/>
      <c r="IW174" s="529"/>
    </row>
    <row r="175" customFormat="false" ht="11.25" hidden="false" customHeight="false" outlineLevel="0" collapsed="false">
      <c r="A175" s="625"/>
      <c r="B175" s="498"/>
      <c r="C175" s="498"/>
      <c r="D175" s="498"/>
      <c r="E175" s="498"/>
      <c r="F175" s="498"/>
      <c r="G175" s="498"/>
      <c r="H175" s="498"/>
      <c r="I175" s="498"/>
      <c r="J175" s="498"/>
      <c r="K175" s="498"/>
      <c r="L175" s="498"/>
      <c r="M175" s="498"/>
      <c r="N175" s="498"/>
      <c r="O175" s="498"/>
      <c r="P175" s="498"/>
      <c r="Q175" s="498"/>
      <c r="R175" s="498"/>
      <c r="S175" s="498"/>
      <c r="T175" s="498"/>
      <c r="U175" s="498"/>
      <c r="V175" s="498"/>
      <c r="W175" s="498"/>
      <c r="X175" s="498"/>
      <c r="Y175" s="498"/>
      <c r="Z175" s="498"/>
      <c r="AA175" s="498"/>
      <c r="AB175" s="498"/>
      <c r="AC175" s="498"/>
      <c r="AD175" s="498"/>
      <c r="AE175" s="498"/>
      <c r="AF175" s="498"/>
      <c r="AG175" s="498"/>
      <c r="AH175" s="498"/>
      <c r="AI175" s="498"/>
      <c r="AJ175" s="498"/>
      <c r="AK175" s="498"/>
      <c r="AL175" s="498"/>
      <c r="AM175" s="498"/>
      <c r="AN175" s="498"/>
      <c r="AO175" s="498"/>
      <c r="AP175" s="498"/>
      <c r="AQ175" s="625"/>
      <c r="AR175" s="625"/>
      <c r="AS175" s="625"/>
      <c r="AT175" s="625"/>
      <c r="AU175" s="625"/>
      <c r="AV175" s="625"/>
      <c r="AW175" s="625"/>
      <c r="AX175" s="625"/>
      <c r="AY175" s="625"/>
      <c r="AZ175" s="625"/>
      <c r="BA175" s="625"/>
      <c r="BB175" s="625"/>
      <c r="BC175" s="625"/>
      <c r="BD175" s="625"/>
      <c r="BE175" s="625"/>
      <c r="BF175" s="625"/>
      <c r="BG175" s="625"/>
      <c r="BH175" s="625"/>
      <c r="BI175" s="625"/>
      <c r="BJ175" s="625"/>
      <c r="BK175" s="625"/>
      <c r="BL175" s="625"/>
      <c r="BM175" s="625"/>
      <c r="BN175" s="625"/>
      <c r="BO175" s="625"/>
      <c r="BP175" s="625"/>
      <c r="BQ175" s="625"/>
      <c r="BR175" s="625"/>
      <c r="BS175" s="625"/>
      <c r="BT175" s="625"/>
      <c r="BU175" s="625"/>
      <c r="BV175" s="625"/>
      <c r="BW175" s="625"/>
      <c r="BX175" s="625"/>
      <c r="BY175" s="625"/>
      <c r="BZ175" s="625"/>
      <c r="CA175" s="625"/>
      <c r="CB175" s="625"/>
      <c r="CC175" s="625"/>
      <c r="CD175" s="625"/>
      <c r="CE175" s="625"/>
      <c r="CF175" s="625"/>
      <c r="CG175" s="625"/>
      <c r="CH175" s="625"/>
      <c r="CI175" s="625"/>
      <c r="CJ175" s="625"/>
      <c r="CK175" s="625"/>
      <c r="CL175" s="625"/>
      <c r="CM175" s="625"/>
      <c r="CN175" s="625"/>
      <c r="CO175" s="625"/>
      <c r="CP175" s="625"/>
      <c r="CQ175" s="625"/>
      <c r="CR175" s="625"/>
      <c r="CS175" s="625"/>
      <c r="CT175" s="625"/>
      <c r="CU175" s="625"/>
      <c r="CV175" s="625"/>
      <c r="CW175" s="625"/>
      <c r="CX175" s="625"/>
      <c r="CY175" s="625"/>
      <c r="CZ175" s="625"/>
      <c r="DA175" s="625"/>
      <c r="DB175" s="625"/>
      <c r="DC175" s="625"/>
      <c r="DD175" s="625"/>
      <c r="DE175" s="625"/>
      <c r="DF175" s="625"/>
      <c r="DG175" s="625"/>
      <c r="DH175" s="625"/>
      <c r="DI175" s="625"/>
      <c r="DJ175" s="625"/>
      <c r="DK175" s="625"/>
      <c r="DL175" s="625"/>
      <c r="DM175" s="625"/>
      <c r="DN175" s="625"/>
      <c r="DO175" s="625"/>
      <c r="DP175" s="625"/>
      <c r="DQ175" s="625"/>
      <c r="DR175" s="625"/>
      <c r="DS175" s="625"/>
      <c r="DT175" s="625"/>
      <c r="DU175" s="625"/>
      <c r="DV175" s="625"/>
      <c r="DW175" s="625"/>
      <c r="DX175" s="625"/>
      <c r="DY175" s="625"/>
      <c r="DZ175" s="625"/>
      <c r="EA175" s="625"/>
      <c r="EB175" s="625"/>
      <c r="EC175" s="625"/>
      <c r="ED175" s="625"/>
      <c r="EE175" s="625"/>
      <c r="EF175" s="625"/>
      <c r="EG175" s="625"/>
      <c r="EH175" s="625"/>
      <c r="EI175" s="625"/>
      <c r="EJ175" s="625"/>
      <c r="EK175" s="625"/>
      <c r="EL175" s="625"/>
      <c r="EM175" s="625"/>
      <c r="EN175" s="625"/>
      <c r="EO175" s="625"/>
      <c r="EP175" s="625"/>
      <c r="EQ175" s="625"/>
      <c r="ER175" s="625"/>
      <c r="ES175" s="625"/>
      <c r="ET175" s="625"/>
      <c r="EU175" s="625"/>
      <c r="EV175" s="625"/>
      <c r="EW175" s="625"/>
      <c r="EX175" s="625"/>
      <c r="EY175" s="625"/>
      <c r="EZ175" s="625"/>
      <c r="FA175" s="625"/>
      <c r="FB175" s="625"/>
      <c r="FC175" s="625"/>
      <c r="FD175" s="625"/>
      <c r="FE175" s="625"/>
      <c r="FF175" s="625"/>
      <c r="FG175" s="625"/>
      <c r="FH175" s="625"/>
      <c r="FI175" s="625"/>
      <c r="FJ175" s="625"/>
      <c r="FK175" s="625"/>
      <c r="FL175" s="625"/>
      <c r="FM175" s="625"/>
      <c r="FN175" s="625"/>
      <c r="FO175" s="625"/>
      <c r="FP175" s="625"/>
      <c r="FQ175" s="625"/>
      <c r="FR175" s="625"/>
      <c r="FS175" s="625"/>
      <c r="FT175" s="625"/>
      <c r="FU175" s="625"/>
      <c r="FV175" s="625"/>
      <c r="FW175" s="625"/>
      <c r="FX175" s="625"/>
      <c r="FY175" s="625"/>
      <c r="FZ175" s="625"/>
      <c r="GA175" s="625"/>
      <c r="GB175" s="625"/>
      <c r="GC175" s="625"/>
      <c r="GD175" s="625"/>
      <c r="GE175" s="625"/>
      <c r="GF175" s="625"/>
      <c r="GG175" s="625"/>
      <c r="GH175" s="625"/>
      <c r="GI175" s="625"/>
      <c r="GJ175" s="625"/>
      <c r="GK175" s="625"/>
      <c r="GL175" s="625"/>
      <c r="GM175" s="625"/>
      <c r="GN175" s="625"/>
      <c r="GO175" s="625"/>
      <c r="GP175" s="625"/>
      <c r="GQ175" s="625"/>
      <c r="GR175" s="625"/>
      <c r="GS175" s="625"/>
      <c r="GT175" s="625"/>
      <c r="GU175" s="625"/>
      <c r="GV175" s="625"/>
      <c r="GW175" s="625"/>
      <c r="GX175" s="625"/>
      <c r="GY175" s="625"/>
      <c r="GZ175" s="625"/>
      <c r="HA175" s="625"/>
      <c r="HB175" s="625"/>
      <c r="HC175" s="625"/>
      <c r="HD175" s="625"/>
      <c r="HE175" s="625"/>
      <c r="HF175" s="625"/>
      <c r="HG175" s="625"/>
      <c r="HH175" s="625"/>
      <c r="HI175" s="625"/>
      <c r="HJ175" s="625"/>
      <c r="HK175" s="625"/>
      <c r="HL175" s="625"/>
      <c r="HM175" s="625"/>
      <c r="HN175" s="625"/>
      <c r="HO175" s="625"/>
      <c r="HP175" s="625"/>
      <c r="HQ175" s="625"/>
      <c r="HR175" s="625"/>
      <c r="HS175" s="625"/>
      <c r="HT175" s="625"/>
      <c r="HU175" s="625"/>
      <c r="HV175" s="625"/>
      <c r="HW175" s="625"/>
      <c r="HX175" s="625"/>
      <c r="HY175" s="625"/>
      <c r="HZ175" s="625"/>
      <c r="IA175" s="625"/>
      <c r="IB175" s="625"/>
      <c r="IC175" s="625"/>
      <c r="ID175" s="625"/>
      <c r="IE175" s="625"/>
      <c r="IF175" s="625"/>
      <c r="IG175" s="625"/>
      <c r="IH175" s="625"/>
      <c r="II175" s="625"/>
      <c r="IJ175" s="625"/>
      <c r="IK175" s="625"/>
      <c r="IL175" s="625"/>
      <c r="IM175" s="625"/>
      <c r="IN175" s="625"/>
      <c r="IO175" s="625"/>
      <c r="IP175" s="625"/>
      <c r="IQ175" s="625"/>
      <c r="IR175" s="625"/>
      <c r="IS175" s="625"/>
      <c r="IT175" s="625"/>
      <c r="IU175" s="625"/>
      <c r="IV175" s="625"/>
      <c r="IW175" s="625"/>
    </row>
    <row r="176" customFormat="false" ht="11.25" hidden="false" customHeight="false" outlineLevel="0" collapsed="false">
      <c r="A176" s="533"/>
      <c r="B176" s="498"/>
      <c r="C176" s="498"/>
      <c r="D176" s="498"/>
      <c r="E176" s="498"/>
      <c r="F176" s="498"/>
      <c r="G176" s="498"/>
      <c r="H176" s="498"/>
      <c r="I176" s="498"/>
      <c r="J176" s="498"/>
      <c r="K176" s="498"/>
      <c r="L176" s="498"/>
      <c r="M176" s="498"/>
      <c r="N176" s="498"/>
      <c r="O176" s="498"/>
      <c r="P176" s="498"/>
      <c r="Q176" s="498"/>
      <c r="R176" s="498"/>
      <c r="S176" s="498"/>
      <c r="T176" s="498"/>
      <c r="U176" s="498"/>
      <c r="V176" s="498"/>
      <c r="W176" s="498"/>
      <c r="X176" s="498"/>
      <c r="Y176" s="498"/>
      <c r="Z176" s="498"/>
      <c r="AA176" s="498"/>
      <c r="AB176" s="498"/>
      <c r="AC176" s="498"/>
      <c r="AD176" s="498"/>
      <c r="AE176" s="498"/>
      <c r="AF176" s="498"/>
      <c r="AG176" s="498"/>
      <c r="AH176" s="498"/>
      <c r="AI176" s="498"/>
      <c r="AJ176" s="498"/>
      <c r="AK176" s="498"/>
      <c r="AL176" s="498"/>
      <c r="AM176" s="498"/>
      <c r="AN176" s="498"/>
      <c r="AO176" s="498"/>
      <c r="AP176" s="498"/>
      <c r="AQ176" s="533"/>
      <c r="AR176" s="533"/>
      <c r="AS176" s="533"/>
      <c r="AT176" s="533"/>
      <c r="AU176" s="533"/>
      <c r="AV176" s="533"/>
      <c r="AW176" s="533"/>
      <c r="AX176" s="533"/>
      <c r="AY176" s="533"/>
      <c r="AZ176" s="533"/>
      <c r="BA176" s="533"/>
      <c r="BB176" s="533"/>
      <c r="BC176" s="533"/>
      <c r="BD176" s="533"/>
      <c r="BE176" s="533"/>
      <c r="BF176" s="533"/>
      <c r="BG176" s="533"/>
      <c r="BH176" s="533"/>
      <c r="BI176" s="533"/>
      <c r="BJ176" s="533"/>
      <c r="BK176" s="533"/>
      <c r="BL176" s="533"/>
      <c r="BM176" s="533"/>
      <c r="BN176" s="533"/>
      <c r="BO176" s="533"/>
      <c r="BP176" s="533"/>
      <c r="BQ176" s="533"/>
      <c r="BR176" s="533"/>
      <c r="BS176" s="533"/>
      <c r="BT176" s="533"/>
      <c r="BU176" s="533"/>
      <c r="BV176" s="533"/>
      <c r="BW176" s="533"/>
      <c r="BX176" s="533"/>
      <c r="BY176" s="533"/>
      <c r="BZ176" s="533"/>
      <c r="CA176" s="533"/>
      <c r="CB176" s="533"/>
      <c r="CC176" s="533"/>
      <c r="CD176" s="533"/>
      <c r="CE176" s="533"/>
      <c r="CF176" s="533"/>
      <c r="CG176" s="533"/>
      <c r="CH176" s="533"/>
      <c r="CI176" s="533"/>
      <c r="CJ176" s="533"/>
      <c r="CK176" s="533"/>
      <c r="CL176" s="533"/>
      <c r="CM176" s="533"/>
      <c r="CN176" s="533"/>
      <c r="CO176" s="533"/>
      <c r="CP176" s="533"/>
      <c r="CQ176" s="533"/>
      <c r="CR176" s="533"/>
      <c r="CS176" s="533"/>
      <c r="CT176" s="533"/>
      <c r="CU176" s="533"/>
      <c r="CV176" s="533"/>
      <c r="CW176" s="533"/>
      <c r="CX176" s="533"/>
      <c r="CY176" s="533"/>
      <c r="CZ176" s="533"/>
      <c r="DA176" s="533"/>
      <c r="DB176" s="533"/>
      <c r="DC176" s="533"/>
      <c r="DD176" s="533"/>
      <c r="DE176" s="533"/>
      <c r="DF176" s="533"/>
      <c r="DG176" s="533"/>
      <c r="DH176" s="533"/>
      <c r="DI176" s="533"/>
      <c r="DJ176" s="533"/>
      <c r="DK176" s="533"/>
      <c r="DL176" s="533"/>
      <c r="DM176" s="533"/>
      <c r="DN176" s="533"/>
      <c r="DO176" s="533"/>
      <c r="DP176" s="533"/>
      <c r="DQ176" s="533"/>
      <c r="DR176" s="533"/>
      <c r="DS176" s="533"/>
      <c r="DT176" s="533"/>
      <c r="DU176" s="533"/>
      <c r="DV176" s="533"/>
      <c r="DW176" s="533"/>
      <c r="DX176" s="533"/>
      <c r="DY176" s="533"/>
      <c r="DZ176" s="533"/>
      <c r="EA176" s="533"/>
      <c r="EB176" s="533"/>
      <c r="EC176" s="533"/>
      <c r="ED176" s="533"/>
      <c r="EE176" s="533"/>
      <c r="EF176" s="533"/>
      <c r="EG176" s="533"/>
      <c r="EH176" s="533"/>
      <c r="EI176" s="533"/>
      <c r="EJ176" s="533"/>
      <c r="EK176" s="533"/>
      <c r="EL176" s="533"/>
      <c r="EM176" s="533"/>
      <c r="EN176" s="533"/>
      <c r="EO176" s="533"/>
      <c r="EP176" s="533"/>
      <c r="EQ176" s="533"/>
      <c r="ER176" s="533"/>
      <c r="ES176" s="533"/>
      <c r="ET176" s="533"/>
      <c r="EU176" s="533"/>
      <c r="EV176" s="533"/>
      <c r="EW176" s="533"/>
      <c r="EX176" s="533"/>
      <c r="EY176" s="533"/>
      <c r="EZ176" s="533"/>
      <c r="FA176" s="533"/>
      <c r="FB176" s="533"/>
      <c r="FC176" s="533"/>
      <c r="FD176" s="533"/>
      <c r="FE176" s="533"/>
      <c r="FF176" s="533"/>
      <c r="FG176" s="533"/>
      <c r="FH176" s="533"/>
      <c r="FI176" s="533"/>
      <c r="FJ176" s="533"/>
      <c r="FK176" s="533"/>
      <c r="FL176" s="533"/>
      <c r="FM176" s="533"/>
      <c r="FN176" s="533"/>
      <c r="FO176" s="533"/>
      <c r="FP176" s="533"/>
      <c r="FQ176" s="533"/>
      <c r="FR176" s="533"/>
      <c r="FS176" s="533"/>
      <c r="FT176" s="533"/>
      <c r="FU176" s="533"/>
      <c r="FV176" s="533"/>
      <c r="FW176" s="533"/>
      <c r="FX176" s="533"/>
      <c r="FY176" s="533"/>
      <c r="FZ176" s="533"/>
      <c r="GA176" s="533"/>
      <c r="GB176" s="533"/>
      <c r="GC176" s="533"/>
      <c r="GD176" s="533"/>
      <c r="GE176" s="533"/>
      <c r="GF176" s="533"/>
      <c r="GG176" s="533"/>
      <c r="GH176" s="533"/>
      <c r="GI176" s="533"/>
      <c r="GJ176" s="533"/>
      <c r="GK176" s="533"/>
      <c r="GL176" s="533"/>
      <c r="GM176" s="533"/>
      <c r="GN176" s="533"/>
      <c r="GO176" s="533"/>
      <c r="GP176" s="533"/>
      <c r="GQ176" s="533"/>
      <c r="GR176" s="533"/>
      <c r="GS176" s="533"/>
      <c r="GT176" s="533"/>
      <c r="GU176" s="533"/>
      <c r="GV176" s="533"/>
      <c r="GW176" s="533"/>
      <c r="GX176" s="533"/>
      <c r="GY176" s="533"/>
      <c r="GZ176" s="533"/>
      <c r="HA176" s="533"/>
      <c r="HB176" s="533"/>
      <c r="HC176" s="533"/>
      <c r="HD176" s="533"/>
      <c r="HE176" s="533"/>
      <c r="HF176" s="533"/>
      <c r="HG176" s="533"/>
      <c r="HH176" s="533"/>
      <c r="HI176" s="533"/>
      <c r="HJ176" s="533"/>
      <c r="HK176" s="533"/>
      <c r="HL176" s="533"/>
      <c r="HM176" s="533"/>
      <c r="HN176" s="533"/>
      <c r="HO176" s="533"/>
      <c r="HP176" s="533"/>
      <c r="HQ176" s="533"/>
      <c r="HR176" s="533"/>
      <c r="HS176" s="533"/>
      <c r="HT176" s="533"/>
      <c r="HU176" s="533"/>
      <c r="HV176" s="533"/>
      <c r="HW176" s="533"/>
      <c r="HX176" s="533"/>
      <c r="HY176" s="533"/>
      <c r="HZ176" s="533"/>
      <c r="IA176" s="533"/>
      <c r="IB176" s="533"/>
      <c r="IC176" s="533"/>
      <c r="ID176" s="533"/>
      <c r="IE176" s="533"/>
      <c r="IF176" s="533"/>
      <c r="IG176" s="533"/>
      <c r="IH176" s="533"/>
      <c r="II176" s="533"/>
      <c r="IJ176" s="533"/>
      <c r="IK176" s="533"/>
      <c r="IL176" s="533"/>
      <c r="IM176" s="533"/>
      <c r="IN176" s="533"/>
      <c r="IO176" s="533"/>
      <c r="IP176" s="533"/>
      <c r="IQ176" s="533"/>
      <c r="IR176" s="533"/>
      <c r="IS176" s="533"/>
      <c r="IT176" s="533"/>
      <c r="IU176" s="533"/>
      <c r="IV176" s="533"/>
      <c r="IW176" s="533"/>
    </row>
    <row r="177" customFormat="false" ht="11.25" hidden="false" customHeight="false" outlineLevel="0" collapsed="false">
      <c r="A177" s="114"/>
      <c r="B177" s="498"/>
      <c r="C177" s="498"/>
      <c r="D177" s="498"/>
      <c r="E177" s="498"/>
      <c r="F177" s="498"/>
      <c r="G177" s="498"/>
      <c r="H177" s="498"/>
      <c r="I177" s="498"/>
      <c r="J177" s="498"/>
      <c r="K177" s="498"/>
      <c r="L177" s="498"/>
      <c r="M177" s="498"/>
      <c r="N177" s="498"/>
      <c r="O177" s="498"/>
      <c r="P177" s="498"/>
      <c r="Q177" s="498"/>
      <c r="R177" s="498"/>
      <c r="S177" s="498"/>
      <c r="T177" s="498"/>
      <c r="U177" s="498"/>
      <c r="V177" s="498"/>
      <c r="W177" s="498"/>
      <c r="X177" s="498"/>
      <c r="Y177" s="498"/>
      <c r="Z177" s="498"/>
      <c r="AA177" s="498"/>
      <c r="AB177" s="498"/>
      <c r="AC177" s="498"/>
      <c r="AD177" s="498"/>
      <c r="AE177" s="498"/>
      <c r="AF177" s="498"/>
      <c r="AG177" s="498"/>
      <c r="AH177" s="498"/>
      <c r="AI177" s="498"/>
      <c r="AJ177" s="498"/>
      <c r="AK177" s="498"/>
      <c r="AL177" s="498"/>
      <c r="AM177" s="498"/>
      <c r="AN177" s="498"/>
      <c r="AO177" s="498"/>
      <c r="AP177" s="498"/>
      <c r="AQ177" s="114"/>
      <c r="AR177" s="114"/>
      <c r="AS177" s="114"/>
      <c r="AT177" s="114"/>
      <c r="AU177" s="114"/>
      <c r="AV177" s="114"/>
      <c r="AW177" s="114"/>
      <c r="AX177" s="114"/>
      <c r="AY177" s="114"/>
      <c r="AZ177" s="114"/>
      <c r="BA177" s="114"/>
      <c r="BB177" s="114"/>
      <c r="BC177" s="114"/>
      <c r="BD177" s="114"/>
      <c r="BE177" s="114"/>
      <c r="BF177" s="114"/>
      <c r="BG177" s="114"/>
      <c r="BH177" s="114"/>
      <c r="BI177" s="114"/>
      <c r="BJ177" s="114"/>
      <c r="BK177" s="114"/>
      <c r="BL177" s="114"/>
      <c r="BM177" s="114"/>
      <c r="BN177" s="114"/>
      <c r="BO177" s="114"/>
      <c r="BP177" s="114"/>
      <c r="BQ177" s="114"/>
      <c r="BR177" s="114"/>
      <c r="BS177" s="114"/>
      <c r="BT177" s="114"/>
      <c r="BU177" s="114"/>
      <c r="BV177" s="114"/>
      <c r="BW177" s="114"/>
      <c r="BX177" s="114"/>
      <c r="BY177" s="114"/>
      <c r="BZ177" s="114"/>
      <c r="CA177" s="114"/>
      <c r="CB177" s="114"/>
      <c r="CC177" s="114"/>
      <c r="CD177" s="114"/>
      <c r="CE177" s="114"/>
      <c r="CF177" s="114"/>
      <c r="CG177" s="114"/>
      <c r="CH177" s="114"/>
      <c r="CI177" s="114"/>
      <c r="CJ177" s="114"/>
      <c r="CK177" s="114"/>
      <c r="CL177" s="114"/>
      <c r="CM177" s="114"/>
      <c r="CN177" s="114"/>
      <c r="CO177" s="114"/>
      <c r="CP177" s="114"/>
      <c r="CQ177" s="114"/>
      <c r="CR177" s="114"/>
      <c r="CS177" s="114"/>
      <c r="CT177" s="114"/>
      <c r="CU177" s="114"/>
      <c r="CV177" s="114"/>
      <c r="CW177" s="114"/>
      <c r="CX177" s="114"/>
      <c r="CY177" s="114"/>
      <c r="CZ177" s="114"/>
      <c r="DA177" s="114"/>
      <c r="DB177" s="114"/>
      <c r="DC177" s="114"/>
      <c r="DD177" s="114"/>
      <c r="DE177" s="114"/>
      <c r="DF177" s="114"/>
      <c r="DG177" s="114"/>
      <c r="DH177" s="114"/>
      <c r="DI177" s="114"/>
      <c r="DJ177" s="114"/>
      <c r="DK177" s="114"/>
      <c r="DL177" s="114"/>
      <c r="DM177" s="114"/>
      <c r="DN177" s="114"/>
      <c r="DO177" s="114"/>
      <c r="DP177" s="114"/>
      <c r="DQ177" s="114"/>
      <c r="DR177" s="114"/>
      <c r="DS177" s="114"/>
      <c r="DT177" s="114"/>
      <c r="DU177" s="114"/>
      <c r="DV177" s="114"/>
      <c r="DW177" s="114"/>
      <c r="DX177" s="114"/>
      <c r="DY177" s="114"/>
      <c r="DZ177" s="114"/>
      <c r="EA177" s="114"/>
      <c r="EB177" s="114"/>
      <c r="EC177" s="114"/>
      <c r="ED177" s="114"/>
      <c r="EE177" s="114"/>
      <c r="EF177" s="114"/>
      <c r="EG177" s="114"/>
      <c r="EH177" s="114"/>
      <c r="EI177" s="114"/>
      <c r="EJ177" s="114"/>
      <c r="EK177" s="114"/>
      <c r="EL177" s="114"/>
      <c r="EM177" s="114"/>
      <c r="EN177" s="114"/>
      <c r="EO177" s="114"/>
      <c r="EP177" s="114"/>
      <c r="EQ177" s="114"/>
      <c r="ER177" s="114"/>
      <c r="ES177" s="114"/>
      <c r="ET177" s="114"/>
      <c r="EU177" s="114"/>
      <c r="EV177" s="114"/>
      <c r="EW177" s="114"/>
      <c r="EX177" s="114"/>
      <c r="EY177" s="114"/>
      <c r="EZ177" s="114"/>
      <c r="FA177" s="114"/>
      <c r="FB177" s="114"/>
      <c r="FC177" s="114"/>
      <c r="FD177" s="114"/>
      <c r="FE177" s="114"/>
      <c r="FF177" s="114"/>
      <c r="FG177" s="114"/>
      <c r="FH177" s="114"/>
      <c r="FI177" s="114"/>
      <c r="FJ177" s="114"/>
      <c r="FK177" s="114"/>
      <c r="FL177" s="114"/>
      <c r="FM177" s="114"/>
      <c r="FN177" s="114"/>
      <c r="FO177" s="114"/>
      <c r="FP177" s="114"/>
      <c r="FQ177" s="114"/>
      <c r="FR177" s="114"/>
      <c r="FS177" s="114"/>
      <c r="FT177" s="114"/>
      <c r="FU177" s="114"/>
      <c r="FV177" s="114"/>
      <c r="FW177" s="114"/>
      <c r="FX177" s="114"/>
      <c r="FY177" s="114"/>
      <c r="FZ177" s="114"/>
      <c r="GA177" s="114"/>
      <c r="GB177" s="114"/>
      <c r="GC177" s="114"/>
      <c r="GD177" s="114"/>
      <c r="GE177" s="114"/>
      <c r="GF177" s="114"/>
      <c r="GG177" s="114"/>
      <c r="GH177" s="114"/>
      <c r="GI177" s="114"/>
      <c r="GJ177" s="114"/>
      <c r="GK177" s="114"/>
      <c r="GL177" s="114"/>
      <c r="GM177" s="114"/>
      <c r="GN177" s="114"/>
      <c r="GO177" s="114"/>
      <c r="GP177" s="114"/>
      <c r="GQ177" s="114"/>
      <c r="GR177" s="114"/>
      <c r="GS177" s="114"/>
      <c r="GT177" s="114"/>
      <c r="GU177" s="114"/>
      <c r="GV177" s="114"/>
      <c r="GW177" s="114"/>
      <c r="GX177" s="114"/>
      <c r="GY177" s="114"/>
      <c r="GZ177" s="114"/>
      <c r="HA177" s="114"/>
      <c r="HB177" s="114"/>
      <c r="HC177" s="114"/>
      <c r="HD177" s="114"/>
      <c r="HE177" s="114"/>
      <c r="HF177" s="114"/>
      <c r="HG177" s="114"/>
      <c r="HH177" s="114"/>
      <c r="HI177" s="114"/>
      <c r="HJ177" s="114"/>
      <c r="HK177" s="114"/>
      <c r="HL177" s="114"/>
      <c r="HM177" s="114"/>
      <c r="HN177" s="114"/>
      <c r="HO177" s="114"/>
      <c r="HP177" s="114"/>
      <c r="HQ177" s="114"/>
      <c r="HR177" s="114"/>
      <c r="HS177" s="114"/>
      <c r="HT177" s="114"/>
      <c r="HU177" s="114"/>
      <c r="HV177" s="114"/>
      <c r="HW177" s="114"/>
      <c r="HX177" s="114"/>
      <c r="HY177" s="114"/>
      <c r="HZ177" s="114"/>
      <c r="IA177" s="114"/>
      <c r="IB177" s="114"/>
      <c r="IC177" s="114"/>
      <c r="ID177" s="114"/>
      <c r="IE177" s="114"/>
      <c r="IF177" s="114"/>
      <c r="IG177" s="114"/>
      <c r="IH177" s="114"/>
      <c r="II177" s="114"/>
      <c r="IJ177" s="114"/>
      <c r="IK177" s="114"/>
      <c r="IL177" s="114"/>
      <c r="IM177" s="114"/>
      <c r="IN177" s="114"/>
      <c r="IO177" s="114"/>
      <c r="IP177" s="114"/>
      <c r="IQ177" s="114"/>
      <c r="IR177" s="114"/>
      <c r="IS177" s="114"/>
      <c r="IT177" s="114"/>
      <c r="IU177" s="114"/>
      <c r="IV177" s="114"/>
      <c r="IW177" s="114"/>
    </row>
    <row r="178" customFormat="false" ht="11.25" hidden="false" customHeight="false" outlineLevel="0" collapsed="false">
      <c r="A178" s="114"/>
      <c r="B178" s="498"/>
      <c r="C178" s="498"/>
      <c r="D178" s="498"/>
      <c r="E178" s="498"/>
      <c r="F178" s="498"/>
      <c r="G178" s="498"/>
      <c r="H178" s="498"/>
      <c r="I178" s="498"/>
      <c r="J178" s="498"/>
      <c r="K178" s="498"/>
      <c r="L178" s="498"/>
      <c r="M178" s="498"/>
      <c r="N178" s="498"/>
      <c r="O178" s="498"/>
      <c r="P178" s="498"/>
      <c r="Q178" s="498"/>
      <c r="R178" s="498"/>
      <c r="S178" s="498"/>
      <c r="T178" s="498"/>
      <c r="U178" s="498"/>
      <c r="V178" s="498"/>
      <c r="W178" s="498"/>
      <c r="X178" s="498"/>
      <c r="Y178" s="498"/>
      <c r="Z178" s="498"/>
      <c r="AA178" s="498"/>
      <c r="AB178" s="498"/>
      <c r="AC178" s="498"/>
      <c r="AD178" s="498"/>
      <c r="AE178" s="498"/>
      <c r="AF178" s="498"/>
      <c r="AG178" s="498"/>
      <c r="AH178" s="498"/>
      <c r="AI178" s="498"/>
      <c r="AJ178" s="498"/>
      <c r="AK178" s="498"/>
      <c r="AL178" s="498"/>
      <c r="AM178" s="498"/>
      <c r="AN178" s="498"/>
      <c r="AO178" s="498"/>
      <c r="AP178" s="498"/>
      <c r="AQ178" s="202"/>
      <c r="AR178" s="202"/>
      <c r="AS178" s="202"/>
      <c r="AT178" s="202"/>
      <c r="AU178" s="202"/>
      <c r="AV178" s="202"/>
      <c r="AW178" s="202"/>
      <c r="AX178" s="202"/>
      <c r="AY178" s="202"/>
      <c r="AZ178" s="202"/>
      <c r="BA178" s="202"/>
      <c r="BB178" s="202"/>
      <c r="BC178" s="114"/>
      <c r="BD178" s="114"/>
      <c r="BE178" s="114"/>
      <c r="BF178" s="114"/>
      <c r="BG178" s="114"/>
      <c r="BH178" s="114"/>
      <c r="BI178" s="114"/>
      <c r="BJ178" s="114"/>
      <c r="BK178" s="114"/>
      <c r="BL178" s="114"/>
      <c r="BM178" s="114"/>
      <c r="BN178" s="114"/>
      <c r="BO178" s="114"/>
      <c r="BP178" s="114"/>
      <c r="BQ178" s="114"/>
      <c r="BR178" s="114"/>
      <c r="BS178" s="114"/>
      <c r="BT178" s="114"/>
      <c r="BU178" s="114"/>
      <c r="BV178" s="114"/>
      <c r="BW178" s="114"/>
      <c r="BX178" s="114"/>
      <c r="BY178" s="114"/>
      <c r="BZ178" s="114"/>
      <c r="CA178" s="114"/>
      <c r="CB178" s="114"/>
      <c r="CC178" s="114"/>
      <c r="CD178" s="114"/>
      <c r="CE178" s="114"/>
      <c r="CF178" s="114"/>
      <c r="CG178" s="114"/>
      <c r="CH178" s="114"/>
      <c r="CI178" s="114"/>
      <c r="CJ178" s="114"/>
      <c r="CK178" s="114"/>
      <c r="CL178" s="114"/>
      <c r="CM178" s="114"/>
      <c r="CN178" s="114"/>
      <c r="CO178" s="114"/>
      <c r="CP178" s="114"/>
      <c r="CQ178" s="114"/>
      <c r="CR178" s="114"/>
      <c r="CS178" s="114"/>
      <c r="CT178" s="114"/>
      <c r="CU178" s="114"/>
      <c r="CV178" s="114"/>
      <c r="CW178" s="114"/>
      <c r="CX178" s="114"/>
      <c r="CY178" s="114"/>
      <c r="CZ178" s="114"/>
      <c r="DA178" s="114"/>
      <c r="DB178" s="114"/>
      <c r="DC178" s="114"/>
      <c r="DD178" s="114"/>
      <c r="DE178" s="114"/>
      <c r="DF178" s="114"/>
      <c r="DG178" s="114"/>
      <c r="DH178" s="114"/>
      <c r="DI178" s="114"/>
      <c r="DJ178" s="114"/>
      <c r="DK178" s="114"/>
      <c r="DL178" s="114"/>
      <c r="DM178" s="114"/>
      <c r="DN178" s="114"/>
      <c r="DO178" s="114"/>
      <c r="DP178" s="114"/>
      <c r="DQ178" s="114"/>
      <c r="DR178" s="114"/>
      <c r="DS178" s="114"/>
      <c r="DT178" s="114"/>
      <c r="DU178" s="114"/>
      <c r="DV178" s="114"/>
      <c r="DW178" s="114"/>
      <c r="DX178" s="114"/>
      <c r="DY178" s="114"/>
      <c r="DZ178" s="114"/>
      <c r="EA178" s="114"/>
      <c r="EB178" s="114"/>
      <c r="EC178" s="114"/>
      <c r="ED178" s="114"/>
      <c r="EE178" s="114"/>
      <c r="EF178" s="114"/>
      <c r="EG178" s="114"/>
      <c r="EH178" s="114"/>
      <c r="EI178" s="114"/>
      <c r="EJ178" s="114"/>
      <c r="EK178" s="114"/>
      <c r="EL178" s="114"/>
      <c r="EM178" s="114"/>
      <c r="EN178" s="114"/>
      <c r="EO178" s="114"/>
      <c r="EP178" s="114"/>
      <c r="EQ178" s="114"/>
      <c r="ER178" s="114"/>
      <c r="ES178" s="114"/>
      <c r="ET178" s="114"/>
      <c r="EU178" s="114"/>
      <c r="EV178" s="114"/>
      <c r="EW178" s="114"/>
      <c r="EX178" s="114"/>
      <c r="EY178" s="114"/>
      <c r="EZ178" s="114"/>
      <c r="FA178" s="114"/>
      <c r="FB178" s="114"/>
      <c r="FC178" s="114"/>
      <c r="FD178" s="114"/>
      <c r="FE178" s="114"/>
      <c r="FF178" s="114"/>
      <c r="FG178" s="114"/>
      <c r="FH178" s="114"/>
      <c r="FI178" s="114"/>
      <c r="FJ178" s="114"/>
      <c r="FK178" s="114"/>
      <c r="FL178" s="114"/>
      <c r="FM178" s="114"/>
      <c r="FN178" s="114"/>
      <c r="FO178" s="114"/>
      <c r="FP178" s="114"/>
      <c r="FQ178" s="114"/>
      <c r="FR178" s="114"/>
      <c r="FS178" s="114"/>
      <c r="FT178" s="114"/>
      <c r="FU178" s="114"/>
      <c r="FV178" s="114"/>
      <c r="FW178" s="114"/>
      <c r="FX178" s="114"/>
      <c r="FY178" s="114"/>
      <c r="FZ178" s="114"/>
      <c r="GA178" s="114"/>
      <c r="GB178" s="114"/>
      <c r="GC178" s="114"/>
      <c r="GD178" s="114"/>
      <c r="GE178" s="114"/>
      <c r="GF178" s="114"/>
      <c r="GG178" s="114"/>
      <c r="GH178" s="114"/>
      <c r="GI178" s="114"/>
      <c r="GJ178" s="114"/>
      <c r="GK178" s="114"/>
      <c r="GL178" s="114"/>
      <c r="GM178" s="114"/>
      <c r="GN178" s="114"/>
      <c r="GO178" s="114"/>
      <c r="GP178" s="114"/>
      <c r="GQ178" s="114"/>
      <c r="GR178" s="114"/>
      <c r="GS178" s="114"/>
      <c r="GT178" s="114"/>
      <c r="GU178" s="114"/>
      <c r="GV178" s="114"/>
      <c r="GW178" s="114"/>
      <c r="GX178" s="114"/>
      <c r="GY178" s="114"/>
      <c r="GZ178" s="114"/>
      <c r="HA178" s="114"/>
      <c r="HB178" s="114"/>
      <c r="HC178" s="114"/>
      <c r="HD178" s="114"/>
      <c r="HE178" s="114"/>
      <c r="HF178" s="114"/>
      <c r="HG178" s="114"/>
      <c r="HH178" s="114"/>
      <c r="HI178" s="114"/>
      <c r="HJ178" s="114"/>
      <c r="HK178" s="114"/>
      <c r="HL178" s="114"/>
      <c r="HM178" s="114"/>
      <c r="HN178" s="114"/>
      <c r="HO178" s="114"/>
      <c r="HP178" s="114"/>
      <c r="HQ178" s="114"/>
      <c r="HR178" s="114"/>
      <c r="HS178" s="114"/>
      <c r="HT178" s="114"/>
      <c r="HU178" s="114"/>
      <c r="HV178" s="114"/>
      <c r="HW178" s="114"/>
      <c r="HX178" s="114"/>
      <c r="HY178" s="114"/>
      <c r="HZ178" s="114"/>
      <c r="IA178" s="114"/>
      <c r="IB178" s="114"/>
      <c r="IC178" s="114"/>
      <c r="ID178" s="114"/>
      <c r="IE178" s="114"/>
      <c r="IF178" s="114"/>
      <c r="IG178" s="114"/>
      <c r="IH178" s="114"/>
      <c r="II178" s="114"/>
      <c r="IJ178" s="114"/>
      <c r="IK178" s="114"/>
      <c r="IL178" s="114"/>
      <c r="IM178" s="114"/>
      <c r="IN178" s="114"/>
      <c r="IO178" s="114"/>
      <c r="IP178" s="114"/>
      <c r="IQ178" s="114"/>
      <c r="IR178" s="114"/>
      <c r="IS178" s="114"/>
      <c r="IT178" s="114"/>
      <c r="IU178" s="114"/>
      <c r="IV178" s="114"/>
      <c r="IW178" s="114"/>
    </row>
    <row r="179" customFormat="false" ht="11.25" hidden="false" customHeight="false" outlineLevel="0" collapsed="false">
      <c r="A179" s="114"/>
      <c r="B179" s="498"/>
      <c r="C179" s="498"/>
      <c r="D179" s="498"/>
      <c r="E179" s="498"/>
      <c r="F179" s="498"/>
      <c r="G179" s="498"/>
      <c r="H179" s="498"/>
      <c r="I179" s="498"/>
      <c r="J179" s="498"/>
      <c r="K179" s="498"/>
      <c r="L179" s="498"/>
      <c r="M179" s="498"/>
      <c r="N179" s="498"/>
      <c r="O179" s="498"/>
      <c r="P179" s="498"/>
      <c r="Q179" s="498"/>
      <c r="R179" s="498"/>
      <c r="S179" s="498"/>
      <c r="T179" s="498"/>
      <c r="U179" s="498"/>
      <c r="V179" s="498"/>
      <c r="W179" s="498"/>
      <c r="X179" s="498"/>
      <c r="Y179" s="498"/>
      <c r="Z179" s="498"/>
      <c r="AA179" s="498"/>
      <c r="AB179" s="498"/>
      <c r="AC179" s="498"/>
      <c r="AD179" s="498"/>
      <c r="AE179" s="498"/>
      <c r="AF179" s="498"/>
      <c r="AG179" s="498"/>
      <c r="AH179" s="498"/>
      <c r="AI179" s="498"/>
      <c r="AJ179" s="498"/>
      <c r="AK179" s="498"/>
      <c r="AL179" s="498"/>
      <c r="AM179" s="498"/>
      <c r="AN179" s="498"/>
      <c r="AO179" s="498"/>
      <c r="AP179" s="498"/>
      <c r="AQ179" s="114"/>
      <c r="AR179" s="114"/>
      <c r="AS179" s="114"/>
      <c r="AT179" s="114"/>
      <c r="AU179" s="114"/>
      <c r="AV179" s="114"/>
      <c r="AW179" s="114"/>
      <c r="AX179" s="114"/>
      <c r="AY179" s="114"/>
      <c r="AZ179" s="114"/>
      <c r="BA179" s="114"/>
      <c r="BB179" s="114"/>
      <c r="BC179" s="114"/>
      <c r="BD179" s="114"/>
      <c r="BE179" s="114"/>
      <c r="BF179" s="114"/>
      <c r="BG179" s="114"/>
      <c r="BH179" s="114"/>
      <c r="BI179" s="114"/>
      <c r="BJ179" s="114"/>
      <c r="BK179" s="114"/>
      <c r="BL179" s="114"/>
      <c r="BM179" s="114"/>
      <c r="BN179" s="114"/>
      <c r="BO179" s="114"/>
      <c r="BP179" s="114"/>
      <c r="BQ179" s="114"/>
      <c r="BR179" s="114"/>
      <c r="BS179" s="114"/>
      <c r="BT179" s="114"/>
      <c r="BU179" s="114"/>
      <c r="BV179" s="114"/>
      <c r="BW179" s="114"/>
      <c r="BX179" s="114"/>
      <c r="BY179" s="114"/>
      <c r="BZ179" s="114"/>
      <c r="CA179" s="114"/>
      <c r="CB179" s="114"/>
      <c r="CC179" s="114"/>
      <c r="CD179" s="114"/>
      <c r="CE179" s="114"/>
      <c r="CF179" s="114"/>
      <c r="CG179" s="114"/>
      <c r="CH179" s="114"/>
      <c r="CI179" s="114"/>
      <c r="CJ179" s="114"/>
      <c r="CK179" s="114"/>
      <c r="CL179" s="114"/>
      <c r="CM179" s="114"/>
      <c r="CN179" s="114"/>
      <c r="CO179" s="114"/>
      <c r="CP179" s="114"/>
      <c r="CQ179" s="114"/>
      <c r="CR179" s="114"/>
      <c r="CS179" s="114"/>
      <c r="CT179" s="114"/>
      <c r="CU179" s="114"/>
      <c r="CV179" s="114"/>
      <c r="CW179" s="114"/>
      <c r="CX179" s="114"/>
      <c r="CY179" s="114"/>
      <c r="CZ179" s="114"/>
      <c r="DA179" s="114"/>
      <c r="DB179" s="114"/>
      <c r="DC179" s="114"/>
      <c r="DD179" s="114"/>
      <c r="DE179" s="114"/>
      <c r="DF179" s="114"/>
      <c r="DG179" s="114"/>
      <c r="DH179" s="114"/>
      <c r="DI179" s="114"/>
      <c r="DJ179" s="114"/>
      <c r="DK179" s="114"/>
      <c r="DL179" s="114"/>
      <c r="DM179" s="114"/>
      <c r="DN179" s="114"/>
      <c r="DO179" s="114"/>
      <c r="DP179" s="114"/>
      <c r="DQ179" s="114"/>
      <c r="DR179" s="114"/>
      <c r="DS179" s="114"/>
      <c r="DT179" s="114"/>
      <c r="DU179" s="114"/>
      <c r="DV179" s="114"/>
      <c r="DW179" s="114"/>
      <c r="DX179" s="114"/>
      <c r="DY179" s="114"/>
      <c r="DZ179" s="114"/>
      <c r="EA179" s="114"/>
      <c r="EB179" s="114"/>
      <c r="EC179" s="114"/>
      <c r="ED179" s="114"/>
      <c r="EE179" s="114"/>
      <c r="EF179" s="114"/>
      <c r="EG179" s="114"/>
      <c r="EH179" s="114"/>
      <c r="EI179" s="114"/>
      <c r="EJ179" s="114"/>
      <c r="EK179" s="114"/>
      <c r="EL179" s="114"/>
      <c r="EM179" s="114"/>
      <c r="EN179" s="114"/>
      <c r="EO179" s="114"/>
      <c r="EP179" s="114"/>
      <c r="EQ179" s="114"/>
      <c r="ER179" s="114"/>
      <c r="ES179" s="114"/>
      <c r="ET179" s="114"/>
      <c r="EU179" s="114"/>
      <c r="EV179" s="114"/>
      <c r="EW179" s="114"/>
      <c r="EX179" s="114"/>
      <c r="EY179" s="114"/>
      <c r="EZ179" s="114"/>
      <c r="FA179" s="114"/>
      <c r="FB179" s="114"/>
      <c r="FC179" s="114"/>
      <c r="FD179" s="114"/>
      <c r="FE179" s="114"/>
      <c r="FF179" s="114"/>
      <c r="FG179" s="114"/>
      <c r="FH179" s="114"/>
      <c r="FI179" s="114"/>
      <c r="FJ179" s="114"/>
      <c r="FK179" s="114"/>
      <c r="FL179" s="114"/>
      <c r="FM179" s="114"/>
      <c r="FN179" s="114"/>
      <c r="FO179" s="114"/>
      <c r="FP179" s="114"/>
      <c r="FQ179" s="114"/>
      <c r="FR179" s="114"/>
      <c r="FS179" s="114"/>
      <c r="FT179" s="114"/>
      <c r="FU179" s="114"/>
      <c r="FV179" s="114"/>
      <c r="FW179" s="114"/>
      <c r="FX179" s="114"/>
      <c r="FY179" s="114"/>
      <c r="FZ179" s="114"/>
      <c r="GA179" s="114"/>
      <c r="GB179" s="114"/>
      <c r="GC179" s="114"/>
      <c r="GD179" s="114"/>
      <c r="GE179" s="114"/>
      <c r="GF179" s="114"/>
      <c r="GG179" s="114"/>
      <c r="GH179" s="114"/>
      <c r="GI179" s="114"/>
      <c r="GJ179" s="114"/>
      <c r="GK179" s="114"/>
      <c r="GL179" s="114"/>
      <c r="GM179" s="114"/>
      <c r="GN179" s="114"/>
      <c r="GO179" s="114"/>
      <c r="GP179" s="114"/>
      <c r="GQ179" s="114"/>
      <c r="GR179" s="114"/>
      <c r="GS179" s="114"/>
      <c r="GT179" s="114"/>
      <c r="GU179" s="114"/>
      <c r="GV179" s="114"/>
      <c r="GW179" s="114"/>
      <c r="GX179" s="114"/>
      <c r="GY179" s="114"/>
      <c r="GZ179" s="114"/>
      <c r="HA179" s="114"/>
      <c r="HB179" s="114"/>
      <c r="HC179" s="114"/>
      <c r="HD179" s="114"/>
      <c r="HE179" s="114"/>
      <c r="HF179" s="114"/>
      <c r="HG179" s="114"/>
      <c r="HH179" s="114"/>
      <c r="HI179" s="114"/>
      <c r="HJ179" s="114"/>
      <c r="HK179" s="114"/>
      <c r="HL179" s="114"/>
      <c r="HM179" s="114"/>
      <c r="HN179" s="114"/>
      <c r="HO179" s="114"/>
      <c r="HP179" s="114"/>
      <c r="HQ179" s="114"/>
      <c r="HR179" s="114"/>
      <c r="HS179" s="114"/>
      <c r="HT179" s="114"/>
      <c r="HU179" s="114"/>
      <c r="HV179" s="114"/>
      <c r="HW179" s="114"/>
      <c r="HX179" s="114"/>
      <c r="HY179" s="114"/>
      <c r="HZ179" s="114"/>
      <c r="IA179" s="114"/>
      <c r="IB179" s="114"/>
      <c r="IC179" s="114"/>
      <c r="ID179" s="114"/>
      <c r="IE179" s="114"/>
      <c r="IF179" s="114"/>
      <c r="IG179" s="114"/>
      <c r="IH179" s="114"/>
      <c r="II179" s="114"/>
      <c r="IJ179" s="114"/>
      <c r="IK179" s="114"/>
      <c r="IL179" s="114"/>
      <c r="IM179" s="114"/>
      <c r="IN179" s="114"/>
      <c r="IO179" s="114"/>
      <c r="IP179" s="114"/>
      <c r="IQ179" s="114"/>
      <c r="IR179" s="114"/>
      <c r="IS179" s="114"/>
      <c r="IT179" s="114"/>
      <c r="IU179" s="114"/>
      <c r="IV179" s="114"/>
      <c r="IW179" s="114"/>
    </row>
    <row r="180" customFormat="false" ht="11.25" hidden="false" customHeight="false" outlineLevel="0" collapsed="false">
      <c r="A180" s="113"/>
      <c r="B180" s="393"/>
      <c r="C180" s="393"/>
      <c r="D180" s="393"/>
      <c r="E180" s="393"/>
      <c r="F180" s="393"/>
      <c r="G180" s="393"/>
      <c r="H180" s="393"/>
      <c r="I180" s="393"/>
      <c r="J180" s="393"/>
      <c r="K180" s="393"/>
      <c r="L180" s="393"/>
      <c r="M180" s="393"/>
      <c r="N180" s="393"/>
      <c r="O180" s="393"/>
      <c r="P180" s="393"/>
      <c r="Q180" s="393"/>
      <c r="R180" s="393"/>
      <c r="S180" s="393"/>
      <c r="T180" s="393"/>
      <c r="U180" s="393"/>
      <c r="V180" s="393"/>
      <c r="W180" s="393"/>
      <c r="X180" s="393"/>
      <c r="Y180" s="393"/>
      <c r="Z180" s="393"/>
      <c r="AA180" s="393"/>
      <c r="AB180" s="393"/>
      <c r="AC180" s="393"/>
      <c r="AD180" s="393"/>
      <c r="AE180" s="393"/>
      <c r="AF180" s="393"/>
      <c r="AG180" s="393"/>
      <c r="AH180" s="393"/>
      <c r="AI180" s="393"/>
      <c r="AJ180" s="393"/>
      <c r="AK180" s="393"/>
      <c r="AL180" s="393"/>
      <c r="AM180" s="393"/>
      <c r="AN180" s="393"/>
      <c r="AO180" s="393"/>
      <c r="AP180" s="393"/>
      <c r="AQ180" s="142"/>
      <c r="AR180" s="142"/>
      <c r="AS180" s="142"/>
      <c r="AT180" s="142"/>
      <c r="AU180" s="142"/>
      <c r="AV180" s="142"/>
      <c r="AW180" s="142"/>
      <c r="AX180" s="142"/>
      <c r="AY180" s="142"/>
      <c r="AZ180" s="142"/>
      <c r="BA180" s="142"/>
      <c r="BB180" s="142"/>
      <c r="BC180" s="113"/>
      <c r="BD180" s="113"/>
      <c r="BE180" s="113"/>
      <c r="BF180" s="113"/>
      <c r="BG180" s="113"/>
      <c r="BH180" s="113"/>
      <c r="BI180" s="113"/>
      <c r="BJ180" s="113"/>
      <c r="BK180" s="113"/>
      <c r="BL180" s="113"/>
      <c r="BM180" s="113"/>
      <c r="BN180" s="113"/>
      <c r="BO180" s="113"/>
      <c r="BP180" s="113"/>
      <c r="BQ180" s="113"/>
      <c r="BR180" s="113"/>
      <c r="BS180" s="113"/>
      <c r="BT180" s="113"/>
      <c r="BU180" s="113"/>
      <c r="BV180" s="113"/>
      <c r="BW180" s="113"/>
      <c r="BX180" s="113"/>
      <c r="BY180" s="113"/>
      <c r="BZ180" s="113"/>
      <c r="CA180" s="113"/>
      <c r="CB180" s="113"/>
      <c r="CC180" s="113"/>
      <c r="CD180" s="113"/>
      <c r="CE180" s="113"/>
      <c r="CF180" s="113"/>
      <c r="CG180" s="113"/>
      <c r="CH180" s="113"/>
      <c r="CI180" s="113"/>
      <c r="CJ180" s="113"/>
      <c r="CK180" s="113"/>
      <c r="CL180" s="113"/>
      <c r="CM180" s="113"/>
      <c r="CN180" s="113"/>
      <c r="CO180" s="113"/>
      <c r="CP180" s="113"/>
      <c r="CQ180" s="113"/>
      <c r="CR180" s="113"/>
      <c r="CS180" s="113"/>
      <c r="CT180" s="113"/>
      <c r="CU180" s="113"/>
      <c r="CV180" s="113"/>
      <c r="CW180" s="113"/>
      <c r="CX180" s="113"/>
      <c r="CY180" s="113"/>
      <c r="CZ180" s="113"/>
      <c r="DA180" s="113"/>
      <c r="DB180" s="113"/>
      <c r="DC180" s="113"/>
      <c r="DD180" s="113"/>
      <c r="DE180" s="113"/>
      <c r="DF180" s="113"/>
      <c r="DG180" s="113"/>
      <c r="DH180" s="113"/>
      <c r="DI180" s="113"/>
      <c r="DJ180" s="113"/>
      <c r="DK180" s="113"/>
      <c r="DL180" s="113"/>
      <c r="DM180" s="113"/>
      <c r="DN180" s="113"/>
      <c r="DO180" s="113"/>
      <c r="DP180" s="113"/>
      <c r="DQ180" s="113"/>
      <c r="DR180" s="113"/>
      <c r="DS180" s="113"/>
      <c r="DT180" s="113"/>
      <c r="DU180" s="113"/>
      <c r="DV180" s="113"/>
      <c r="DW180" s="113"/>
      <c r="DX180" s="113"/>
      <c r="DY180" s="113"/>
      <c r="DZ180" s="113"/>
      <c r="EA180" s="113"/>
      <c r="EB180" s="113"/>
      <c r="EC180" s="113"/>
      <c r="ED180" s="113"/>
      <c r="EE180" s="113"/>
      <c r="EF180" s="113"/>
      <c r="EG180" s="113"/>
      <c r="EH180" s="113"/>
      <c r="EI180" s="113"/>
      <c r="EJ180" s="113"/>
      <c r="EK180" s="113"/>
      <c r="EL180" s="113"/>
      <c r="EM180" s="113"/>
      <c r="EN180" s="113"/>
      <c r="EO180" s="113"/>
      <c r="EP180" s="113"/>
      <c r="EQ180" s="113"/>
      <c r="ER180" s="113"/>
      <c r="ES180" s="113"/>
      <c r="ET180" s="113"/>
      <c r="EU180" s="113"/>
      <c r="EV180" s="113"/>
      <c r="EW180" s="113"/>
      <c r="EX180" s="113"/>
      <c r="EY180" s="113"/>
      <c r="EZ180" s="113"/>
      <c r="FA180" s="113"/>
      <c r="FB180" s="113"/>
      <c r="FC180" s="113"/>
      <c r="FD180" s="113"/>
      <c r="FE180" s="113"/>
      <c r="FF180" s="113"/>
      <c r="FG180" s="113"/>
      <c r="FH180" s="113"/>
      <c r="FI180" s="113"/>
      <c r="FJ180" s="113"/>
      <c r="FK180" s="113"/>
      <c r="FL180" s="113"/>
      <c r="FM180" s="113"/>
      <c r="FN180" s="113"/>
      <c r="FO180" s="113"/>
      <c r="FP180" s="113"/>
      <c r="FQ180" s="113"/>
      <c r="FR180" s="113"/>
      <c r="FS180" s="113"/>
      <c r="FT180" s="113"/>
      <c r="FU180" s="113"/>
      <c r="FV180" s="113"/>
      <c r="FW180" s="113"/>
      <c r="FX180" s="113"/>
      <c r="FY180" s="113"/>
      <c r="FZ180" s="113"/>
      <c r="GA180" s="113"/>
      <c r="GB180" s="113"/>
      <c r="GC180" s="113"/>
      <c r="GD180" s="113"/>
      <c r="GE180" s="113"/>
      <c r="GF180" s="113"/>
      <c r="GG180" s="113"/>
      <c r="GH180" s="113"/>
      <c r="GI180" s="113"/>
      <c r="GJ180" s="113"/>
      <c r="GK180" s="113"/>
      <c r="GL180" s="113"/>
      <c r="GM180" s="113"/>
      <c r="GN180" s="113"/>
      <c r="GO180" s="113"/>
      <c r="GP180" s="113"/>
      <c r="GQ180" s="113"/>
      <c r="GR180" s="113"/>
      <c r="GS180" s="113"/>
      <c r="GT180" s="113"/>
      <c r="GU180" s="113"/>
      <c r="GV180" s="113"/>
      <c r="GW180" s="113"/>
      <c r="GX180" s="113"/>
      <c r="GY180" s="113"/>
      <c r="GZ180" s="113"/>
      <c r="HA180" s="113"/>
      <c r="HB180" s="113"/>
      <c r="HC180" s="113"/>
      <c r="HD180" s="113"/>
      <c r="HE180" s="113"/>
      <c r="HF180" s="113"/>
      <c r="HG180" s="113"/>
      <c r="HH180" s="113"/>
      <c r="HI180" s="113"/>
      <c r="HJ180" s="113"/>
      <c r="HK180" s="113"/>
      <c r="HL180" s="113"/>
      <c r="HM180" s="113"/>
      <c r="HN180" s="113"/>
      <c r="HO180" s="113"/>
      <c r="HP180" s="113"/>
      <c r="HQ180" s="113"/>
      <c r="HR180" s="113"/>
      <c r="HS180" s="113"/>
      <c r="HT180" s="113"/>
      <c r="HU180" s="113"/>
      <c r="HV180" s="113"/>
      <c r="HW180" s="113"/>
      <c r="HX180" s="113"/>
      <c r="HY180" s="113"/>
      <c r="HZ180" s="113"/>
      <c r="IA180" s="113"/>
      <c r="IB180" s="113"/>
      <c r="IC180" s="113"/>
      <c r="ID180" s="113"/>
      <c r="IE180" s="113"/>
      <c r="IF180" s="113"/>
      <c r="IG180" s="113"/>
      <c r="IH180" s="113"/>
      <c r="II180" s="113"/>
      <c r="IJ180" s="113"/>
      <c r="IK180" s="113"/>
      <c r="IL180" s="113"/>
      <c r="IM180" s="113"/>
      <c r="IN180" s="113"/>
      <c r="IO180" s="113"/>
      <c r="IP180" s="113"/>
      <c r="IQ180" s="113"/>
      <c r="IR180" s="113"/>
      <c r="IS180" s="113"/>
      <c r="IT180" s="113"/>
      <c r="IU180" s="113"/>
      <c r="IV180" s="113"/>
      <c r="IW180" s="113"/>
    </row>
    <row r="181" customFormat="false" ht="11.25" hidden="false" customHeight="false" outlineLevel="0" collapsed="false">
      <c r="A181" s="113"/>
      <c r="B181" s="393"/>
      <c r="C181" s="393"/>
      <c r="D181" s="393"/>
      <c r="E181" s="393"/>
      <c r="F181" s="393"/>
      <c r="G181" s="393"/>
      <c r="H181" s="393"/>
      <c r="I181" s="393"/>
      <c r="J181" s="393"/>
      <c r="K181" s="393"/>
      <c r="L181" s="393"/>
      <c r="M181" s="393"/>
      <c r="N181" s="393"/>
      <c r="O181" s="393"/>
      <c r="P181" s="393"/>
      <c r="Q181" s="393"/>
      <c r="R181" s="393"/>
      <c r="S181" s="393"/>
      <c r="T181" s="393"/>
      <c r="U181" s="393"/>
      <c r="V181" s="393"/>
      <c r="W181" s="393"/>
      <c r="X181" s="393"/>
      <c r="Y181" s="393"/>
      <c r="Z181" s="393"/>
      <c r="AA181" s="393"/>
      <c r="AB181" s="393"/>
      <c r="AC181" s="393"/>
      <c r="AD181" s="393"/>
      <c r="AE181" s="393"/>
      <c r="AF181" s="393"/>
      <c r="AG181" s="393"/>
      <c r="AH181" s="393"/>
      <c r="AI181" s="393"/>
      <c r="AJ181" s="393"/>
      <c r="AK181" s="393"/>
      <c r="AL181" s="393"/>
      <c r="AM181" s="393"/>
      <c r="AN181" s="393"/>
      <c r="AO181" s="393"/>
      <c r="AP181" s="393"/>
      <c r="AQ181" s="142"/>
      <c r="AR181" s="142"/>
      <c r="AS181" s="142"/>
      <c r="AT181" s="142"/>
      <c r="AU181" s="142"/>
      <c r="AV181" s="142"/>
      <c r="AW181" s="142"/>
      <c r="AX181" s="142"/>
      <c r="AY181" s="142"/>
      <c r="AZ181" s="142"/>
      <c r="BA181" s="142"/>
      <c r="BB181" s="142"/>
      <c r="BC181" s="113"/>
      <c r="BD181" s="113"/>
      <c r="BE181" s="113"/>
      <c r="BF181" s="113"/>
      <c r="BG181" s="113"/>
      <c r="BH181" s="113"/>
      <c r="BI181" s="113"/>
      <c r="BJ181" s="113"/>
      <c r="BK181" s="113"/>
      <c r="BL181" s="113"/>
      <c r="BM181" s="113"/>
      <c r="BN181" s="113"/>
      <c r="BO181" s="113"/>
      <c r="BP181" s="113"/>
      <c r="BQ181" s="113"/>
      <c r="BR181" s="113"/>
      <c r="BS181" s="113"/>
      <c r="BT181" s="113"/>
      <c r="BU181" s="113"/>
      <c r="BV181" s="113"/>
      <c r="BW181" s="113"/>
      <c r="BX181" s="113"/>
      <c r="BY181" s="113"/>
      <c r="BZ181" s="113"/>
      <c r="CA181" s="113"/>
      <c r="CB181" s="113"/>
      <c r="CC181" s="113"/>
      <c r="CD181" s="113"/>
      <c r="CE181" s="113"/>
      <c r="CF181" s="113"/>
      <c r="CG181" s="113"/>
      <c r="CH181" s="113"/>
      <c r="CI181" s="113"/>
      <c r="CJ181" s="113"/>
      <c r="CK181" s="113"/>
      <c r="CL181" s="113"/>
      <c r="CM181" s="113"/>
      <c r="CN181" s="113"/>
      <c r="CO181" s="113"/>
      <c r="CP181" s="113"/>
      <c r="CQ181" s="113"/>
      <c r="CR181" s="113"/>
      <c r="CS181" s="113"/>
      <c r="CT181" s="113"/>
      <c r="CU181" s="113"/>
      <c r="CV181" s="113"/>
      <c r="CW181" s="113"/>
      <c r="CX181" s="113"/>
      <c r="CY181" s="113"/>
      <c r="CZ181" s="113"/>
      <c r="DA181" s="113"/>
      <c r="DB181" s="113"/>
      <c r="DC181" s="113"/>
      <c r="DD181" s="113"/>
      <c r="DE181" s="113"/>
      <c r="DF181" s="113"/>
      <c r="DG181" s="113"/>
      <c r="DH181" s="113"/>
      <c r="DI181" s="113"/>
      <c r="DJ181" s="113"/>
      <c r="DK181" s="113"/>
      <c r="DL181" s="113"/>
      <c r="DM181" s="113"/>
      <c r="DN181" s="113"/>
      <c r="DO181" s="113"/>
      <c r="DP181" s="113"/>
      <c r="DQ181" s="113"/>
      <c r="DR181" s="113"/>
      <c r="DS181" s="113"/>
      <c r="DT181" s="113"/>
      <c r="DU181" s="113"/>
      <c r="DV181" s="113"/>
      <c r="DW181" s="113"/>
      <c r="DX181" s="113"/>
      <c r="DY181" s="113"/>
      <c r="DZ181" s="113"/>
      <c r="EA181" s="113"/>
      <c r="EB181" s="113"/>
      <c r="EC181" s="113"/>
      <c r="ED181" s="113"/>
      <c r="EE181" s="113"/>
      <c r="EF181" s="113"/>
      <c r="EG181" s="113"/>
      <c r="EH181" s="113"/>
      <c r="EI181" s="113"/>
      <c r="EJ181" s="113"/>
      <c r="EK181" s="113"/>
      <c r="EL181" s="113"/>
      <c r="EM181" s="113"/>
      <c r="EN181" s="113"/>
      <c r="EO181" s="113"/>
      <c r="EP181" s="113"/>
      <c r="EQ181" s="113"/>
      <c r="ER181" s="113"/>
      <c r="ES181" s="113"/>
      <c r="ET181" s="113"/>
      <c r="EU181" s="113"/>
      <c r="EV181" s="113"/>
      <c r="EW181" s="113"/>
      <c r="EX181" s="113"/>
      <c r="EY181" s="113"/>
      <c r="EZ181" s="113"/>
      <c r="FA181" s="113"/>
      <c r="FB181" s="113"/>
      <c r="FC181" s="113"/>
      <c r="FD181" s="113"/>
      <c r="FE181" s="113"/>
      <c r="FF181" s="113"/>
      <c r="FG181" s="113"/>
      <c r="FH181" s="113"/>
      <c r="FI181" s="113"/>
      <c r="FJ181" s="113"/>
      <c r="FK181" s="113"/>
      <c r="FL181" s="113"/>
      <c r="FM181" s="113"/>
      <c r="FN181" s="113"/>
      <c r="FO181" s="113"/>
      <c r="FP181" s="113"/>
      <c r="FQ181" s="113"/>
      <c r="FR181" s="113"/>
      <c r="FS181" s="113"/>
      <c r="FT181" s="113"/>
      <c r="FU181" s="113"/>
      <c r="FV181" s="113"/>
      <c r="FW181" s="113"/>
      <c r="FX181" s="113"/>
      <c r="FY181" s="113"/>
      <c r="FZ181" s="113"/>
      <c r="GA181" s="113"/>
      <c r="GB181" s="113"/>
      <c r="GC181" s="113"/>
      <c r="GD181" s="113"/>
      <c r="GE181" s="113"/>
      <c r="GF181" s="113"/>
      <c r="GG181" s="113"/>
      <c r="GH181" s="113"/>
      <c r="GI181" s="113"/>
      <c r="GJ181" s="113"/>
      <c r="GK181" s="113"/>
      <c r="GL181" s="113"/>
      <c r="GM181" s="113"/>
      <c r="GN181" s="113"/>
      <c r="GO181" s="113"/>
      <c r="GP181" s="113"/>
      <c r="GQ181" s="113"/>
      <c r="GR181" s="113"/>
      <c r="GS181" s="113"/>
      <c r="GT181" s="113"/>
      <c r="GU181" s="113"/>
      <c r="GV181" s="113"/>
      <c r="GW181" s="113"/>
      <c r="GX181" s="113"/>
      <c r="GY181" s="113"/>
      <c r="GZ181" s="113"/>
      <c r="HA181" s="113"/>
      <c r="HB181" s="113"/>
      <c r="HC181" s="113"/>
      <c r="HD181" s="113"/>
      <c r="HE181" s="113"/>
      <c r="HF181" s="113"/>
      <c r="HG181" s="113"/>
      <c r="HH181" s="113"/>
      <c r="HI181" s="113"/>
      <c r="HJ181" s="113"/>
      <c r="HK181" s="113"/>
      <c r="HL181" s="113"/>
      <c r="HM181" s="113"/>
      <c r="HN181" s="113"/>
      <c r="HO181" s="113"/>
      <c r="HP181" s="113"/>
      <c r="HQ181" s="113"/>
      <c r="HR181" s="113"/>
      <c r="HS181" s="113"/>
      <c r="HT181" s="113"/>
      <c r="HU181" s="113"/>
      <c r="HV181" s="113"/>
      <c r="HW181" s="113"/>
      <c r="HX181" s="113"/>
      <c r="HY181" s="113"/>
      <c r="HZ181" s="113"/>
      <c r="IA181" s="113"/>
      <c r="IB181" s="113"/>
      <c r="IC181" s="113"/>
      <c r="ID181" s="113"/>
      <c r="IE181" s="113"/>
      <c r="IF181" s="113"/>
      <c r="IG181" s="113"/>
      <c r="IH181" s="113"/>
      <c r="II181" s="113"/>
      <c r="IJ181" s="113"/>
      <c r="IK181" s="113"/>
      <c r="IL181" s="113"/>
      <c r="IM181" s="113"/>
      <c r="IN181" s="113"/>
      <c r="IO181" s="113"/>
      <c r="IP181" s="113"/>
      <c r="IQ181" s="113"/>
      <c r="IR181" s="113"/>
      <c r="IS181" s="113"/>
      <c r="IT181" s="113"/>
      <c r="IU181" s="113"/>
      <c r="IV181" s="113"/>
      <c r="IW181" s="113"/>
    </row>
    <row r="182" customFormat="false" ht="11.25" hidden="false" customHeight="false" outlineLevel="0" collapsed="false">
      <c r="A182" s="113"/>
      <c r="B182" s="393"/>
      <c r="C182" s="393"/>
      <c r="D182" s="393"/>
      <c r="E182" s="393"/>
      <c r="F182" s="393"/>
      <c r="G182" s="393"/>
      <c r="H182" s="393"/>
      <c r="I182" s="393"/>
      <c r="J182" s="393"/>
      <c r="K182" s="393"/>
      <c r="L182" s="393"/>
      <c r="M182" s="393"/>
      <c r="N182" s="393"/>
      <c r="O182" s="393"/>
      <c r="P182" s="393"/>
      <c r="Q182" s="393"/>
      <c r="R182" s="393"/>
      <c r="S182" s="393"/>
      <c r="T182" s="393"/>
      <c r="U182" s="393"/>
      <c r="V182" s="393"/>
      <c r="W182" s="393"/>
      <c r="X182" s="393"/>
      <c r="Y182" s="393"/>
      <c r="Z182" s="393"/>
      <c r="AA182" s="393"/>
      <c r="AB182" s="393"/>
      <c r="AC182" s="393"/>
      <c r="AD182" s="393"/>
      <c r="AE182" s="393"/>
      <c r="AF182" s="393"/>
      <c r="AG182" s="393"/>
      <c r="AH182" s="393"/>
      <c r="AI182" s="393"/>
      <c r="AJ182" s="393"/>
      <c r="AK182" s="393"/>
      <c r="AL182" s="393"/>
      <c r="AM182" s="393"/>
      <c r="AN182" s="393"/>
      <c r="AO182" s="393"/>
      <c r="AP182" s="393"/>
      <c r="AQ182" s="142"/>
      <c r="AR182" s="142"/>
      <c r="AS182" s="142"/>
      <c r="AT182" s="142"/>
      <c r="AU182" s="142"/>
      <c r="AV182" s="142"/>
      <c r="AW182" s="142"/>
      <c r="AX182" s="142"/>
      <c r="AY182" s="142"/>
      <c r="AZ182" s="142"/>
      <c r="BA182" s="142"/>
      <c r="BB182" s="142"/>
      <c r="BC182" s="113"/>
      <c r="BD182" s="113"/>
      <c r="BE182" s="113"/>
      <c r="BF182" s="113"/>
      <c r="BG182" s="113"/>
      <c r="BH182" s="113"/>
      <c r="BI182" s="113"/>
      <c r="BJ182" s="113"/>
      <c r="BK182" s="113"/>
      <c r="BL182" s="113"/>
      <c r="BM182" s="113"/>
      <c r="BN182" s="113"/>
      <c r="BO182" s="113"/>
      <c r="BP182" s="113"/>
      <c r="BQ182" s="113"/>
      <c r="BR182" s="113"/>
      <c r="BS182" s="113"/>
      <c r="BT182" s="113"/>
      <c r="BU182" s="113"/>
      <c r="BV182" s="113"/>
      <c r="BW182" s="113"/>
      <c r="BX182" s="113"/>
      <c r="BY182" s="113"/>
      <c r="BZ182" s="113"/>
      <c r="CA182" s="113"/>
      <c r="CB182" s="113"/>
      <c r="CC182" s="113"/>
      <c r="CD182" s="113"/>
      <c r="CE182" s="113"/>
      <c r="CF182" s="113"/>
      <c r="CG182" s="113"/>
      <c r="CH182" s="113"/>
      <c r="CI182" s="113"/>
      <c r="CJ182" s="113"/>
      <c r="CK182" s="113"/>
      <c r="CL182" s="113"/>
      <c r="CM182" s="113"/>
      <c r="CN182" s="113"/>
      <c r="CO182" s="113"/>
      <c r="CP182" s="113"/>
      <c r="CQ182" s="113"/>
      <c r="CR182" s="113"/>
      <c r="CS182" s="113"/>
      <c r="CT182" s="113"/>
      <c r="CU182" s="113"/>
      <c r="CV182" s="113"/>
      <c r="CW182" s="113"/>
      <c r="CX182" s="113"/>
      <c r="CY182" s="113"/>
      <c r="CZ182" s="113"/>
      <c r="DA182" s="113"/>
      <c r="DB182" s="113"/>
      <c r="DC182" s="113"/>
      <c r="DD182" s="113"/>
      <c r="DE182" s="113"/>
      <c r="DF182" s="113"/>
      <c r="DG182" s="113"/>
      <c r="DH182" s="113"/>
      <c r="DI182" s="113"/>
      <c r="DJ182" s="113"/>
      <c r="DK182" s="113"/>
      <c r="DL182" s="113"/>
      <c r="DM182" s="113"/>
      <c r="DN182" s="113"/>
      <c r="DO182" s="113"/>
      <c r="DP182" s="113"/>
      <c r="DQ182" s="113"/>
      <c r="DR182" s="113"/>
      <c r="DS182" s="113"/>
      <c r="DT182" s="113"/>
      <c r="DU182" s="113"/>
      <c r="DV182" s="113"/>
      <c r="DW182" s="113"/>
      <c r="DX182" s="113"/>
      <c r="DY182" s="113"/>
      <c r="DZ182" s="113"/>
      <c r="EA182" s="113"/>
      <c r="EB182" s="113"/>
      <c r="EC182" s="113"/>
      <c r="ED182" s="113"/>
      <c r="EE182" s="113"/>
      <c r="EF182" s="113"/>
      <c r="EG182" s="113"/>
      <c r="EH182" s="113"/>
      <c r="EI182" s="113"/>
      <c r="EJ182" s="113"/>
      <c r="EK182" s="113"/>
      <c r="EL182" s="113"/>
      <c r="EM182" s="113"/>
      <c r="EN182" s="113"/>
      <c r="EO182" s="113"/>
      <c r="EP182" s="113"/>
      <c r="EQ182" s="113"/>
      <c r="ER182" s="113"/>
      <c r="ES182" s="113"/>
      <c r="ET182" s="113"/>
      <c r="EU182" s="113"/>
      <c r="EV182" s="113"/>
      <c r="EW182" s="113"/>
      <c r="EX182" s="113"/>
      <c r="EY182" s="113"/>
      <c r="EZ182" s="113"/>
      <c r="FA182" s="113"/>
      <c r="FB182" s="113"/>
      <c r="FC182" s="113"/>
      <c r="FD182" s="113"/>
      <c r="FE182" s="113"/>
      <c r="FF182" s="113"/>
      <c r="FG182" s="113"/>
      <c r="FH182" s="113"/>
      <c r="FI182" s="113"/>
      <c r="FJ182" s="113"/>
      <c r="FK182" s="113"/>
      <c r="FL182" s="113"/>
      <c r="FM182" s="113"/>
      <c r="FN182" s="113"/>
      <c r="FO182" s="113"/>
      <c r="FP182" s="113"/>
      <c r="FQ182" s="113"/>
      <c r="FR182" s="113"/>
      <c r="FS182" s="113"/>
      <c r="FT182" s="113"/>
      <c r="FU182" s="113"/>
      <c r="FV182" s="113"/>
      <c r="FW182" s="113"/>
      <c r="FX182" s="113"/>
      <c r="FY182" s="113"/>
      <c r="FZ182" s="113"/>
      <c r="GA182" s="113"/>
      <c r="GB182" s="113"/>
      <c r="GC182" s="113"/>
      <c r="GD182" s="113"/>
      <c r="GE182" s="113"/>
      <c r="GF182" s="113"/>
      <c r="GG182" s="113"/>
      <c r="GH182" s="113"/>
      <c r="GI182" s="113"/>
      <c r="GJ182" s="113"/>
      <c r="GK182" s="113"/>
      <c r="GL182" s="113"/>
      <c r="GM182" s="113"/>
      <c r="GN182" s="113"/>
      <c r="GO182" s="113"/>
      <c r="GP182" s="113"/>
      <c r="GQ182" s="113"/>
      <c r="GR182" s="113"/>
      <c r="GS182" s="113"/>
      <c r="GT182" s="113"/>
      <c r="GU182" s="113"/>
      <c r="GV182" s="113"/>
      <c r="GW182" s="113"/>
      <c r="GX182" s="113"/>
      <c r="GY182" s="113"/>
      <c r="GZ182" s="113"/>
      <c r="HA182" s="113"/>
      <c r="HB182" s="113"/>
      <c r="HC182" s="113"/>
      <c r="HD182" s="113"/>
      <c r="HE182" s="113"/>
      <c r="HF182" s="113"/>
      <c r="HG182" s="113"/>
      <c r="HH182" s="113"/>
      <c r="HI182" s="113"/>
      <c r="HJ182" s="113"/>
      <c r="HK182" s="113"/>
      <c r="HL182" s="113"/>
      <c r="HM182" s="113"/>
      <c r="HN182" s="113"/>
      <c r="HO182" s="113"/>
      <c r="HP182" s="113"/>
      <c r="HQ182" s="113"/>
      <c r="HR182" s="113"/>
      <c r="HS182" s="113"/>
      <c r="HT182" s="113"/>
      <c r="HU182" s="113"/>
      <c r="HV182" s="113"/>
      <c r="HW182" s="113"/>
      <c r="HX182" s="113"/>
      <c r="HY182" s="113"/>
      <c r="HZ182" s="113"/>
      <c r="IA182" s="113"/>
      <c r="IB182" s="113"/>
      <c r="IC182" s="113"/>
      <c r="ID182" s="113"/>
      <c r="IE182" s="113"/>
      <c r="IF182" s="113"/>
      <c r="IG182" s="113"/>
      <c r="IH182" s="113"/>
      <c r="II182" s="113"/>
      <c r="IJ182" s="113"/>
      <c r="IK182" s="113"/>
      <c r="IL182" s="113"/>
      <c r="IM182" s="113"/>
      <c r="IN182" s="113"/>
      <c r="IO182" s="113"/>
      <c r="IP182" s="113"/>
      <c r="IQ182" s="113"/>
      <c r="IR182" s="113"/>
      <c r="IS182" s="113"/>
      <c r="IT182" s="113"/>
      <c r="IU182" s="113"/>
      <c r="IV182" s="113"/>
      <c r="IW182" s="113"/>
    </row>
    <row r="183" customFormat="false" ht="11.25" hidden="false" customHeight="false" outlineLevel="0" collapsed="false">
      <c r="A183" s="11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142"/>
      <c r="AR183" s="142"/>
      <c r="AS183" s="142"/>
      <c r="AT183" s="142"/>
      <c r="AU183" s="142"/>
      <c r="AV183" s="142"/>
      <c r="AW183" s="142"/>
      <c r="AX183" s="142"/>
      <c r="AY183" s="142"/>
      <c r="AZ183" s="142"/>
      <c r="BA183" s="142"/>
      <c r="BB183" s="142"/>
      <c r="BC183" s="113"/>
      <c r="BD183" s="113"/>
      <c r="BE183" s="113"/>
      <c r="BF183" s="113"/>
      <c r="BG183" s="113"/>
      <c r="BH183" s="113"/>
      <c r="BI183" s="113"/>
      <c r="BJ183" s="113"/>
      <c r="BK183" s="113"/>
      <c r="BL183" s="113"/>
      <c r="BM183" s="113"/>
      <c r="BN183" s="113"/>
      <c r="BO183" s="113"/>
      <c r="BP183" s="113"/>
      <c r="BQ183" s="113"/>
      <c r="BR183" s="113"/>
      <c r="BS183" s="113"/>
      <c r="BT183" s="113"/>
      <c r="BU183" s="113"/>
      <c r="BV183" s="113"/>
      <c r="BW183" s="113"/>
      <c r="BX183" s="113"/>
      <c r="BY183" s="113"/>
      <c r="BZ183" s="113"/>
      <c r="CA183" s="113"/>
      <c r="CB183" s="113"/>
      <c r="CC183" s="113"/>
      <c r="CD183" s="113"/>
      <c r="CE183" s="113"/>
      <c r="CF183" s="113"/>
      <c r="CG183" s="113"/>
      <c r="CH183" s="113"/>
      <c r="CI183" s="113"/>
      <c r="CJ183" s="113"/>
      <c r="CK183" s="113"/>
      <c r="CL183" s="113"/>
      <c r="CM183" s="113"/>
      <c r="CN183" s="113"/>
      <c r="CO183" s="113"/>
      <c r="CP183" s="113"/>
      <c r="CQ183" s="113"/>
      <c r="CR183" s="113"/>
      <c r="CS183" s="113"/>
      <c r="CT183" s="113"/>
      <c r="CU183" s="113"/>
      <c r="CV183" s="113"/>
      <c r="CW183" s="113"/>
      <c r="CX183" s="113"/>
      <c r="CY183" s="113"/>
      <c r="CZ183" s="113"/>
      <c r="DA183" s="113"/>
      <c r="DB183" s="113"/>
      <c r="DC183" s="113"/>
      <c r="DD183" s="113"/>
      <c r="DE183" s="113"/>
      <c r="DF183" s="113"/>
      <c r="DG183" s="113"/>
      <c r="DH183" s="113"/>
      <c r="DI183" s="113"/>
      <c r="DJ183" s="113"/>
      <c r="DK183" s="113"/>
      <c r="DL183" s="113"/>
      <c r="DM183" s="113"/>
      <c r="DN183" s="113"/>
      <c r="DO183" s="113"/>
      <c r="DP183" s="113"/>
      <c r="DQ183" s="113"/>
      <c r="DR183" s="113"/>
      <c r="DS183" s="113"/>
      <c r="DT183" s="113"/>
      <c r="DU183" s="113"/>
      <c r="DV183" s="113"/>
      <c r="DW183" s="113"/>
      <c r="DX183" s="113"/>
      <c r="DY183" s="113"/>
      <c r="DZ183" s="113"/>
      <c r="EA183" s="113"/>
      <c r="EB183" s="113"/>
      <c r="EC183" s="113"/>
      <c r="ED183" s="113"/>
      <c r="EE183" s="113"/>
      <c r="EF183" s="113"/>
      <c r="EG183" s="113"/>
      <c r="EH183" s="113"/>
      <c r="EI183" s="113"/>
      <c r="EJ183" s="113"/>
      <c r="EK183" s="113"/>
      <c r="EL183" s="113"/>
      <c r="EM183" s="113"/>
      <c r="EN183" s="113"/>
      <c r="EO183" s="113"/>
      <c r="EP183" s="113"/>
      <c r="EQ183" s="113"/>
      <c r="ER183" s="113"/>
      <c r="ES183" s="113"/>
      <c r="ET183" s="113"/>
      <c r="EU183" s="113"/>
      <c r="EV183" s="113"/>
      <c r="EW183" s="113"/>
      <c r="EX183" s="113"/>
      <c r="EY183" s="113"/>
      <c r="EZ183" s="113"/>
      <c r="FA183" s="113"/>
      <c r="FB183" s="113"/>
      <c r="FC183" s="113"/>
      <c r="FD183" s="113"/>
      <c r="FE183" s="113"/>
      <c r="FF183" s="113"/>
      <c r="FG183" s="113"/>
      <c r="FH183" s="113"/>
      <c r="FI183" s="113"/>
      <c r="FJ183" s="113"/>
      <c r="FK183" s="113"/>
      <c r="FL183" s="113"/>
      <c r="FM183" s="113"/>
      <c r="FN183" s="113"/>
      <c r="FO183" s="113"/>
      <c r="FP183" s="113"/>
      <c r="FQ183" s="113"/>
      <c r="FR183" s="113"/>
      <c r="FS183" s="113"/>
      <c r="FT183" s="113"/>
      <c r="FU183" s="113"/>
      <c r="FV183" s="113"/>
      <c r="FW183" s="113"/>
      <c r="FX183" s="113"/>
      <c r="FY183" s="113"/>
      <c r="FZ183" s="113"/>
      <c r="GA183" s="113"/>
      <c r="GB183" s="113"/>
      <c r="GC183" s="113"/>
      <c r="GD183" s="113"/>
      <c r="GE183" s="113"/>
      <c r="GF183" s="113"/>
      <c r="GG183" s="113"/>
      <c r="GH183" s="113"/>
      <c r="GI183" s="113"/>
      <c r="GJ183" s="113"/>
      <c r="GK183" s="113"/>
      <c r="GL183" s="113"/>
      <c r="GM183" s="113"/>
      <c r="GN183" s="113"/>
      <c r="GO183" s="113"/>
      <c r="GP183" s="113"/>
      <c r="GQ183" s="113"/>
      <c r="GR183" s="113"/>
      <c r="GS183" s="113"/>
      <c r="GT183" s="113"/>
      <c r="GU183" s="113"/>
      <c r="GV183" s="113"/>
      <c r="GW183" s="113"/>
      <c r="GX183" s="113"/>
      <c r="GY183" s="113"/>
      <c r="GZ183" s="113"/>
      <c r="HA183" s="113"/>
      <c r="HB183" s="113"/>
      <c r="HC183" s="113"/>
      <c r="HD183" s="113"/>
      <c r="HE183" s="113"/>
      <c r="HF183" s="113"/>
      <c r="HG183" s="113"/>
      <c r="HH183" s="113"/>
      <c r="HI183" s="113"/>
      <c r="HJ183" s="113"/>
      <c r="HK183" s="113"/>
      <c r="HL183" s="113"/>
      <c r="HM183" s="113"/>
      <c r="HN183" s="113"/>
      <c r="HO183" s="113"/>
      <c r="HP183" s="113"/>
      <c r="HQ183" s="113"/>
      <c r="HR183" s="113"/>
      <c r="HS183" s="113"/>
      <c r="HT183" s="113"/>
      <c r="HU183" s="113"/>
      <c r="HV183" s="113"/>
      <c r="HW183" s="113"/>
      <c r="HX183" s="113"/>
      <c r="HY183" s="113"/>
      <c r="HZ183" s="113"/>
      <c r="IA183" s="113"/>
      <c r="IB183" s="113"/>
      <c r="IC183" s="113"/>
      <c r="ID183" s="113"/>
      <c r="IE183" s="113"/>
      <c r="IF183" s="113"/>
      <c r="IG183" s="113"/>
      <c r="IH183" s="113"/>
      <c r="II183" s="113"/>
      <c r="IJ183" s="113"/>
      <c r="IK183" s="113"/>
      <c r="IL183" s="113"/>
      <c r="IM183" s="113"/>
      <c r="IN183" s="113"/>
      <c r="IO183" s="113"/>
      <c r="IP183" s="113"/>
      <c r="IQ183" s="113"/>
      <c r="IR183" s="113"/>
      <c r="IS183" s="113"/>
      <c r="IT183" s="113"/>
      <c r="IU183" s="113"/>
      <c r="IV183" s="113"/>
      <c r="IW183" s="113"/>
    </row>
    <row r="184" customFormat="false" ht="11.25" hidden="false" customHeight="false" outlineLevel="0" collapsed="false">
      <c r="A184" s="11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142"/>
      <c r="AR184" s="142"/>
      <c r="AS184" s="142"/>
      <c r="AT184" s="142"/>
      <c r="AU184" s="142"/>
      <c r="AV184" s="142"/>
      <c r="AW184" s="142"/>
      <c r="AX184" s="142"/>
      <c r="AY184" s="142"/>
      <c r="AZ184" s="142"/>
      <c r="BA184" s="142"/>
      <c r="BB184" s="142"/>
      <c r="BC184" s="113"/>
      <c r="BD184" s="113"/>
      <c r="BE184" s="113"/>
      <c r="BF184" s="113"/>
      <c r="BG184" s="113"/>
      <c r="BH184" s="113"/>
      <c r="BI184" s="113"/>
      <c r="BJ184" s="113"/>
      <c r="BK184" s="113"/>
      <c r="BL184" s="113"/>
      <c r="BM184" s="113"/>
      <c r="BN184" s="113"/>
      <c r="BO184" s="113"/>
      <c r="BP184" s="113"/>
      <c r="BQ184" s="113"/>
      <c r="BR184" s="113"/>
      <c r="BS184" s="113"/>
      <c r="BT184" s="113"/>
      <c r="BU184" s="113"/>
      <c r="BV184" s="113"/>
      <c r="BW184" s="113"/>
      <c r="BX184" s="113"/>
      <c r="BY184" s="113"/>
      <c r="BZ184" s="113"/>
      <c r="CA184" s="113"/>
      <c r="CB184" s="113"/>
      <c r="CC184" s="113"/>
      <c r="CD184" s="113"/>
      <c r="CE184" s="113"/>
      <c r="CF184" s="113"/>
      <c r="CG184" s="113"/>
      <c r="CH184" s="113"/>
      <c r="CI184" s="113"/>
      <c r="CJ184" s="113"/>
      <c r="CK184" s="113"/>
      <c r="CL184" s="113"/>
      <c r="CM184" s="113"/>
      <c r="CN184" s="113"/>
      <c r="CO184" s="113"/>
      <c r="CP184" s="113"/>
      <c r="CQ184" s="113"/>
      <c r="CR184" s="113"/>
      <c r="CS184" s="113"/>
      <c r="CT184" s="113"/>
      <c r="CU184" s="113"/>
      <c r="CV184" s="113"/>
      <c r="CW184" s="113"/>
      <c r="CX184" s="113"/>
      <c r="CY184" s="113"/>
      <c r="CZ184" s="113"/>
      <c r="DA184" s="113"/>
      <c r="DB184" s="113"/>
      <c r="DC184" s="113"/>
      <c r="DD184" s="113"/>
      <c r="DE184" s="113"/>
      <c r="DF184" s="113"/>
      <c r="DG184" s="113"/>
      <c r="DH184" s="113"/>
      <c r="DI184" s="113"/>
      <c r="DJ184" s="113"/>
      <c r="DK184" s="113"/>
      <c r="DL184" s="113"/>
      <c r="DM184" s="113"/>
      <c r="DN184" s="113"/>
      <c r="DO184" s="113"/>
      <c r="DP184" s="113"/>
      <c r="DQ184" s="113"/>
      <c r="DR184" s="113"/>
      <c r="DS184" s="113"/>
      <c r="DT184" s="113"/>
      <c r="DU184" s="113"/>
      <c r="DV184" s="113"/>
      <c r="DW184" s="113"/>
      <c r="DX184" s="113"/>
      <c r="DY184" s="113"/>
      <c r="DZ184" s="113"/>
      <c r="EA184" s="113"/>
      <c r="EB184" s="113"/>
      <c r="EC184" s="113"/>
      <c r="ED184" s="113"/>
      <c r="EE184" s="113"/>
      <c r="EF184" s="113"/>
      <c r="EG184" s="113"/>
      <c r="EH184" s="113"/>
      <c r="EI184" s="113"/>
      <c r="EJ184" s="113"/>
      <c r="EK184" s="113"/>
      <c r="EL184" s="113"/>
      <c r="EM184" s="113"/>
      <c r="EN184" s="113"/>
      <c r="EO184" s="113"/>
      <c r="EP184" s="113"/>
      <c r="EQ184" s="113"/>
      <c r="ER184" s="113"/>
      <c r="ES184" s="113"/>
      <c r="ET184" s="113"/>
      <c r="EU184" s="113"/>
      <c r="EV184" s="113"/>
      <c r="EW184" s="113"/>
      <c r="EX184" s="113"/>
      <c r="EY184" s="113"/>
      <c r="EZ184" s="113"/>
      <c r="FA184" s="113"/>
      <c r="FB184" s="113"/>
      <c r="FC184" s="113"/>
      <c r="FD184" s="113"/>
      <c r="FE184" s="113"/>
      <c r="FF184" s="113"/>
      <c r="FG184" s="113"/>
      <c r="FH184" s="113"/>
      <c r="FI184" s="113"/>
      <c r="FJ184" s="113"/>
      <c r="FK184" s="113"/>
      <c r="FL184" s="113"/>
      <c r="FM184" s="113"/>
      <c r="FN184" s="113"/>
      <c r="FO184" s="113"/>
      <c r="FP184" s="113"/>
      <c r="FQ184" s="113"/>
      <c r="FR184" s="113"/>
      <c r="FS184" s="113"/>
      <c r="FT184" s="113"/>
      <c r="FU184" s="113"/>
      <c r="FV184" s="113"/>
      <c r="FW184" s="113"/>
      <c r="FX184" s="113"/>
      <c r="FY184" s="113"/>
      <c r="FZ184" s="113"/>
      <c r="GA184" s="113"/>
      <c r="GB184" s="113"/>
      <c r="GC184" s="113"/>
      <c r="GD184" s="113"/>
      <c r="GE184" s="113"/>
      <c r="GF184" s="113"/>
      <c r="GG184" s="113"/>
      <c r="GH184" s="113"/>
      <c r="GI184" s="113"/>
      <c r="GJ184" s="113"/>
      <c r="GK184" s="113"/>
      <c r="GL184" s="113"/>
      <c r="GM184" s="113"/>
      <c r="GN184" s="113"/>
      <c r="GO184" s="113"/>
      <c r="GP184" s="113"/>
      <c r="GQ184" s="113"/>
      <c r="GR184" s="113"/>
      <c r="GS184" s="113"/>
      <c r="GT184" s="113"/>
      <c r="GU184" s="113"/>
      <c r="GV184" s="113"/>
      <c r="GW184" s="113"/>
      <c r="GX184" s="113"/>
      <c r="GY184" s="113"/>
      <c r="GZ184" s="113"/>
      <c r="HA184" s="113"/>
      <c r="HB184" s="113"/>
      <c r="HC184" s="113"/>
      <c r="HD184" s="113"/>
      <c r="HE184" s="113"/>
      <c r="HF184" s="113"/>
      <c r="HG184" s="113"/>
      <c r="HH184" s="113"/>
      <c r="HI184" s="113"/>
      <c r="HJ184" s="113"/>
      <c r="HK184" s="113"/>
      <c r="HL184" s="113"/>
      <c r="HM184" s="113"/>
      <c r="HN184" s="113"/>
      <c r="HO184" s="113"/>
      <c r="HP184" s="113"/>
      <c r="HQ184" s="113"/>
      <c r="HR184" s="113"/>
      <c r="HS184" s="113"/>
      <c r="HT184" s="113"/>
      <c r="HU184" s="113"/>
      <c r="HV184" s="113"/>
      <c r="HW184" s="113"/>
      <c r="HX184" s="113"/>
      <c r="HY184" s="113"/>
      <c r="HZ184" s="113"/>
      <c r="IA184" s="113"/>
      <c r="IB184" s="113"/>
      <c r="IC184" s="113"/>
      <c r="ID184" s="113"/>
      <c r="IE184" s="113"/>
      <c r="IF184" s="113"/>
      <c r="IG184" s="113"/>
      <c r="IH184" s="113"/>
      <c r="II184" s="113"/>
      <c r="IJ184" s="113"/>
      <c r="IK184" s="113"/>
      <c r="IL184" s="113"/>
      <c r="IM184" s="113"/>
      <c r="IN184" s="113"/>
      <c r="IO184" s="113"/>
      <c r="IP184" s="113"/>
      <c r="IQ184" s="113"/>
      <c r="IR184" s="113"/>
      <c r="IS184" s="113"/>
      <c r="IT184" s="113"/>
      <c r="IU184" s="113"/>
      <c r="IV184" s="113"/>
      <c r="IW184" s="113"/>
    </row>
    <row r="185" customFormat="false" ht="11.25" hidden="false" customHeight="false" outlineLevel="0" collapsed="false">
      <c r="A185" s="11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142"/>
      <c r="AR185" s="142"/>
      <c r="AS185" s="142"/>
      <c r="AT185" s="142"/>
      <c r="AU185" s="142"/>
      <c r="AV185" s="142"/>
      <c r="AW185" s="142"/>
      <c r="AX185" s="142"/>
      <c r="AY185" s="142"/>
      <c r="AZ185" s="142"/>
      <c r="BA185" s="142"/>
      <c r="BB185" s="142"/>
      <c r="BC185" s="113"/>
      <c r="BD185" s="113"/>
      <c r="BE185" s="113"/>
      <c r="BF185" s="113"/>
      <c r="BG185" s="113"/>
      <c r="BH185" s="113"/>
      <c r="BI185" s="113"/>
      <c r="BJ185" s="113"/>
      <c r="BK185" s="113"/>
      <c r="BL185" s="113"/>
      <c r="BM185" s="113"/>
      <c r="BN185" s="113"/>
      <c r="BO185" s="113"/>
      <c r="BP185" s="113"/>
      <c r="BQ185" s="113"/>
      <c r="BR185" s="113"/>
      <c r="BS185" s="113"/>
      <c r="BT185" s="113"/>
      <c r="BU185" s="113"/>
      <c r="BV185" s="113"/>
      <c r="BW185" s="113"/>
      <c r="BX185" s="113"/>
      <c r="BY185" s="113"/>
      <c r="BZ185" s="113"/>
      <c r="CA185" s="113"/>
      <c r="CB185" s="113"/>
      <c r="CC185" s="113"/>
      <c r="CD185" s="113"/>
      <c r="CE185" s="113"/>
      <c r="CF185" s="113"/>
      <c r="CG185" s="113"/>
      <c r="CH185" s="113"/>
      <c r="CI185" s="113"/>
      <c r="CJ185" s="113"/>
      <c r="CK185" s="113"/>
      <c r="CL185" s="113"/>
      <c r="CM185" s="113"/>
      <c r="CN185" s="113"/>
      <c r="CO185" s="113"/>
      <c r="CP185" s="113"/>
      <c r="CQ185" s="113"/>
      <c r="CR185" s="113"/>
      <c r="CS185" s="113"/>
      <c r="CT185" s="113"/>
      <c r="CU185" s="113"/>
      <c r="CV185" s="113"/>
      <c r="CW185" s="113"/>
      <c r="CX185" s="113"/>
      <c r="CY185" s="113"/>
      <c r="CZ185" s="113"/>
      <c r="DA185" s="113"/>
      <c r="DB185" s="113"/>
      <c r="DC185" s="113"/>
      <c r="DD185" s="113"/>
      <c r="DE185" s="113"/>
      <c r="DF185" s="113"/>
      <c r="DG185" s="113"/>
      <c r="DH185" s="113"/>
      <c r="DI185" s="113"/>
      <c r="DJ185" s="113"/>
      <c r="DK185" s="113"/>
      <c r="DL185" s="113"/>
      <c r="DM185" s="113"/>
      <c r="DN185" s="113"/>
      <c r="DO185" s="113"/>
      <c r="DP185" s="113"/>
      <c r="DQ185" s="113"/>
      <c r="DR185" s="113"/>
      <c r="DS185" s="113"/>
      <c r="DT185" s="113"/>
      <c r="DU185" s="113"/>
      <c r="DV185" s="113"/>
      <c r="DW185" s="113"/>
      <c r="DX185" s="113"/>
      <c r="DY185" s="113"/>
      <c r="DZ185" s="113"/>
      <c r="EA185" s="113"/>
      <c r="EB185" s="113"/>
      <c r="EC185" s="113"/>
      <c r="ED185" s="113"/>
      <c r="EE185" s="113"/>
      <c r="EF185" s="113"/>
      <c r="EG185" s="113"/>
      <c r="EH185" s="113"/>
      <c r="EI185" s="113"/>
      <c r="EJ185" s="113"/>
      <c r="EK185" s="113"/>
      <c r="EL185" s="113"/>
      <c r="EM185" s="113"/>
      <c r="EN185" s="113"/>
      <c r="EO185" s="113"/>
      <c r="EP185" s="113"/>
      <c r="EQ185" s="113"/>
      <c r="ER185" s="113"/>
      <c r="ES185" s="113"/>
      <c r="ET185" s="113"/>
      <c r="EU185" s="113"/>
      <c r="EV185" s="113"/>
      <c r="EW185" s="113"/>
      <c r="EX185" s="113"/>
      <c r="EY185" s="113"/>
      <c r="EZ185" s="113"/>
      <c r="FA185" s="113"/>
      <c r="FB185" s="113"/>
      <c r="FC185" s="113"/>
      <c r="FD185" s="113"/>
      <c r="FE185" s="113"/>
      <c r="FF185" s="113"/>
      <c r="FG185" s="113"/>
      <c r="FH185" s="113"/>
      <c r="FI185" s="113"/>
      <c r="FJ185" s="113"/>
      <c r="FK185" s="113"/>
      <c r="FL185" s="113"/>
      <c r="FM185" s="113"/>
      <c r="FN185" s="113"/>
      <c r="FO185" s="113"/>
      <c r="FP185" s="113"/>
      <c r="FQ185" s="113"/>
      <c r="FR185" s="113"/>
      <c r="FS185" s="113"/>
      <c r="FT185" s="113"/>
      <c r="FU185" s="113"/>
      <c r="FV185" s="113"/>
      <c r="FW185" s="113"/>
      <c r="FX185" s="113"/>
      <c r="FY185" s="113"/>
      <c r="FZ185" s="113"/>
      <c r="GA185" s="113"/>
      <c r="GB185" s="113"/>
      <c r="GC185" s="113"/>
      <c r="GD185" s="113"/>
      <c r="GE185" s="113"/>
      <c r="GF185" s="113"/>
      <c r="GG185" s="113"/>
      <c r="GH185" s="113"/>
      <c r="GI185" s="113"/>
      <c r="GJ185" s="113"/>
      <c r="GK185" s="113"/>
      <c r="GL185" s="113"/>
      <c r="GM185" s="113"/>
      <c r="GN185" s="113"/>
      <c r="GO185" s="113"/>
      <c r="GP185" s="113"/>
      <c r="GQ185" s="113"/>
      <c r="GR185" s="113"/>
      <c r="GS185" s="113"/>
      <c r="GT185" s="113"/>
      <c r="GU185" s="113"/>
      <c r="GV185" s="113"/>
      <c r="GW185" s="113"/>
      <c r="GX185" s="113"/>
      <c r="GY185" s="113"/>
      <c r="GZ185" s="113"/>
      <c r="HA185" s="113"/>
      <c r="HB185" s="113"/>
      <c r="HC185" s="113"/>
      <c r="HD185" s="113"/>
      <c r="HE185" s="113"/>
      <c r="HF185" s="113"/>
      <c r="HG185" s="113"/>
      <c r="HH185" s="113"/>
      <c r="HI185" s="113"/>
      <c r="HJ185" s="113"/>
      <c r="HK185" s="113"/>
      <c r="HL185" s="113"/>
      <c r="HM185" s="113"/>
      <c r="HN185" s="113"/>
      <c r="HO185" s="113"/>
      <c r="HP185" s="113"/>
      <c r="HQ185" s="113"/>
      <c r="HR185" s="113"/>
      <c r="HS185" s="113"/>
      <c r="HT185" s="113"/>
      <c r="HU185" s="113"/>
      <c r="HV185" s="113"/>
      <c r="HW185" s="113"/>
      <c r="HX185" s="113"/>
      <c r="HY185" s="113"/>
      <c r="HZ185" s="113"/>
      <c r="IA185" s="113"/>
      <c r="IB185" s="113"/>
      <c r="IC185" s="113"/>
      <c r="ID185" s="113"/>
      <c r="IE185" s="113"/>
      <c r="IF185" s="113"/>
      <c r="IG185" s="113"/>
      <c r="IH185" s="113"/>
      <c r="II185" s="113"/>
      <c r="IJ185" s="113"/>
      <c r="IK185" s="113"/>
      <c r="IL185" s="113"/>
      <c r="IM185" s="113"/>
      <c r="IN185" s="113"/>
      <c r="IO185" s="113"/>
      <c r="IP185" s="113"/>
      <c r="IQ185" s="113"/>
      <c r="IR185" s="113"/>
      <c r="IS185" s="113"/>
      <c r="IT185" s="113"/>
      <c r="IU185" s="113"/>
      <c r="IV185" s="113"/>
      <c r="IW185" s="113"/>
    </row>
    <row r="186" customFormat="false" ht="11.25" hidden="false" customHeight="false" outlineLevel="0" collapsed="false">
      <c r="A186" s="113"/>
      <c r="B186" s="393"/>
      <c r="C186" s="393"/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393"/>
      <c r="P186" s="393"/>
      <c r="Q186" s="393"/>
      <c r="R186" s="393"/>
      <c r="S186" s="393"/>
      <c r="T186" s="393"/>
      <c r="U186" s="393"/>
      <c r="V186" s="393"/>
      <c r="W186" s="393"/>
      <c r="X186" s="393"/>
      <c r="Y186" s="393"/>
      <c r="Z186" s="393"/>
      <c r="AA186" s="393"/>
      <c r="AB186" s="393"/>
      <c r="AC186" s="393"/>
      <c r="AD186" s="393"/>
      <c r="AE186" s="393"/>
      <c r="AF186" s="393"/>
      <c r="AG186" s="393"/>
      <c r="AH186" s="393"/>
      <c r="AI186" s="393"/>
      <c r="AJ186" s="393"/>
      <c r="AK186" s="393"/>
      <c r="AL186" s="393"/>
      <c r="AM186" s="393"/>
      <c r="AN186" s="393"/>
      <c r="AO186" s="393"/>
      <c r="AP186" s="393"/>
      <c r="AQ186" s="142"/>
      <c r="AR186" s="142"/>
      <c r="AS186" s="142"/>
      <c r="AT186" s="142"/>
      <c r="AU186" s="142"/>
      <c r="AV186" s="142"/>
      <c r="AW186" s="142"/>
      <c r="AX186" s="142"/>
      <c r="AY186" s="142"/>
      <c r="AZ186" s="142"/>
      <c r="BA186" s="142"/>
      <c r="BB186" s="142"/>
      <c r="BC186" s="113"/>
      <c r="BD186" s="113"/>
      <c r="BE186" s="113"/>
      <c r="BF186" s="113"/>
      <c r="BG186" s="113"/>
      <c r="BH186" s="113"/>
      <c r="BI186" s="113"/>
      <c r="BJ186" s="113"/>
      <c r="BK186" s="113"/>
      <c r="BL186" s="113"/>
      <c r="BM186" s="113"/>
      <c r="BN186" s="113"/>
      <c r="BO186" s="113"/>
      <c r="BP186" s="113"/>
      <c r="BQ186" s="113"/>
      <c r="BR186" s="113"/>
      <c r="BS186" s="113"/>
      <c r="BT186" s="113"/>
      <c r="BU186" s="113"/>
      <c r="BV186" s="113"/>
      <c r="BW186" s="113"/>
      <c r="BX186" s="113"/>
      <c r="BY186" s="113"/>
      <c r="BZ186" s="113"/>
      <c r="CA186" s="113"/>
      <c r="CB186" s="113"/>
      <c r="CC186" s="113"/>
      <c r="CD186" s="113"/>
      <c r="CE186" s="113"/>
      <c r="CF186" s="113"/>
      <c r="CG186" s="113"/>
      <c r="CH186" s="113"/>
      <c r="CI186" s="113"/>
      <c r="CJ186" s="113"/>
      <c r="CK186" s="113"/>
      <c r="CL186" s="113"/>
      <c r="CM186" s="113"/>
      <c r="CN186" s="113"/>
      <c r="CO186" s="113"/>
      <c r="CP186" s="113"/>
      <c r="CQ186" s="113"/>
      <c r="CR186" s="113"/>
      <c r="CS186" s="113"/>
      <c r="CT186" s="113"/>
      <c r="CU186" s="113"/>
      <c r="CV186" s="113"/>
      <c r="CW186" s="113"/>
      <c r="CX186" s="113"/>
      <c r="CY186" s="113"/>
      <c r="CZ186" s="113"/>
      <c r="DA186" s="113"/>
      <c r="DB186" s="113"/>
      <c r="DC186" s="113"/>
      <c r="DD186" s="113"/>
      <c r="DE186" s="113"/>
      <c r="DF186" s="113"/>
      <c r="DG186" s="113"/>
      <c r="DH186" s="113"/>
      <c r="DI186" s="113"/>
      <c r="DJ186" s="113"/>
      <c r="DK186" s="113"/>
      <c r="DL186" s="113"/>
      <c r="DM186" s="113"/>
      <c r="DN186" s="113"/>
      <c r="DO186" s="113"/>
      <c r="DP186" s="113"/>
      <c r="DQ186" s="113"/>
      <c r="DR186" s="113"/>
      <c r="DS186" s="113"/>
      <c r="DT186" s="113"/>
      <c r="DU186" s="113"/>
      <c r="DV186" s="113"/>
      <c r="DW186" s="113"/>
      <c r="DX186" s="113"/>
      <c r="DY186" s="113"/>
      <c r="DZ186" s="113"/>
      <c r="EA186" s="113"/>
      <c r="EB186" s="113"/>
      <c r="EC186" s="113"/>
      <c r="ED186" s="113"/>
      <c r="EE186" s="113"/>
      <c r="EF186" s="113"/>
      <c r="EG186" s="113"/>
      <c r="EH186" s="113"/>
      <c r="EI186" s="113"/>
      <c r="EJ186" s="113"/>
      <c r="EK186" s="113"/>
      <c r="EL186" s="113"/>
      <c r="EM186" s="113"/>
      <c r="EN186" s="113"/>
      <c r="EO186" s="113"/>
      <c r="EP186" s="113"/>
      <c r="EQ186" s="113"/>
      <c r="ER186" s="113"/>
      <c r="ES186" s="113"/>
      <c r="ET186" s="113"/>
      <c r="EU186" s="113"/>
      <c r="EV186" s="113"/>
      <c r="EW186" s="113"/>
      <c r="EX186" s="113"/>
      <c r="EY186" s="113"/>
      <c r="EZ186" s="113"/>
      <c r="FA186" s="113"/>
      <c r="FB186" s="113"/>
      <c r="FC186" s="113"/>
      <c r="FD186" s="113"/>
      <c r="FE186" s="113"/>
      <c r="FF186" s="113"/>
      <c r="FG186" s="113"/>
      <c r="FH186" s="113"/>
      <c r="FI186" s="113"/>
      <c r="FJ186" s="113"/>
      <c r="FK186" s="113"/>
      <c r="FL186" s="113"/>
      <c r="FM186" s="113"/>
      <c r="FN186" s="113"/>
      <c r="FO186" s="113"/>
      <c r="FP186" s="113"/>
      <c r="FQ186" s="113"/>
      <c r="FR186" s="113"/>
      <c r="FS186" s="113"/>
      <c r="FT186" s="113"/>
      <c r="FU186" s="113"/>
      <c r="FV186" s="113"/>
      <c r="FW186" s="113"/>
      <c r="FX186" s="113"/>
      <c r="FY186" s="113"/>
      <c r="FZ186" s="113"/>
      <c r="GA186" s="113"/>
      <c r="GB186" s="113"/>
      <c r="GC186" s="113"/>
      <c r="GD186" s="113"/>
      <c r="GE186" s="113"/>
      <c r="GF186" s="113"/>
      <c r="GG186" s="113"/>
      <c r="GH186" s="113"/>
      <c r="GI186" s="113"/>
      <c r="GJ186" s="113"/>
      <c r="GK186" s="113"/>
      <c r="GL186" s="113"/>
      <c r="GM186" s="113"/>
      <c r="GN186" s="113"/>
      <c r="GO186" s="113"/>
      <c r="GP186" s="113"/>
      <c r="GQ186" s="113"/>
      <c r="GR186" s="113"/>
      <c r="GS186" s="113"/>
      <c r="GT186" s="113"/>
      <c r="GU186" s="113"/>
      <c r="GV186" s="113"/>
      <c r="GW186" s="113"/>
      <c r="GX186" s="113"/>
      <c r="GY186" s="113"/>
      <c r="GZ186" s="113"/>
      <c r="HA186" s="113"/>
      <c r="HB186" s="113"/>
      <c r="HC186" s="113"/>
      <c r="HD186" s="113"/>
      <c r="HE186" s="113"/>
      <c r="HF186" s="113"/>
      <c r="HG186" s="113"/>
      <c r="HH186" s="113"/>
      <c r="HI186" s="113"/>
      <c r="HJ186" s="113"/>
      <c r="HK186" s="113"/>
      <c r="HL186" s="113"/>
      <c r="HM186" s="113"/>
      <c r="HN186" s="113"/>
      <c r="HO186" s="113"/>
      <c r="HP186" s="113"/>
      <c r="HQ186" s="113"/>
      <c r="HR186" s="113"/>
      <c r="HS186" s="113"/>
      <c r="HT186" s="113"/>
      <c r="HU186" s="113"/>
      <c r="HV186" s="113"/>
      <c r="HW186" s="113"/>
      <c r="HX186" s="113"/>
      <c r="HY186" s="113"/>
      <c r="HZ186" s="113"/>
      <c r="IA186" s="113"/>
      <c r="IB186" s="113"/>
      <c r="IC186" s="113"/>
      <c r="ID186" s="113"/>
      <c r="IE186" s="113"/>
      <c r="IF186" s="113"/>
      <c r="IG186" s="113"/>
      <c r="IH186" s="113"/>
      <c r="II186" s="113"/>
      <c r="IJ186" s="113"/>
      <c r="IK186" s="113"/>
      <c r="IL186" s="113"/>
      <c r="IM186" s="113"/>
      <c r="IN186" s="113"/>
      <c r="IO186" s="113"/>
      <c r="IP186" s="113"/>
      <c r="IQ186" s="113"/>
      <c r="IR186" s="113"/>
      <c r="IS186" s="113"/>
      <c r="IT186" s="113"/>
      <c r="IU186" s="113"/>
      <c r="IV186" s="113"/>
      <c r="IW186" s="113"/>
    </row>
    <row r="187" customFormat="false" ht="11.25" hidden="false" customHeight="false" outlineLevel="0" collapsed="false">
      <c r="A187" s="113"/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393"/>
      <c r="P187" s="393"/>
      <c r="Q187" s="393"/>
      <c r="R187" s="393"/>
      <c r="S187" s="393"/>
      <c r="T187" s="393"/>
      <c r="U187" s="393"/>
      <c r="V187" s="393"/>
      <c r="W187" s="393"/>
      <c r="X187" s="393"/>
      <c r="Y187" s="393"/>
      <c r="Z187" s="393"/>
      <c r="AA187" s="393"/>
      <c r="AB187" s="393"/>
      <c r="AC187" s="393"/>
      <c r="AD187" s="393"/>
      <c r="AE187" s="393"/>
      <c r="AF187" s="393"/>
      <c r="AG187" s="393"/>
      <c r="AH187" s="393"/>
      <c r="AI187" s="393"/>
      <c r="AJ187" s="393"/>
      <c r="AK187" s="393"/>
      <c r="AL187" s="393"/>
      <c r="AM187" s="393"/>
      <c r="AN187" s="393"/>
      <c r="AO187" s="393"/>
      <c r="AP187" s="393"/>
      <c r="AQ187" s="142"/>
      <c r="AR187" s="142"/>
      <c r="AS187" s="142"/>
      <c r="AT187" s="142"/>
      <c r="AU187" s="142"/>
      <c r="AV187" s="142"/>
      <c r="AW187" s="142"/>
      <c r="AX187" s="142"/>
      <c r="AY187" s="142"/>
      <c r="AZ187" s="142"/>
      <c r="BA187" s="142"/>
      <c r="BB187" s="142"/>
      <c r="BC187" s="113"/>
      <c r="BD187" s="113"/>
      <c r="BE187" s="113"/>
      <c r="BF187" s="113"/>
      <c r="BG187" s="113"/>
      <c r="BH187" s="113"/>
      <c r="BI187" s="113"/>
      <c r="BJ187" s="113"/>
      <c r="BK187" s="113"/>
      <c r="BL187" s="113"/>
      <c r="BM187" s="113"/>
      <c r="BN187" s="113"/>
      <c r="BO187" s="113"/>
      <c r="BP187" s="113"/>
      <c r="BQ187" s="113"/>
      <c r="BR187" s="113"/>
      <c r="BS187" s="113"/>
      <c r="BT187" s="113"/>
      <c r="BU187" s="113"/>
      <c r="BV187" s="113"/>
      <c r="BW187" s="113"/>
      <c r="BX187" s="113"/>
      <c r="BY187" s="113"/>
      <c r="BZ187" s="113"/>
      <c r="CA187" s="113"/>
      <c r="CB187" s="113"/>
      <c r="CC187" s="113"/>
      <c r="CD187" s="113"/>
      <c r="CE187" s="113"/>
      <c r="CF187" s="113"/>
      <c r="CG187" s="113"/>
      <c r="CH187" s="113"/>
      <c r="CI187" s="113"/>
      <c r="CJ187" s="113"/>
      <c r="CK187" s="113"/>
      <c r="CL187" s="113"/>
      <c r="CM187" s="113"/>
      <c r="CN187" s="113"/>
      <c r="CO187" s="113"/>
      <c r="CP187" s="113"/>
      <c r="CQ187" s="113"/>
      <c r="CR187" s="113"/>
      <c r="CS187" s="113"/>
      <c r="CT187" s="113"/>
      <c r="CU187" s="113"/>
      <c r="CV187" s="113"/>
      <c r="CW187" s="113"/>
      <c r="CX187" s="113"/>
      <c r="CY187" s="113"/>
      <c r="CZ187" s="113"/>
      <c r="DA187" s="113"/>
      <c r="DB187" s="113"/>
      <c r="DC187" s="113"/>
      <c r="DD187" s="113"/>
      <c r="DE187" s="113"/>
      <c r="DF187" s="113"/>
      <c r="DG187" s="113"/>
      <c r="DH187" s="113"/>
      <c r="DI187" s="113"/>
      <c r="DJ187" s="113"/>
      <c r="DK187" s="113"/>
      <c r="DL187" s="113"/>
      <c r="DM187" s="113"/>
      <c r="DN187" s="113"/>
      <c r="DO187" s="113"/>
      <c r="DP187" s="113"/>
      <c r="DQ187" s="113"/>
      <c r="DR187" s="113"/>
      <c r="DS187" s="113"/>
      <c r="DT187" s="113"/>
      <c r="DU187" s="113"/>
      <c r="DV187" s="113"/>
      <c r="DW187" s="113"/>
      <c r="DX187" s="113"/>
      <c r="DY187" s="113"/>
      <c r="DZ187" s="113"/>
      <c r="EA187" s="113"/>
      <c r="EB187" s="113"/>
      <c r="EC187" s="113"/>
      <c r="ED187" s="113"/>
      <c r="EE187" s="113"/>
      <c r="EF187" s="113"/>
      <c r="EG187" s="113"/>
      <c r="EH187" s="113"/>
      <c r="EI187" s="113"/>
      <c r="EJ187" s="113"/>
      <c r="EK187" s="113"/>
      <c r="EL187" s="113"/>
      <c r="EM187" s="113"/>
      <c r="EN187" s="113"/>
      <c r="EO187" s="113"/>
      <c r="EP187" s="113"/>
      <c r="EQ187" s="113"/>
      <c r="ER187" s="113"/>
      <c r="ES187" s="113"/>
      <c r="ET187" s="113"/>
      <c r="EU187" s="113"/>
      <c r="EV187" s="113"/>
      <c r="EW187" s="113"/>
      <c r="EX187" s="113"/>
      <c r="EY187" s="113"/>
      <c r="EZ187" s="113"/>
      <c r="FA187" s="113"/>
      <c r="FB187" s="113"/>
      <c r="FC187" s="113"/>
      <c r="FD187" s="113"/>
      <c r="FE187" s="113"/>
      <c r="FF187" s="113"/>
      <c r="FG187" s="113"/>
      <c r="FH187" s="113"/>
      <c r="FI187" s="113"/>
      <c r="FJ187" s="113"/>
      <c r="FK187" s="113"/>
      <c r="FL187" s="113"/>
      <c r="FM187" s="113"/>
      <c r="FN187" s="113"/>
      <c r="FO187" s="113"/>
      <c r="FP187" s="113"/>
      <c r="FQ187" s="113"/>
      <c r="FR187" s="113"/>
      <c r="FS187" s="113"/>
      <c r="FT187" s="113"/>
      <c r="FU187" s="113"/>
      <c r="FV187" s="113"/>
      <c r="FW187" s="113"/>
      <c r="FX187" s="113"/>
      <c r="FY187" s="113"/>
      <c r="FZ187" s="113"/>
      <c r="GA187" s="113"/>
      <c r="GB187" s="113"/>
      <c r="GC187" s="113"/>
      <c r="GD187" s="113"/>
      <c r="GE187" s="113"/>
      <c r="GF187" s="113"/>
      <c r="GG187" s="113"/>
      <c r="GH187" s="113"/>
      <c r="GI187" s="113"/>
      <c r="GJ187" s="113"/>
      <c r="GK187" s="113"/>
      <c r="GL187" s="113"/>
      <c r="GM187" s="113"/>
      <c r="GN187" s="113"/>
      <c r="GO187" s="113"/>
      <c r="GP187" s="113"/>
      <c r="GQ187" s="113"/>
      <c r="GR187" s="113"/>
      <c r="GS187" s="113"/>
      <c r="GT187" s="113"/>
      <c r="GU187" s="113"/>
      <c r="GV187" s="113"/>
      <c r="GW187" s="113"/>
      <c r="GX187" s="113"/>
      <c r="GY187" s="113"/>
      <c r="GZ187" s="113"/>
      <c r="HA187" s="113"/>
      <c r="HB187" s="113"/>
      <c r="HC187" s="113"/>
      <c r="HD187" s="113"/>
      <c r="HE187" s="113"/>
      <c r="HF187" s="113"/>
      <c r="HG187" s="113"/>
      <c r="HH187" s="113"/>
      <c r="HI187" s="113"/>
      <c r="HJ187" s="113"/>
      <c r="HK187" s="113"/>
      <c r="HL187" s="113"/>
      <c r="HM187" s="113"/>
      <c r="HN187" s="113"/>
      <c r="HO187" s="113"/>
      <c r="HP187" s="113"/>
      <c r="HQ187" s="113"/>
      <c r="HR187" s="113"/>
      <c r="HS187" s="113"/>
      <c r="HT187" s="113"/>
      <c r="HU187" s="113"/>
      <c r="HV187" s="113"/>
      <c r="HW187" s="113"/>
      <c r="HX187" s="113"/>
      <c r="HY187" s="113"/>
      <c r="HZ187" s="113"/>
      <c r="IA187" s="113"/>
      <c r="IB187" s="113"/>
      <c r="IC187" s="113"/>
      <c r="ID187" s="113"/>
      <c r="IE187" s="113"/>
      <c r="IF187" s="113"/>
      <c r="IG187" s="113"/>
      <c r="IH187" s="113"/>
      <c r="II187" s="113"/>
      <c r="IJ187" s="113"/>
      <c r="IK187" s="113"/>
      <c r="IL187" s="113"/>
      <c r="IM187" s="113"/>
      <c r="IN187" s="113"/>
      <c r="IO187" s="113"/>
      <c r="IP187" s="113"/>
      <c r="IQ187" s="113"/>
      <c r="IR187" s="113"/>
      <c r="IS187" s="113"/>
      <c r="IT187" s="113"/>
      <c r="IU187" s="113"/>
      <c r="IV187" s="113"/>
      <c r="IW187" s="113"/>
    </row>
    <row r="188" customFormat="false" ht="11.25" hidden="false" customHeight="false" outlineLevel="0" collapsed="false">
      <c r="A188" s="113"/>
      <c r="B188" s="610"/>
      <c r="C188" s="610"/>
      <c r="D188" s="610"/>
      <c r="E188" s="610"/>
      <c r="F188" s="610"/>
      <c r="G188" s="610"/>
      <c r="H188" s="610"/>
      <c r="I188" s="610"/>
      <c r="J188" s="610"/>
      <c r="K188" s="610"/>
      <c r="L188" s="610"/>
      <c r="M188" s="610"/>
      <c r="N188" s="610"/>
      <c r="O188" s="610"/>
      <c r="P188" s="610"/>
      <c r="Q188" s="610"/>
      <c r="R188" s="610"/>
      <c r="S188" s="610"/>
      <c r="T188" s="610"/>
      <c r="U188" s="610"/>
      <c r="V188" s="610"/>
      <c r="W188" s="610"/>
      <c r="X188" s="610"/>
      <c r="Y188" s="610"/>
      <c r="Z188" s="610"/>
      <c r="AA188" s="610"/>
      <c r="AB188" s="610"/>
      <c r="AC188" s="610"/>
      <c r="AD188" s="610"/>
      <c r="AE188" s="610"/>
      <c r="AF188" s="610"/>
      <c r="AG188" s="610"/>
      <c r="AH188" s="610"/>
      <c r="AI188" s="610"/>
      <c r="AJ188" s="610"/>
      <c r="AK188" s="610"/>
      <c r="AL188" s="610"/>
      <c r="AM188" s="610"/>
      <c r="AN188" s="610"/>
      <c r="AO188" s="610"/>
      <c r="AP188" s="610"/>
      <c r="AQ188" s="142"/>
      <c r="AR188" s="142"/>
      <c r="AS188" s="142"/>
      <c r="AT188" s="142"/>
      <c r="AU188" s="142"/>
      <c r="AV188" s="142"/>
      <c r="AW188" s="142"/>
      <c r="AX188" s="142"/>
      <c r="AY188" s="142"/>
      <c r="AZ188" s="142"/>
      <c r="BA188" s="142"/>
      <c r="BB188" s="142"/>
      <c r="BC188" s="113"/>
      <c r="BD188" s="113"/>
      <c r="BE188" s="113"/>
      <c r="BF188" s="113"/>
      <c r="BG188" s="113"/>
      <c r="BH188" s="113"/>
      <c r="BI188" s="113"/>
      <c r="BJ188" s="113"/>
      <c r="BK188" s="113"/>
      <c r="BL188" s="113"/>
      <c r="BM188" s="113"/>
      <c r="BN188" s="113"/>
      <c r="BO188" s="113"/>
      <c r="BP188" s="113"/>
      <c r="BQ188" s="113"/>
      <c r="BR188" s="113"/>
      <c r="BS188" s="113"/>
      <c r="BT188" s="113"/>
      <c r="BU188" s="113"/>
      <c r="BV188" s="113"/>
      <c r="BW188" s="113"/>
      <c r="BX188" s="113"/>
      <c r="BY188" s="113"/>
      <c r="BZ188" s="113"/>
      <c r="CA188" s="113"/>
      <c r="CB188" s="113"/>
      <c r="CC188" s="113"/>
      <c r="CD188" s="113"/>
      <c r="CE188" s="113"/>
      <c r="CF188" s="113"/>
      <c r="CG188" s="113"/>
      <c r="CH188" s="113"/>
      <c r="CI188" s="113"/>
      <c r="CJ188" s="113"/>
      <c r="CK188" s="113"/>
      <c r="CL188" s="113"/>
      <c r="CM188" s="113"/>
      <c r="CN188" s="113"/>
      <c r="CO188" s="113"/>
      <c r="CP188" s="113"/>
      <c r="CQ188" s="113"/>
      <c r="CR188" s="113"/>
      <c r="CS188" s="113"/>
      <c r="CT188" s="113"/>
      <c r="CU188" s="113"/>
      <c r="CV188" s="113"/>
      <c r="CW188" s="113"/>
      <c r="CX188" s="113"/>
      <c r="CY188" s="113"/>
      <c r="CZ188" s="113"/>
      <c r="DA188" s="113"/>
      <c r="DB188" s="113"/>
      <c r="DC188" s="113"/>
      <c r="DD188" s="113"/>
      <c r="DE188" s="113"/>
      <c r="DF188" s="113"/>
      <c r="DG188" s="113"/>
      <c r="DH188" s="113"/>
      <c r="DI188" s="113"/>
      <c r="DJ188" s="113"/>
      <c r="DK188" s="113"/>
      <c r="DL188" s="113"/>
      <c r="DM188" s="113"/>
      <c r="DN188" s="113"/>
      <c r="DO188" s="113"/>
      <c r="DP188" s="113"/>
      <c r="DQ188" s="113"/>
      <c r="DR188" s="113"/>
      <c r="DS188" s="113"/>
      <c r="DT188" s="113"/>
      <c r="DU188" s="113"/>
      <c r="DV188" s="113"/>
      <c r="DW188" s="113"/>
      <c r="DX188" s="113"/>
      <c r="DY188" s="113"/>
      <c r="DZ188" s="113"/>
      <c r="EA188" s="113"/>
      <c r="EB188" s="113"/>
      <c r="EC188" s="113"/>
      <c r="ED188" s="113"/>
      <c r="EE188" s="113"/>
      <c r="EF188" s="113"/>
      <c r="EG188" s="113"/>
      <c r="EH188" s="113"/>
      <c r="EI188" s="113"/>
      <c r="EJ188" s="113"/>
      <c r="EK188" s="113"/>
      <c r="EL188" s="113"/>
      <c r="EM188" s="113"/>
      <c r="EN188" s="113"/>
      <c r="EO188" s="113"/>
      <c r="EP188" s="113"/>
      <c r="EQ188" s="113"/>
      <c r="ER188" s="113"/>
      <c r="ES188" s="113"/>
      <c r="ET188" s="113"/>
      <c r="EU188" s="113"/>
      <c r="EV188" s="113"/>
      <c r="EW188" s="113"/>
      <c r="EX188" s="113"/>
      <c r="EY188" s="113"/>
      <c r="EZ188" s="113"/>
      <c r="FA188" s="113"/>
      <c r="FB188" s="113"/>
      <c r="FC188" s="113"/>
      <c r="FD188" s="113"/>
      <c r="FE188" s="113"/>
      <c r="FF188" s="113"/>
      <c r="FG188" s="113"/>
      <c r="FH188" s="113"/>
      <c r="FI188" s="113"/>
      <c r="FJ188" s="113"/>
      <c r="FK188" s="113"/>
      <c r="FL188" s="113"/>
      <c r="FM188" s="113"/>
      <c r="FN188" s="113"/>
      <c r="FO188" s="113"/>
      <c r="FP188" s="113"/>
      <c r="FQ188" s="113"/>
      <c r="FR188" s="113"/>
      <c r="FS188" s="113"/>
      <c r="FT188" s="113"/>
      <c r="FU188" s="113"/>
      <c r="FV188" s="113"/>
      <c r="FW188" s="113"/>
      <c r="FX188" s="113"/>
      <c r="FY188" s="113"/>
      <c r="FZ188" s="113"/>
      <c r="GA188" s="113"/>
      <c r="GB188" s="113"/>
      <c r="GC188" s="113"/>
      <c r="GD188" s="113"/>
      <c r="GE188" s="113"/>
      <c r="GF188" s="113"/>
      <c r="GG188" s="113"/>
      <c r="GH188" s="113"/>
      <c r="GI188" s="113"/>
      <c r="GJ188" s="113"/>
      <c r="GK188" s="113"/>
      <c r="GL188" s="113"/>
      <c r="GM188" s="113"/>
      <c r="GN188" s="113"/>
      <c r="GO188" s="113"/>
      <c r="GP188" s="113"/>
      <c r="GQ188" s="113"/>
      <c r="GR188" s="113"/>
      <c r="GS188" s="113"/>
      <c r="GT188" s="113"/>
      <c r="GU188" s="113"/>
      <c r="GV188" s="113"/>
      <c r="GW188" s="113"/>
      <c r="GX188" s="113"/>
      <c r="GY188" s="113"/>
      <c r="GZ188" s="113"/>
      <c r="HA188" s="113"/>
      <c r="HB188" s="113"/>
      <c r="HC188" s="113"/>
      <c r="HD188" s="113"/>
      <c r="HE188" s="113"/>
      <c r="HF188" s="113"/>
      <c r="HG188" s="113"/>
      <c r="HH188" s="113"/>
      <c r="HI188" s="113"/>
      <c r="HJ188" s="113"/>
      <c r="HK188" s="113"/>
      <c r="HL188" s="113"/>
      <c r="HM188" s="113"/>
      <c r="HN188" s="113"/>
      <c r="HO188" s="113"/>
      <c r="HP188" s="113"/>
      <c r="HQ188" s="113"/>
      <c r="HR188" s="113"/>
      <c r="HS188" s="113"/>
      <c r="HT188" s="113"/>
      <c r="HU188" s="113"/>
      <c r="HV188" s="113"/>
      <c r="HW188" s="113"/>
      <c r="HX188" s="113"/>
      <c r="HY188" s="113"/>
      <c r="HZ188" s="113"/>
      <c r="IA188" s="113"/>
      <c r="IB188" s="113"/>
      <c r="IC188" s="113"/>
      <c r="ID188" s="113"/>
      <c r="IE188" s="113"/>
      <c r="IF188" s="113"/>
      <c r="IG188" s="113"/>
      <c r="IH188" s="113"/>
      <c r="II188" s="113"/>
      <c r="IJ188" s="113"/>
      <c r="IK188" s="113"/>
      <c r="IL188" s="113"/>
      <c r="IM188" s="113"/>
      <c r="IN188" s="113"/>
      <c r="IO188" s="113"/>
      <c r="IP188" s="113"/>
      <c r="IQ188" s="113"/>
      <c r="IR188" s="113"/>
      <c r="IS188" s="113"/>
      <c r="IT188" s="113"/>
      <c r="IU188" s="113"/>
      <c r="IV188" s="113"/>
      <c r="IW188" s="113"/>
    </row>
    <row r="189" customFormat="false" ht="11.25" hidden="false" customHeight="false" outlineLevel="0" collapsed="false">
      <c r="A189" s="113"/>
      <c r="B189" s="610"/>
      <c r="C189" s="610"/>
      <c r="D189" s="610"/>
      <c r="E189" s="610"/>
      <c r="F189" s="610"/>
      <c r="G189" s="610"/>
      <c r="H189" s="610"/>
      <c r="I189" s="610"/>
      <c r="J189" s="610"/>
      <c r="K189" s="610"/>
      <c r="L189" s="610"/>
      <c r="M189" s="610"/>
      <c r="N189" s="610"/>
      <c r="O189" s="610"/>
      <c r="P189" s="610"/>
      <c r="Q189" s="610"/>
      <c r="R189" s="610"/>
      <c r="S189" s="610"/>
      <c r="T189" s="610"/>
      <c r="U189" s="610"/>
      <c r="V189" s="610"/>
      <c r="W189" s="610"/>
      <c r="X189" s="610"/>
      <c r="Y189" s="610"/>
      <c r="Z189" s="610"/>
      <c r="AA189" s="610"/>
      <c r="AB189" s="610"/>
      <c r="AC189" s="610"/>
      <c r="AD189" s="610"/>
      <c r="AE189" s="610"/>
      <c r="AF189" s="610"/>
      <c r="AG189" s="610"/>
      <c r="AH189" s="610"/>
      <c r="AI189" s="610"/>
      <c r="AJ189" s="610"/>
      <c r="AK189" s="610"/>
      <c r="AL189" s="610"/>
      <c r="AM189" s="610"/>
      <c r="AN189" s="610"/>
      <c r="AO189" s="610"/>
      <c r="AP189" s="610"/>
      <c r="AQ189" s="142"/>
      <c r="AR189" s="142"/>
      <c r="AS189" s="142"/>
      <c r="AT189" s="142"/>
      <c r="AU189" s="142"/>
      <c r="AV189" s="142"/>
      <c r="AW189" s="142"/>
      <c r="AX189" s="142"/>
      <c r="AY189" s="142"/>
      <c r="AZ189" s="142"/>
      <c r="BA189" s="142"/>
      <c r="BB189" s="142"/>
      <c r="BC189" s="113"/>
      <c r="BD189" s="113"/>
      <c r="BE189" s="113"/>
      <c r="BF189" s="113"/>
      <c r="BG189" s="113"/>
      <c r="BH189" s="113"/>
      <c r="BI189" s="113"/>
      <c r="BJ189" s="113"/>
      <c r="BK189" s="113"/>
      <c r="BL189" s="113"/>
      <c r="BM189" s="113"/>
      <c r="BN189" s="113"/>
      <c r="BO189" s="113"/>
      <c r="BP189" s="113"/>
      <c r="BQ189" s="113"/>
      <c r="BR189" s="113"/>
      <c r="BS189" s="113"/>
      <c r="BT189" s="113"/>
      <c r="BU189" s="113"/>
      <c r="BV189" s="113"/>
      <c r="BW189" s="113"/>
      <c r="BX189" s="113"/>
      <c r="BY189" s="113"/>
      <c r="BZ189" s="113"/>
      <c r="CA189" s="113"/>
      <c r="CB189" s="113"/>
      <c r="CC189" s="113"/>
      <c r="CD189" s="113"/>
      <c r="CE189" s="113"/>
      <c r="CF189" s="113"/>
      <c r="CG189" s="113"/>
      <c r="CH189" s="113"/>
      <c r="CI189" s="113"/>
      <c r="CJ189" s="113"/>
      <c r="CK189" s="113"/>
      <c r="CL189" s="113"/>
      <c r="CM189" s="113"/>
      <c r="CN189" s="113"/>
      <c r="CO189" s="113"/>
      <c r="CP189" s="113"/>
      <c r="CQ189" s="113"/>
      <c r="CR189" s="113"/>
      <c r="CS189" s="113"/>
      <c r="CT189" s="113"/>
      <c r="CU189" s="113"/>
      <c r="CV189" s="113"/>
      <c r="CW189" s="113"/>
      <c r="CX189" s="113"/>
      <c r="CY189" s="113"/>
      <c r="CZ189" s="113"/>
      <c r="DA189" s="113"/>
      <c r="DB189" s="113"/>
      <c r="DC189" s="113"/>
      <c r="DD189" s="113"/>
      <c r="DE189" s="113"/>
      <c r="DF189" s="113"/>
      <c r="DG189" s="113"/>
      <c r="DH189" s="113"/>
      <c r="DI189" s="113"/>
      <c r="DJ189" s="113"/>
      <c r="DK189" s="113"/>
      <c r="DL189" s="113"/>
      <c r="DM189" s="113"/>
      <c r="DN189" s="113"/>
      <c r="DO189" s="113"/>
      <c r="DP189" s="113"/>
      <c r="DQ189" s="113"/>
      <c r="DR189" s="113"/>
      <c r="DS189" s="113"/>
      <c r="DT189" s="113"/>
      <c r="DU189" s="113"/>
      <c r="DV189" s="113"/>
      <c r="DW189" s="113"/>
      <c r="DX189" s="113"/>
      <c r="DY189" s="113"/>
      <c r="DZ189" s="113"/>
      <c r="EA189" s="113"/>
      <c r="EB189" s="113"/>
      <c r="EC189" s="113"/>
      <c r="ED189" s="113"/>
      <c r="EE189" s="113"/>
      <c r="EF189" s="113"/>
      <c r="EG189" s="113"/>
      <c r="EH189" s="113"/>
      <c r="EI189" s="113"/>
      <c r="EJ189" s="113"/>
      <c r="EK189" s="113"/>
      <c r="EL189" s="113"/>
      <c r="EM189" s="113"/>
      <c r="EN189" s="113"/>
      <c r="EO189" s="113"/>
      <c r="EP189" s="113"/>
      <c r="EQ189" s="113"/>
      <c r="ER189" s="113"/>
      <c r="ES189" s="113"/>
      <c r="ET189" s="113"/>
      <c r="EU189" s="113"/>
      <c r="EV189" s="113"/>
      <c r="EW189" s="113"/>
      <c r="EX189" s="113"/>
      <c r="EY189" s="113"/>
      <c r="EZ189" s="113"/>
      <c r="FA189" s="113"/>
      <c r="FB189" s="113"/>
      <c r="FC189" s="113"/>
      <c r="FD189" s="113"/>
      <c r="FE189" s="113"/>
      <c r="FF189" s="113"/>
      <c r="FG189" s="113"/>
      <c r="FH189" s="113"/>
      <c r="FI189" s="113"/>
      <c r="FJ189" s="113"/>
      <c r="FK189" s="113"/>
      <c r="FL189" s="113"/>
      <c r="FM189" s="113"/>
      <c r="FN189" s="113"/>
      <c r="FO189" s="113"/>
      <c r="FP189" s="113"/>
      <c r="FQ189" s="113"/>
      <c r="FR189" s="113"/>
      <c r="FS189" s="113"/>
      <c r="FT189" s="113"/>
      <c r="FU189" s="113"/>
      <c r="FV189" s="113"/>
      <c r="FW189" s="113"/>
      <c r="FX189" s="113"/>
      <c r="FY189" s="113"/>
      <c r="FZ189" s="113"/>
      <c r="GA189" s="113"/>
      <c r="GB189" s="113"/>
      <c r="GC189" s="113"/>
      <c r="GD189" s="113"/>
      <c r="GE189" s="113"/>
      <c r="GF189" s="113"/>
      <c r="GG189" s="113"/>
      <c r="GH189" s="113"/>
      <c r="GI189" s="113"/>
      <c r="GJ189" s="113"/>
      <c r="GK189" s="113"/>
      <c r="GL189" s="113"/>
      <c r="GM189" s="113"/>
      <c r="GN189" s="113"/>
      <c r="GO189" s="113"/>
      <c r="GP189" s="113"/>
      <c r="GQ189" s="113"/>
      <c r="GR189" s="113"/>
      <c r="GS189" s="113"/>
      <c r="GT189" s="113"/>
      <c r="GU189" s="113"/>
      <c r="GV189" s="113"/>
      <c r="GW189" s="113"/>
      <c r="GX189" s="113"/>
      <c r="GY189" s="113"/>
      <c r="GZ189" s="113"/>
      <c r="HA189" s="113"/>
      <c r="HB189" s="113"/>
      <c r="HC189" s="113"/>
      <c r="HD189" s="113"/>
      <c r="HE189" s="113"/>
      <c r="HF189" s="113"/>
      <c r="HG189" s="113"/>
      <c r="HH189" s="113"/>
      <c r="HI189" s="113"/>
      <c r="HJ189" s="113"/>
      <c r="HK189" s="113"/>
      <c r="HL189" s="113"/>
      <c r="HM189" s="113"/>
      <c r="HN189" s="113"/>
      <c r="HO189" s="113"/>
      <c r="HP189" s="113"/>
      <c r="HQ189" s="113"/>
      <c r="HR189" s="113"/>
      <c r="HS189" s="113"/>
      <c r="HT189" s="113"/>
      <c r="HU189" s="113"/>
      <c r="HV189" s="113"/>
      <c r="HW189" s="113"/>
      <c r="HX189" s="113"/>
      <c r="HY189" s="113"/>
      <c r="HZ189" s="113"/>
      <c r="IA189" s="113"/>
      <c r="IB189" s="113"/>
      <c r="IC189" s="113"/>
      <c r="ID189" s="113"/>
      <c r="IE189" s="113"/>
      <c r="IF189" s="113"/>
      <c r="IG189" s="113"/>
      <c r="IH189" s="113"/>
      <c r="II189" s="113"/>
      <c r="IJ189" s="113"/>
      <c r="IK189" s="113"/>
      <c r="IL189" s="113"/>
      <c r="IM189" s="113"/>
      <c r="IN189" s="113"/>
      <c r="IO189" s="113"/>
      <c r="IP189" s="113"/>
      <c r="IQ189" s="113"/>
      <c r="IR189" s="113"/>
      <c r="IS189" s="113"/>
      <c r="IT189" s="113"/>
      <c r="IU189" s="113"/>
      <c r="IV189" s="113"/>
      <c r="IW189" s="113"/>
    </row>
    <row r="190" customFormat="false" ht="11.25" hidden="false" customHeight="false" outlineLevel="0" collapsed="false">
      <c r="A190" s="113"/>
      <c r="B190" s="626"/>
      <c r="C190" s="626"/>
      <c r="D190" s="627"/>
      <c r="E190" s="627"/>
      <c r="F190" s="627"/>
      <c r="G190" s="627"/>
      <c r="H190" s="627"/>
      <c r="I190" s="627"/>
      <c r="J190" s="627"/>
      <c r="K190" s="627"/>
      <c r="L190" s="627"/>
      <c r="M190" s="627"/>
      <c r="N190" s="627"/>
      <c r="O190" s="627"/>
      <c r="P190" s="627"/>
      <c r="Q190" s="627"/>
      <c r="R190" s="627"/>
      <c r="S190" s="627"/>
      <c r="T190" s="627"/>
      <c r="U190" s="627"/>
      <c r="V190" s="627"/>
      <c r="W190" s="627"/>
      <c r="X190" s="627"/>
      <c r="Y190" s="627"/>
      <c r="Z190" s="627"/>
      <c r="AA190" s="627"/>
      <c r="AB190" s="627"/>
      <c r="AC190" s="627"/>
      <c r="AD190" s="627"/>
      <c r="AE190" s="627"/>
      <c r="AF190" s="627"/>
      <c r="AG190" s="627"/>
      <c r="AH190" s="627"/>
      <c r="AI190" s="627"/>
      <c r="AJ190" s="627"/>
      <c r="AK190" s="627"/>
      <c r="AL190" s="627"/>
      <c r="AM190" s="627"/>
      <c r="AN190" s="627"/>
      <c r="AO190" s="627"/>
      <c r="AP190" s="627"/>
      <c r="AQ190" s="142"/>
      <c r="AR190" s="142"/>
      <c r="AS190" s="142"/>
      <c r="AT190" s="142"/>
      <c r="AU190" s="142"/>
      <c r="AV190" s="142"/>
      <c r="AW190" s="142"/>
      <c r="AX190" s="142"/>
      <c r="AY190" s="142"/>
      <c r="AZ190" s="142"/>
      <c r="BA190" s="142"/>
      <c r="BB190" s="142"/>
      <c r="BC190" s="113"/>
      <c r="BD190" s="113"/>
      <c r="BE190" s="113"/>
      <c r="BF190" s="113"/>
      <c r="BG190" s="113"/>
      <c r="BH190" s="113"/>
      <c r="BI190" s="113"/>
      <c r="BJ190" s="113"/>
      <c r="BK190" s="113"/>
      <c r="BL190" s="113"/>
      <c r="BM190" s="113"/>
      <c r="BN190" s="113"/>
      <c r="BO190" s="113"/>
      <c r="BP190" s="113"/>
      <c r="BQ190" s="113"/>
      <c r="BR190" s="113"/>
      <c r="BS190" s="113"/>
      <c r="BT190" s="113"/>
      <c r="BU190" s="113"/>
      <c r="BV190" s="113"/>
      <c r="BW190" s="113"/>
      <c r="BX190" s="113"/>
      <c r="BY190" s="113"/>
      <c r="BZ190" s="113"/>
      <c r="CA190" s="113"/>
      <c r="CB190" s="113"/>
      <c r="CC190" s="113"/>
      <c r="CD190" s="113"/>
      <c r="CE190" s="113"/>
      <c r="CF190" s="113"/>
      <c r="CG190" s="113"/>
      <c r="CH190" s="113"/>
      <c r="CI190" s="113"/>
      <c r="CJ190" s="113"/>
      <c r="CK190" s="113"/>
      <c r="CL190" s="113"/>
      <c r="CM190" s="113"/>
      <c r="CN190" s="113"/>
      <c r="CO190" s="113"/>
      <c r="CP190" s="113"/>
      <c r="CQ190" s="113"/>
      <c r="CR190" s="113"/>
      <c r="CS190" s="113"/>
      <c r="CT190" s="113"/>
      <c r="CU190" s="113"/>
      <c r="CV190" s="113"/>
      <c r="CW190" s="113"/>
      <c r="CX190" s="113"/>
      <c r="CY190" s="113"/>
      <c r="CZ190" s="113"/>
      <c r="DA190" s="113"/>
      <c r="DB190" s="113"/>
      <c r="DC190" s="113"/>
      <c r="DD190" s="113"/>
      <c r="DE190" s="113"/>
      <c r="DF190" s="113"/>
      <c r="DG190" s="113"/>
      <c r="DH190" s="113"/>
      <c r="DI190" s="113"/>
      <c r="DJ190" s="113"/>
      <c r="DK190" s="113"/>
      <c r="DL190" s="113"/>
      <c r="DM190" s="113"/>
      <c r="DN190" s="113"/>
      <c r="DO190" s="113"/>
      <c r="DP190" s="113"/>
      <c r="DQ190" s="113"/>
      <c r="DR190" s="113"/>
      <c r="DS190" s="113"/>
      <c r="DT190" s="113"/>
      <c r="DU190" s="113"/>
      <c r="DV190" s="113"/>
      <c r="DW190" s="113"/>
      <c r="DX190" s="113"/>
      <c r="DY190" s="113"/>
      <c r="DZ190" s="113"/>
      <c r="EA190" s="113"/>
      <c r="EB190" s="113"/>
      <c r="EC190" s="113"/>
      <c r="ED190" s="113"/>
      <c r="EE190" s="113"/>
      <c r="EF190" s="113"/>
      <c r="EG190" s="113"/>
      <c r="EH190" s="113"/>
      <c r="EI190" s="113"/>
      <c r="EJ190" s="113"/>
      <c r="EK190" s="113"/>
      <c r="EL190" s="113"/>
      <c r="EM190" s="113"/>
      <c r="EN190" s="113"/>
      <c r="EO190" s="113"/>
      <c r="EP190" s="113"/>
      <c r="EQ190" s="113"/>
      <c r="ER190" s="113"/>
      <c r="ES190" s="113"/>
      <c r="ET190" s="113"/>
      <c r="EU190" s="113"/>
      <c r="EV190" s="113"/>
      <c r="EW190" s="113"/>
      <c r="EX190" s="113"/>
      <c r="EY190" s="113"/>
      <c r="EZ190" s="113"/>
      <c r="FA190" s="113"/>
      <c r="FB190" s="113"/>
      <c r="FC190" s="113"/>
      <c r="FD190" s="113"/>
      <c r="FE190" s="113"/>
      <c r="FF190" s="113"/>
      <c r="FG190" s="113"/>
      <c r="FH190" s="113"/>
      <c r="FI190" s="113"/>
      <c r="FJ190" s="113"/>
      <c r="FK190" s="113"/>
      <c r="FL190" s="113"/>
      <c r="FM190" s="113"/>
      <c r="FN190" s="113"/>
      <c r="FO190" s="113"/>
      <c r="FP190" s="113"/>
      <c r="FQ190" s="113"/>
      <c r="FR190" s="113"/>
      <c r="FS190" s="113"/>
      <c r="FT190" s="113"/>
      <c r="FU190" s="113"/>
      <c r="FV190" s="113"/>
      <c r="FW190" s="113"/>
      <c r="FX190" s="113"/>
      <c r="FY190" s="113"/>
      <c r="FZ190" s="113"/>
      <c r="GA190" s="113"/>
      <c r="GB190" s="113"/>
      <c r="GC190" s="113"/>
      <c r="GD190" s="113"/>
      <c r="GE190" s="113"/>
      <c r="GF190" s="113"/>
      <c r="GG190" s="113"/>
      <c r="GH190" s="113"/>
      <c r="GI190" s="113"/>
      <c r="GJ190" s="113"/>
      <c r="GK190" s="113"/>
      <c r="GL190" s="113"/>
      <c r="GM190" s="113"/>
      <c r="GN190" s="113"/>
      <c r="GO190" s="113"/>
      <c r="GP190" s="113"/>
      <c r="GQ190" s="113"/>
      <c r="GR190" s="113"/>
      <c r="GS190" s="113"/>
      <c r="GT190" s="113"/>
      <c r="GU190" s="113"/>
      <c r="GV190" s="113"/>
      <c r="GW190" s="113"/>
      <c r="GX190" s="113"/>
      <c r="GY190" s="113"/>
      <c r="GZ190" s="113"/>
      <c r="HA190" s="113"/>
      <c r="HB190" s="113"/>
      <c r="HC190" s="113"/>
      <c r="HD190" s="113"/>
      <c r="HE190" s="113"/>
      <c r="HF190" s="113"/>
      <c r="HG190" s="113"/>
      <c r="HH190" s="113"/>
      <c r="HI190" s="113"/>
      <c r="HJ190" s="113"/>
      <c r="HK190" s="113"/>
      <c r="HL190" s="113"/>
      <c r="HM190" s="113"/>
      <c r="HN190" s="113"/>
      <c r="HO190" s="113"/>
      <c r="HP190" s="113"/>
      <c r="HQ190" s="113"/>
      <c r="HR190" s="113"/>
      <c r="HS190" s="113"/>
      <c r="HT190" s="113"/>
      <c r="HU190" s="113"/>
      <c r="HV190" s="113"/>
      <c r="HW190" s="113"/>
      <c r="HX190" s="113"/>
      <c r="HY190" s="113"/>
      <c r="HZ190" s="113"/>
      <c r="IA190" s="113"/>
      <c r="IB190" s="113"/>
      <c r="IC190" s="113"/>
      <c r="ID190" s="113"/>
      <c r="IE190" s="113"/>
      <c r="IF190" s="113"/>
      <c r="IG190" s="113"/>
      <c r="IH190" s="113"/>
      <c r="II190" s="113"/>
      <c r="IJ190" s="113"/>
      <c r="IK190" s="113"/>
      <c r="IL190" s="113"/>
      <c r="IM190" s="113"/>
      <c r="IN190" s="113"/>
      <c r="IO190" s="113"/>
      <c r="IP190" s="113"/>
      <c r="IQ190" s="113"/>
      <c r="IR190" s="113"/>
      <c r="IS190" s="113"/>
      <c r="IT190" s="113"/>
      <c r="IU190" s="113"/>
      <c r="IV190" s="113"/>
      <c r="IW190" s="113"/>
    </row>
    <row r="191" customFormat="false" ht="11.25" hidden="false" customHeight="false" outlineLevel="0" collapsed="false">
      <c r="B191" s="626"/>
      <c r="C191" s="626"/>
      <c r="D191" s="627"/>
      <c r="E191" s="627"/>
      <c r="F191" s="627"/>
      <c r="G191" s="627"/>
      <c r="H191" s="627"/>
      <c r="I191" s="627"/>
      <c r="J191" s="627"/>
      <c r="K191" s="627"/>
      <c r="L191" s="627"/>
      <c r="M191" s="627"/>
      <c r="N191" s="627"/>
      <c r="O191" s="627"/>
      <c r="P191" s="627"/>
      <c r="Q191" s="627"/>
      <c r="R191" s="627"/>
      <c r="S191" s="627"/>
      <c r="T191" s="627"/>
      <c r="U191" s="627"/>
      <c r="V191" s="627"/>
      <c r="W191" s="627"/>
      <c r="X191" s="627"/>
      <c r="Y191" s="627"/>
      <c r="Z191" s="627"/>
      <c r="AA191" s="627"/>
      <c r="AB191" s="627"/>
      <c r="AC191" s="627"/>
      <c r="AD191" s="627"/>
      <c r="AE191" s="627"/>
      <c r="AF191" s="627"/>
      <c r="AG191" s="627"/>
      <c r="AH191" s="627"/>
      <c r="AI191" s="627"/>
      <c r="AJ191" s="627"/>
      <c r="AK191" s="627"/>
      <c r="AL191" s="627"/>
      <c r="AM191" s="627"/>
      <c r="AN191" s="627"/>
      <c r="AO191" s="627"/>
      <c r="AP191" s="627"/>
      <c r="AQ191" s="628"/>
      <c r="AR191" s="628"/>
      <c r="AS191" s="628"/>
      <c r="AT191" s="628"/>
      <c r="AU191" s="628"/>
      <c r="AV191" s="628"/>
      <c r="AW191" s="628"/>
      <c r="AX191" s="628"/>
      <c r="AY191" s="628"/>
      <c r="AZ191" s="628"/>
      <c r="BA191" s="628"/>
      <c r="BB191" s="628"/>
    </row>
    <row r="192" customFormat="false" ht="11.25" hidden="false" customHeight="false" outlineLevel="0" collapsed="false">
      <c r="B192" s="626"/>
      <c r="C192" s="626"/>
      <c r="D192" s="627"/>
      <c r="E192" s="627"/>
      <c r="F192" s="627"/>
      <c r="G192" s="627"/>
      <c r="H192" s="627"/>
      <c r="I192" s="627"/>
      <c r="J192" s="627"/>
      <c r="K192" s="627"/>
      <c r="L192" s="627"/>
      <c r="M192" s="627"/>
      <c r="N192" s="627"/>
      <c r="O192" s="627"/>
      <c r="P192" s="627"/>
      <c r="Q192" s="627"/>
      <c r="R192" s="627"/>
      <c r="S192" s="627"/>
      <c r="T192" s="627"/>
      <c r="U192" s="627"/>
      <c r="V192" s="627"/>
      <c r="W192" s="627"/>
      <c r="X192" s="627"/>
      <c r="Y192" s="627"/>
      <c r="Z192" s="627"/>
      <c r="AA192" s="627"/>
      <c r="AB192" s="627"/>
      <c r="AC192" s="627"/>
      <c r="AD192" s="627"/>
      <c r="AE192" s="627"/>
      <c r="AF192" s="627"/>
      <c r="AG192" s="627"/>
      <c r="AH192" s="627"/>
      <c r="AI192" s="627"/>
      <c r="AJ192" s="627"/>
      <c r="AK192" s="627"/>
      <c r="AL192" s="627"/>
      <c r="AM192" s="627"/>
      <c r="AN192" s="627"/>
      <c r="AO192" s="627"/>
      <c r="AP192" s="627"/>
      <c r="AQ192" s="628"/>
      <c r="AR192" s="628"/>
      <c r="AS192" s="628"/>
      <c r="AT192" s="628"/>
      <c r="AU192" s="628"/>
      <c r="AV192" s="628"/>
      <c r="AW192" s="628"/>
      <c r="AX192" s="628"/>
      <c r="AY192" s="628"/>
      <c r="AZ192" s="628"/>
      <c r="BA192" s="628"/>
      <c r="BB192" s="628"/>
    </row>
    <row r="193" customFormat="false" ht="11.25" hidden="false" customHeight="false" outlineLevel="0" collapsed="false">
      <c r="B193" s="626"/>
      <c r="C193" s="626"/>
      <c r="D193" s="627"/>
      <c r="E193" s="627"/>
      <c r="F193" s="627"/>
      <c r="G193" s="627"/>
      <c r="H193" s="627"/>
      <c r="I193" s="627"/>
      <c r="J193" s="627"/>
      <c r="K193" s="627"/>
      <c r="L193" s="627"/>
      <c r="M193" s="627"/>
      <c r="N193" s="627"/>
      <c r="O193" s="627"/>
      <c r="P193" s="627"/>
      <c r="Q193" s="627"/>
      <c r="R193" s="627"/>
      <c r="S193" s="627"/>
      <c r="T193" s="627"/>
      <c r="U193" s="627"/>
      <c r="V193" s="627"/>
      <c r="W193" s="627"/>
      <c r="X193" s="627"/>
      <c r="Y193" s="627"/>
      <c r="Z193" s="627"/>
      <c r="AA193" s="627"/>
      <c r="AB193" s="627"/>
      <c r="AC193" s="627"/>
      <c r="AD193" s="627"/>
      <c r="AE193" s="627"/>
      <c r="AF193" s="627"/>
      <c r="AG193" s="627"/>
      <c r="AH193" s="627"/>
      <c r="AI193" s="627"/>
      <c r="AJ193" s="627"/>
      <c r="AK193" s="627"/>
      <c r="AL193" s="627"/>
      <c r="AM193" s="627"/>
      <c r="AN193" s="627"/>
      <c r="AO193" s="627"/>
      <c r="AP193" s="627"/>
      <c r="AQ193" s="628"/>
      <c r="AR193" s="628"/>
      <c r="AS193" s="628"/>
      <c r="AT193" s="628"/>
      <c r="AU193" s="628"/>
      <c r="AV193" s="628"/>
      <c r="AW193" s="628"/>
      <c r="AX193" s="628"/>
      <c r="AY193" s="628"/>
      <c r="AZ193" s="628"/>
      <c r="BA193" s="628"/>
      <c r="BB193" s="628"/>
    </row>
    <row r="194" customFormat="false" ht="11.25" hidden="false" customHeight="false" outlineLevel="0" collapsed="false">
      <c r="B194" s="626"/>
      <c r="C194" s="626"/>
      <c r="D194" s="627"/>
      <c r="E194" s="627"/>
      <c r="F194" s="627"/>
      <c r="G194" s="627"/>
      <c r="H194" s="627"/>
      <c r="I194" s="627"/>
      <c r="J194" s="627"/>
      <c r="K194" s="627"/>
      <c r="L194" s="627"/>
      <c r="M194" s="627"/>
      <c r="N194" s="627"/>
      <c r="O194" s="627"/>
      <c r="P194" s="627"/>
      <c r="Q194" s="627"/>
      <c r="R194" s="627"/>
      <c r="S194" s="627"/>
      <c r="T194" s="627"/>
      <c r="U194" s="627"/>
      <c r="V194" s="627"/>
      <c r="W194" s="627"/>
      <c r="X194" s="627"/>
      <c r="Y194" s="627"/>
      <c r="Z194" s="627"/>
      <c r="AA194" s="627"/>
      <c r="AB194" s="627"/>
      <c r="AC194" s="627"/>
      <c r="AD194" s="627"/>
      <c r="AE194" s="627"/>
      <c r="AF194" s="627"/>
      <c r="AG194" s="627"/>
      <c r="AH194" s="627"/>
      <c r="AI194" s="627"/>
      <c r="AJ194" s="627"/>
      <c r="AK194" s="627"/>
      <c r="AL194" s="627"/>
      <c r="AM194" s="627"/>
      <c r="AN194" s="627"/>
      <c r="AO194" s="627"/>
      <c r="AP194" s="627"/>
      <c r="AQ194" s="628"/>
      <c r="AR194" s="628"/>
      <c r="AS194" s="628"/>
      <c r="AT194" s="628"/>
      <c r="AU194" s="628"/>
      <c r="AV194" s="628"/>
      <c r="AW194" s="628"/>
      <c r="AX194" s="628"/>
      <c r="AY194" s="628"/>
      <c r="AZ194" s="628"/>
      <c r="BA194" s="628"/>
      <c r="BB194" s="628"/>
    </row>
    <row r="195" customFormat="false" ht="11.25" hidden="false" customHeight="false" outlineLevel="0" collapsed="false">
      <c r="B195" s="626"/>
      <c r="C195" s="626"/>
      <c r="D195" s="627"/>
      <c r="E195" s="627"/>
      <c r="F195" s="627"/>
      <c r="G195" s="627"/>
      <c r="H195" s="627"/>
      <c r="I195" s="627"/>
      <c r="J195" s="627"/>
      <c r="K195" s="627"/>
      <c r="L195" s="627"/>
      <c r="M195" s="627"/>
      <c r="N195" s="627"/>
      <c r="O195" s="627"/>
      <c r="P195" s="627"/>
      <c r="Q195" s="627"/>
      <c r="R195" s="627"/>
      <c r="S195" s="627"/>
      <c r="T195" s="627"/>
      <c r="U195" s="627"/>
      <c r="V195" s="627"/>
      <c r="W195" s="627"/>
      <c r="X195" s="627"/>
      <c r="Y195" s="627"/>
      <c r="Z195" s="627"/>
      <c r="AA195" s="627"/>
      <c r="AB195" s="627"/>
      <c r="AC195" s="627"/>
      <c r="AD195" s="627"/>
      <c r="AE195" s="627"/>
      <c r="AF195" s="627"/>
      <c r="AG195" s="627"/>
      <c r="AH195" s="627"/>
      <c r="AI195" s="627"/>
      <c r="AJ195" s="627"/>
      <c r="AK195" s="627"/>
      <c r="AL195" s="627"/>
      <c r="AM195" s="627"/>
      <c r="AN195" s="627"/>
      <c r="AO195" s="627"/>
      <c r="AP195" s="627"/>
      <c r="AQ195" s="628"/>
      <c r="AR195" s="628"/>
      <c r="AS195" s="628"/>
      <c r="AT195" s="628"/>
      <c r="AU195" s="628"/>
      <c r="AV195" s="628"/>
      <c r="AW195" s="628"/>
      <c r="AX195" s="628"/>
      <c r="AY195" s="628"/>
      <c r="AZ195" s="628"/>
      <c r="BA195" s="628"/>
      <c r="BB195" s="628"/>
    </row>
    <row r="196" customFormat="false" ht="11.25" hidden="false" customHeight="false" outlineLevel="0" collapsed="false">
      <c r="B196" s="626"/>
      <c r="C196" s="626"/>
      <c r="D196" s="627"/>
      <c r="E196" s="627"/>
      <c r="F196" s="627"/>
      <c r="G196" s="627"/>
      <c r="H196" s="627"/>
      <c r="I196" s="627"/>
      <c r="J196" s="627"/>
      <c r="K196" s="627"/>
      <c r="L196" s="627"/>
      <c r="M196" s="627"/>
      <c r="N196" s="627"/>
      <c r="O196" s="627"/>
      <c r="P196" s="627"/>
      <c r="Q196" s="627"/>
      <c r="R196" s="627"/>
      <c r="S196" s="627"/>
      <c r="T196" s="627"/>
      <c r="U196" s="627"/>
      <c r="V196" s="627"/>
      <c r="W196" s="627"/>
      <c r="X196" s="627"/>
      <c r="Y196" s="627"/>
      <c r="Z196" s="627"/>
      <c r="AA196" s="627"/>
      <c r="AB196" s="627"/>
      <c r="AC196" s="627"/>
      <c r="AD196" s="627"/>
      <c r="AE196" s="627"/>
      <c r="AF196" s="627"/>
      <c r="AG196" s="627"/>
      <c r="AH196" s="627"/>
      <c r="AI196" s="627"/>
      <c r="AJ196" s="627"/>
      <c r="AK196" s="627"/>
      <c r="AL196" s="627"/>
      <c r="AM196" s="627"/>
      <c r="AN196" s="627"/>
      <c r="AO196" s="627"/>
      <c r="AP196" s="627"/>
      <c r="AQ196" s="628"/>
      <c r="AR196" s="628"/>
      <c r="AS196" s="628"/>
      <c r="AT196" s="628"/>
      <c r="AU196" s="628"/>
      <c r="AV196" s="628"/>
      <c r="AW196" s="628"/>
      <c r="AX196" s="628"/>
      <c r="AY196" s="628"/>
      <c r="AZ196" s="628"/>
      <c r="BA196" s="628"/>
      <c r="BB196" s="628"/>
    </row>
    <row r="197" customFormat="false" ht="11.25" hidden="false" customHeight="false" outlineLevel="0" collapsed="false">
      <c r="B197" s="626"/>
      <c r="C197" s="626"/>
      <c r="D197" s="627"/>
      <c r="E197" s="627"/>
      <c r="F197" s="627"/>
      <c r="G197" s="627"/>
      <c r="H197" s="627"/>
      <c r="I197" s="627"/>
      <c r="J197" s="627"/>
      <c r="K197" s="627"/>
      <c r="L197" s="627"/>
      <c r="M197" s="627"/>
      <c r="N197" s="627"/>
      <c r="O197" s="627"/>
      <c r="P197" s="627"/>
      <c r="Q197" s="627"/>
      <c r="R197" s="627"/>
      <c r="S197" s="627"/>
      <c r="T197" s="627"/>
      <c r="U197" s="627"/>
      <c r="V197" s="627"/>
      <c r="W197" s="627"/>
      <c r="X197" s="627"/>
      <c r="Y197" s="627"/>
      <c r="Z197" s="627"/>
      <c r="AA197" s="627"/>
      <c r="AB197" s="627"/>
      <c r="AC197" s="627"/>
      <c r="AD197" s="627"/>
      <c r="AE197" s="627"/>
      <c r="AF197" s="627"/>
      <c r="AG197" s="627"/>
      <c r="AH197" s="627"/>
      <c r="AI197" s="627"/>
      <c r="AJ197" s="627"/>
      <c r="AK197" s="627"/>
      <c r="AL197" s="627"/>
      <c r="AM197" s="627"/>
      <c r="AN197" s="627"/>
      <c r="AO197" s="627"/>
      <c r="AP197" s="627"/>
      <c r="AQ197" s="628"/>
      <c r="AR197" s="628"/>
      <c r="AS197" s="628"/>
      <c r="AT197" s="628"/>
      <c r="AU197" s="628"/>
      <c r="AV197" s="628"/>
      <c r="AW197" s="628"/>
      <c r="AX197" s="628"/>
      <c r="AY197" s="628"/>
      <c r="AZ197" s="628"/>
      <c r="BA197" s="628"/>
      <c r="BB197" s="628"/>
    </row>
    <row r="198" customFormat="false" ht="11.25" hidden="false" customHeight="false" outlineLevel="0" collapsed="false">
      <c r="B198" s="629"/>
      <c r="C198" s="629"/>
      <c r="D198" s="630"/>
      <c r="E198" s="630"/>
      <c r="F198" s="630"/>
      <c r="G198" s="630"/>
      <c r="H198" s="630"/>
      <c r="I198" s="630"/>
      <c r="J198" s="630"/>
      <c r="K198" s="630"/>
      <c r="L198" s="630"/>
      <c r="M198" s="630"/>
      <c r="N198" s="630"/>
      <c r="O198" s="630"/>
      <c r="P198" s="630"/>
      <c r="Q198" s="630"/>
      <c r="R198" s="630"/>
      <c r="S198" s="630"/>
      <c r="T198" s="630"/>
      <c r="U198" s="630"/>
      <c r="V198" s="630"/>
      <c r="W198" s="630"/>
      <c r="X198" s="630"/>
      <c r="Y198" s="630"/>
      <c r="Z198" s="630"/>
      <c r="AA198" s="630"/>
      <c r="AB198" s="630"/>
      <c r="AC198" s="630"/>
      <c r="AD198" s="630"/>
      <c r="AE198" s="630"/>
      <c r="AF198" s="630"/>
      <c r="AG198" s="630"/>
      <c r="AH198" s="630"/>
      <c r="AI198" s="630"/>
      <c r="AJ198" s="630"/>
      <c r="AK198" s="630"/>
      <c r="AL198" s="630"/>
      <c r="AM198" s="630"/>
      <c r="AN198" s="630"/>
      <c r="AO198" s="630"/>
      <c r="AP198" s="630"/>
      <c r="AQ198" s="628"/>
      <c r="AR198" s="628"/>
      <c r="AS198" s="628"/>
      <c r="AT198" s="628"/>
      <c r="AU198" s="628"/>
      <c r="AV198" s="628"/>
      <c r="AW198" s="628"/>
      <c r="AX198" s="628"/>
      <c r="AY198" s="628"/>
      <c r="AZ198" s="628"/>
      <c r="BA198" s="628"/>
      <c r="BB198" s="628"/>
    </row>
    <row r="199" customFormat="false" ht="11.25" hidden="false" customHeight="false" outlineLevel="0" collapsed="false">
      <c r="B199" s="628"/>
      <c r="C199" s="628"/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  <c r="V199" s="142"/>
      <c r="W199" s="142"/>
      <c r="X199" s="142"/>
      <c r="Y199" s="142"/>
      <c r="Z199" s="142"/>
      <c r="AA199" s="142"/>
      <c r="AB199" s="142"/>
      <c r="AC199" s="142"/>
      <c r="AD199" s="142"/>
      <c r="AE199" s="142"/>
      <c r="AF199" s="142"/>
      <c r="AG199" s="142"/>
      <c r="AH199" s="142"/>
      <c r="AI199" s="142"/>
      <c r="AJ199" s="142"/>
      <c r="AK199" s="142"/>
      <c r="AL199" s="142"/>
      <c r="AM199" s="142"/>
      <c r="AN199" s="142"/>
      <c r="AO199" s="142"/>
      <c r="AP199" s="142"/>
      <c r="AQ199" s="628"/>
      <c r="AR199" s="628"/>
      <c r="AS199" s="628"/>
      <c r="AT199" s="628"/>
      <c r="AU199" s="628"/>
      <c r="AV199" s="628"/>
      <c r="AW199" s="628"/>
      <c r="AX199" s="628"/>
      <c r="AY199" s="628"/>
      <c r="AZ199" s="628"/>
      <c r="BA199" s="628"/>
      <c r="BB199" s="628"/>
    </row>
    <row r="200" customFormat="false" ht="11.25" hidden="false" customHeight="false" outlineLevel="0" collapsed="false">
      <c r="B200" s="628"/>
      <c r="C200" s="628"/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42"/>
      <c r="AE200" s="142"/>
      <c r="AF200" s="142"/>
      <c r="AG200" s="142"/>
      <c r="AH200" s="142"/>
      <c r="AI200" s="142"/>
      <c r="AJ200" s="142"/>
      <c r="AK200" s="142"/>
      <c r="AL200" s="142"/>
      <c r="AM200" s="142"/>
      <c r="AN200" s="142"/>
      <c r="AO200" s="142"/>
      <c r="AP200" s="142"/>
      <c r="AQ200" s="628"/>
      <c r="AR200" s="628"/>
      <c r="AS200" s="628"/>
      <c r="AT200" s="628"/>
      <c r="AU200" s="628"/>
      <c r="AV200" s="628"/>
      <c r="AW200" s="628"/>
      <c r="AX200" s="628"/>
      <c r="AY200" s="628"/>
      <c r="AZ200" s="628"/>
      <c r="BA200" s="628"/>
      <c r="BB200" s="628"/>
    </row>
    <row r="201" customFormat="false" ht="11.25" hidden="false" customHeight="false" outlineLevel="0" collapsed="false">
      <c r="B201" s="628"/>
      <c r="C201" s="628"/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/>
      <c r="AE201" s="142"/>
      <c r="AF201" s="142"/>
      <c r="AG201" s="142"/>
      <c r="AH201" s="142"/>
      <c r="AI201" s="142"/>
      <c r="AJ201" s="142"/>
      <c r="AK201" s="142"/>
      <c r="AL201" s="142"/>
      <c r="AM201" s="142"/>
      <c r="AN201" s="142"/>
      <c r="AO201" s="142"/>
      <c r="AP201" s="142"/>
      <c r="AQ201" s="628"/>
      <c r="AR201" s="628"/>
      <c r="AS201" s="628"/>
      <c r="AT201" s="628"/>
      <c r="AU201" s="628"/>
      <c r="AV201" s="628"/>
      <c r="AW201" s="628"/>
      <c r="AX201" s="628"/>
      <c r="AY201" s="628"/>
      <c r="AZ201" s="628"/>
      <c r="BA201" s="628"/>
      <c r="BB201" s="628"/>
    </row>
    <row r="202" customFormat="false" ht="11.25" hidden="false" customHeight="false" outlineLevel="0" collapsed="false">
      <c r="B202" s="628"/>
      <c r="C202" s="628"/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42"/>
      <c r="AE202" s="142"/>
      <c r="AF202" s="142"/>
      <c r="AG202" s="142"/>
      <c r="AH202" s="142"/>
      <c r="AI202" s="142"/>
      <c r="AJ202" s="142"/>
      <c r="AK202" s="142"/>
      <c r="AL202" s="142"/>
      <c r="AM202" s="142"/>
      <c r="AN202" s="142"/>
      <c r="AO202" s="142"/>
      <c r="AP202" s="142"/>
      <c r="AQ202" s="628"/>
      <c r="AR202" s="628"/>
      <c r="AS202" s="628"/>
      <c r="AT202" s="628"/>
      <c r="AU202" s="628"/>
      <c r="AV202" s="628"/>
      <c r="AW202" s="628"/>
      <c r="AX202" s="628"/>
      <c r="AY202" s="628"/>
      <c r="AZ202" s="628"/>
      <c r="BA202" s="628"/>
      <c r="BB202" s="628"/>
    </row>
    <row r="203" customFormat="false" ht="11.25" hidden="false" customHeight="false" outlineLevel="0" collapsed="false">
      <c r="B203" s="628"/>
      <c r="C203" s="628"/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42"/>
      <c r="AE203" s="142"/>
      <c r="AF203" s="142"/>
      <c r="AG203" s="142"/>
      <c r="AH203" s="142"/>
      <c r="AI203" s="142"/>
      <c r="AJ203" s="142"/>
      <c r="AK203" s="142"/>
      <c r="AL203" s="142"/>
      <c r="AM203" s="142"/>
      <c r="AN203" s="142"/>
      <c r="AO203" s="142"/>
      <c r="AP203" s="142"/>
      <c r="AQ203" s="628"/>
      <c r="AR203" s="628"/>
      <c r="AS203" s="628"/>
      <c r="AT203" s="628"/>
      <c r="AU203" s="628"/>
      <c r="AV203" s="628"/>
      <c r="AW203" s="628"/>
      <c r="AX203" s="628"/>
      <c r="AY203" s="628"/>
      <c r="AZ203" s="628"/>
      <c r="BA203" s="628"/>
      <c r="BB203" s="628"/>
    </row>
    <row r="204" customFormat="false" ht="11.25" hidden="false" customHeight="false" outlineLevel="0" collapsed="false">
      <c r="B204" s="628"/>
      <c r="C204" s="628"/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42"/>
      <c r="AE204" s="142"/>
      <c r="AF204" s="142"/>
      <c r="AG204" s="142"/>
      <c r="AH204" s="142"/>
      <c r="AI204" s="142"/>
      <c r="AJ204" s="142"/>
      <c r="AK204" s="142"/>
      <c r="AL204" s="142"/>
      <c r="AM204" s="142"/>
      <c r="AN204" s="142"/>
      <c r="AO204" s="142"/>
      <c r="AP204" s="142"/>
      <c r="AQ204" s="628"/>
      <c r="AR204" s="628"/>
      <c r="AS204" s="628"/>
      <c r="AT204" s="628"/>
      <c r="AU204" s="628"/>
      <c r="AV204" s="628"/>
      <c r="AW204" s="628"/>
      <c r="AX204" s="628"/>
      <c r="AY204" s="628"/>
      <c r="AZ204" s="628"/>
      <c r="BA204" s="628"/>
      <c r="BB204" s="628"/>
    </row>
    <row r="205" customFormat="false" ht="11.25" hidden="false" customHeight="false" outlineLevel="0" collapsed="false">
      <c r="B205" s="628"/>
      <c r="C205" s="628"/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142"/>
      <c r="U205" s="142"/>
      <c r="V205" s="142"/>
      <c r="W205" s="142"/>
      <c r="X205" s="142"/>
      <c r="Y205" s="142"/>
      <c r="Z205" s="142"/>
      <c r="AA205" s="142"/>
      <c r="AB205" s="142"/>
      <c r="AC205" s="142"/>
      <c r="AD205" s="142"/>
      <c r="AE205" s="142"/>
      <c r="AF205" s="142"/>
      <c r="AG205" s="142"/>
      <c r="AH205" s="142"/>
      <c r="AI205" s="142"/>
      <c r="AJ205" s="142"/>
      <c r="AK205" s="142"/>
      <c r="AL205" s="142"/>
      <c r="AM205" s="142"/>
      <c r="AN205" s="142"/>
      <c r="AO205" s="142"/>
      <c r="AP205" s="142"/>
      <c r="AQ205" s="628"/>
      <c r="AR205" s="628"/>
      <c r="AS205" s="628"/>
      <c r="AT205" s="628"/>
      <c r="AU205" s="628"/>
      <c r="AV205" s="628"/>
      <c r="AW205" s="628"/>
      <c r="AX205" s="628"/>
      <c r="AY205" s="628"/>
      <c r="AZ205" s="628"/>
      <c r="BA205" s="628"/>
      <c r="BB205" s="628"/>
    </row>
    <row r="206" customFormat="false" ht="11.25" hidden="false" customHeight="false" outlineLevel="0" collapsed="false">
      <c r="B206" s="628"/>
      <c r="C206" s="628"/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142"/>
      <c r="U206" s="142"/>
      <c r="V206" s="142"/>
      <c r="W206" s="142"/>
      <c r="X206" s="142"/>
      <c r="Y206" s="142"/>
      <c r="Z206" s="142"/>
      <c r="AA206" s="142"/>
      <c r="AB206" s="142"/>
      <c r="AC206" s="142"/>
      <c r="AD206" s="142"/>
      <c r="AE206" s="142"/>
      <c r="AF206" s="142"/>
      <c r="AG206" s="142"/>
      <c r="AH206" s="142"/>
      <c r="AI206" s="142"/>
      <c r="AJ206" s="142"/>
      <c r="AK206" s="142"/>
      <c r="AL206" s="142"/>
      <c r="AM206" s="142"/>
      <c r="AN206" s="142"/>
      <c r="AO206" s="142"/>
      <c r="AP206" s="142"/>
      <c r="AQ206" s="628"/>
      <c r="AR206" s="628"/>
      <c r="AS206" s="628"/>
      <c r="AT206" s="628"/>
      <c r="AU206" s="628"/>
      <c r="AV206" s="628"/>
      <c r="AW206" s="628"/>
      <c r="AX206" s="628"/>
      <c r="AY206" s="628"/>
      <c r="AZ206" s="628"/>
      <c r="BA206" s="628"/>
      <c r="BB206" s="628"/>
    </row>
    <row r="207" customFormat="false" ht="11.25" hidden="false" customHeight="false" outlineLevel="0" collapsed="false">
      <c r="B207" s="628"/>
      <c r="C207" s="628"/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142"/>
      <c r="U207" s="142"/>
      <c r="V207" s="142"/>
      <c r="W207" s="142"/>
      <c r="X207" s="142"/>
      <c r="Y207" s="142"/>
      <c r="Z207" s="142"/>
      <c r="AA207" s="142"/>
      <c r="AB207" s="142"/>
      <c r="AC207" s="142"/>
      <c r="AD207" s="142"/>
      <c r="AE207" s="142"/>
      <c r="AF207" s="142"/>
      <c r="AG207" s="142"/>
      <c r="AH207" s="142"/>
      <c r="AI207" s="142"/>
      <c r="AJ207" s="142"/>
      <c r="AK207" s="142"/>
      <c r="AL207" s="142"/>
      <c r="AM207" s="142"/>
      <c r="AN207" s="142"/>
      <c r="AO207" s="142"/>
      <c r="AP207" s="142"/>
      <c r="AQ207" s="628"/>
      <c r="AR207" s="628"/>
      <c r="AS207" s="628"/>
      <c r="AT207" s="628"/>
      <c r="AU207" s="628"/>
      <c r="AV207" s="628"/>
      <c r="AW207" s="628"/>
      <c r="AX207" s="628"/>
      <c r="AY207" s="628"/>
      <c r="AZ207" s="628"/>
      <c r="BA207" s="628"/>
      <c r="BB207" s="628"/>
    </row>
    <row r="208" customFormat="false" ht="11.25" hidden="false" customHeight="false" outlineLevel="0" collapsed="false">
      <c r="B208" s="628"/>
      <c r="C208" s="628"/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142"/>
      <c r="U208" s="142"/>
      <c r="V208" s="142"/>
      <c r="W208" s="142"/>
      <c r="X208" s="142"/>
      <c r="Y208" s="142"/>
      <c r="Z208" s="142"/>
      <c r="AA208" s="142"/>
      <c r="AB208" s="142"/>
      <c r="AC208" s="142"/>
      <c r="AD208" s="142"/>
      <c r="AE208" s="142"/>
      <c r="AF208" s="142"/>
      <c r="AG208" s="142"/>
      <c r="AH208" s="142"/>
      <c r="AI208" s="142"/>
      <c r="AJ208" s="142"/>
      <c r="AK208" s="142"/>
      <c r="AL208" s="142"/>
      <c r="AM208" s="142"/>
      <c r="AN208" s="142"/>
      <c r="AO208" s="142"/>
      <c r="AP208" s="142"/>
      <c r="AQ208" s="628"/>
      <c r="AR208" s="628"/>
      <c r="AS208" s="628"/>
      <c r="AT208" s="628"/>
      <c r="AU208" s="628"/>
      <c r="AV208" s="628"/>
      <c r="AW208" s="628"/>
      <c r="AX208" s="628"/>
      <c r="AY208" s="628"/>
      <c r="AZ208" s="628"/>
      <c r="BA208" s="628"/>
      <c r="BB208" s="628"/>
    </row>
    <row r="209" customFormat="false" ht="11.25" hidden="false" customHeight="false" outlineLevel="0" collapsed="false">
      <c r="B209" s="628"/>
      <c r="C209" s="628"/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142"/>
      <c r="U209" s="142"/>
      <c r="V209" s="142"/>
      <c r="W209" s="142"/>
      <c r="X209" s="142"/>
      <c r="Y209" s="142"/>
      <c r="Z209" s="142"/>
      <c r="AA209" s="142"/>
      <c r="AB209" s="142"/>
      <c r="AC209" s="142"/>
      <c r="AD209" s="142"/>
      <c r="AE209" s="142"/>
      <c r="AF209" s="142"/>
      <c r="AG209" s="142"/>
      <c r="AH209" s="142"/>
      <c r="AI209" s="142"/>
      <c r="AJ209" s="142"/>
      <c r="AK209" s="142"/>
      <c r="AL209" s="142"/>
      <c r="AM209" s="142"/>
      <c r="AN209" s="142"/>
      <c r="AO209" s="142"/>
      <c r="AP209" s="142"/>
      <c r="AQ209" s="628"/>
      <c r="AR209" s="628"/>
      <c r="AS209" s="628"/>
      <c r="AT209" s="628"/>
      <c r="AU209" s="628"/>
      <c r="AV209" s="628"/>
      <c r="AW209" s="628"/>
      <c r="AX209" s="628"/>
      <c r="AY209" s="628"/>
      <c r="AZ209" s="628"/>
      <c r="BA209" s="628"/>
      <c r="BB209" s="628"/>
    </row>
    <row r="210" customFormat="false" ht="11.25" hidden="false" customHeight="false" outlineLevel="0" collapsed="false">
      <c r="B210" s="628"/>
      <c r="C210" s="628"/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142"/>
      <c r="U210" s="142"/>
      <c r="V210" s="142"/>
      <c r="W210" s="142"/>
      <c r="X210" s="142"/>
      <c r="Y210" s="142"/>
      <c r="Z210" s="142"/>
      <c r="AA210" s="142"/>
      <c r="AB210" s="142"/>
      <c r="AC210" s="142"/>
      <c r="AD210" s="142"/>
      <c r="AE210" s="142"/>
      <c r="AF210" s="142"/>
      <c r="AG210" s="142"/>
      <c r="AH210" s="142"/>
      <c r="AI210" s="142"/>
      <c r="AJ210" s="142"/>
      <c r="AK210" s="142"/>
      <c r="AL210" s="142"/>
      <c r="AM210" s="142"/>
      <c r="AN210" s="142"/>
      <c r="AO210" s="142"/>
      <c r="AP210" s="142"/>
      <c r="AQ210" s="628"/>
      <c r="AR210" s="628"/>
      <c r="AS210" s="628"/>
      <c r="AT210" s="628"/>
      <c r="AU210" s="628"/>
      <c r="AV210" s="628"/>
      <c r="AW210" s="628"/>
      <c r="AX210" s="628"/>
      <c r="AY210" s="628"/>
      <c r="AZ210" s="628"/>
      <c r="BA210" s="628"/>
      <c r="BB210" s="628"/>
    </row>
    <row r="211" customFormat="false" ht="11.25" hidden="false" customHeight="false" outlineLevel="0" collapsed="false">
      <c r="B211" s="628"/>
      <c r="C211" s="628"/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142"/>
      <c r="U211" s="142"/>
      <c r="V211" s="142"/>
      <c r="W211" s="142"/>
      <c r="X211" s="142"/>
      <c r="Y211" s="142"/>
      <c r="Z211" s="142"/>
      <c r="AA211" s="142"/>
      <c r="AB211" s="142"/>
      <c r="AC211" s="142"/>
      <c r="AD211" s="142"/>
      <c r="AE211" s="142"/>
      <c r="AF211" s="142"/>
      <c r="AG211" s="142"/>
      <c r="AH211" s="142"/>
      <c r="AI211" s="142"/>
      <c r="AJ211" s="142"/>
      <c r="AK211" s="142"/>
      <c r="AL211" s="142"/>
      <c r="AM211" s="142"/>
      <c r="AN211" s="142"/>
      <c r="AO211" s="142"/>
      <c r="AP211" s="142"/>
      <c r="AQ211" s="628"/>
      <c r="AR211" s="628"/>
      <c r="AS211" s="628"/>
      <c r="AT211" s="628"/>
      <c r="AU211" s="628"/>
      <c r="AV211" s="628"/>
      <c r="AW211" s="628"/>
      <c r="AX211" s="628"/>
      <c r="AY211" s="628"/>
      <c r="AZ211" s="628"/>
      <c r="BA211" s="628"/>
      <c r="BB211" s="628"/>
    </row>
    <row r="212" customFormat="false" ht="11.25" hidden="false" customHeight="false" outlineLevel="0" collapsed="false">
      <c r="B212" s="628"/>
      <c r="C212" s="628"/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142"/>
      <c r="U212" s="142"/>
      <c r="V212" s="142"/>
      <c r="W212" s="142"/>
      <c r="X212" s="142"/>
      <c r="Y212" s="142"/>
      <c r="Z212" s="142"/>
      <c r="AA212" s="142"/>
      <c r="AB212" s="142"/>
      <c r="AC212" s="142"/>
      <c r="AD212" s="142"/>
      <c r="AE212" s="142"/>
      <c r="AF212" s="142"/>
      <c r="AG212" s="142"/>
      <c r="AH212" s="142"/>
      <c r="AI212" s="142"/>
      <c r="AJ212" s="142"/>
      <c r="AK212" s="142"/>
      <c r="AL212" s="142"/>
      <c r="AM212" s="142"/>
      <c r="AN212" s="142"/>
      <c r="AO212" s="142"/>
      <c r="AP212" s="142"/>
      <c r="AQ212" s="628"/>
      <c r="AR212" s="628"/>
      <c r="AS212" s="628"/>
      <c r="AT212" s="628"/>
      <c r="AU212" s="628"/>
      <c r="AV212" s="628"/>
      <c r="AW212" s="628"/>
      <c r="AX212" s="628"/>
      <c r="AY212" s="628"/>
      <c r="AZ212" s="628"/>
      <c r="BA212" s="628"/>
      <c r="BB212" s="628"/>
    </row>
    <row r="213" customFormat="false" ht="11.25" hidden="false" customHeight="false" outlineLevel="0" collapsed="false">
      <c r="B213" s="628"/>
      <c r="C213" s="628"/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142"/>
      <c r="U213" s="142"/>
      <c r="V213" s="142"/>
      <c r="W213" s="142"/>
      <c r="X213" s="142"/>
      <c r="Y213" s="142"/>
      <c r="Z213" s="142"/>
      <c r="AA213" s="142"/>
      <c r="AB213" s="142"/>
      <c r="AC213" s="142"/>
      <c r="AD213" s="142"/>
      <c r="AE213" s="142"/>
      <c r="AF213" s="142"/>
      <c r="AG213" s="142"/>
      <c r="AH213" s="142"/>
      <c r="AI213" s="142"/>
      <c r="AJ213" s="142"/>
      <c r="AK213" s="142"/>
      <c r="AL213" s="142"/>
      <c r="AM213" s="142"/>
      <c r="AN213" s="142"/>
      <c r="AO213" s="142"/>
      <c r="AP213" s="142"/>
      <c r="AQ213" s="628"/>
      <c r="AR213" s="628"/>
      <c r="AS213" s="628"/>
      <c r="AT213" s="628"/>
      <c r="AU213" s="628"/>
      <c r="AV213" s="628"/>
      <c r="AW213" s="628"/>
      <c r="AX213" s="628"/>
      <c r="AY213" s="628"/>
      <c r="AZ213" s="628"/>
      <c r="BA213" s="628"/>
      <c r="BB213" s="628"/>
    </row>
    <row r="214" customFormat="false" ht="11.25" hidden="false" customHeight="false" outlineLevel="0" collapsed="false">
      <c r="B214" s="628"/>
      <c r="C214" s="628"/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142"/>
      <c r="U214" s="142"/>
      <c r="V214" s="142"/>
      <c r="W214" s="142"/>
      <c r="X214" s="142"/>
      <c r="Y214" s="142"/>
      <c r="Z214" s="142"/>
      <c r="AA214" s="142"/>
      <c r="AB214" s="142"/>
      <c r="AC214" s="142"/>
      <c r="AD214" s="142"/>
      <c r="AE214" s="142"/>
      <c r="AF214" s="142"/>
      <c r="AG214" s="142"/>
      <c r="AH214" s="142"/>
      <c r="AI214" s="142"/>
      <c r="AJ214" s="142"/>
      <c r="AK214" s="142"/>
      <c r="AL214" s="142"/>
      <c r="AM214" s="142"/>
      <c r="AN214" s="142"/>
      <c r="AO214" s="142"/>
      <c r="AP214" s="142"/>
      <c r="AQ214" s="628"/>
      <c r="AR214" s="628"/>
      <c r="AS214" s="628"/>
      <c r="AT214" s="628"/>
      <c r="AU214" s="628"/>
      <c r="AV214" s="628"/>
      <c r="AW214" s="628"/>
      <c r="AX214" s="628"/>
      <c r="AY214" s="628"/>
      <c r="AZ214" s="628"/>
      <c r="BA214" s="628"/>
      <c r="BB214" s="628"/>
    </row>
    <row r="215" customFormat="false" ht="11.25" hidden="false" customHeight="false" outlineLevel="0" collapsed="false">
      <c r="B215" s="628"/>
      <c r="C215" s="628"/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142"/>
      <c r="U215" s="142"/>
      <c r="V215" s="142"/>
      <c r="W215" s="142"/>
      <c r="X215" s="142"/>
      <c r="Y215" s="142"/>
      <c r="Z215" s="142"/>
      <c r="AA215" s="142"/>
      <c r="AB215" s="142"/>
      <c r="AC215" s="142"/>
      <c r="AD215" s="142"/>
      <c r="AE215" s="142"/>
      <c r="AF215" s="142"/>
      <c r="AG215" s="142"/>
      <c r="AH215" s="142"/>
      <c r="AI215" s="142"/>
      <c r="AJ215" s="142"/>
      <c r="AK215" s="142"/>
      <c r="AL215" s="142"/>
      <c r="AM215" s="142"/>
      <c r="AN215" s="142"/>
      <c r="AO215" s="142"/>
      <c r="AP215" s="142"/>
      <c r="AQ215" s="628"/>
      <c r="AR215" s="628"/>
      <c r="AS215" s="628"/>
      <c r="AT215" s="628"/>
      <c r="AU215" s="628"/>
      <c r="AV215" s="628"/>
      <c r="AW215" s="628"/>
      <c r="AX215" s="628"/>
      <c r="AY215" s="628"/>
      <c r="AZ215" s="628"/>
      <c r="BA215" s="628"/>
      <c r="BB215" s="628"/>
    </row>
    <row r="216" customFormat="false" ht="11.25" hidden="false" customHeight="false" outlineLevel="0" collapsed="false">
      <c r="B216" s="628"/>
      <c r="C216" s="628"/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142"/>
      <c r="U216" s="142"/>
      <c r="V216" s="142"/>
      <c r="W216" s="142"/>
      <c r="X216" s="142"/>
      <c r="Y216" s="142"/>
      <c r="Z216" s="142"/>
      <c r="AA216" s="142"/>
      <c r="AB216" s="142"/>
      <c r="AC216" s="142"/>
      <c r="AD216" s="142"/>
      <c r="AE216" s="142"/>
      <c r="AF216" s="142"/>
      <c r="AG216" s="142"/>
      <c r="AH216" s="142"/>
      <c r="AI216" s="142"/>
      <c r="AJ216" s="142"/>
      <c r="AK216" s="142"/>
      <c r="AL216" s="142"/>
      <c r="AM216" s="142"/>
      <c r="AN216" s="142"/>
      <c r="AO216" s="142"/>
      <c r="AP216" s="142"/>
      <c r="AQ216" s="628"/>
      <c r="AR216" s="628"/>
      <c r="AS216" s="628"/>
      <c r="AT216" s="628"/>
      <c r="AU216" s="628"/>
      <c r="AV216" s="628"/>
      <c r="AW216" s="628"/>
      <c r="AX216" s="628"/>
      <c r="AY216" s="628"/>
      <c r="AZ216" s="628"/>
      <c r="BA216" s="628"/>
      <c r="BB216" s="628"/>
    </row>
    <row r="217" customFormat="false" ht="11.25" hidden="false" customHeight="false" outlineLevel="0" collapsed="false">
      <c r="B217" s="628"/>
      <c r="C217" s="628"/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142"/>
      <c r="U217" s="142"/>
      <c r="V217" s="142"/>
      <c r="W217" s="142"/>
      <c r="X217" s="142"/>
      <c r="Y217" s="142"/>
      <c r="Z217" s="142"/>
      <c r="AA217" s="142"/>
      <c r="AB217" s="142"/>
      <c r="AC217" s="142"/>
      <c r="AD217" s="142"/>
      <c r="AE217" s="142"/>
      <c r="AF217" s="142"/>
      <c r="AG217" s="142"/>
      <c r="AH217" s="142"/>
      <c r="AI217" s="142"/>
      <c r="AJ217" s="142"/>
      <c r="AK217" s="142"/>
      <c r="AL217" s="142"/>
      <c r="AM217" s="142"/>
      <c r="AN217" s="142"/>
      <c r="AO217" s="142"/>
      <c r="AP217" s="142"/>
      <c r="AQ217" s="628"/>
      <c r="AR217" s="628"/>
      <c r="AS217" s="628"/>
      <c r="AT217" s="628"/>
      <c r="AU217" s="628"/>
      <c r="AV217" s="628"/>
      <c r="AW217" s="628"/>
      <c r="AX217" s="628"/>
      <c r="AY217" s="628"/>
      <c r="AZ217" s="628"/>
      <c r="BA217" s="628"/>
      <c r="BB217" s="628"/>
    </row>
    <row r="218" customFormat="false" ht="11.25" hidden="false" customHeight="false" outlineLevel="0" collapsed="false">
      <c r="B218" s="628"/>
      <c r="C218" s="628"/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42"/>
      <c r="AE218" s="142"/>
      <c r="AF218" s="142"/>
      <c r="AG218" s="142"/>
      <c r="AH218" s="142"/>
      <c r="AI218" s="142"/>
      <c r="AJ218" s="142"/>
      <c r="AK218" s="142"/>
      <c r="AL218" s="142"/>
      <c r="AM218" s="142"/>
      <c r="AN218" s="142"/>
      <c r="AO218" s="142"/>
      <c r="AP218" s="142"/>
      <c r="AQ218" s="628"/>
      <c r="AR218" s="628"/>
      <c r="AS218" s="628"/>
      <c r="AT218" s="628"/>
      <c r="AU218" s="628"/>
      <c r="AV218" s="628"/>
      <c r="AW218" s="628"/>
      <c r="AX218" s="628"/>
      <c r="AY218" s="628"/>
      <c r="AZ218" s="628"/>
      <c r="BA218" s="628"/>
      <c r="BB218" s="628"/>
    </row>
    <row r="219" customFormat="false" ht="11.25" hidden="false" customHeight="false" outlineLevel="0" collapsed="false">
      <c r="B219" s="628"/>
      <c r="C219" s="628"/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142"/>
      <c r="U219" s="142"/>
      <c r="V219" s="142"/>
      <c r="W219" s="142"/>
      <c r="X219" s="142"/>
      <c r="Y219" s="142"/>
      <c r="Z219" s="142"/>
      <c r="AA219" s="142"/>
      <c r="AB219" s="142"/>
      <c r="AC219" s="142"/>
      <c r="AD219" s="142"/>
      <c r="AE219" s="142"/>
      <c r="AF219" s="142"/>
      <c r="AG219" s="142"/>
      <c r="AH219" s="142"/>
      <c r="AI219" s="142"/>
      <c r="AJ219" s="142"/>
      <c r="AK219" s="142"/>
      <c r="AL219" s="142"/>
      <c r="AM219" s="142"/>
      <c r="AN219" s="142"/>
      <c r="AO219" s="142"/>
      <c r="AP219" s="142"/>
      <c r="AQ219" s="628"/>
      <c r="AR219" s="628"/>
      <c r="AS219" s="628"/>
      <c r="AT219" s="628"/>
      <c r="AU219" s="628"/>
      <c r="AV219" s="628"/>
      <c r="AW219" s="628"/>
      <c r="AX219" s="628"/>
      <c r="AY219" s="628"/>
      <c r="AZ219" s="628"/>
      <c r="BA219" s="628"/>
      <c r="BB219" s="628"/>
    </row>
    <row r="220" customFormat="false" ht="11.25" hidden="false" customHeight="false" outlineLevel="0" collapsed="false">
      <c r="B220" s="628"/>
      <c r="C220" s="628"/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142"/>
      <c r="U220" s="142"/>
      <c r="V220" s="142"/>
      <c r="W220" s="142"/>
      <c r="X220" s="142"/>
      <c r="Y220" s="142"/>
      <c r="Z220" s="142"/>
      <c r="AA220" s="142"/>
      <c r="AB220" s="142"/>
      <c r="AC220" s="142"/>
      <c r="AD220" s="142"/>
      <c r="AE220" s="142"/>
      <c r="AF220" s="142"/>
      <c r="AG220" s="142"/>
      <c r="AH220" s="142"/>
      <c r="AI220" s="142"/>
      <c r="AJ220" s="142"/>
      <c r="AK220" s="142"/>
      <c r="AL220" s="142"/>
      <c r="AM220" s="142"/>
      <c r="AN220" s="142"/>
      <c r="AO220" s="142"/>
      <c r="AP220" s="142"/>
      <c r="AQ220" s="628"/>
      <c r="AR220" s="628"/>
      <c r="AS220" s="628"/>
      <c r="AT220" s="628"/>
      <c r="AU220" s="628"/>
      <c r="AV220" s="628"/>
      <c r="AW220" s="628"/>
      <c r="AX220" s="628"/>
      <c r="AY220" s="628"/>
      <c r="AZ220" s="628"/>
      <c r="BA220" s="628"/>
      <c r="BB220" s="628"/>
    </row>
    <row r="221" customFormat="false" ht="11.25" hidden="false" customHeight="false" outlineLevel="0" collapsed="false">
      <c r="B221" s="628"/>
      <c r="C221" s="628"/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142"/>
      <c r="U221" s="142"/>
      <c r="V221" s="142"/>
      <c r="W221" s="142"/>
      <c r="X221" s="142"/>
      <c r="Y221" s="142"/>
      <c r="Z221" s="142"/>
      <c r="AA221" s="142"/>
      <c r="AB221" s="142"/>
      <c r="AC221" s="142"/>
      <c r="AD221" s="142"/>
      <c r="AE221" s="142"/>
      <c r="AF221" s="142"/>
      <c r="AG221" s="142"/>
      <c r="AH221" s="142"/>
      <c r="AI221" s="142"/>
      <c r="AJ221" s="142"/>
      <c r="AK221" s="142"/>
      <c r="AL221" s="142"/>
      <c r="AM221" s="142"/>
      <c r="AN221" s="142"/>
      <c r="AO221" s="142"/>
      <c r="AP221" s="142"/>
      <c r="AQ221" s="628"/>
      <c r="AR221" s="628"/>
      <c r="AS221" s="628"/>
      <c r="AT221" s="628"/>
      <c r="AU221" s="628"/>
      <c r="AV221" s="628"/>
      <c r="AW221" s="628"/>
      <c r="AX221" s="628"/>
      <c r="AY221" s="628"/>
      <c r="AZ221" s="628"/>
      <c r="BA221" s="628"/>
      <c r="BB221" s="628"/>
    </row>
    <row r="222" customFormat="false" ht="11.25" hidden="false" customHeight="false" outlineLevel="0" collapsed="false">
      <c r="B222" s="628"/>
      <c r="C222" s="628"/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142"/>
      <c r="U222" s="142"/>
      <c r="V222" s="142"/>
      <c r="W222" s="142"/>
      <c r="X222" s="142"/>
      <c r="Y222" s="142"/>
      <c r="Z222" s="142"/>
      <c r="AA222" s="142"/>
      <c r="AB222" s="142"/>
      <c r="AC222" s="142"/>
      <c r="AD222" s="142"/>
      <c r="AE222" s="142"/>
      <c r="AF222" s="142"/>
      <c r="AG222" s="142"/>
      <c r="AH222" s="142"/>
      <c r="AI222" s="142"/>
      <c r="AJ222" s="142"/>
      <c r="AK222" s="142"/>
      <c r="AL222" s="142"/>
      <c r="AM222" s="142"/>
      <c r="AN222" s="142"/>
      <c r="AO222" s="142"/>
      <c r="AP222" s="142"/>
      <c r="AQ222" s="628"/>
      <c r="AR222" s="628"/>
      <c r="AS222" s="628"/>
      <c r="AT222" s="628"/>
      <c r="AU222" s="628"/>
      <c r="AV222" s="628"/>
      <c r="AW222" s="628"/>
      <c r="AX222" s="628"/>
      <c r="AY222" s="628"/>
      <c r="AZ222" s="628"/>
      <c r="BA222" s="628"/>
      <c r="BB222" s="628"/>
    </row>
    <row r="223" customFormat="false" ht="11.25" hidden="false" customHeight="false" outlineLevel="0" collapsed="false">
      <c r="B223" s="628"/>
      <c r="C223" s="628"/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142"/>
      <c r="U223" s="142"/>
      <c r="V223" s="142"/>
      <c r="W223" s="142"/>
      <c r="X223" s="142"/>
      <c r="Y223" s="142"/>
      <c r="Z223" s="142"/>
      <c r="AA223" s="142"/>
      <c r="AB223" s="142"/>
      <c r="AC223" s="142"/>
      <c r="AD223" s="142"/>
      <c r="AE223" s="142"/>
      <c r="AF223" s="142"/>
      <c r="AG223" s="142"/>
      <c r="AH223" s="142"/>
      <c r="AI223" s="142"/>
      <c r="AJ223" s="142"/>
      <c r="AK223" s="142"/>
      <c r="AL223" s="142"/>
      <c r="AM223" s="142"/>
      <c r="AN223" s="142"/>
      <c r="AO223" s="142"/>
      <c r="AP223" s="142"/>
      <c r="AQ223" s="628"/>
      <c r="AR223" s="628"/>
      <c r="AS223" s="628"/>
      <c r="AT223" s="628"/>
      <c r="AU223" s="628"/>
      <c r="AV223" s="628"/>
      <c r="AW223" s="628"/>
      <c r="AX223" s="628"/>
      <c r="AY223" s="628"/>
      <c r="AZ223" s="628"/>
      <c r="BA223" s="628"/>
      <c r="BB223" s="628"/>
    </row>
    <row r="224" customFormat="false" ht="11.25" hidden="false" customHeight="false" outlineLevel="0" collapsed="false">
      <c r="B224" s="628"/>
      <c r="C224" s="628"/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142"/>
      <c r="U224" s="142"/>
      <c r="V224" s="142"/>
      <c r="W224" s="142"/>
      <c r="X224" s="142"/>
      <c r="Y224" s="142"/>
      <c r="Z224" s="142"/>
      <c r="AA224" s="142"/>
      <c r="AB224" s="142"/>
      <c r="AC224" s="142"/>
      <c r="AD224" s="142"/>
      <c r="AE224" s="142"/>
      <c r="AF224" s="142"/>
      <c r="AG224" s="142"/>
      <c r="AH224" s="142"/>
      <c r="AI224" s="142"/>
      <c r="AJ224" s="142"/>
      <c r="AK224" s="142"/>
      <c r="AL224" s="142"/>
      <c r="AM224" s="142"/>
      <c r="AN224" s="142"/>
      <c r="AO224" s="142"/>
      <c r="AP224" s="142"/>
      <c r="AQ224" s="628"/>
      <c r="AR224" s="628"/>
      <c r="AS224" s="628"/>
      <c r="AT224" s="628"/>
      <c r="AU224" s="628"/>
      <c r="AV224" s="628"/>
      <c r="AW224" s="628"/>
      <c r="AX224" s="628"/>
      <c r="AY224" s="628"/>
      <c r="AZ224" s="628"/>
      <c r="BA224" s="628"/>
      <c r="BB224" s="628"/>
    </row>
    <row r="225" customFormat="false" ht="11.25" hidden="false" customHeight="false" outlineLevel="0" collapsed="false">
      <c r="B225" s="628"/>
      <c r="C225" s="628"/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142"/>
      <c r="U225" s="142"/>
      <c r="V225" s="142"/>
      <c r="W225" s="142"/>
      <c r="X225" s="142"/>
      <c r="Y225" s="142"/>
      <c r="Z225" s="142"/>
      <c r="AA225" s="142"/>
      <c r="AB225" s="142"/>
      <c r="AC225" s="142"/>
      <c r="AD225" s="142"/>
      <c r="AE225" s="142"/>
      <c r="AF225" s="142"/>
      <c r="AG225" s="142"/>
      <c r="AH225" s="142"/>
      <c r="AI225" s="142"/>
      <c r="AJ225" s="142"/>
      <c r="AK225" s="142"/>
      <c r="AL225" s="142"/>
      <c r="AM225" s="142"/>
      <c r="AN225" s="142"/>
      <c r="AO225" s="142"/>
      <c r="AP225" s="142"/>
      <c r="AQ225" s="628"/>
      <c r="AR225" s="628"/>
      <c r="AS225" s="628"/>
      <c r="AT225" s="628"/>
      <c r="AU225" s="628"/>
      <c r="AV225" s="628"/>
      <c r="AW225" s="628"/>
      <c r="AX225" s="628"/>
      <c r="AY225" s="628"/>
      <c r="AZ225" s="628"/>
      <c r="BA225" s="628"/>
      <c r="BB225" s="628"/>
    </row>
    <row r="226" customFormat="false" ht="11.25" hidden="false" customHeight="false" outlineLevel="0" collapsed="false">
      <c r="B226" s="628"/>
      <c r="C226" s="628"/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142"/>
      <c r="U226" s="142"/>
      <c r="V226" s="142"/>
      <c r="W226" s="142"/>
      <c r="X226" s="142"/>
      <c r="Y226" s="142"/>
      <c r="Z226" s="142"/>
      <c r="AA226" s="142"/>
      <c r="AB226" s="142"/>
      <c r="AC226" s="142"/>
      <c r="AD226" s="142"/>
      <c r="AE226" s="142"/>
      <c r="AF226" s="142"/>
      <c r="AG226" s="142"/>
      <c r="AH226" s="142"/>
      <c r="AI226" s="142"/>
      <c r="AJ226" s="142"/>
      <c r="AK226" s="142"/>
      <c r="AL226" s="142"/>
      <c r="AM226" s="142"/>
      <c r="AN226" s="142"/>
      <c r="AO226" s="142"/>
      <c r="AP226" s="142"/>
      <c r="AQ226" s="628"/>
      <c r="AR226" s="628"/>
      <c r="AS226" s="628"/>
      <c r="AT226" s="628"/>
      <c r="AU226" s="628"/>
      <c r="AV226" s="628"/>
      <c r="AW226" s="628"/>
      <c r="AX226" s="628"/>
      <c r="AY226" s="628"/>
      <c r="AZ226" s="628"/>
      <c r="BA226" s="628"/>
      <c r="BB226" s="628"/>
    </row>
    <row r="227" customFormat="false" ht="11.25" hidden="false" customHeight="false" outlineLevel="0" collapsed="false">
      <c r="B227" s="628"/>
      <c r="C227" s="628"/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142"/>
      <c r="U227" s="142"/>
      <c r="V227" s="142"/>
      <c r="W227" s="142"/>
      <c r="X227" s="142"/>
      <c r="Y227" s="142"/>
      <c r="Z227" s="142"/>
      <c r="AA227" s="142"/>
      <c r="AB227" s="142"/>
      <c r="AC227" s="142"/>
      <c r="AD227" s="142"/>
      <c r="AE227" s="142"/>
      <c r="AF227" s="142"/>
      <c r="AG227" s="142"/>
      <c r="AH227" s="142"/>
      <c r="AI227" s="142"/>
      <c r="AJ227" s="142"/>
      <c r="AK227" s="142"/>
      <c r="AL227" s="142"/>
      <c r="AM227" s="142"/>
      <c r="AN227" s="142"/>
      <c r="AO227" s="142"/>
      <c r="AP227" s="142"/>
      <c r="AQ227" s="628"/>
      <c r="AR227" s="628"/>
      <c r="AS227" s="628"/>
      <c r="AT227" s="628"/>
      <c r="AU227" s="628"/>
      <c r="AV227" s="628"/>
      <c r="AW227" s="628"/>
      <c r="AX227" s="628"/>
      <c r="AY227" s="628"/>
      <c r="AZ227" s="628"/>
      <c r="BA227" s="628"/>
      <c r="BB227" s="628"/>
    </row>
    <row r="228" customFormat="false" ht="11.25" hidden="false" customHeight="false" outlineLevel="0" collapsed="false">
      <c r="B228" s="628"/>
      <c r="C228" s="628"/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142"/>
      <c r="U228" s="142"/>
      <c r="V228" s="142"/>
      <c r="W228" s="142"/>
      <c r="X228" s="142"/>
      <c r="Y228" s="142"/>
      <c r="Z228" s="142"/>
      <c r="AA228" s="142"/>
      <c r="AB228" s="142"/>
      <c r="AC228" s="142"/>
      <c r="AD228" s="142"/>
      <c r="AE228" s="142"/>
      <c r="AF228" s="142"/>
      <c r="AG228" s="142"/>
      <c r="AH228" s="142"/>
      <c r="AI228" s="142"/>
      <c r="AJ228" s="142"/>
      <c r="AK228" s="142"/>
      <c r="AL228" s="142"/>
      <c r="AM228" s="142"/>
      <c r="AN228" s="142"/>
      <c r="AO228" s="142"/>
      <c r="AP228" s="142"/>
      <c r="AQ228" s="628"/>
      <c r="AR228" s="628"/>
      <c r="AS228" s="628"/>
      <c r="AT228" s="628"/>
      <c r="AU228" s="628"/>
      <c r="AV228" s="628"/>
      <c r="AW228" s="628"/>
      <c r="AX228" s="628"/>
      <c r="AY228" s="628"/>
      <c r="AZ228" s="628"/>
      <c r="BA228" s="628"/>
      <c r="BB228" s="628"/>
    </row>
    <row r="229" customFormat="false" ht="11.25" hidden="false" customHeight="false" outlineLevel="0" collapsed="false">
      <c r="B229" s="628"/>
      <c r="C229" s="628"/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142"/>
      <c r="U229" s="142"/>
      <c r="V229" s="142"/>
      <c r="W229" s="142"/>
      <c r="X229" s="142"/>
      <c r="Y229" s="142"/>
      <c r="Z229" s="142"/>
      <c r="AA229" s="142"/>
      <c r="AB229" s="142"/>
      <c r="AC229" s="142"/>
      <c r="AD229" s="142"/>
      <c r="AE229" s="142"/>
      <c r="AF229" s="142"/>
      <c r="AG229" s="142"/>
      <c r="AH229" s="142"/>
      <c r="AI229" s="142"/>
      <c r="AJ229" s="142"/>
      <c r="AK229" s="142"/>
      <c r="AL229" s="142"/>
      <c r="AM229" s="142"/>
      <c r="AN229" s="142"/>
      <c r="AO229" s="142"/>
      <c r="AP229" s="142"/>
      <c r="AQ229" s="628"/>
      <c r="AR229" s="628"/>
      <c r="AS229" s="628"/>
      <c r="AT229" s="628"/>
      <c r="AU229" s="628"/>
      <c r="AV229" s="628"/>
      <c r="AW229" s="628"/>
      <c r="AX229" s="628"/>
      <c r="AY229" s="628"/>
      <c r="AZ229" s="628"/>
      <c r="BA229" s="628"/>
      <c r="BB229" s="628"/>
    </row>
    <row r="230" customFormat="false" ht="11.25" hidden="false" customHeight="false" outlineLevel="0" collapsed="false">
      <c r="B230" s="628"/>
      <c r="C230" s="628"/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142"/>
      <c r="U230" s="142"/>
      <c r="V230" s="142"/>
      <c r="W230" s="142"/>
      <c r="X230" s="142"/>
      <c r="Y230" s="142"/>
      <c r="Z230" s="142"/>
      <c r="AA230" s="142"/>
      <c r="AB230" s="142"/>
      <c r="AC230" s="142"/>
      <c r="AD230" s="142"/>
      <c r="AE230" s="142"/>
      <c r="AF230" s="142"/>
      <c r="AG230" s="142"/>
      <c r="AH230" s="142"/>
      <c r="AI230" s="142"/>
      <c r="AJ230" s="142"/>
      <c r="AK230" s="142"/>
      <c r="AL230" s="142"/>
      <c r="AM230" s="142"/>
      <c r="AN230" s="142"/>
      <c r="AO230" s="142"/>
      <c r="AP230" s="142"/>
      <c r="AQ230" s="628"/>
      <c r="AR230" s="628"/>
      <c r="AS230" s="628"/>
      <c r="AT230" s="628"/>
      <c r="AU230" s="628"/>
      <c r="AV230" s="628"/>
      <c r="AW230" s="628"/>
      <c r="AX230" s="628"/>
      <c r="AY230" s="628"/>
      <c r="AZ230" s="628"/>
      <c r="BA230" s="628"/>
      <c r="BB230" s="628"/>
    </row>
    <row r="231" customFormat="false" ht="11.25" hidden="false" customHeight="false" outlineLevel="0" collapsed="false">
      <c r="B231" s="628"/>
      <c r="C231" s="628"/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142"/>
      <c r="U231" s="142"/>
      <c r="V231" s="142"/>
      <c r="W231" s="142"/>
      <c r="X231" s="142"/>
      <c r="Y231" s="142"/>
      <c r="Z231" s="142"/>
      <c r="AA231" s="142"/>
      <c r="AB231" s="142"/>
      <c r="AC231" s="142"/>
      <c r="AD231" s="142"/>
      <c r="AE231" s="142"/>
      <c r="AF231" s="142"/>
      <c r="AG231" s="142"/>
      <c r="AH231" s="142"/>
      <c r="AI231" s="142"/>
      <c r="AJ231" s="142"/>
      <c r="AK231" s="142"/>
      <c r="AL231" s="142"/>
      <c r="AM231" s="142"/>
      <c r="AN231" s="142"/>
      <c r="AO231" s="142"/>
      <c r="AP231" s="142"/>
      <c r="AQ231" s="628"/>
      <c r="AR231" s="628"/>
      <c r="AS231" s="628"/>
      <c r="AT231" s="628"/>
      <c r="AU231" s="628"/>
      <c r="AV231" s="628"/>
      <c r="AW231" s="628"/>
      <c r="AX231" s="628"/>
      <c r="AY231" s="628"/>
      <c r="AZ231" s="628"/>
      <c r="BA231" s="628"/>
      <c r="BB231" s="628"/>
    </row>
    <row r="232" customFormat="false" ht="11.25" hidden="false" customHeight="false" outlineLevel="0" collapsed="false">
      <c r="B232" s="628"/>
      <c r="C232" s="628"/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142"/>
      <c r="AF232" s="142"/>
      <c r="AG232" s="142"/>
      <c r="AH232" s="142"/>
      <c r="AI232" s="142"/>
      <c r="AJ232" s="142"/>
      <c r="AK232" s="142"/>
      <c r="AL232" s="142"/>
      <c r="AM232" s="142"/>
      <c r="AN232" s="142"/>
      <c r="AO232" s="142"/>
      <c r="AP232" s="142"/>
      <c r="AQ232" s="628"/>
      <c r="AR232" s="628"/>
      <c r="AS232" s="628"/>
      <c r="AT232" s="628"/>
      <c r="AU232" s="628"/>
      <c r="AV232" s="628"/>
      <c r="AW232" s="628"/>
      <c r="AX232" s="628"/>
      <c r="AY232" s="628"/>
      <c r="AZ232" s="628"/>
      <c r="BA232" s="628"/>
      <c r="BB232" s="628"/>
    </row>
    <row r="233" customFormat="false" ht="11.25" hidden="false" customHeight="false" outlineLevel="0" collapsed="false">
      <c r="B233" s="628"/>
      <c r="C233" s="628"/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142"/>
      <c r="U233" s="142"/>
      <c r="V233" s="142"/>
      <c r="W233" s="142"/>
      <c r="X233" s="142"/>
      <c r="Y233" s="142"/>
      <c r="Z233" s="142"/>
      <c r="AA233" s="142"/>
      <c r="AB233" s="142"/>
      <c r="AC233" s="142"/>
      <c r="AD233" s="142"/>
      <c r="AE233" s="142"/>
      <c r="AF233" s="142"/>
      <c r="AG233" s="142"/>
      <c r="AH233" s="142"/>
      <c r="AI233" s="142"/>
      <c r="AJ233" s="142"/>
      <c r="AK233" s="142"/>
      <c r="AL233" s="142"/>
      <c r="AM233" s="142"/>
      <c r="AN233" s="142"/>
      <c r="AO233" s="142"/>
      <c r="AP233" s="142"/>
      <c r="AQ233" s="628"/>
      <c r="AR233" s="628"/>
      <c r="AS233" s="628"/>
      <c r="AT233" s="628"/>
      <c r="AU233" s="628"/>
      <c r="AV233" s="628"/>
      <c r="AW233" s="628"/>
      <c r="AX233" s="628"/>
      <c r="AY233" s="628"/>
      <c r="AZ233" s="628"/>
      <c r="BA233" s="628"/>
      <c r="BB233" s="628"/>
    </row>
    <row r="234" customFormat="false" ht="11.25" hidden="false" customHeight="false" outlineLevel="0" collapsed="false">
      <c r="B234" s="628"/>
      <c r="C234" s="628"/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142"/>
      <c r="U234" s="142"/>
      <c r="V234" s="142"/>
      <c r="W234" s="142"/>
      <c r="X234" s="142"/>
      <c r="Y234" s="142"/>
      <c r="Z234" s="142"/>
      <c r="AA234" s="142"/>
      <c r="AB234" s="142"/>
      <c r="AC234" s="142"/>
      <c r="AD234" s="142"/>
      <c r="AE234" s="142"/>
      <c r="AF234" s="142"/>
      <c r="AG234" s="142"/>
      <c r="AH234" s="142"/>
      <c r="AI234" s="142"/>
      <c r="AJ234" s="142"/>
      <c r="AK234" s="142"/>
      <c r="AL234" s="142"/>
      <c r="AM234" s="142"/>
      <c r="AN234" s="142"/>
      <c r="AO234" s="142"/>
      <c r="AP234" s="142"/>
      <c r="AQ234" s="628"/>
      <c r="AR234" s="628"/>
      <c r="AS234" s="628"/>
      <c r="AT234" s="628"/>
      <c r="AU234" s="628"/>
      <c r="AV234" s="628"/>
      <c r="AW234" s="628"/>
      <c r="AX234" s="628"/>
      <c r="AY234" s="628"/>
      <c r="AZ234" s="628"/>
      <c r="BA234" s="628"/>
      <c r="BB234" s="628"/>
    </row>
    <row r="235" customFormat="false" ht="11.25" hidden="false" customHeight="false" outlineLevel="0" collapsed="false">
      <c r="B235" s="628"/>
      <c r="C235" s="628"/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142"/>
      <c r="U235" s="142"/>
      <c r="V235" s="142"/>
      <c r="W235" s="142"/>
      <c r="X235" s="142"/>
      <c r="Y235" s="142"/>
      <c r="Z235" s="142"/>
      <c r="AA235" s="142"/>
      <c r="AB235" s="142"/>
      <c r="AC235" s="142"/>
      <c r="AD235" s="142"/>
      <c r="AE235" s="142"/>
      <c r="AF235" s="142"/>
      <c r="AG235" s="142"/>
      <c r="AH235" s="142"/>
      <c r="AI235" s="142"/>
      <c r="AJ235" s="142"/>
      <c r="AK235" s="142"/>
      <c r="AL235" s="142"/>
      <c r="AM235" s="142"/>
      <c r="AN235" s="142"/>
      <c r="AO235" s="142"/>
      <c r="AP235" s="142"/>
      <c r="AQ235" s="628"/>
      <c r="AR235" s="628"/>
      <c r="AS235" s="628"/>
      <c r="AT235" s="628"/>
      <c r="AU235" s="628"/>
      <c r="AV235" s="628"/>
      <c r="AW235" s="628"/>
      <c r="AX235" s="628"/>
      <c r="AY235" s="628"/>
      <c r="AZ235" s="628"/>
      <c r="BA235" s="628"/>
      <c r="BB235" s="628"/>
    </row>
    <row r="236" customFormat="false" ht="11.25" hidden="false" customHeight="false" outlineLevel="0" collapsed="false">
      <c r="B236" s="628"/>
      <c r="C236" s="628"/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142"/>
      <c r="U236" s="142"/>
      <c r="V236" s="142"/>
      <c r="W236" s="142"/>
      <c r="X236" s="142"/>
      <c r="Y236" s="142"/>
      <c r="Z236" s="142"/>
      <c r="AA236" s="142"/>
      <c r="AB236" s="142"/>
      <c r="AC236" s="142"/>
      <c r="AD236" s="142"/>
      <c r="AE236" s="142"/>
      <c r="AF236" s="142"/>
      <c r="AG236" s="142"/>
      <c r="AH236" s="142"/>
      <c r="AI236" s="142"/>
      <c r="AJ236" s="142"/>
      <c r="AK236" s="142"/>
      <c r="AL236" s="142"/>
      <c r="AM236" s="142"/>
      <c r="AN236" s="142"/>
      <c r="AO236" s="142"/>
      <c r="AP236" s="142"/>
      <c r="AQ236" s="628"/>
      <c r="AR236" s="628"/>
      <c r="AS236" s="628"/>
      <c r="AT236" s="628"/>
      <c r="AU236" s="628"/>
      <c r="AV236" s="628"/>
      <c r="AW236" s="628"/>
      <c r="AX236" s="628"/>
      <c r="AY236" s="628"/>
      <c r="AZ236" s="628"/>
      <c r="BA236" s="628"/>
      <c r="BB236" s="628"/>
    </row>
    <row r="237" customFormat="false" ht="11.25" hidden="false" customHeight="false" outlineLevel="0" collapsed="false">
      <c r="B237" s="628"/>
      <c r="C237" s="628"/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142"/>
      <c r="U237" s="142"/>
      <c r="V237" s="142"/>
      <c r="W237" s="142"/>
      <c r="X237" s="142"/>
      <c r="Y237" s="142"/>
      <c r="Z237" s="142"/>
      <c r="AA237" s="142"/>
      <c r="AB237" s="142"/>
      <c r="AC237" s="142"/>
      <c r="AD237" s="142"/>
      <c r="AE237" s="142"/>
      <c r="AF237" s="142"/>
      <c r="AG237" s="142"/>
      <c r="AH237" s="142"/>
      <c r="AI237" s="142"/>
      <c r="AJ237" s="142"/>
      <c r="AK237" s="142"/>
      <c r="AL237" s="142"/>
      <c r="AM237" s="142"/>
      <c r="AN237" s="142"/>
      <c r="AO237" s="142"/>
      <c r="AP237" s="142"/>
      <c r="AQ237" s="628"/>
      <c r="AR237" s="628"/>
      <c r="AS237" s="628"/>
      <c r="AT237" s="628"/>
      <c r="AU237" s="628"/>
      <c r="AV237" s="628"/>
      <c r="AW237" s="628"/>
      <c r="AX237" s="628"/>
      <c r="AY237" s="628"/>
      <c r="AZ237" s="628"/>
      <c r="BA237" s="628"/>
      <c r="BB237" s="628"/>
    </row>
    <row r="238" customFormat="false" ht="11.25" hidden="false" customHeight="false" outlineLevel="0" collapsed="false">
      <c r="B238" s="628"/>
      <c r="C238" s="628"/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142"/>
      <c r="U238" s="142"/>
      <c r="V238" s="142"/>
      <c r="W238" s="142"/>
      <c r="X238" s="142"/>
      <c r="Y238" s="142"/>
      <c r="Z238" s="142"/>
      <c r="AA238" s="142"/>
      <c r="AB238" s="142"/>
      <c r="AC238" s="142"/>
      <c r="AD238" s="142"/>
      <c r="AE238" s="142"/>
      <c r="AF238" s="142"/>
      <c r="AG238" s="142"/>
      <c r="AH238" s="142"/>
      <c r="AI238" s="142"/>
      <c r="AJ238" s="142"/>
      <c r="AK238" s="142"/>
      <c r="AL238" s="142"/>
      <c r="AM238" s="142"/>
      <c r="AN238" s="142"/>
      <c r="AO238" s="142"/>
      <c r="AP238" s="142"/>
      <c r="AQ238" s="628"/>
      <c r="AR238" s="628"/>
      <c r="AS238" s="628"/>
      <c r="AT238" s="628"/>
      <c r="AU238" s="628"/>
      <c r="AV238" s="628"/>
      <c r="AW238" s="628"/>
      <c r="AX238" s="628"/>
      <c r="AY238" s="628"/>
      <c r="AZ238" s="628"/>
      <c r="BA238" s="628"/>
      <c r="BB238" s="628"/>
    </row>
    <row r="239" customFormat="false" ht="11.25" hidden="false" customHeight="false" outlineLevel="0" collapsed="false">
      <c r="B239" s="628"/>
      <c r="C239" s="628"/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142"/>
      <c r="U239" s="142"/>
      <c r="V239" s="142"/>
      <c r="W239" s="142"/>
      <c r="X239" s="142"/>
      <c r="Y239" s="142"/>
      <c r="Z239" s="142"/>
      <c r="AA239" s="142"/>
      <c r="AB239" s="142"/>
      <c r="AC239" s="142"/>
      <c r="AD239" s="142"/>
      <c r="AE239" s="142"/>
      <c r="AF239" s="142"/>
      <c r="AG239" s="142"/>
      <c r="AH239" s="142"/>
      <c r="AI239" s="142"/>
      <c r="AJ239" s="142"/>
      <c r="AK239" s="142"/>
      <c r="AL239" s="142"/>
      <c r="AM239" s="142"/>
      <c r="AN239" s="142"/>
      <c r="AO239" s="142"/>
      <c r="AP239" s="142"/>
      <c r="AQ239" s="628"/>
      <c r="AR239" s="628"/>
      <c r="AS239" s="628"/>
      <c r="AT239" s="628"/>
      <c r="AU239" s="628"/>
      <c r="AV239" s="628"/>
      <c r="AW239" s="628"/>
      <c r="AX239" s="628"/>
      <c r="AY239" s="628"/>
      <c r="AZ239" s="628"/>
      <c r="BA239" s="628"/>
      <c r="BB239" s="628"/>
    </row>
    <row r="240" customFormat="false" ht="11.25" hidden="false" customHeight="false" outlineLevel="0" collapsed="false">
      <c r="B240" s="628"/>
      <c r="C240" s="628"/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142"/>
      <c r="U240" s="142"/>
      <c r="V240" s="142"/>
      <c r="W240" s="142"/>
      <c r="X240" s="142"/>
      <c r="Y240" s="142"/>
      <c r="Z240" s="142"/>
      <c r="AA240" s="142"/>
      <c r="AB240" s="142"/>
      <c r="AC240" s="142"/>
      <c r="AD240" s="142"/>
      <c r="AE240" s="142"/>
      <c r="AF240" s="142"/>
      <c r="AG240" s="142"/>
      <c r="AH240" s="142"/>
      <c r="AI240" s="142"/>
      <c r="AJ240" s="142"/>
      <c r="AK240" s="142"/>
      <c r="AL240" s="142"/>
      <c r="AM240" s="142"/>
      <c r="AN240" s="142"/>
      <c r="AO240" s="142"/>
      <c r="AP240" s="142"/>
      <c r="AQ240" s="628"/>
      <c r="AR240" s="628"/>
      <c r="AS240" s="628"/>
      <c r="AT240" s="628"/>
      <c r="AU240" s="628"/>
      <c r="AV240" s="628"/>
      <c r="AW240" s="628"/>
      <c r="AX240" s="628"/>
      <c r="AY240" s="628"/>
      <c r="AZ240" s="628"/>
      <c r="BA240" s="628"/>
      <c r="BB240" s="628"/>
    </row>
    <row r="241" customFormat="false" ht="11.25" hidden="false" customHeight="false" outlineLevel="0" collapsed="false">
      <c r="B241" s="628"/>
      <c r="C241" s="628"/>
      <c r="D241" s="142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142"/>
      <c r="U241" s="142"/>
      <c r="V241" s="142"/>
      <c r="W241" s="142"/>
      <c r="X241" s="142"/>
      <c r="Y241" s="142"/>
      <c r="Z241" s="142"/>
      <c r="AA241" s="142"/>
      <c r="AB241" s="142"/>
      <c r="AC241" s="142"/>
      <c r="AD241" s="142"/>
      <c r="AE241" s="142"/>
      <c r="AF241" s="142"/>
      <c r="AG241" s="142"/>
      <c r="AH241" s="142"/>
      <c r="AI241" s="142"/>
      <c r="AJ241" s="142"/>
      <c r="AK241" s="142"/>
      <c r="AL241" s="142"/>
      <c r="AM241" s="142"/>
      <c r="AN241" s="142"/>
      <c r="AO241" s="142"/>
      <c r="AP241" s="142"/>
      <c r="AQ241" s="628"/>
      <c r="AR241" s="628"/>
      <c r="AS241" s="628"/>
      <c r="AT241" s="628"/>
      <c r="AU241" s="628"/>
      <c r="AV241" s="628"/>
      <c r="AW241" s="628"/>
      <c r="AX241" s="628"/>
      <c r="AY241" s="628"/>
      <c r="AZ241" s="628"/>
      <c r="BA241" s="628"/>
      <c r="BB241" s="628"/>
    </row>
    <row r="242" customFormat="false" ht="11.25" hidden="false" customHeight="false" outlineLevel="0" collapsed="false">
      <c r="B242" s="628"/>
      <c r="C242" s="628"/>
      <c r="D242" s="142"/>
      <c r="E242" s="142"/>
      <c r="F242" s="142"/>
      <c r="G242" s="142"/>
      <c r="H242" s="142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142"/>
      <c r="U242" s="142"/>
      <c r="V242" s="142"/>
      <c r="W242" s="142"/>
      <c r="X242" s="142"/>
      <c r="Y242" s="142"/>
      <c r="Z242" s="142"/>
      <c r="AA242" s="142"/>
      <c r="AB242" s="142"/>
      <c r="AC242" s="142"/>
      <c r="AD242" s="142"/>
      <c r="AE242" s="142"/>
      <c r="AF242" s="142"/>
      <c r="AG242" s="142"/>
      <c r="AH242" s="142"/>
      <c r="AI242" s="142"/>
      <c r="AJ242" s="142"/>
      <c r="AK242" s="142"/>
      <c r="AL242" s="142"/>
      <c r="AM242" s="142"/>
      <c r="AN242" s="142"/>
      <c r="AO242" s="142"/>
      <c r="AP242" s="142"/>
      <c r="AQ242" s="628"/>
      <c r="AR242" s="628"/>
      <c r="AS242" s="628"/>
      <c r="AT242" s="628"/>
      <c r="AU242" s="628"/>
      <c r="AV242" s="628"/>
      <c r="AW242" s="628"/>
      <c r="AX242" s="628"/>
      <c r="AY242" s="628"/>
      <c r="AZ242" s="628"/>
      <c r="BA242" s="628"/>
      <c r="BB242" s="628"/>
    </row>
    <row r="243" customFormat="false" ht="11.25" hidden="false" customHeight="false" outlineLevel="0" collapsed="false">
      <c r="B243" s="628"/>
      <c r="C243" s="628"/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142"/>
      <c r="U243" s="142"/>
      <c r="V243" s="142"/>
      <c r="W243" s="142"/>
      <c r="X243" s="142"/>
      <c r="Y243" s="142"/>
      <c r="Z243" s="142"/>
      <c r="AA243" s="142"/>
      <c r="AB243" s="142"/>
      <c r="AC243" s="142"/>
      <c r="AD243" s="142"/>
      <c r="AE243" s="142"/>
      <c r="AF243" s="142"/>
      <c r="AG243" s="142"/>
      <c r="AH243" s="142"/>
      <c r="AI243" s="142"/>
      <c r="AJ243" s="142"/>
      <c r="AK243" s="142"/>
      <c r="AL243" s="142"/>
      <c r="AM243" s="142"/>
      <c r="AN243" s="142"/>
      <c r="AO243" s="142"/>
      <c r="AP243" s="142"/>
      <c r="AQ243" s="628"/>
      <c r="AR243" s="628"/>
      <c r="AS243" s="628"/>
      <c r="AT243" s="628"/>
      <c r="AU243" s="628"/>
      <c r="AV243" s="628"/>
      <c r="AW243" s="628"/>
      <c r="AX243" s="628"/>
      <c r="AY243" s="628"/>
      <c r="AZ243" s="628"/>
      <c r="BA243" s="628"/>
      <c r="BB243" s="628"/>
    </row>
    <row r="244" customFormat="false" ht="11.25" hidden="false" customHeight="false" outlineLevel="0" collapsed="false">
      <c r="B244" s="628"/>
      <c r="C244" s="628"/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142"/>
      <c r="U244" s="142"/>
      <c r="V244" s="142"/>
      <c r="W244" s="142"/>
      <c r="X244" s="142"/>
      <c r="Y244" s="142"/>
      <c r="Z244" s="142"/>
      <c r="AA244" s="142"/>
      <c r="AB244" s="142"/>
      <c r="AC244" s="142"/>
      <c r="AD244" s="142"/>
      <c r="AE244" s="142"/>
      <c r="AF244" s="142"/>
      <c r="AG244" s="142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628"/>
      <c r="AR244" s="628"/>
      <c r="AS244" s="628"/>
      <c r="AT244" s="628"/>
      <c r="AU244" s="628"/>
      <c r="AV244" s="628"/>
      <c r="AW244" s="628"/>
      <c r="AX244" s="628"/>
      <c r="AY244" s="628"/>
      <c r="AZ244" s="628"/>
      <c r="BA244" s="628"/>
      <c r="BB244" s="628"/>
    </row>
    <row r="245" customFormat="false" ht="11.25" hidden="false" customHeight="false" outlineLevel="0" collapsed="false">
      <c r="B245" s="628"/>
      <c r="C245" s="628"/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142"/>
      <c r="U245" s="142"/>
      <c r="V245" s="142"/>
      <c r="W245" s="142"/>
      <c r="X245" s="142"/>
      <c r="Y245" s="142"/>
      <c r="Z245" s="142"/>
      <c r="AA245" s="142"/>
      <c r="AB245" s="142"/>
      <c r="AC245" s="142"/>
      <c r="AD245" s="142"/>
      <c r="AE245" s="142"/>
      <c r="AF245" s="142"/>
      <c r="AG245" s="142"/>
      <c r="AH245" s="142"/>
      <c r="AI245" s="142"/>
      <c r="AJ245" s="142"/>
      <c r="AK245" s="142"/>
      <c r="AL245" s="142"/>
      <c r="AM245" s="142"/>
      <c r="AN245" s="142"/>
      <c r="AO245" s="142"/>
      <c r="AP245" s="142"/>
      <c r="AQ245" s="628"/>
      <c r="AR245" s="628"/>
      <c r="AS245" s="628"/>
      <c r="AT245" s="628"/>
      <c r="AU245" s="628"/>
      <c r="AV245" s="628"/>
      <c r="AW245" s="628"/>
      <c r="AX245" s="628"/>
      <c r="AY245" s="628"/>
      <c r="AZ245" s="628"/>
      <c r="BA245" s="628"/>
      <c r="BB245" s="628"/>
    </row>
    <row r="246" customFormat="false" ht="11.25" hidden="false" customHeight="false" outlineLevel="0" collapsed="false">
      <c r="B246" s="628"/>
      <c r="C246" s="628"/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  <c r="AA246" s="142"/>
      <c r="AB246" s="142"/>
      <c r="AC246" s="142"/>
      <c r="AD246" s="142"/>
      <c r="AE246" s="142"/>
      <c r="AF246" s="142"/>
      <c r="AG246" s="142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628"/>
      <c r="AR246" s="628"/>
      <c r="AS246" s="628"/>
      <c r="AT246" s="628"/>
      <c r="AU246" s="628"/>
      <c r="AV246" s="628"/>
      <c r="AW246" s="628"/>
      <c r="AX246" s="628"/>
      <c r="AY246" s="628"/>
      <c r="AZ246" s="628"/>
      <c r="BA246" s="628"/>
      <c r="BB246" s="628"/>
    </row>
    <row r="247" customFormat="false" ht="11.25" hidden="false" customHeight="false" outlineLevel="0" collapsed="false">
      <c r="B247" s="628"/>
      <c r="C247" s="628"/>
      <c r="D247" s="142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142"/>
      <c r="U247" s="142"/>
      <c r="V247" s="142"/>
      <c r="W247" s="142"/>
      <c r="X247" s="142"/>
      <c r="Y247" s="142"/>
      <c r="Z247" s="142"/>
      <c r="AA247" s="142"/>
      <c r="AB247" s="142"/>
      <c r="AC247" s="142"/>
      <c r="AD247" s="142"/>
      <c r="AE247" s="142"/>
      <c r="AF247" s="142"/>
      <c r="AG247" s="142"/>
      <c r="AH247" s="142"/>
      <c r="AI247" s="142"/>
      <c r="AJ247" s="142"/>
      <c r="AK247" s="142"/>
      <c r="AL247" s="142"/>
      <c r="AM247" s="142"/>
      <c r="AN247" s="142"/>
      <c r="AO247" s="142"/>
      <c r="AP247" s="142"/>
      <c r="AQ247" s="628"/>
      <c r="AR247" s="628"/>
      <c r="AS247" s="628"/>
      <c r="AT247" s="628"/>
      <c r="AU247" s="628"/>
      <c r="AV247" s="628"/>
      <c r="AW247" s="628"/>
      <c r="AX247" s="628"/>
      <c r="AY247" s="628"/>
      <c r="AZ247" s="628"/>
      <c r="BA247" s="628"/>
      <c r="BB247" s="628"/>
    </row>
    <row r="248" customFormat="false" ht="11.25" hidden="false" customHeight="false" outlineLevel="0" collapsed="false">
      <c r="B248" s="628"/>
      <c r="C248" s="628"/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142"/>
      <c r="U248" s="142"/>
      <c r="V248" s="142"/>
      <c r="W248" s="142"/>
      <c r="X248" s="142"/>
      <c r="Y248" s="142"/>
      <c r="Z248" s="142"/>
      <c r="AA248" s="142"/>
      <c r="AB248" s="142"/>
      <c r="AC248" s="142"/>
      <c r="AD248" s="142"/>
      <c r="AE248" s="142"/>
      <c r="AF248" s="142"/>
      <c r="AG248" s="142"/>
      <c r="AH248" s="142"/>
      <c r="AI248" s="142"/>
      <c r="AJ248" s="142"/>
      <c r="AK248" s="142"/>
      <c r="AL248" s="142"/>
      <c r="AM248" s="142"/>
      <c r="AN248" s="142"/>
      <c r="AO248" s="142"/>
      <c r="AP248" s="142"/>
      <c r="AQ248" s="628"/>
      <c r="AR248" s="628"/>
      <c r="AS248" s="628"/>
      <c r="AT248" s="628"/>
      <c r="AU248" s="628"/>
      <c r="AV248" s="628"/>
      <c r="AW248" s="628"/>
      <c r="AX248" s="628"/>
      <c r="AY248" s="628"/>
      <c r="AZ248" s="628"/>
      <c r="BA248" s="628"/>
      <c r="BB248" s="628"/>
    </row>
    <row r="249" customFormat="false" ht="11.25" hidden="false" customHeight="false" outlineLevel="0" collapsed="false">
      <c r="B249" s="628"/>
      <c r="C249" s="628"/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142"/>
      <c r="U249" s="142"/>
      <c r="V249" s="142"/>
      <c r="W249" s="142"/>
      <c r="X249" s="142"/>
      <c r="Y249" s="142"/>
      <c r="Z249" s="142"/>
      <c r="AA249" s="142"/>
      <c r="AB249" s="142"/>
      <c r="AC249" s="142"/>
      <c r="AD249" s="142"/>
      <c r="AE249" s="142"/>
      <c r="AF249" s="142"/>
      <c r="AG249" s="142"/>
      <c r="AH249" s="142"/>
      <c r="AI249" s="142"/>
      <c r="AJ249" s="142"/>
      <c r="AK249" s="142"/>
      <c r="AL249" s="142"/>
      <c r="AM249" s="142"/>
      <c r="AN249" s="142"/>
      <c r="AO249" s="142"/>
      <c r="AP249" s="142"/>
      <c r="AQ249" s="628"/>
      <c r="AR249" s="628"/>
      <c r="AS249" s="628"/>
      <c r="AT249" s="628"/>
      <c r="AU249" s="628"/>
      <c r="AV249" s="628"/>
      <c r="AW249" s="628"/>
      <c r="AX249" s="628"/>
      <c r="AY249" s="628"/>
      <c r="AZ249" s="628"/>
      <c r="BA249" s="628"/>
      <c r="BB249" s="628"/>
    </row>
    <row r="250" customFormat="false" ht="11.25" hidden="false" customHeight="false" outlineLevel="0" collapsed="false">
      <c r="B250" s="628"/>
      <c r="C250" s="628"/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142"/>
      <c r="U250" s="142"/>
      <c r="V250" s="142"/>
      <c r="W250" s="142"/>
      <c r="X250" s="142"/>
      <c r="Y250" s="142"/>
      <c r="Z250" s="142"/>
      <c r="AA250" s="142"/>
      <c r="AB250" s="142"/>
      <c r="AC250" s="142"/>
      <c r="AD250" s="142"/>
      <c r="AE250" s="142"/>
      <c r="AF250" s="142"/>
      <c r="AG250" s="142"/>
      <c r="AH250" s="142"/>
      <c r="AI250" s="142"/>
      <c r="AJ250" s="142"/>
      <c r="AK250" s="142"/>
      <c r="AL250" s="142"/>
      <c r="AM250" s="142"/>
      <c r="AN250" s="142"/>
      <c r="AO250" s="142"/>
      <c r="AP250" s="142"/>
      <c r="AQ250" s="628"/>
      <c r="AR250" s="628"/>
      <c r="AS250" s="628"/>
      <c r="AT250" s="628"/>
      <c r="AU250" s="628"/>
      <c r="AV250" s="628"/>
      <c r="AW250" s="628"/>
      <c r="AX250" s="628"/>
      <c r="AY250" s="628"/>
      <c r="AZ250" s="628"/>
      <c r="BA250" s="628"/>
      <c r="BB250" s="628"/>
    </row>
    <row r="251" customFormat="false" ht="11.25" hidden="false" customHeight="false" outlineLevel="0" collapsed="false">
      <c r="B251" s="628"/>
      <c r="C251" s="628"/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142"/>
      <c r="U251" s="142"/>
      <c r="V251" s="142"/>
      <c r="W251" s="142"/>
      <c r="X251" s="142"/>
      <c r="Y251" s="142"/>
      <c r="Z251" s="142"/>
      <c r="AA251" s="142"/>
      <c r="AB251" s="142"/>
      <c r="AC251" s="142"/>
      <c r="AD251" s="142"/>
      <c r="AE251" s="142"/>
      <c r="AF251" s="142"/>
      <c r="AG251" s="142"/>
      <c r="AH251" s="142"/>
      <c r="AI251" s="142"/>
      <c r="AJ251" s="142"/>
      <c r="AK251" s="142"/>
      <c r="AL251" s="142"/>
      <c r="AM251" s="142"/>
      <c r="AN251" s="142"/>
      <c r="AO251" s="142"/>
      <c r="AP251" s="142"/>
      <c r="AQ251" s="628"/>
      <c r="AR251" s="628"/>
      <c r="AS251" s="628"/>
      <c r="AT251" s="628"/>
      <c r="AU251" s="628"/>
      <c r="AV251" s="628"/>
      <c r="AW251" s="628"/>
      <c r="AX251" s="628"/>
      <c r="AY251" s="628"/>
      <c r="AZ251" s="628"/>
      <c r="BA251" s="628"/>
      <c r="BB251" s="628"/>
    </row>
    <row r="252" customFormat="false" ht="11.25" hidden="false" customHeight="false" outlineLevel="0" collapsed="false">
      <c r="B252" s="628"/>
      <c r="C252" s="628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  <c r="Z252" s="142"/>
      <c r="AA252" s="142"/>
      <c r="AB252" s="142"/>
      <c r="AC252" s="142"/>
      <c r="AD252" s="142"/>
      <c r="AE252" s="142"/>
      <c r="AF252" s="142"/>
      <c r="AG252" s="142"/>
      <c r="AH252" s="142"/>
      <c r="AI252" s="142"/>
      <c r="AJ252" s="142"/>
      <c r="AK252" s="142"/>
      <c r="AL252" s="142"/>
      <c r="AM252" s="142"/>
      <c r="AN252" s="142"/>
      <c r="AO252" s="142"/>
      <c r="AP252" s="142"/>
      <c r="AQ252" s="628"/>
      <c r="AR252" s="628"/>
      <c r="AS252" s="628"/>
      <c r="AT252" s="628"/>
      <c r="AU252" s="628"/>
      <c r="AV252" s="628"/>
      <c r="AW252" s="628"/>
      <c r="AX252" s="628"/>
      <c r="AY252" s="628"/>
      <c r="AZ252" s="628"/>
      <c r="BA252" s="628"/>
      <c r="BB252" s="628"/>
    </row>
    <row r="253" customFormat="false" ht="11.25" hidden="false" customHeight="false" outlineLevel="0" collapsed="false">
      <c r="B253" s="628"/>
      <c r="C253" s="628"/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  <c r="V253" s="142"/>
      <c r="W253" s="142"/>
      <c r="X253" s="142"/>
      <c r="Y253" s="142"/>
      <c r="Z253" s="142"/>
      <c r="AA253" s="142"/>
      <c r="AB253" s="142"/>
      <c r="AC253" s="142"/>
      <c r="AD253" s="142"/>
      <c r="AE253" s="142"/>
      <c r="AF253" s="142"/>
      <c r="AG253" s="142"/>
      <c r="AH253" s="142"/>
      <c r="AI253" s="142"/>
      <c r="AJ253" s="142"/>
      <c r="AK253" s="142"/>
      <c r="AL253" s="142"/>
      <c r="AM253" s="142"/>
      <c r="AN253" s="142"/>
      <c r="AO253" s="142"/>
      <c r="AP253" s="142"/>
      <c r="AQ253" s="628"/>
      <c r="AR253" s="628"/>
      <c r="AS253" s="628"/>
      <c r="AT253" s="628"/>
      <c r="AU253" s="628"/>
      <c r="AV253" s="628"/>
      <c r="AW253" s="628"/>
      <c r="AX253" s="628"/>
      <c r="AY253" s="628"/>
      <c r="AZ253" s="628"/>
      <c r="BA253" s="628"/>
      <c r="BB253" s="628"/>
    </row>
    <row r="254" customFormat="false" ht="11.25" hidden="false" customHeight="false" outlineLevel="0" collapsed="false">
      <c r="B254" s="628"/>
      <c r="C254" s="628"/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142"/>
      <c r="U254" s="142"/>
      <c r="V254" s="142"/>
      <c r="W254" s="142"/>
      <c r="X254" s="142"/>
      <c r="Y254" s="142"/>
      <c r="Z254" s="142"/>
      <c r="AA254" s="142"/>
      <c r="AB254" s="142"/>
      <c r="AC254" s="142"/>
      <c r="AD254" s="142"/>
      <c r="AE254" s="142"/>
      <c r="AF254" s="142"/>
      <c r="AG254" s="142"/>
      <c r="AH254" s="142"/>
      <c r="AI254" s="142"/>
      <c r="AJ254" s="142"/>
      <c r="AK254" s="142"/>
      <c r="AL254" s="142"/>
      <c r="AM254" s="142"/>
      <c r="AN254" s="142"/>
      <c r="AO254" s="142"/>
      <c r="AP254" s="142"/>
      <c r="AQ254" s="628"/>
      <c r="AR254" s="628"/>
      <c r="AS254" s="628"/>
      <c r="AT254" s="628"/>
      <c r="AU254" s="628"/>
      <c r="AV254" s="628"/>
      <c r="AW254" s="628"/>
      <c r="AX254" s="628"/>
      <c r="AY254" s="628"/>
      <c r="AZ254" s="628"/>
      <c r="BA254" s="628"/>
      <c r="BB254" s="628"/>
    </row>
    <row r="255" customFormat="false" ht="11.25" hidden="false" customHeight="false" outlineLevel="0" collapsed="false">
      <c r="B255" s="628"/>
      <c r="C255" s="628"/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142"/>
      <c r="U255" s="142"/>
      <c r="V255" s="142"/>
      <c r="W255" s="142"/>
      <c r="X255" s="142"/>
      <c r="Y255" s="142"/>
      <c r="Z255" s="142"/>
      <c r="AA255" s="142"/>
      <c r="AB255" s="142"/>
      <c r="AC255" s="142"/>
      <c r="AD255" s="142"/>
      <c r="AE255" s="142"/>
      <c r="AF255" s="142"/>
      <c r="AG255" s="142"/>
      <c r="AH255" s="142"/>
      <c r="AI255" s="142"/>
      <c r="AJ255" s="142"/>
      <c r="AK255" s="142"/>
      <c r="AL255" s="142"/>
      <c r="AM255" s="142"/>
      <c r="AN255" s="142"/>
      <c r="AO255" s="142"/>
      <c r="AP255" s="142"/>
      <c r="AQ255" s="628"/>
      <c r="AR255" s="628"/>
      <c r="AS255" s="628"/>
      <c r="AT255" s="628"/>
      <c r="AU255" s="628"/>
      <c r="AV255" s="628"/>
      <c r="AW255" s="628"/>
      <c r="AX255" s="628"/>
      <c r="AY255" s="628"/>
      <c r="AZ255" s="628"/>
      <c r="BA255" s="628"/>
      <c r="BB255" s="628"/>
    </row>
    <row r="256" customFormat="false" ht="11.25" hidden="false" customHeight="false" outlineLevel="0" collapsed="false">
      <c r="B256" s="628"/>
      <c r="C256" s="628"/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142"/>
      <c r="U256" s="142"/>
      <c r="V256" s="142"/>
      <c r="W256" s="142"/>
      <c r="X256" s="142"/>
      <c r="Y256" s="142"/>
      <c r="Z256" s="142"/>
      <c r="AA256" s="142"/>
      <c r="AB256" s="142"/>
      <c r="AC256" s="142"/>
      <c r="AD256" s="142"/>
      <c r="AE256" s="142"/>
      <c r="AF256" s="142"/>
      <c r="AG256" s="142"/>
      <c r="AH256" s="142"/>
      <c r="AI256" s="142"/>
      <c r="AJ256" s="142"/>
      <c r="AK256" s="142"/>
      <c r="AL256" s="142"/>
      <c r="AM256" s="142"/>
      <c r="AN256" s="142"/>
      <c r="AO256" s="142"/>
      <c r="AP256" s="142"/>
      <c r="AQ256" s="628"/>
      <c r="AR256" s="628"/>
      <c r="AS256" s="628"/>
      <c r="AT256" s="628"/>
      <c r="AU256" s="628"/>
      <c r="AV256" s="628"/>
      <c r="AW256" s="628"/>
      <c r="AX256" s="628"/>
      <c r="AY256" s="628"/>
      <c r="AZ256" s="628"/>
      <c r="BA256" s="628"/>
      <c r="BB256" s="628"/>
    </row>
    <row r="257" customFormat="false" ht="11.25" hidden="false" customHeight="false" outlineLevel="0" collapsed="false">
      <c r="B257" s="628"/>
      <c r="C257" s="628"/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142"/>
      <c r="U257" s="142"/>
      <c r="V257" s="142"/>
      <c r="W257" s="142"/>
      <c r="X257" s="142"/>
      <c r="Y257" s="142"/>
      <c r="Z257" s="142"/>
      <c r="AA257" s="142"/>
      <c r="AB257" s="142"/>
      <c r="AC257" s="142"/>
      <c r="AD257" s="142"/>
      <c r="AE257" s="142"/>
      <c r="AF257" s="142"/>
      <c r="AG257" s="142"/>
      <c r="AH257" s="142"/>
      <c r="AI257" s="142"/>
      <c r="AJ257" s="142"/>
      <c r="AK257" s="142"/>
      <c r="AL257" s="142"/>
      <c r="AM257" s="142"/>
      <c r="AN257" s="142"/>
      <c r="AO257" s="142"/>
      <c r="AP257" s="142"/>
      <c r="AQ257" s="628"/>
      <c r="AR257" s="628"/>
      <c r="AS257" s="628"/>
      <c r="AT257" s="628"/>
      <c r="AU257" s="628"/>
      <c r="AV257" s="628"/>
      <c r="AW257" s="628"/>
      <c r="AX257" s="628"/>
      <c r="AY257" s="628"/>
      <c r="AZ257" s="628"/>
      <c r="BA257" s="628"/>
      <c r="BB257" s="628"/>
    </row>
    <row r="258" customFormat="false" ht="11.25" hidden="false" customHeight="false" outlineLevel="0" collapsed="false">
      <c r="B258" s="628"/>
      <c r="C258" s="628"/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142"/>
      <c r="U258" s="142"/>
      <c r="V258" s="142"/>
      <c r="W258" s="142"/>
      <c r="X258" s="142"/>
      <c r="Y258" s="142"/>
      <c r="Z258" s="142"/>
      <c r="AA258" s="142"/>
      <c r="AB258" s="142"/>
      <c r="AC258" s="142"/>
      <c r="AD258" s="142"/>
      <c r="AE258" s="142"/>
      <c r="AF258" s="142"/>
      <c r="AG258" s="142"/>
      <c r="AH258" s="142"/>
      <c r="AI258" s="142"/>
      <c r="AJ258" s="142"/>
      <c r="AK258" s="142"/>
      <c r="AL258" s="142"/>
      <c r="AM258" s="142"/>
      <c r="AN258" s="142"/>
      <c r="AO258" s="142"/>
      <c r="AP258" s="142"/>
      <c r="AQ258" s="628"/>
      <c r="AR258" s="628"/>
      <c r="AS258" s="628"/>
      <c r="AT258" s="628"/>
      <c r="AU258" s="628"/>
      <c r="AV258" s="628"/>
      <c r="AW258" s="628"/>
      <c r="AX258" s="628"/>
      <c r="AY258" s="628"/>
      <c r="AZ258" s="628"/>
      <c r="BA258" s="628"/>
      <c r="BB258" s="628"/>
    </row>
    <row r="259" customFormat="false" ht="11.25" hidden="false" customHeight="false" outlineLevel="0" collapsed="false">
      <c r="B259" s="628"/>
      <c r="C259" s="628"/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142"/>
      <c r="U259" s="142"/>
      <c r="V259" s="142"/>
      <c r="W259" s="142"/>
      <c r="X259" s="142"/>
      <c r="Y259" s="142"/>
      <c r="Z259" s="142"/>
      <c r="AA259" s="142"/>
      <c r="AB259" s="142"/>
      <c r="AC259" s="142"/>
      <c r="AD259" s="142"/>
      <c r="AE259" s="142"/>
      <c r="AF259" s="142"/>
      <c r="AG259" s="142"/>
      <c r="AH259" s="142"/>
      <c r="AI259" s="142"/>
      <c r="AJ259" s="142"/>
      <c r="AK259" s="142"/>
      <c r="AL259" s="142"/>
      <c r="AM259" s="142"/>
      <c r="AN259" s="142"/>
      <c r="AO259" s="142"/>
      <c r="AP259" s="142"/>
      <c r="AQ259" s="628"/>
      <c r="AR259" s="628"/>
      <c r="AS259" s="628"/>
      <c r="AT259" s="628"/>
      <c r="AU259" s="628"/>
      <c r="AV259" s="628"/>
      <c r="AW259" s="628"/>
      <c r="AX259" s="628"/>
      <c r="AY259" s="628"/>
      <c r="AZ259" s="628"/>
      <c r="BA259" s="628"/>
      <c r="BB259" s="628"/>
    </row>
    <row r="260" customFormat="false" ht="11.25" hidden="false" customHeight="false" outlineLevel="0" collapsed="false">
      <c r="B260" s="628"/>
      <c r="C260" s="628"/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  <c r="AA260" s="142"/>
      <c r="AB260" s="142"/>
      <c r="AC260" s="142"/>
      <c r="AD260" s="142"/>
      <c r="AE260" s="142"/>
      <c r="AF260" s="142"/>
      <c r="AG260" s="142"/>
      <c r="AH260" s="142"/>
      <c r="AI260" s="142"/>
      <c r="AJ260" s="142"/>
      <c r="AK260" s="142"/>
      <c r="AL260" s="142"/>
      <c r="AM260" s="142"/>
      <c r="AN260" s="142"/>
      <c r="AO260" s="142"/>
      <c r="AP260" s="142"/>
      <c r="AQ260" s="628"/>
      <c r="AR260" s="628"/>
      <c r="AS260" s="628"/>
      <c r="AT260" s="628"/>
      <c r="AU260" s="628"/>
      <c r="AV260" s="628"/>
      <c r="AW260" s="628"/>
      <c r="AX260" s="628"/>
      <c r="AY260" s="628"/>
      <c r="AZ260" s="628"/>
      <c r="BA260" s="628"/>
      <c r="BB260" s="628"/>
    </row>
    <row r="261" customFormat="false" ht="11.25" hidden="false" customHeight="false" outlineLevel="0" collapsed="false">
      <c r="B261" s="628"/>
      <c r="C261" s="628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  <c r="V261" s="142"/>
      <c r="W261" s="142"/>
      <c r="X261" s="142"/>
      <c r="Y261" s="142"/>
      <c r="Z261" s="142"/>
      <c r="AA261" s="142"/>
      <c r="AB261" s="142"/>
      <c r="AC261" s="142"/>
      <c r="AD261" s="142"/>
      <c r="AE261" s="142"/>
      <c r="AF261" s="142"/>
      <c r="AG261" s="142"/>
      <c r="AH261" s="142"/>
      <c r="AI261" s="142"/>
      <c r="AJ261" s="142"/>
      <c r="AK261" s="142"/>
      <c r="AL261" s="142"/>
      <c r="AM261" s="142"/>
      <c r="AN261" s="142"/>
      <c r="AO261" s="142"/>
      <c r="AP261" s="142"/>
      <c r="AQ261" s="628"/>
      <c r="AR261" s="628"/>
      <c r="AS261" s="628"/>
      <c r="AT261" s="628"/>
      <c r="AU261" s="628"/>
      <c r="AV261" s="628"/>
      <c r="AW261" s="628"/>
      <c r="AX261" s="628"/>
      <c r="AY261" s="628"/>
      <c r="AZ261" s="628"/>
      <c r="BA261" s="628"/>
      <c r="BB261" s="628"/>
    </row>
    <row r="262" customFormat="false" ht="11.25" hidden="false" customHeight="false" outlineLevel="0" collapsed="false">
      <c r="B262" s="628"/>
      <c r="C262" s="628"/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142"/>
      <c r="U262" s="142"/>
      <c r="V262" s="142"/>
      <c r="W262" s="142"/>
      <c r="X262" s="142"/>
      <c r="Y262" s="142"/>
      <c r="Z262" s="142"/>
      <c r="AA262" s="142"/>
      <c r="AB262" s="142"/>
      <c r="AC262" s="142"/>
      <c r="AD262" s="142"/>
      <c r="AE262" s="142"/>
      <c r="AF262" s="142"/>
      <c r="AG262" s="142"/>
      <c r="AH262" s="142"/>
      <c r="AI262" s="142"/>
      <c r="AJ262" s="142"/>
      <c r="AK262" s="142"/>
      <c r="AL262" s="142"/>
      <c r="AM262" s="142"/>
      <c r="AN262" s="142"/>
      <c r="AO262" s="142"/>
      <c r="AP262" s="142"/>
      <c r="AQ262" s="628"/>
      <c r="AR262" s="628"/>
      <c r="AS262" s="628"/>
      <c r="AT262" s="628"/>
      <c r="AU262" s="628"/>
      <c r="AV262" s="628"/>
      <c r="AW262" s="628"/>
      <c r="AX262" s="628"/>
      <c r="AY262" s="628"/>
      <c r="AZ262" s="628"/>
      <c r="BA262" s="628"/>
      <c r="BB262" s="628"/>
    </row>
    <row r="263" customFormat="false" ht="11.25" hidden="false" customHeight="false" outlineLevel="0" collapsed="false">
      <c r="B263" s="628"/>
      <c r="C263" s="628"/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142"/>
      <c r="U263" s="142"/>
      <c r="V263" s="142"/>
      <c r="W263" s="142"/>
      <c r="X263" s="142"/>
      <c r="Y263" s="142"/>
      <c r="Z263" s="142"/>
      <c r="AA263" s="142"/>
      <c r="AB263" s="142"/>
      <c r="AC263" s="142"/>
      <c r="AD263" s="142"/>
      <c r="AE263" s="142"/>
      <c r="AF263" s="142"/>
      <c r="AG263" s="142"/>
      <c r="AH263" s="142"/>
      <c r="AI263" s="142"/>
      <c r="AJ263" s="142"/>
      <c r="AK263" s="142"/>
      <c r="AL263" s="142"/>
      <c r="AM263" s="142"/>
      <c r="AN263" s="142"/>
      <c r="AO263" s="142"/>
      <c r="AP263" s="142"/>
      <c r="AQ263" s="628"/>
      <c r="AR263" s="628"/>
      <c r="AS263" s="628"/>
      <c r="AT263" s="628"/>
      <c r="AU263" s="628"/>
      <c r="AV263" s="628"/>
      <c r="AW263" s="628"/>
      <c r="AX263" s="628"/>
      <c r="AY263" s="628"/>
      <c r="AZ263" s="628"/>
      <c r="BA263" s="628"/>
      <c r="BB263" s="628"/>
    </row>
    <row r="264" customFormat="false" ht="11.25" hidden="false" customHeight="false" outlineLevel="0" collapsed="false">
      <c r="B264" s="628"/>
      <c r="C264" s="628"/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142"/>
      <c r="U264" s="142"/>
      <c r="V264" s="142"/>
      <c r="W264" s="142"/>
      <c r="X264" s="142"/>
      <c r="Y264" s="142"/>
      <c r="Z264" s="142"/>
      <c r="AA264" s="142"/>
      <c r="AB264" s="142"/>
      <c r="AC264" s="142"/>
      <c r="AD264" s="142"/>
      <c r="AE264" s="142"/>
      <c r="AF264" s="142"/>
      <c r="AG264" s="142"/>
      <c r="AH264" s="142"/>
      <c r="AI264" s="142"/>
      <c r="AJ264" s="142"/>
      <c r="AK264" s="142"/>
      <c r="AL264" s="142"/>
      <c r="AM264" s="142"/>
      <c r="AN264" s="142"/>
      <c r="AO264" s="142"/>
      <c r="AP264" s="142"/>
      <c r="AQ264" s="628"/>
      <c r="AR264" s="628"/>
      <c r="AS264" s="628"/>
      <c r="AT264" s="628"/>
      <c r="AU264" s="628"/>
      <c r="AV264" s="628"/>
      <c r="AW264" s="628"/>
      <c r="AX264" s="628"/>
      <c r="AY264" s="628"/>
      <c r="AZ264" s="628"/>
      <c r="BA264" s="628"/>
      <c r="BB264" s="628"/>
    </row>
    <row r="265" customFormat="false" ht="11.25" hidden="false" customHeight="false" outlineLevel="0" collapsed="false">
      <c r="B265" s="628"/>
      <c r="C265" s="628"/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142"/>
      <c r="U265" s="142"/>
      <c r="V265" s="142"/>
      <c r="W265" s="142"/>
      <c r="X265" s="142"/>
      <c r="Y265" s="142"/>
      <c r="Z265" s="142"/>
      <c r="AA265" s="142"/>
      <c r="AB265" s="142"/>
      <c r="AC265" s="142"/>
      <c r="AD265" s="142"/>
      <c r="AE265" s="142"/>
      <c r="AF265" s="142"/>
      <c r="AG265" s="142"/>
      <c r="AH265" s="142"/>
      <c r="AI265" s="142"/>
      <c r="AJ265" s="142"/>
      <c r="AK265" s="142"/>
      <c r="AL265" s="142"/>
      <c r="AM265" s="142"/>
      <c r="AN265" s="142"/>
      <c r="AO265" s="142"/>
      <c r="AP265" s="142"/>
      <c r="AQ265" s="628"/>
      <c r="AR265" s="628"/>
      <c r="AS265" s="628"/>
      <c r="AT265" s="628"/>
      <c r="AU265" s="628"/>
      <c r="AV265" s="628"/>
      <c r="AW265" s="628"/>
      <c r="AX265" s="628"/>
      <c r="AY265" s="628"/>
      <c r="AZ265" s="628"/>
      <c r="BA265" s="628"/>
      <c r="BB265" s="628"/>
    </row>
    <row r="266" customFormat="false" ht="11.25" hidden="false" customHeight="false" outlineLevel="0" collapsed="false">
      <c r="B266" s="628"/>
      <c r="C266" s="628"/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  <c r="AA266" s="142"/>
      <c r="AB266" s="142"/>
      <c r="AC266" s="142"/>
      <c r="AD266" s="142"/>
      <c r="AE266" s="142"/>
      <c r="AF266" s="142"/>
      <c r="AG266" s="142"/>
      <c r="AH266" s="142"/>
      <c r="AI266" s="142"/>
      <c r="AJ266" s="142"/>
      <c r="AK266" s="142"/>
      <c r="AL266" s="142"/>
      <c r="AM266" s="142"/>
      <c r="AN266" s="142"/>
      <c r="AO266" s="142"/>
      <c r="AP266" s="142"/>
      <c r="AQ266" s="628"/>
      <c r="AR266" s="628"/>
      <c r="AS266" s="628"/>
      <c r="AT266" s="628"/>
      <c r="AU266" s="628"/>
      <c r="AV266" s="628"/>
      <c r="AW266" s="628"/>
      <c r="AX266" s="628"/>
      <c r="AY266" s="628"/>
      <c r="AZ266" s="628"/>
      <c r="BA266" s="628"/>
      <c r="BB266" s="628"/>
    </row>
    <row r="267" customFormat="false" ht="11.25" hidden="false" customHeight="false" outlineLevel="0" collapsed="false">
      <c r="B267" s="628"/>
      <c r="C267" s="628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142"/>
      <c r="U267" s="142"/>
      <c r="V267" s="142"/>
      <c r="W267" s="142"/>
      <c r="X267" s="142"/>
      <c r="Y267" s="142"/>
      <c r="Z267" s="142"/>
      <c r="AA267" s="142"/>
      <c r="AB267" s="142"/>
      <c r="AC267" s="142"/>
      <c r="AD267" s="142"/>
      <c r="AE267" s="142"/>
      <c r="AF267" s="142"/>
      <c r="AG267" s="142"/>
      <c r="AH267" s="142"/>
      <c r="AI267" s="142"/>
      <c r="AJ267" s="142"/>
      <c r="AK267" s="142"/>
      <c r="AL267" s="142"/>
      <c r="AM267" s="142"/>
      <c r="AN267" s="142"/>
      <c r="AO267" s="142"/>
      <c r="AP267" s="142"/>
      <c r="AQ267" s="628"/>
      <c r="AR267" s="628"/>
      <c r="AS267" s="628"/>
      <c r="AT267" s="628"/>
      <c r="AU267" s="628"/>
      <c r="AV267" s="628"/>
      <c r="AW267" s="628"/>
      <c r="AX267" s="628"/>
      <c r="AY267" s="628"/>
      <c r="AZ267" s="628"/>
      <c r="BA267" s="628"/>
      <c r="BB267" s="628"/>
    </row>
    <row r="268" customFormat="false" ht="11.25" hidden="false" customHeight="false" outlineLevel="0" collapsed="false">
      <c r="B268" s="628"/>
      <c r="C268" s="628"/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142"/>
      <c r="U268" s="142"/>
      <c r="V268" s="142"/>
      <c r="W268" s="142"/>
      <c r="X268" s="142"/>
      <c r="Y268" s="142"/>
      <c r="Z268" s="142"/>
      <c r="AA268" s="142"/>
      <c r="AB268" s="142"/>
      <c r="AC268" s="142"/>
      <c r="AD268" s="142"/>
      <c r="AE268" s="142"/>
      <c r="AF268" s="142"/>
      <c r="AG268" s="142"/>
      <c r="AH268" s="142"/>
      <c r="AI268" s="142"/>
      <c r="AJ268" s="142"/>
      <c r="AK268" s="142"/>
      <c r="AL268" s="142"/>
      <c r="AM268" s="142"/>
      <c r="AN268" s="142"/>
      <c r="AO268" s="142"/>
      <c r="AP268" s="142"/>
      <c r="AQ268" s="628"/>
      <c r="AR268" s="628"/>
      <c r="AS268" s="628"/>
      <c r="AT268" s="628"/>
      <c r="AU268" s="628"/>
      <c r="AV268" s="628"/>
      <c r="AW268" s="628"/>
      <c r="AX268" s="628"/>
      <c r="AY268" s="628"/>
      <c r="AZ268" s="628"/>
      <c r="BA268" s="628"/>
      <c r="BB268" s="628"/>
    </row>
    <row r="269" customFormat="false" ht="11.25" hidden="false" customHeight="false" outlineLevel="0" collapsed="false">
      <c r="B269" s="628"/>
      <c r="C269" s="628"/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142"/>
      <c r="U269" s="142"/>
      <c r="V269" s="142"/>
      <c r="W269" s="142"/>
      <c r="X269" s="142"/>
      <c r="Y269" s="142"/>
      <c r="Z269" s="142"/>
      <c r="AA269" s="142"/>
      <c r="AB269" s="142"/>
      <c r="AC269" s="142"/>
      <c r="AD269" s="142"/>
      <c r="AE269" s="142"/>
      <c r="AF269" s="142"/>
      <c r="AG269" s="142"/>
      <c r="AH269" s="142"/>
      <c r="AI269" s="142"/>
      <c r="AJ269" s="142"/>
      <c r="AK269" s="142"/>
      <c r="AL269" s="142"/>
      <c r="AM269" s="142"/>
      <c r="AN269" s="142"/>
      <c r="AO269" s="142"/>
      <c r="AP269" s="142"/>
      <c r="AQ269" s="628"/>
      <c r="AR269" s="628"/>
      <c r="AS269" s="628"/>
      <c r="AT269" s="628"/>
      <c r="AU269" s="628"/>
      <c r="AV269" s="628"/>
      <c r="AW269" s="628"/>
      <c r="AX269" s="628"/>
      <c r="AY269" s="628"/>
      <c r="AZ269" s="628"/>
      <c r="BA269" s="628"/>
      <c r="BB269" s="628"/>
    </row>
    <row r="270" customFormat="false" ht="11.25" hidden="false" customHeight="false" outlineLevel="0" collapsed="false">
      <c r="B270" s="628"/>
      <c r="C270" s="628"/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142"/>
      <c r="U270" s="142"/>
      <c r="V270" s="142"/>
      <c r="W270" s="142"/>
      <c r="X270" s="142"/>
      <c r="Y270" s="142"/>
      <c r="Z270" s="142"/>
      <c r="AA270" s="142"/>
      <c r="AB270" s="142"/>
      <c r="AC270" s="142"/>
      <c r="AD270" s="142"/>
      <c r="AE270" s="142"/>
      <c r="AF270" s="142"/>
      <c r="AG270" s="142"/>
      <c r="AH270" s="142"/>
      <c r="AI270" s="142"/>
      <c r="AJ270" s="142"/>
      <c r="AK270" s="142"/>
      <c r="AL270" s="142"/>
      <c r="AM270" s="142"/>
      <c r="AN270" s="142"/>
      <c r="AO270" s="142"/>
      <c r="AP270" s="142"/>
      <c r="AQ270" s="628"/>
      <c r="AR270" s="628"/>
      <c r="AS270" s="628"/>
      <c r="AT270" s="628"/>
      <c r="AU270" s="628"/>
      <c r="AV270" s="628"/>
      <c r="AW270" s="628"/>
      <c r="AX270" s="628"/>
      <c r="AY270" s="628"/>
      <c r="AZ270" s="628"/>
      <c r="BA270" s="628"/>
      <c r="BB270" s="628"/>
    </row>
    <row r="271" customFormat="false" ht="11.25" hidden="false" customHeight="false" outlineLevel="0" collapsed="false">
      <c r="B271" s="628"/>
      <c r="C271" s="628"/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142"/>
      <c r="U271" s="142"/>
      <c r="V271" s="142"/>
      <c r="W271" s="142"/>
      <c r="X271" s="142"/>
      <c r="Y271" s="142"/>
      <c r="Z271" s="142"/>
      <c r="AA271" s="142"/>
      <c r="AB271" s="142"/>
      <c r="AC271" s="142"/>
      <c r="AD271" s="142"/>
      <c r="AE271" s="142"/>
      <c r="AF271" s="142"/>
      <c r="AG271" s="142"/>
      <c r="AH271" s="142"/>
      <c r="AI271" s="142"/>
      <c r="AJ271" s="142"/>
      <c r="AK271" s="142"/>
      <c r="AL271" s="142"/>
      <c r="AM271" s="142"/>
      <c r="AN271" s="142"/>
      <c r="AO271" s="142"/>
      <c r="AP271" s="142"/>
      <c r="AQ271" s="628"/>
      <c r="AR271" s="628"/>
      <c r="AS271" s="628"/>
      <c r="AT271" s="628"/>
      <c r="AU271" s="628"/>
      <c r="AV271" s="628"/>
      <c r="AW271" s="628"/>
      <c r="AX271" s="628"/>
      <c r="AY271" s="628"/>
      <c r="AZ271" s="628"/>
      <c r="BA271" s="628"/>
      <c r="BB271" s="628"/>
    </row>
    <row r="272" customFormat="false" ht="11.25" hidden="false" customHeight="false" outlineLevel="0" collapsed="false">
      <c r="B272" s="628"/>
      <c r="C272" s="628"/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142"/>
      <c r="U272" s="142"/>
      <c r="V272" s="142"/>
      <c r="W272" s="142"/>
      <c r="X272" s="142"/>
      <c r="Y272" s="142"/>
      <c r="Z272" s="142"/>
      <c r="AA272" s="142"/>
      <c r="AB272" s="142"/>
      <c r="AC272" s="142"/>
      <c r="AD272" s="142"/>
      <c r="AE272" s="142"/>
      <c r="AF272" s="142"/>
      <c r="AG272" s="142"/>
      <c r="AH272" s="142"/>
      <c r="AI272" s="142"/>
      <c r="AJ272" s="142"/>
      <c r="AK272" s="142"/>
      <c r="AL272" s="142"/>
      <c r="AM272" s="142"/>
      <c r="AN272" s="142"/>
      <c r="AO272" s="142"/>
      <c r="AP272" s="142"/>
      <c r="AQ272" s="628"/>
      <c r="AR272" s="628"/>
      <c r="AS272" s="628"/>
      <c r="AT272" s="628"/>
      <c r="AU272" s="628"/>
      <c r="AV272" s="628"/>
      <c r="AW272" s="628"/>
      <c r="AX272" s="628"/>
      <c r="AY272" s="628"/>
      <c r="AZ272" s="628"/>
      <c r="BA272" s="628"/>
      <c r="BB272" s="628"/>
    </row>
    <row r="273" customFormat="false" ht="11.25" hidden="false" customHeight="false" outlineLevel="0" collapsed="false">
      <c r="B273" s="628"/>
      <c r="C273" s="628"/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142"/>
      <c r="U273" s="142"/>
      <c r="V273" s="142"/>
      <c r="W273" s="142"/>
      <c r="X273" s="142"/>
      <c r="Y273" s="142"/>
      <c r="Z273" s="142"/>
      <c r="AA273" s="142"/>
      <c r="AB273" s="142"/>
      <c r="AC273" s="142"/>
      <c r="AD273" s="142"/>
      <c r="AE273" s="142"/>
      <c r="AF273" s="142"/>
      <c r="AG273" s="142"/>
      <c r="AH273" s="142"/>
      <c r="AI273" s="142"/>
      <c r="AJ273" s="142"/>
      <c r="AK273" s="142"/>
      <c r="AL273" s="142"/>
      <c r="AM273" s="142"/>
      <c r="AN273" s="142"/>
      <c r="AO273" s="142"/>
      <c r="AP273" s="142"/>
      <c r="AQ273" s="628"/>
      <c r="AR273" s="628"/>
      <c r="AS273" s="628"/>
      <c r="AT273" s="628"/>
      <c r="AU273" s="628"/>
      <c r="AV273" s="628"/>
      <c r="AW273" s="628"/>
      <c r="AX273" s="628"/>
      <c r="AY273" s="628"/>
      <c r="AZ273" s="628"/>
      <c r="BA273" s="628"/>
      <c r="BB273" s="628"/>
    </row>
    <row r="274" customFormat="false" ht="11.25" hidden="false" customHeight="false" outlineLevel="0" collapsed="false">
      <c r="B274" s="628"/>
      <c r="C274" s="628"/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142"/>
      <c r="U274" s="142"/>
      <c r="V274" s="142"/>
      <c r="W274" s="142"/>
      <c r="X274" s="142"/>
      <c r="Y274" s="142"/>
      <c r="Z274" s="142"/>
      <c r="AA274" s="142"/>
      <c r="AB274" s="142"/>
      <c r="AC274" s="142"/>
      <c r="AD274" s="142"/>
      <c r="AE274" s="142"/>
      <c r="AF274" s="142"/>
      <c r="AG274" s="142"/>
      <c r="AH274" s="142"/>
      <c r="AI274" s="142"/>
      <c r="AJ274" s="142"/>
      <c r="AK274" s="142"/>
      <c r="AL274" s="142"/>
      <c r="AM274" s="142"/>
      <c r="AN274" s="142"/>
      <c r="AO274" s="142"/>
      <c r="AP274" s="142"/>
      <c r="AQ274" s="628"/>
      <c r="AR274" s="628"/>
      <c r="AS274" s="628"/>
      <c r="AT274" s="628"/>
      <c r="AU274" s="628"/>
      <c r="AV274" s="628"/>
      <c r="AW274" s="628"/>
      <c r="AX274" s="628"/>
      <c r="AY274" s="628"/>
      <c r="AZ274" s="628"/>
      <c r="BA274" s="628"/>
      <c r="BB274" s="628"/>
    </row>
    <row r="275" customFormat="false" ht="11.25" hidden="false" customHeight="false" outlineLevel="0" collapsed="false">
      <c r="B275" s="628"/>
      <c r="C275" s="628"/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142"/>
      <c r="U275" s="142"/>
      <c r="V275" s="142"/>
      <c r="W275" s="142"/>
      <c r="X275" s="142"/>
      <c r="Y275" s="142"/>
      <c r="Z275" s="142"/>
      <c r="AA275" s="142"/>
      <c r="AB275" s="142"/>
      <c r="AC275" s="142"/>
      <c r="AD275" s="142"/>
      <c r="AE275" s="142"/>
      <c r="AF275" s="142"/>
      <c r="AG275" s="142"/>
      <c r="AH275" s="142"/>
      <c r="AI275" s="142"/>
      <c r="AJ275" s="142"/>
      <c r="AK275" s="142"/>
      <c r="AL275" s="142"/>
      <c r="AM275" s="142"/>
      <c r="AN275" s="142"/>
      <c r="AO275" s="142"/>
      <c r="AP275" s="142"/>
      <c r="AQ275" s="628"/>
      <c r="AR275" s="628"/>
      <c r="AS275" s="628"/>
      <c r="AT275" s="628"/>
      <c r="AU275" s="628"/>
      <c r="AV275" s="628"/>
      <c r="AW275" s="628"/>
      <c r="AX275" s="628"/>
      <c r="AY275" s="628"/>
      <c r="AZ275" s="628"/>
      <c r="BA275" s="628"/>
      <c r="BB275" s="628"/>
    </row>
    <row r="276" customFormat="false" ht="11.25" hidden="false" customHeight="false" outlineLevel="0" collapsed="false">
      <c r="B276" s="628"/>
      <c r="C276" s="628"/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142"/>
      <c r="U276" s="142"/>
      <c r="V276" s="142"/>
      <c r="W276" s="142"/>
      <c r="X276" s="142"/>
      <c r="Y276" s="142"/>
      <c r="Z276" s="142"/>
      <c r="AA276" s="142"/>
      <c r="AB276" s="142"/>
      <c r="AC276" s="142"/>
      <c r="AD276" s="142"/>
      <c r="AE276" s="142"/>
      <c r="AF276" s="142"/>
      <c r="AG276" s="142"/>
      <c r="AH276" s="142"/>
      <c r="AI276" s="142"/>
      <c r="AJ276" s="142"/>
      <c r="AK276" s="142"/>
      <c r="AL276" s="142"/>
      <c r="AM276" s="142"/>
      <c r="AN276" s="142"/>
      <c r="AO276" s="142"/>
      <c r="AP276" s="142"/>
      <c r="AQ276" s="628"/>
      <c r="AR276" s="628"/>
      <c r="AS276" s="628"/>
      <c r="AT276" s="628"/>
      <c r="AU276" s="628"/>
      <c r="AV276" s="628"/>
      <c r="AW276" s="628"/>
      <c r="AX276" s="628"/>
      <c r="AY276" s="628"/>
      <c r="AZ276" s="628"/>
      <c r="BA276" s="628"/>
      <c r="BB276" s="628"/>
    </row>
    <row r="277" customFormat="false" ht="11.25" hidden="false" customHeight="false" outlineLevel="0" collapsed="false">
      <c r="B277" s="628"/>
      <c r="C277" s="628"/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142"/>
      <c r="U277" s="142"/>
      <c r="V277" s="142"/>
      <c r="W277" s="142"/>
      <c r="X277" s="142"/>
      <c r="Y277" s="142"/>
      <c r="Z277" s="142"/>
      <c r="AA277" s="142"/>
      <c r="AB277" s="142"/>
      <c r="AC277" s="142"/>
      <c r="AD277" s="142"/>
      <c r="AE277" s="142"/>
      <c r="AF277" s="142"/>
      <c r="AG277" s="142"/>
      <c r="AH277" s="142"/>
      <c r="AI277" s="142"/>
      <c r="AJ277" s="142"/>
      <c r="AK277" s="142"/>
      <c r="AL277" s="142"/>
      <c r="AM277" s="142"/>
      <c r="AN277" s="142"/>
      <c r="AO277" s="142"/>
      <c r="AP277" s="142"/>
      <c r="AQ277" s="628"/>
      <c r="AR277" s="628"/>
      <c r="AS277" s="628"/>
      <c r="AT277" s="628"/>
      <c r="AU277" s="628"/>
      <c r="AV277" s="628"/>
      <c r="AW277" s="628"/>
      <c r="AX277" s="628"/>
      <c r="AY277" s="628"/>
      <c r="AZ277" s="628"/>
      <c r="BA277" s="628"/>
      <c r="BB277" s="628"/>
    </row>
    <row r="278" customFormat="false" ht="11.25" hidden="false" customHeight="false" outlineLevel="0" collapsed="false">
      <c r="B278" s="628"/>
      <c r="C278" s="628"/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142"/>
      <c r="U278" s="142"/>
      <c r="V278" s="142"/>
      <c r="W278" s="142"/>
      <c r="X278" s="142"/>
      <c r="Y278" s="142"/>
      <c r="Z278" s="142"/>
      <c r="AA278" s="142"/>
      <c r="AB278" s="142"/>
      <c r="AC278" s="142"/>
      <c r="AD278" s="142"/>
      <c r="AE278" s="142"/>
      <c r="AF278" s="142"/>
      <c r="AG278" s="142"/>
      <c r="AH278" s="142"/>
      <c r="AI278" s="142"/>
      <c r="AJ278" s="142"/>
      <c r="AK278" s="142"/>
      <c r="AL278" s="142"/>
      <c r="AM278" s="142"/>
      <c r="AN278" s="142"/>
      <c r="AO278" s="142"/>
      <c r="AP278" s="142"/>
      <c r="AQ278" s="628"/>
      <c r="AR278" s="628"/>
      <c r="AS278" s="628"/>
      <c r="AT278" s="628"/>
      <c r="AU278" s="628"/>
      <c r="AV278" s="628"/>
      <c r="AW278" s="628"/>
      <c r="AX278" s="628"/>
      <c r="AY278" s="628"/>
      <c r="AZ278" s="628"/>
      <c r="BA278" s="628"/>
      <c r="BB278" s="628"/>
    </row>
    <row r="279" customFormat="false" ht="11.25" hidden="false" customHeight="false" outlineLevel="0" collapsed="false">
      <c r="B279" s="628"/>
      <c r="C279" s="628"/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142"/>
      <c r="U279" s="142"/>
      <c r="V279" s="142"/>
      <c r="W279" s="142"/>
      <c r="X279" s="142"/>
      <c r="Y279" s="142"/>
      <c r="Z279" s="142"/>
      <c r="AA279" s="142"/>
      <c r="AB279" s="142"/>
      <c r="AC279" s="142"/>
      <c r="AD279" s="142"/>
      <c r="AE279" s="142"/>
      <c r="AF279" s="142"/>
      <c r="AG279" s="142"/>
      <c r="AH279" s="142"/>
      <c r="AI279" s="142"/>
      <c r="AJ279" s="142"/>
      <c r="AK279" s="142"/>
      <c r="AL279" s="142"/>
      <c r="AM279" s="142"/>
      <c r="AN279" s="142"/>
      <c r="AO279" s="142"/>
      <c r="AP279" s="142"/>
      <c r="AQ279" s="628"/>
      <c r="AR279" s="628"/>
      <c r="AS279" s="628"/>
      <c r="AT279" s="628"/>
      <c r="AU279" s="628"/>
      <c r="AV279" s="628"/>
      <c r="AW279" s="628"/>
      <c r="AX279" s="628"/>
      <c r="AY279" s="628"/>
      <c r="AZ279" s="628"/>
      <c r="BA279" s="628"/>
      <c r="BB279" s="628"/>
    </row>
    <row r="280" customFormat="false" ht="11.25" hidden="false" customHeight="false" outlineLevel="0" collapsed="false">
      <c r="B280" s="628"/>
      <c r="C280" s="628"/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142"/>
      <c r="U280" s="142"/>
      <c r="V280" s="142"/>
      <c r="W280" s="142"/>
      <c r="X280" s="142"/>
      <c r="Y280" s="142"/>
      <c r="Z280" s="142"/>
      <c r="AA280" s="142"/>
      <c r="AB280" s="142"/>
      <c r="AC280" s="142"/>
      <c r="AD280" s="142"/>
      <c r="AE280" s="142"/>
      <c r="AF280" s="142"/>
      <c r="AG280" s="142"/>
      <c r="AH280" s="142"/>
      <c r="AI280" s="142"/>
      <c r="AJ280" s="142"/>
      <c r="AK280" s="142"/>
      <c r="AL280" s="142"/>
      <c r="AM280" s="142"/>
      <c r="AN280" s="142"/>
      <c r="AO280" s="142"/>
      <c r="AP280" s="142"/>
      <c r="AQ280" s="628"/>
      <c r="AR280" s="628"/>
      <c r="AS280" s="628"/>
      <c r="AT280" s="628"/>
      <c r="AU280" s="628"/>
      <c r="AV280" s="628"/>
      <c r="AW280" s="628"/>
      <c r="AX280" s="628"/>
      <c r="AY280" s="628"/>
      <c r="AZ280" s="628"/>
      <c r="BA280" s="628"/>
      <c r="BB280" s="628"/>
    </row>
    <row r="281" customFormat="false" ht="11.25" hidden="false" customHeight="false" outlineLevel="0" collapsed="false">
      <c r="B281" s="628"/>
      <c r="C281" s="628"/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  <c r="V281" s="142"/>
      <c r="W281" s="142"/>
      <c r="X281" s="142"/>
      <c r="Y281" s="142"/>
      <c r="Z281" s="142"/>
      <c r="AA281" s="142"/>
      <c r="AB281" s="142"/>
      <c r="AC281" s="142"/>
      <c r="AD281" s="142"/>
      <c r="AE281" s="142"/>
      <c r="AF281" s="142"/>
      <c r="AG281" s="142"/>
      <c r="AH281" s="142"/>
      <c r="AI281" s="142"/>
      <c r="AJ281" s="142"/>
      <c r="AK281" s="142"/>
      <c r="AL281" s="142"/>
      <c r="AM281" s="142"/>
      <c r="AN281" s="142"/>
      <c r="AO281" s="142"/>
      <c r="AP281" s="142"/>
      <c r="AQ281" s="628"/>
      <c r="AR281" s="628"/>
      <c r="AS281" s="628"/>
      <c r="AT281" s="628"/>
      <c r="AU281" s="628"/>
      <c r="AV281" s="628"/>
      <c r="AW281" s="628"/>
      <c r="AX281" s="628"/>
      <c r="AY281" s="628"/>
      <c r="AZ281" s="628"/>
      <c r="BA281" s="628"/>
      <c r="BB281" s="628"/>
    </row>
    <row r="282" customFormat="false" ht="11.25" hidden="false" customHeight="false" outlineLevel="0" collapsed="false">
      <c r="B282" s="628"/>
      <c r="C282" s="628"/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142"/>
      <c r="U282" s="142"/>
      <c r="V282" s="142"/>
      <c r="W282" s="142"/>
      <c r="X282" s="142"/>
      <c r="Y282" s="142"/>
      <c r="Z282" s="142"/>
      <c r="AA282" s="142"/>
      <c r="AB282" s="142"/>
      <c r="AC282" s="142"/>
      <c r="AD282" s="142"/>
      <c r="AE282" s="142"/>
      <c r="AF282" s="142"/>
      <c r="AG282" s="142"/>
      <c r="AH282" s="142"/>
      <c r="AI282" s="142"/>
      <c r="AJ282" s="142"/>
      <c r="AK282" s="142"/>
      <c r="AL282" s="142"/>
      <c r="AM282" s="142"/>
      <c r="AN282" s="142"/>
      <c r="AO282" s="142"/>
      <c r="AP282" s="142"/>
      <c r="AQ282" s="628"/>
      <c r="AR282" s="628"/>
      <c r="AS282" s="628"/>
      <c r="AT282" s="628"/>
      <c r="AU282" s="628"/>
      <c r="AV282" s="628"/>
      <c r="AW282" s="628"/>
      <c r="AX282" s="628"/>
      <c r="AY282" s="628"/>
      <c r="AZ282" s="628"/>
      <c r="BA282" s="628"/>
      <c r="BB282" s="628"/>
    </row>
    <row r="283" customFormat="false" ht="11.25" hidden="false" customHeight="false" outlineLevel="0" collapsed="false">
      <c r="B283" s="628"/>
      <c r="C283" s="628"/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142"/>
      <c r="U283" s="142"/>
      <c r="V283" s="142"/>
      <c r="W283" s="142"/>
      <c r="X283" s="142"/>
      <c r="Y283" s="142"/>
      <c r="Z283" s="142"/>
      <c r="AA283" s="142"/>
      <c r="AB283" s="142"/>
      <c r="AC283" s="142"/>
      <c r="AD283" s="142"/>
      <c r="AE283" s="142"/>
      <c r="AF283" s="142"/>
      <c r="AG283" s="142"/>
      <c r="AH283" s="142"/>
      <c r="AI283" s="142"/>
      <c r="AJ283" s="142"/>
      <c r="AK283" s="142"/>
      <c r="AL283" s="142"/>
      <c r="AM283" s="142"/>
      <c r="AN283" s="142"/>
      <c r="AO283" s="142"/>
      <c r="AP283" s="142"/>
      <c r="AQ283" s="628"/>
      <c r="AR283" s="628"/>
      <c r="AS283" s="628"/>
      <c r="AT283" s="628"/>
      <c r="AU283" s="628"/>
      <c r="AV283" s="628"/>
      <c r="AW283" s="628"/>
      <c r="AX283" s="628"/>
      <c r="AY283" s="628"/>
      <c r="AZ283" s="628"/>
      <c r="BA283" s="628"/>
      <c r="BB283" s="628"/>
    </row>
    <row r="284" customFormat="false" ht="11.25" hidden="false" customHeight="false" outlineLevel="0" collapsed="false">
      <c r="D284" s="113"/>
      <c r="E284" s="113"/>
      <c r="F284" s="113"/>
      <c r="G284" s="113"/>
      <c r="H284" s="113"/>
      <c r="I284" s="113"/>
      <c r="J284" s="113"/>
      <c r="K284" s="113"/>
      <c r="L284" s="113"/>
      <c r="M284" s="113"/>
      <c r="N284" s="113"/>
      <c r="O284" s="113"/>
      <c r="P284" s="113"/>
      <c r="Q284" s="113"/>
      <c r="R284" s="113"/>
      <c r="S284" s="113"/>
      <c r="T284" s="113"/>
      <c r="U284" s="113"/>
      <c r="V284" s="113"/>
      <c r="W284" s="113"/>
      <c r="X284" s="113"/>
      <c r="Y284" s="113"/>
      <c r="Z284" s="113"/>
      <c r="AA284" s="113"/>
      <c r="AB284" s="113"/>
      <c r="AC284" s="113"/>
      <c r="AD284" s="113"/>
      <c r="AE284" s="113"/>
      <c r="AF284" s="113"/>
      <c r="AG284" s="113"/>
      <c r="AH284" s="113"/>
      <c r="AI284" s="113"/>
      <c r="AJ284" s="113"/>
      <c r="AK284" s="113"/>
      <c r="AL284" s="113"/>
      <c r="AM284" s="113"/>
      <c r="AN284" s="113"/>
      <c r="AO284" s="113"/>
      <c r="AP284" s="113"/>
      <c r="AQ284" s="628"/>
      <c r="AR284" s="628"/>
      <c r="AS284" s="628"/>
      <c r="AT284" s="628"/>
      <c r="AU284" s="628"/>
      <c r="AV284" s="628"/>
      <c r="AW284" s="628"/>
      <c r="AX284" s="628"/>
      <c r="AY284" s="628"/>
      <c r="AZ284" s="628"/>
      <c r="BA284" s="628"/>
      <c r="BB284" s="628"/>
    </row>
    <row r="285" customFormat="false" ht="11.25" hidden="false" customHeight="false" outlineLevel="0" collapsed="false">
      <c r="D285" s="113"/>
      <c r="E285" s="113"/>
      <c r="F285" s="113"/>
      <c r="G285" s="113"/>
      <c r="H285" s="113"/>
      <c r="I285" s="113"/>
      <c r="J285" s="113"/>
      <c r="K285" s="113"/>
      <c r="L285" s="113"/>
      <c r="M285" s="113"/>
      <c r="N285" s="113"/>
      <c r="O285" s="113"/>
      <c r="P285" s="113"/>
      <c r="Q285" s="113"/>
      <c r="R285" s="113"/>
      <c r="S285" s="113"/>
      <c r="T285" s="113"/>
      <c r="U285" s="113"/>
      <c r="V285" s="113"/>
      <c r="W285" s="113"/>
      <c r="X285" s="113"/>
      <c r="Y285" s="113"/>
      <c r="Z285" s="113"/>
      <c r="AA285" s="113"/>
      <c r="AB285" s="113"/>
      <c r="AC285" s="113"/>
      <c r="AD285" s="113"/>
      <c r="AE285" s="113"/>
      <c r="AF285" s="113"/>
      <c r="AG285" s="113"/>
      <c r="AH285" s="113"/>
      <c r="AI285" s="113"/>
      <c r="AJ285" s="113"/>
      <c r="AK285" s="113"/>
      <c r="AL285" s="113"/>
      <c r="AM285" s="113"/>
      <c r="AN285" s="113"/>
      <c r="AO285" s="113"/>
      <c r="AP285" s="113"/>
      <c r="AQ285" s="628"/>
      <c r="AR285" s="628"/>
      <c r="AS285" s="628"/>
      <c r="AT285" s="628"/>
      <c r="AU285" s="628"/>
      <c r="AV285" s="628"/>
      <c r="AW285" s="628"/>
      <c r="AX285" s="628"/>
      <c r="AY285" s="628"/>
      <c r="AZ285" s="628"/>
      <c r="BA285" s="628"/>
      <c r="BB285" s="628"/>
    </row>
    <row r="286" customFormat="false" ht="11.25" hidden="false" customHeight="false" outlineLevel="0" collapsed="false">
      <c r="D286" s="113"/>
      <c r="E286" s="113"/>
      <c r="F286" s="113"/>
      <c r="G286" s="113"/>
      <c r="H286" s="113"/>
      <c r="I286" s="113"/>
      <c r="J286" s="113"/>
      <c r="K286" s="113"/>
      <c r="L286" s="113"/>
      <c r="M286" s="113"/>
      <c r="N286" s="113"/>
      <c r="O286" s="113"/>
      <c r="P286" s="113"/>
      <c r="Q286" s="113"/>
      <c r="R286" s="113"/>
      <c r="S286" s="113"/>
      <c r="T286" s="113"/>
      <c r="U286" s="113"/>
      <c r="V286" s="113"/>
      <c r="W286" s="113"/>
      <c r="X286" s="113"/>
      <c r="Y286" s="113"/>
      <c r="Z286" s="113"/>
      <c r="AA286" s="113"/>
      <c r="AB286" s="113"/>
      <c r="AC286" s="113"/>
      <c r="AD286" s="113"/>
      <c r="AE286" s="113"/>
      <c r="AF286" s="113"/>
      <c r="AG286" s="113"/>
      <c r="AH286" s="113"/>
      <c r="AI286" s="113"/>
      <c r="AJ286" s="113"/>
      <c r="AK286" s="113"/>
      <c r="AL286" s="113"/>
      <c r="AM286" s="113"/>
      <c r="AN286" s="113"/>
      <c r="AO286" s="113"/>
      <c r="AP286" s="113"/>
      <c r="AQ286" s="628"/>
      <c r="AR286" s="628"/>
      <c r="AS286" s="628"/>
      <c r="AT286" s="628"/>
      <c r="AU286" s="628"/>
      <c r="AV286" s="628"/>
      <c r="AW286" s="628"/>
      <c r="AX286" s="628"/>
      <c r="AY286" s="628"/>
      <c r="AZ286" s="628"/>
      <c r="BA286" s="628"/>
      <c r="BB286" s="628"/>
    </row>
    <row r="287" customFormat="false" ht="11.25" hidden="false" customHeight="false" outlineLevel="0" collapsed="false">
      <c r="D287" s="113"/>
      <c r="E287" s="113"/>
      <c r="F287" s="113"/>
      <c r="G287" s="113"/>
      <c r="H287" s="113"/>
      <c r="I287" s="113"/>
      <c r="J287" s="113"/>
      <c r="K287" s="113"/>
      <c r="L287" s="113"/>
      <c r="M287" s="113"/>
      <c r="N287" s="113"/>
      <c r="O287" s="113"/>
      <c r="P287" s="113"/>
      <c r="Q287" s="113"/>
      <c r="R287" s="113"/>
      <c r="S287" s="113"/>
      <c r="T287" s="113"/>
      <c r="U287" s="113"/>
      <c r="V287" s="113"/>
      <c r="W287" s="113"/>
      <c r="X287" s="113"/>
      <c r="Y287" s="113"/>
      <c r="Z287" s="113"/>
      <c r="AA287" s="113"/>
      <c r="AB287" s="113"/>
      <c r="AC287" s="113"/>
      <c r="AD287" s="113"/>
      <c r="AE287" s="113"/>
      <c r="AF287" s="113"/>
      <c r="AG287" s="113"/>
      <c r="AH287" s="113"/>
      <c r="AI287" s="113"/>
      <c r="AJ287" s="113"/>
      <c r="AK287" s="113"/>
      <c r="AL287" s="113"/>
      <c r="AM287" s="113"/>
      <c r="AN287" s="113"/>
      <c r="AO287" s="113"/>
      <c r="AP287" s="113"/>
      <c r="AQ287" s="628"/>
      <c r="AR287" s="628"/>
      <c r="AS287" s="628"/>
      <c r="AT287" s="628"/>
      <c r="AU287" s="628"/>
      <c r="AV287" s="628"/>
      <c r="AW287" s="628"/>
      <c r="AX287" s="628"/>
      <c r="AY287" s="628"/>
      <c r="AZ287" s="628"/>
      <c r="BA287" s="628"/>
      <c r="BB287" s="628"/>
    </row>
    <row r="288" customFormat="false" ht="11.25" hidden="false" customHeight="false" outlineLevel="0" collapsed="false">
      <c r="D288" s="113"/>
      <c r="E288" s="113"/>
      <c r="F288" s="113"/>
      <c r="G288" s="113"/>
      <c r="H288" s="113"/>
      <c r="I288" s="113"/>
      <c r="J288" s="113"/>
      <c r="K288" s="113"/>
      <c r="L288" s="113"/>
      <c r="M288" s="113"/>
      <c r="N288" s="113"/>
      <c r="O288" s="113"/>
      <c r="P288" s="113"/>
      <c r="Q288" s="113"/>
      <c r="R288" s="113"/>
      <c r="S288" s="113"/>
      <c r="T288" s="113"/>
      <c r="U288" s="113"/>
      <c r="V288" s="113"/>
      <c r="W288" s="113"/>
      <c r="X288" s="113"/>
      <c r="Y288" s="113"/>
      <c r="Z288" s="113"/>
      <c r="AA288" s="113"/>
      <c r="AB288" s="113"/>
      <c r="AC288" s="113"/>
      <c r="AD288" s="113"/>
      <c r="AE288" s="113"/>
      <c r="AF288" s="113"/>
      <c r="AG288" s="113"/>
      <c r="AH288" s="113"/>
      <c r="AI288" s="113"/>
      <c r="AJ288" s="113"/>
      <c r="AK288" s="113"/>
      <c r="AL288" s="113"/>
      <c r="AM288" s="113"/>
      <c r="AN288" s="113"/>
      <c r="AO288" s="113"/>
      <c r="AP288" s="113"/>
      <c r="AQ288" s="628"/>
      <c r="AR288" s="628"/>
      <c r="AS288" s="628"/>
      <c r="AT288" s="628"/>
      <c r="AU288" s="628"/>
      <c r="AV288" s="628"/>
      <c r="AW288" s="628"/>
      <c r="AX288" s="628"/>
      <c r="AY288" s="628"/>
      <c r="AZ288" s="628"/>
      <c r="BA288" s="628"/>
      <c r="BB288" s="628"/>
    </row>
    <row r="289" customFormat="false" ht="11.25" hidden="false" customHeight="false" outlineLevel="0" collapsed="false">
      <c r="D289" s="113"/>
      <c r="E289" s="113"/>
      <c r="F289" s="113"/>
      <c r="G289" s="113"/>
      <c r="H289" s="113"/>
      <c r="I289" s="113"/>
      <c r="J289" s="113"/>
      <c r="K289" s="113"/>
      <c r="L289" s="113"/>
      <c r="M289" s="113"/>
      <c r="N289" s="113"/>
      <c r="O289" s="113"/>
      <c r="P289" s="113"/>
      <c r="Q289" s="113"/>
      <c r="R289" s="113"/>
      <c r="S289" s="113"/>
      <c r="T289" s="113"/>
      <c r="U289" s="113"/>
      <c r="V289" s="113"/>
      <c r="W289" s="113"/>
      <c r="X289" s="113"/>
      <c r="Y289" s="113"/>
      <c r="Z289" s="113"/>
      <c r="AA289" s="113"/>
      <c r="AB289" s="113"/>
      <c r="AC289" s="113"/>
      <c r="AD289" s="113"/>
      <c r="AE289" s="113"/>
      <c r="AF289" s="113"/>
      <c r="AG289" s="113"/>
      <c r="AH289" s="113"/>
      <c r="AI289" s="113"/>
      <c r="AJ289" s="113"/>
      <c r="AK289" s="113"/>
      <c r="AL289" s="113"/>
      <c r="AM289" s="113"/>
      <c r="AN289" s="113"/>
      <c r="AO289" s="113"/>
      <c r="AP289" s="113"/>
      <c r="AQ289" s="628"/>
      <c r="AR289" s="628"/>
      <c r="AS289" s="628"/>
      <c r="AT289" s="628"/>
      <c r="AU289" s="628"/>
      <c r="AV289" s="628"/>
      <c r="AW289" s="628"/>
      <c r="AX289" s="628"/>
      <c r="AY289" s="628"/>
      <c r="AZ289" s="628"/>
      <c r="BA289" s="628"/>
      <c r="BB289" s="628"/>
    </row>
    <row r="290" customFormat="false" ht="11.25" hidden="false" customHeight="false" outlineLevel="0" collapsed="false">
      <c r="D290" s="113"/>
      <c r="E290" s="113"/>
      <c r="F290" s="113"/>
      <c r="G290" s="113"/>
      <c r="H290" s="113"/>
      <c r="I290" s="113"/>
      <c r="J290" s="113"/>
      <c r="K290" s="113"/>
      <c r="L290" s="113"/>
      <c r="M290" s="113"/>
      <c r="N290" s="113"/>
      <c r="O290" s="113"/>
      <c r="P290" s="113"/>
      <c r="Q290" s="113"/>
      <c r="R290" s="113"/>
      <c r="S290" s="113"/>
      <c r="T290" s="113"/>
      <c r="U290" s="113"/>
      <c r="V290" s="113"/>
      <c r="W290" s="113"/>
      <c r="X290" s="113"/>
      <c r="Y290" s="113"/>
      <c r="Z290" s="113"/>
      <c r="AA290" s="113"/>
      <c r="AB290" s="113"/>
      <c r="AC290" s="113"/>
      <c r="AD290" s="113"/>
      <c r="AE290" s="113"/>
      <c r="AF290" s="113"/>
      <c r="AG290" s="113"/>
      <c r="AH290" s="113"/>
      <c r="AI290" s="113"/>
      <c r="AJ290" s="113"/>
      <c r="AK290" s="113"/>
      <c r="AL290" s="113"/>
      <c r="AM290" s="113"/>
      <c r="AN290" s="113"/>
      <c r="AO290" s="113"/>
      <c r="AP290" s="113"/>
      <c r="AQ290" s="628"/>
      <c r="AR290" s="628"/>
      <c r="AS290" s="628"/>
      <c r="AT290" s="628"/>
      <c r="AU290" s="628"/>
      <c r="AV290" s="628"/>
      <c r="AW290" s="628"/>
      <c r="AX290" s="628"/>
      <c r="AY290" s="628"/>
      <c r="AZ290" s="628"/>
      <c r="BA290" s="628"/>
      <c r="BB290" s="628"/>
    </row>
    <row r="291" customFormat="false" ht="11.25" hidden="false" customHeight="false" outlineLevel="0" collapsed="false">
      <c r="D291" s="113"/>
      <c r="E291" s="113"/>
      <c r="F291" s="113"/>
      <c r="G291" s="113"/>
      <c r="H291" s="113"/>
      <c r="I291" s="113"/>
      <c r="J291" s="113"/>
      <c r="K291" s="113"/>
      <c r="L291" s="113"/>
      <c r="M291" s="113"/>
      <c r="N291" s="113"/>
      <c r="O291" s="113"/>
      <c r="P291" s="113"/>
      <c r="Q291" s="113"/>
      <c r="R291" s="113"/>
      <c r="S291" s="113"/>
      <c r="T291" s="113"/>
      <c r="U291" s="113"/>
      <c r="V291" s="113"/>
      <c r="W291" s="113"/>
      <c r="X291" s="113"/>
      <c r="Y291" s="113"/>
      <c r="Z291" s="113"/>
      <c r="AA291" s="113"/>
      <c r="AB291" s="113"/>
      <c r="AC291" s="113"/>
      <c r="AD291" s="113"/>
      <c r="AE291" s="113"/>
      <c r="AF291" s="113"/>
      <c r="AG291" s="113"/>
      <c r="AH291" s="113"/>
      <c r="AI291" s="113"/>
      <c r="AJ291" s="113"/>
      <c r="AK291" s="113"/>
      <c r="AL291" s="113"/>
      <c r="AM291" s="113"/>
      <c r="AN291" s="113"/>
      <c r="AO291" s="113"/>
      <c r="AP291" s="113"/>
      <c r="AQ291" s="628"/>
      <c r="AR291" s="628"/>
      <c r="AS291" s="628"/>
      <c r="AT291" s="628"/>
      <c r="AU291" s="628"/>
      <c r="AV291" s="628"/>
      <c r="AW291" s="628"/>
      <c r="AX291" s="628"/>
      <c r="AY291" s="628"/>
      <c r="AZ291" s="628"/>
      <c r="BA291" s="628"/>
      <c r="BB291" s="628"/>
    </row>
    <row r="292" customFormat="false" ht="11.25" hidden="false" customHeight="false" outlineLevel="0" collapsed="false">
      <c r="D292" s="113"/>
      <c r="E292" s="113"/>
      <c r="F292" s="113"/>
      <c r="G292" s="113"/>
      <c r="H292" s="113"/>
      <c r="I292" s="113"/>
      <c r="J292" s="113"/>
      <c r="K292" s="113"/>
      <c r="L292" s="113"/>
      <c r="M292" s="113"/>
      <c r="N292" s="113"/>
      <c r="O292" s="113"/>
      <c r="P292" s="113"/>
      <c r="Q292" s="113"/>
      <c r="R292" s="113"/>
      <c r="S292" s="113"/>
      <c r="T292" s="113"/>
      <c r="U292" s="113"/>
      <c r="V292" s="113"/>
      <c r="W292" s="113"/>
      <c r="X292" s="113"/>
      <c r="Y292" s="113"/>
      <c r="Z292" s="113"/>
      <c r="AA292" s="113"/>
      <c r="AB292" s="113"/>
      <c r="AC292" s="113"/>
      <c r="AD292" s="113"/>
      <c r="AE292" s="113"/>
      <c r="AF292" s="113"/>
      <c r="AG292" s="113"/>
      <c r="AH292" s="113"/>
      <c r="AI292" s="113"/>
      <c r="AJ292" s="113"/>
      <c r="AK292" s="113"/>
      <c r="AL292" s="113"/>
      <c r="AM292" s="113"/>
      <c r="AN292" s="113"/>
      <c r="AO292" s="113"/>
      <c r="AP292" s="113"/>
      <c r="AQ292" s="628"/>
      <c r="AR292" s="628"/>
      <c r="AS292" s="628"/>
      <c r="AT292" s="628"/>
      <c r="AU292" s="628"/>
      <c r="AV292" s="628"/>
      <c r="AW292" s="628"/>
      <c r="AX292" s="628"/>
      <c r="AY292" s="628"/>
      <c r="AZ292" s="628"/>
      <c r="BA292" s="628"/>
      <c r="BB292" s="628"/>
    </row>
    <row r="293" customFormat="false" ht="11.25" hidden="false" customHeight="false" outlineLevel="0" collapsed="false">
      <c r="D293" s="113"/>
      <c r="E293" s="113"/>
      <c r="F293" s="113"/>
      <c r="G293" s="113"/>
      <c r="H293" s="113"/>
      <c r="I293" s="113"/>
      <c r="J293" s="113"/>
      <c r="K293" s="113"/>
      <c r="L293" s="113"/>
      <c r="M293" s="113"/>
      <c r="N293" s="113"/>
      <c r="O293" s="113"/>
      <c r="P293" s="113"/>
      <c r="Q293" s="113"/>
      <c r="R293" s="113"/>
      <c r="S293" s="113"/>
      <c r="T293" s="113"/>
      <c r="U293" s="113"/>
      <c r="V293" s="113"/>
      <c r="W293" s="113"/>
      <c r="X293" s="113"/>
      <c r="Y293" s="113"/>
      <c r="Z293" s="113"/>
      <c r="AA293" s="113"/>
      <c r="AB293" s="113"/>
      <c r="AC293" s="113"/>
      <c r="AD293" s="113"/>
      <c r="AE293" s="113"/>
      <c r="AF293" s="113"/>
      <c r="AG293" s="113"/>
      <c r="AH293" s="113"/>
      <c r="AI293" s="113"/>
      <c r="AJ293" s="113"/>
      <c r="AK293" s="113"/>
      <c r="AL293" s="113"/>
      <c r="AM293" s="113"/>
      <c r="AN293" s="113"/>
      <c r="AO293" s="113"/>
      <c r="AP293" s="113"/>
      <c r="AQ293" s="628"/>
      <c r="AR293" s="628"/>
      <c r="AS293" s="628"/>
      <c r="AT293" s="628"/>
      <c r="AU293" s="628"/>
      <c r="AV293" s="628"/>
      <c r="AW293" s="628"/>
      <c r="AX293" s="628"/>
      <c r="AY293" s="628"/>
      <c r="AZ293" s="628"/>
      <c r="BA293" s="628"/>
      <c r="BB293" s="628"/>
    </row>
    <row r="294" customFormat="false" ht="11.25" hidden="false" customHeight="false" outlineLevel="0" collapsed="false">
      <c r="D294" s="113"/>
      <c r="E294" s="113"/>
      <c r="F294" s="113"/>
      <c r="G294" s="113"/>
      <c r="H294" s="113"/>
      <c r="I294" s="113"/>
      <c r="J294" s="113"/>
      <c r="K294" s="113"/>
      <c r="L294" s="113"/>
      <c r="M294" s="113"/>
      <c r="N294" s="113"/>
      <c r="O294" s="113"/>
      <c r="P294" s="113"/>
      <c r="Q294" s="113"/>
      <c r="R294" s="113"/>
      <c r="S294" s="113"/>
      <c r="T294" s="113"/>
      <c r="U294" s="113"/>
      <c r="V294" s="113"/>
      <c r="W294" s="113"/>
      <c r="X294" s="113"/>
      <c r="Y294" s="113"/>
      <c r="Z294" s="113"/>
      <c r="AA294" s="113"/>
      <c r="AB294" s="113"/>
      <c r="AC294" s="113"/>
      <c r="AD294" s="113"/>
      <c r="AE294" s="113"/>
      <c r="AF294" s="113"/>
      <c r="AG294" s="113"/>
      <c r="AH294" s="113"/>
      <c r="AI294" s="113"/>
      <c r="AJ294" s="113"/>
      <c r="AK294" s="113"/>
      <c r="AL294" s="113"/>
      <c r="AM294" s="113"/>
      <c r="AN294" s="113"/>
      <c r="AO294" s="113"/>
      <c r="AP294" s="113"/>
      <c r="AQ294" s="628"/>
      <c r="AR294" s="628"/>
      <c r="AS294" s="628"/>
      <c r="AT294" s="628"/>
      <c r="AU294" s="628"/>
      <c r="AV294" s="628"/>
      <c r="AW294" s="628"/>
      <c r="AX294" s="628"/>
      <c r="AY294" s="628"/>
      <c r="AZ294" s="628"/>
      <c r="BA294" s="628"/>
      <c r="BB294" s="628"/>
    </row>
    <row r="295" customFormat="false" ht="11.25" hidden="false" customHeight="false" outlineLevel="0" collapsed="false">
      <c r="D295" s="113"/>
      <c r="E295" s="113"/>
      <c r="F295" s="113"/>
      <c r="G295" s="113"/>
      <c r="H295" s="113"/>
      <c r="I295" s="113"/>
      <c r="J295" s="113"/>
      <c r="K295" s="113"/>
      <c r="L295" s="113"/>
      <c r="M295" s="113"/>
      <c r="N295" s="113"/>
      <c r="O295" s="113"/>
      <c r="P295" s="113"/>
      <c r="Q295" s="113"/>
      <c r="R295" s="113"/>
      <c r="S295" s="113"/>
      <c r="T295" s="113"/>
      <c r="U295" s="113"/>
      <c r="V295" s="113"/>
      <c r="W295" s="113"/>
      <c r="X295" s="113"/>
      <c r="Y295" s="113"/>
      <c r="Z295" s="113"/>
      <c r="AA295" s="113"/>
      <c r="AB295" s="113"/>
      <c r="AC295" s="113"/>
      <c r="AD295" s="113"/>
      <c r="AE295" s="113"/>
      <c r="AF295" s="113"/>
      <c r="AG295" s="113"/>
      <c r="AH295" s="113"/>
      <c r="AI295" s="113"/>
      <c r="AJ295" s="113"/>
      <c r="AK295" s="113"/>
      <c r="AL295" s="113"/>
      <c r="AM295" s="113"/>
      <c r="AN295" s="113"/>
      <c r="AO295" s="113"/>
      <c r="AP295" s="113"/>
      <c r="AQ295" s="628"/>
      <c r="AR295" s="628"/>
      <c r="AS295" s="628"/>
      <c r="AT295" s="628"/>
      <c r="AU295" s="628"/>
      <c r="AV295" s="628"/>
      <c r="AW295" s="628"/>
      <c r="AX295" s="628"/>
      <c r="AY295" s="628"/>
      <c r="AZ295" s="628"/>
      <c r="BA295" s="628"/>
      <c r="BB295" s="628"/>
    </row>
    <row r="296" customFormat="false" ht="11.25" hidden="false" customHeight="false" outlineLevel="0" collapsed="false">
      <c r="D296" s="113"/>
      <c r="E296" s="113"/>
      <c r="F296" s="113"/>
      <c r="G296" s="113"/>
      <c r="H296" s="113"/>
      <c r="I296" s="113"/>
      <c r="J296" s="113"/>
      <c r="K296" s="113"/>
      <c r="L296" s="113"/>
      <c r="M296" s="113"/>
      <c r="N296" s="113"/>
      <c r="O296" s="113"/>
      <c r="P296" s="113"/>
      <c r="Q296" s="113"/>
      <c r="R296" s="113"/>
      <c r="S296" s="113"/>
      <c r="T296" s="113"/>
      <c r="U296" s="113"/>
      <c r="V296" s="113"/>
      <c r="W296" s="113"/>
      <c r="X296" s="113"/>
      <c r="Y296" s="113"/>
      <c r="Z296" s="113"/>
      <c r="AA296" s="113"/>
      <c r="AB296" s="113"/>
      <c r="AC296" s="113"/>
      <c r="AD296" s="113"/>
      <c r="AE296" s="113"/>
      <c r="AF296" s="113"/>
      <c r="AG296" s="113"/>
      <c r="AH296" s="113"/>
      <c r="AI296" s="113"/>
      <c r="AJ296" s="113"/>
      <c r="AK296" s="113"/>
      <c r="AL296" s="113"/>
      <c r="AM296" s="113"/>
      <c r="AN296" s="113"/>
      <c r="AO296" s="113"/>
      <c r="AP296" s="113"/>
      <c r="AQ296" s="628"/>
      <c r="AR296" s="628"/>
      <c r="AS296" s="628"/>
      <c r="AT296" s="628"/>
      <c r="AU296" s="628"/>
      <c r="AV296" s="628"/>
      <c r="AW296" s="628"/>
      <c r="AX296" s="628"/>
      <c r="AY296" s="628"/>
      <c r="AZ296" s="628"/>
      <c r="BA296" s="628"/>
      <c r="BB296" s="628"/>
    </row>
    <row r="297" customFormat="false" ht="11.25" hidden="false" customHeight="false" outlineLevel="0" collapsed="false">
      <c r="D297" s="113"/>
      <c r="E297" s="113"/>
      <c r="F297" s="113"/>
      <c r="G297" s="113"/>
      <c r="H297" s="113"/>
      <c r="I297" s="113"/>
      <c r="J297" s="113"/>
      <c r="K297" s="113"/>
      <c r="L297" s="113"/>
      <c r="M297" s="113"/>
      <c r="N297" s="113"/>
      <c r="O297" s="113"/>
      <c r="P297" s="113"/>
      <c r="Q297" s="113"/>
      <c r="R297" s="113"/>
      <c r="S297" s="113"/>
      <c r="T297" s="113"/>
      <c r="U297" s="113"/>
      <c r="V297" s="113"/>
      <c r="W297" s="113"/>
      <c r="X297" s="113"/>
      <c r="Y297" s="113"/>
      <c r="Z297" s="113"/>
      <c r="AA297" s="113"/>
      <c r="AB297" s="113"/>
      <c r="AC297" s="113"/>
      <c r="AD297" s="113"/>
      <c r="AE297" s="113"/>
      <c r="AF297" s="113"/>
      <c r="AG297" s="113"/>
      <c r="AH297" s="113"/>
      <c r="AI297" s="113"/>
      <c r="AJ297" s="113"/>
      <c r="AK297" s="113"/>
      <c r="AL297" s="113"/>
      <c r="AM297" s="113"/>
      <c r="AN297" s="113"/>
      <c r="AO297" s="113"/>
      <c r="AP297" s="113"/>
      <c r="AQ297" s="628"/>
      <c r="AR297" s="628"/>
      <c r="AS297" s="628"/>
      <c r="AT297" s="628"/>
      <c r="AU297" s="628"/>
      <c r="AV297" s="628"/>
      <c r="AW297" s="628"/>
      <c r="AX297" s="628"/>
      <c r="AY297" s="628"/>
      <c r="AZ297" s="628"/>
      <c r="BA297" s="628"/>
      <c r="BB297" s="628"/>
    </row>
    <row r="298" customFormat="false" ht="11.25" hidden="false" customHeight="false" outlineLevel="0" collapsed="false">
      <c r="D298" s="113"/>
      <c r="E298" s="113"/>
      <c r="F298" s="113"/>
      <c r="G298" s="113"/>
      <c r="H298" s="113"/>
      <c r="I298" s="113"/>
      <c r="J298" s="113"/>
      <c r="K298" s="113"/>
      <c r="L298" s="113"/>
      <c r="M298" s="113"/>
      <c r="N298" s="113"/>
      <c r="O298" s="113"/>
      <c r="P298" s="113"/>
      <c r="Q298" s="113"/>
      <c r="R298" s="113"/>
      <c r="S298" s="113"/>
      <c r="T298" s="113"/>
      <c r="U298" s="113"/>
      <c r="V298" s="113"/>
      <c r="W298" s="113"/>
      <c r="X298" s="113"/>
      <c r="Y298" s="113"/>
      <c r="Z298" s="113"/>
      <c r="AA298" s="113"/>
      <c r="AB298" s="113"/>
      <c r="AC298" s="113"/>
      <c r="AD298" s="113"/>
      <c r="AE298" s="113"/>
      <c r="AF298" s="113"/>
      <c r="AG298" s="113"/>
      <c r="AH298" s="113"/>
      <c r="AI298" s="113"/>
      <c r="AJ298" s="113"/>
      <c r="AK298" s="113"/>
      <c r="AL298" s="113"/>
      <c r="AM298" s="113"/>
      <c r="AN298" s="113"/>
      <c r="AO298" s="113"/>
      <c r="AP298" s="113"/>
      <c r="AQ298" s="628"/>
      <c r="AR298" s="628"/>
      <c r="AS298" s="628"/>
      <c r="AT298" s="628"/>
      <c r="AU298" s="628"/>
      <c r="AV298" s="628"/>
      <c r="AW298" s="628"/>
      <c r="AX298" s="628"/>
      <c r="AY298" s="628"/>
      <c r="AZ298" s="628"/>
      <c r="BA298" s="628"/>
      <c r="BB298" s="628"/>
    </row>
    <row r="299" customFormat="false" ht="11.25" hidden="false" customHeight="false" outlineLevel="0" collapsed="false">
      <c r="D299" s="113"/>
      <c r="E299" s="113"/>
      <c r="F299" s="113"/>
      <c r="G299" s="113"/>
      <c r="H299" s="113"/>
      <c r="I299" s="113"/>
      <c r="J299" s="113"/>
      <c r="K299" s="113"/>
      <c r="L299" s="113"/>
      <c r="M299" s="113"/>
      <c r="N299" s="113"/>
      <c r="O299" s="113"/>
      <c r="P299" s="113"/>
      <c r="Q299" s="113"/>
      <c r="R299" s="113"/>
      <c r="S299" s="113"/>
      <c r="T299" s="113"/>
      <c r="U299" s="113"/>
      <c r="V299" s="113"/>
      <c r="W299" s="113"/>
      <c r="X299" s="113"/>
      <c r="Y299" s="113"/>
      <c r="Z299" s="113"/>
      <c r="AA299" s="113"/>
      <c r="AB299" s="113"/>
      <c r="AC299" s="113"/>
      <c r="AD299" s="113"/>
      <c r="AE299" s="113"/>
      <c r="AF299" s="113"/>
      <c r="AG299" s="113"/>
      <c r="AH299" s="113"/>
      <c r="AI299" s="113"/>
      <c r="AJ299" s="113"/>
      <c r="AK299" s="113"/>
      <c r="AL299" s="113"/>
      <c r="AM299" s="113"/>
      <c r="AN299" s="113"/>
      <c r="AO299" s="113"/>
      <c r="AP299" s="113"/>
    </row>
    <row r="300" customFormat="false" ht="11.25" hidden="false" customHeight="false" outlineLevel="0" collapsed="false">
      <c r="D300" s="113"/>
      <c r="E300" s="113"/>
      <c r="F300" s="113"/>
      <c r="G300" s="113"/>
      <c r="H300" s="113"/>
      <c r="I300" s="113"/>
      <c r="J300" s="113"/>
      <c r="K300" s="113"/>
      <c r="L300" s="113"/>
      <c r="M300" s="113"/>
      <c r="N300" s="113"/>
      <c r="O300" s="113"/>
      <c r="P300" s="113"/>
      <c r="Q300" s="113"/>
      <c r="R300" s="113"/>
      <c r="S300" s="113"/>
      <c r="T300" s="113"/>
      <c r="U300" s="113"/>
      <c r="V300" s="113"/>
      <c r="W300" s="113"/>
      <c r="X300" s="113"/>
      <c r="Y300" s="113"/>
      <c r="Z300" s="113"/>
      <c r="AA300" s="113"/>
      <c r="AB300" s="113"/>
      <c r="AC300" s="113"/>
      <c r="AD300" s="113"/>
      <c r="AE300" s="113"/>
      <c r="AF300" s="113"/>
      <c r="AG300" s="113"/>
      <c r="AH300" s="113"/>
      <c r="AI300" s="113"/>
      <c r="AJ300" s="113"/>
      <c r="AK300" s="113"/>
      <c r="AL300" s="113"/>
      <c r="AM300" s="113"/>
      <c r="AN300" s="113"/>
      <c r="AO300" s="113"/>
      <c r="AP300" s="113"/>
    </row>
    <row r="301" customFormat="false" ht="11.25" hidden="false" customHeight="false" outlineLevel="0" collapsed="false">
      <c r="D301" s="113"/>
      <c r="E301" s="113"/>
      <c r="F301" s="113"/>
      <c r="G301" s="113"/>
      <c r="H301" s="113"/>
      <c r="I301" s="113"/>
      <c r="J301" s="113"/>
      <c r="K301" s="113"/>
      <c r="L301" s="113"/>
      <c r="M301" s="113"/>
      <c r="N301" s="113"/>
      <c r="O301" s="113"/>
      <c r="P301" s="113"/>
      <c r="Q301" s="113"/>
      <c r="R301" s="113"/>
      <c r="S301" s="113"/>
      <c r="T301" s="113"/>
      <c r="U301" s="113"/>
      <c r="V301" s="113"/>
      <c r="W301" s="113"/>
      <c r="X301" s="113"/>
      <c r="Y301" s="113"/>
      <c r="Z301" s="113"/>
      <c r="AA301" s="113"/>
      <c r="AB301" s="113"/>
      <c r="AC301" s="113"/>
      <c r="AD301" s="113"/>
      <c r="AE301" s="113"/>
      <c r="AF301" s="113"/>
      <c r="AG301" s="113"/>
      <c r="AH301" s="113"/>
      <c r="AI301" s="113"/>
      <c r="AJ301" s="113"/>
      <c r="AK301" s="113"/>
      <c r="AL301" s="113"/>
      <c r="AM301" s="113"/>
      <c r="AN301" s="113"/>
      <c r="AO301" s="113"/>
      <c r="AP301" s="113"/>
    </row>
    <row r="302" customFormat="false" ht="11.25" hidden="false" customHeight="false" outlineLevel="0" collapsed="false">
      <c r="D302" s="113"/>
      <c r="E302" s="113"/>
      <c r="F302" s="113"/>
      <c r="G302" s="113"/>
      <c r="H302" s="113"/>
      <c r="I302" s="113"/>
      <c r="J302" s="113"/>
      <c r="K302" s="113"/>
      <c r="L302" s="113"/>
      <c r="M302" s="113"/>
      <c r="N302" s="113"/>
      <c r="O302" s="113"/>
      <c r="P302" s="113"/>
      <c r="Q302" s="113"/>
      <c r="R302" s="113"/>
      <c r="S302" s="113"/>
      <c r="T302" s="113"/>
      <c r="U302" s="113"/>
      <c r="V302" s="113"/>
      <c r="W302" s="113"/>
      <c r="X302" s="113"/>
      <c r="Y302" s="113"/>
      <c r="Z302" s="113"/>
      <c r="AA302" s="113"/>
      <c r="AB302" s="113"/>
      <c r="AC302" s="113"/>
      <c r="AD302" s="113"/>
      <c r="AE302" s="113"/>
      <c r="AF302" s="113"/>
      <c r="AG302" s="113"/>
      <c r="AH302" s="113"/>
      <c r="AI302" s="113"/>
      <c r="AJ302" s="113"/>
      <c r="AK302" s="113"/>
      <c r="AL302" s="113"/>
      <c r="AM302" s="113"/>
      <c r="AN302" s="113"/>
      <c r="AO302" s="113"/>
      <c r="AP302" s="113"/>
    </row>
    <row r="303" customFormat="false" ht="11.25" hidden="false" customHeight="false" outlineLevel="0" collapsed="false">
      <c r="D303" s="113"/>
      <c r="E303" s="113"/>
      <c r="F303" s="113"/>
      <c r="G303" s="113"/>
      <c r="H303" s="113"/>
      <c r="I303" s="113"/>
      <c r="J303" s="113"/>
      <c r="K303" s="113"/>
      <c r="L303" s="113"/>
      <c r="M303" s="113"/>
      <c r="N303" s="113"/>
      <c r="O303" s="113"/>
      <c r="P303" s="113"/>
      <c r="Q303" s="113"/>
      <c r="R303" s="113"/>
      <c r="S303" s="113"/>
      <c r="T303" s="113"/>
      <c r="U303" s="113"/>
      <c r="V303" s="113"/>
      <c r="W303" s="113"/>
      <c r="X303" s="113"/>
      <c r="Y303" s="113"/>
      <c r="Z303" s="113"/>
      <c r="AA303" s="113"/>
      <c r="AB303" s="113"/>
      <c r="AC303" s="113"/>
      <c r="AD303" s="113"/>
      <c r="AE303" s="113"/>
      <c r="AF303" s="113"/>
      <c r="AG303" s="113"/>
      <c r="AH303" s="113"/>
      <c r="AI303" s="113"/>
      <c r="AJ303" s="113"/>
      <c r="AK303" s="113"/>
      <c r="AL303" s="113"/>
      <c r="AM303" s="113"/>
      <c r="AN303" s="113"/>
      <c r="AO303" s="113"/>
      <c r="AP303" s="113"/>
    </row>
    <row r="304" customFormat="false" ht="11.25" hidden="false" customHeight="false" outlineLevel="0" collapsed="false">
      <c r="D304" s="113"/>
      <c r="E304" s="113"/>
      <c r="F304" s="113"/>
      <c r="G304" s="113"/>
      <c r="H304" s="113"/>
      <c r="I304" s="113"/>
      <c r="J304" s="113"/>
      <c r="K304" s="113"/>
      <c r="L304" s="113"/>
      <c r="M304" s="113"/>
      <c r="N304" s="113"/>
      <c r="O304" s="113"/>
      <c r="P304" s="113"/>
      <c r="Q304" s="113"/>
      <c r="R304" s="113"/>
      <c r="S304" s="113"/>
      <c r="T304" s="113"/>
      <c r="U304" s="113"/>
      <c r="V304" s="113"/>
      <c r="W304" s="113"/>
      <c r="X304" s="113"/>
      <c r="Y304" s="113"/>
      <c r="Z304" s="113"/>
      <c r="AA304" s="113"/>
      <c r="AB304" s="113"/>
      <c r="AC304" s="113"/>
      <c r="AD304" s="113"/>
      <c r="AE304" s="113"/>
      <c r="AF304" s="113"/>
      <c r="AG304" s="113"/>
      <c r="AH304" s="113"/>
      <c r="AI304" s="113"/>
      <c r="AJ304" s="113"/>
      <c r="AK304" s="113"/>
      <c r="AL304" s="113"/>
      <c r="AM304" s="113"/>
      <c r="AN304" s="113"/>
      <c r="AO304" s="113"/>
      <c r="AP304" s="113"/>
    </row>
    <row r="305" customFormat="false" ht="11.25" hidden="false" customHeight="false" outlineLevel="0" collapsed="false">
      <c r="D305" s="113"/>
      <c r="E305" s="113"/>
      <c r="F305" s="113"/>
      <c r="G305" s="113"/>
      <c r="H305" s="113"/>
      <c r="I305" s="113"/>
      <c r="J305" s="113"/>
      <c r="K305" s="113"/>
      <c r="L305" s="113"/>
      <c r="M305" s="113"/>
      <c r="N305" s="113"/>
      <c r="O305" s="113"/>
      <c r="P305" s="113"/>
      <c r="Q305" s="113"/>
      <c r="R305" s="113"/>
      <c r="S305" s="113"/>
      <c r="T305" s="113"/>
      <c r="U305" s="113"/>
      <c r="V305" s="113"/>
      <c r="W305" s="113"/>
      <c r="X305" s="113"/>
      <c r="Y305" s="113"/>
      <c r="Z305" s="113"/>
      <c r="AA305" s="113"/>
      <c r="AB305" s="113"/>
      <c r="AC305" s="113"/>
      <c r="AD305" s="113"/>
      <c r="AE305" s="113"/>
      <c r="AF305" s="113"/>
      <c r="AG305" s="113"/>
      <c r="AH305" s="113"/>
      <c r="AI305" s="113"/>
      <c r="AJ305" s="113"/>
      <c r="AK305" s="113"/>
      <c r="AL305" s="113"/>
      <c r="AM305" s="113"/>
      <c r="AN305" s="113"/>
      <c r="AO305" s="113"/>
      <c r="AP305" s="113"/>
    </row>
    <row r="306" customFormat="false" ht="11.25" hidden="false" customHeight="false" outlineLevel="0" collapsed="false">
      <c r="D306" s="113"/>
      <c r="E306" s="113"/>
      <c r="F306" s="113"/>
      <c r="G306" s="113"/>
      <c r="H306" s="113"/>
      <c r="I306" s="113"/>
      <c r="J306" s="113"/>
      <c r="K306" s="113"/>
      <c r="L306" s="113"/>
      <c r="M306" s="113"/>
      <c r="N306" s="113"/>
      <c r="O306" s="113"/>
      <c r="P306" s="113"/>
      <c r="Q306" s="113"/>
      <c r="R306" s="113"/>
      <c r="S306" s="113"/>
      <c r="T306" s="113"/>
      <c r="U306" s="113"/>
      <c r="V306" s="113"/>
      <c r="W306" s="113"/>
      <c r="X306" s="113"/>
      <c r="Y306" s="113"/>
      <c r="Z306" s="113"/>
      <c r="AA306" s="113"/>
      <c r="AB306" s="113"/>
      <c r="AC306" s="113"/>
      <c r="AD306" s="113"/>
      <c r="AE306" s="113"/>
      <c r="AF306" s="113"/>
      <c r="AG306" s="113"/>
      <c r="AH306" s="113"/>
      <c r="AI306" s="113"/>
      <c r="AJ306" s="113"/>
      <c r="AK306" s="113"/>
      <c r="AL306" s="113"/>
      <c r="AM306" s="113"/>
      <c r="AN306" s="113"/>
      <c r="AO306" s="113"/>
      <c r="AP306" s="113"/>
    </row>
    <row r="307" customFormat="false" ht="11.25" hidden="false" customHeight="false" outlineLevel="0" collapsed="false">
      <c r="D307" s="113"/>
      <c r="E307" s="113"/>
      <c r="F307" s="113"/>
      <c r="G307" s="113"/>
      <c r="H307" s="113"/>
      <c r="I307" s="113"/>
      <c r="J307" s="113"/>
      <c r="K307" s="113"/>
      <c r="L307" s="113"/>
      <c r="M307" s="113"/>
      <c r="N307" s="113"/>
      <c r="O307" s="113"/>
      <c r="P307" s="113"/>
      <c r="Q307" s="113"/>
      <c r="R307" s="113"/>
      <c r="S307" s="113"/>
      <c r="T307" s="113"/>
      <c r="U307" s="113"/>
      <c r="V307" s="113"/>
      <c r="W307" s="113"/>
      <c r="X307" s="113"/>
      <c r="Y307" s="113"/>
      <c r="Z307" s="113"/>
      <c r="AA307" s="113"/>
      <c r="AB307" s="113"/>
      <c r="AC307" s="113"/>
      <c r="AD307" s="113"/>
      <c r="AE307" s="113"/>
      <c r="AF307" s="113"/>
      <c r="AG307" s="113"/>
      <c r="AH307" s="113"/>
      <c r="AI307" s="113"/>
      <c r="AJ307" s="113"/>
      <c r="AK307" s="113"/>
      <c r="AL307" s="113"/>
      <c r="AM307" s="113"/>
      <c r="AN307" s="113"/>
      <c r="AO307" s="113"/>
      <c r="AP307" s="113"/>
    </row>
    <row r="308" customFormat="false" ht="11.25" hidden="false" customHeight="false" outlineLevel="0" collapsed="false">
      <c r="D308" s="113"/>
      <c r="E308" s="113"/>
      <c r="F308" s="113"/>
      <c r="G308" s="113"/>
      <c r="H308" s="113"/>
      <c r="I308" s="113"/>
      <c r="J308" s="113"/>
      <c r="K308" s="113"/>
      <c r="L308" s="113"/>
      <c r="M308" s="113"/>
      <c r="N308" s="113"/>
      <c r="O308" s="113"/>
      <c r="P308" s="113"/>
      <c r="Q308" s="113"/>
      <c r="R308" s="113"/>
      <c r="S308" s="113"/>
      <c r="T308" s="113"/>
      <c r="U308" s="113"/>
      <c r="V308" s="113"/>
      <c r="W308" s="113"/>
      <c r="X308" s="113"/>
      <c r="Y308" s="113"/>
      <c r="Z308" s="113"/>
      <c r="AA308" s="113"/>
      <c r="AB308" s="113"/>
      <c r="AC308" s="113"/>
      <c r="AD308" s="113"/>
      <c r="AE308" s="113"/>
      <c r="AF308" s="113"/>
      <c r="AG308" s="113"/>
      <c r="AH308" s="113"/>
      <c r="AI308" s="113"/>
      <c r="AJ308" s="113"/>
      <c r="AK308" s="113"/>
      <c r="AL308" s="113"/>
      <c r="AM308" s="113"/>
      <c r="AN308" s="113"/>
      <c r="AO308" s="113"/>
      <c r="AP308" s="113"/>
    </row>
    <row r="309" customFormat="false" ht="11.25" hidden="false" customHeight="false" outlineLevel="0" collapsed="false">
      <c r="D309" s="113"/>
      <c r="E309" s="113"/>
      <c r="F309" s="113"/>
      <c r="G309" s="113"/>
      <c r="H309" s="113"/>
      <c r="I309" s="113"/>
      <c r="J309" s="113"/>
      <c r="K309" s="113"/>
      <c r="L309" s="113"/>
      <c r="M309" s="113"/>
      <c r="N309" s="113"/>
      <c r="O309" s="113"/>
      <c r="P309" s="113"/>
      <c r="Q309" s="113"/>
      <c r="R309" s="113"/>
      <c r="S309" s="113"/>
      <c r="T309" s="113"/>
      <c r="U309" s="113"/>
      <c r="V309" s="113"/>
      <c r="W309" s="113"/>
      <c r="X309" s="113"/>
      <c r="Y309" s="113"/>
      <c r="Z309" s="113"/>
      <c r="AA309" s="113"/>
      <c r="AB309" s="113"/>
      <c r="AC309" s="113"/>
      <c r="AD309" s="113"/>
      <c r="AE309" s="113"/>
      <c r="AF309" s="113"/>
      <c r="AG309" s="113"/>
      <c r="AH309" s="113"/>
      <c r="AI309" s="113"/>
      <c r="AJ309" s="113"/>
      <c r="AK309" s="113"/>
      <c r="AL309" s="113"/>
      <c r="AM309" s="113"/>
      <c r="AN309" s="113"/>
      <c r="AO309" s="113"/>
      <c r="AP309" s="113"/>
    </row>
    <row r="310" customFormat="false" ht="11.25" hidden="false" customHeight="false" outlineLevel="0" collapsed="false">
      <c r="D310" s="113"/>
      <c r="E310" s="113"/>
      <c r="F310" s="113"/>
      <c r="G310" s="113"/>
      <c r="H310" s="113"/>
      <c r="I310" s="113"/>
      <c r="J310" s="113"/>
      <c r="K310" s="113"/>
      <c r="L310" s="113"/>
      <c r="M310" s="113"/>
      <c r="N310" s="113"/>
      <c r="O310" s="113"/>
      <c r="P310" s="113"/>
      <c r="Q310" s="113"/>
      <c r="R310" s="113"/>
      <c r="S310" s="113"/>
      <c r="T310" s="113"/>
      <c r="U310" s="113"/>
      <c r="V310" s="113"/>
      <c r="W310" s="113"/>
      <c r="X310" s="113"/>
      <c r="Y310" s="113"/>
      <c r="Z310" s="113"/>
      <c r="AA310" s="113"/>
      <c r="AB310" s="113"/>
      <c r="AC310" s="113"/>
      <c r="AD310" s="113"/>
      <c r="AE310" s="113"/>
      <c r="AF310" s="113"/>
      <c r="AG310" s="113"/>
      <c r="AH310" s="113"/>
      <c r="AI310" s="113"/>
      <c r="AJ310" s="113"/>
      <c r="AK310" s="113"/>
      <c r="AL310" s="113"/>
      <c r="AM310" s="113"/>
      <c r="AN310" s="113"/>
      <c r="AO310" s="113"/>
      <c r="AP310" s="113"/>
    </row>
    <row r="311" customFormat="false" ht="11.25" hidden="false" customHeight="false" outlineLevel="0" collapsed="false">
      <c r="D311" s="113"/>
      <c r="E311" s="113"/>
      <c r="F311" s="113"/>
      <c r="G311" s="113"/>
      <c r="H311" s="113"/>
      <c r="I311" s="113"/>
      <c r="J311" s="113"/>
      <c r="K311" s="113"/>
      <c r="L311" s="113"/>
      <c r="M311" s="113"/>
      <c r="N311" s="113"/>
      <c r="O311" s="113"/>
      <c r="P311" s="113"/>
      <c r="Q311" s="113"/>
      <c r="R311" s="113"/>
      <c r="S311" s="113"/>
      <c r="T311" s="113"/>
      <c r="U311" s="113"/>
      <c r="V311" s="113"/>
      <c r="W311" s="113"/>
      <c r="X311" s="113"/>
      <c r="Y311" s="113"/>
      <c r="Z311" s="113"/>
      <c r="AA311" s="113"/>
      <c r="AB311" s="113"/>
      <c r="AC311" s="113"/>
      <c r="AD311" s="113"/>
      <c r="AE311" s="113"/>
      <c r="AF311" s="113"/>
      <c r="AG311" s="113"/>
      <c r="AH311" s="113"/>
      <c r="AI311" s="113"/>
      <c r="AJ311" s="113"/>
      <c r="AK311" s="113"/>
      <c r="AL311" s="113"/>
      <c r="AM311" s="113"/>
      <c r="AN311" s="113"/>
      <c r="AO311" s="113"/>
      <c r="AP311" s="113"/>
    </row>
    <row r="312" customFormat="false" ht="11.25" hidden="false" customHeight="false" outlineLevel="0" collapsed="false">
      <c r="D312" s="113"/>
      <c r="E312" s="113"/>
      <c r="F312" s="113"/>
      <c r="G312" s="113"/>
      <c r="H312" s="113"/>
      <c r="I312" s="113"/>
      <c r="J312" s="113"/>
      <c r="K312" s="113"/>
      <c r="L312" s="113"/>
      <c r="M312" s="113"/>
      <c r="N312" s="113"/>
      <c r="O312" s="113"/>
      <c r="P312" s="113"/>
      <c r="Q312" s="113"/>
      <c r="R312" s="113"/>
      <c r="S312" s="113"/>
      <c r="T312" s="113"/>
      <c r="U312" s="113"/>
      <c r="V312" s="113"/>
      <c r="W312" s="113"/>
      <c r="X312" s="113"/>
      <c r="Y312" s="113"/>
      <c r="Z312" s="113"/>
      <c r="AA312" s="113"/>
      <c r="AB312" s="113"/>
      <c r="AC312" s="113"/>
      <c r="AD312" s="113"/>
      <c r="AE312" s="113"/>
      <c r="AF312" s="113"/>
      <c r="AG312" s="113"/>
      <c r="AH312" s="113"/>
      <c r="AI312" s="113"/>
      <c r="AJ312" s="113"/>
      <c r="AK312" s="113"/>
      <c r="AL312" s="113"/>
      <c r="AM312" s="113"/>
      <c r="AN312" s="113"/>
      <c r="AO312" s="113"/>
      <c r="AP312" s="113"/>
    </row>
    <row r="313" customFormat="false" ht="11.25" hidden="false" customHeight="false" outlineLevel="0" collapsed="false">
      <c r="D313" s="113"/>
      <c r="E313" s="113"/>
      <c r="F313" s="113"/>
      <c r="G313" s="113"/>
      <c r="H313" s="113"/>
      <c r="I313" s="113"/>
      <c r="J313" s="113"/>
      <c r="K313" s="113"/>
      <c r="L313" s="113"/>
      <c r="M313" s="113"/>
      <c r="N313" s="113"/>
      <c r="O313" s="113"/>
      <c r="P313" s="113"/>
      <c r="Q313" s="113"/>
      <c r="R313" s="113"/>
      <c r="S313" s="113"/>
      <c r="T313" s="113"/>
      <c r="U313" s="113"/>
      <c r="V313" s="113"/>
      <c r="W313" s="113"/>
      <c r="X313" s="113"/>
      <c r="Y313" s="113"/>
      <c r="Z313" s="113"/>
      <c r="AA313" s="113"/>
      <c r="AB313" s="113"/>
      <c r="AC313" s="113"/>
      <c r="AD313" s="113"/>
      <c r="AE313" s="113"/>
      <c r="AF313" s="113"/>
      <c r="AG313" s="113"/>
      <c r="AH313" s="113"/>
      <c r="AI313" s="113"/>
      <c r="AJ313" s="113"/>
      <c r="AK313" s="113"/>
      <c r="AL313" s="113"/>
      <c r="AM313" s="113"/>
      <c r="AN313" s="113"/>
      <c r="AO313" s="113"/>
      <c r="AP313" s="113"/>
    </row>
    <row r="314" customFormat="false" ht="11.25" hidden="false" customHeight="false" outlineLevel="0" collapsed="false">
      <c r="D314" s="113"/>
      <c r="E314" s="113"/>
      <c r="F314" s="113"/>
      <c r="G314" s="113"/>
      <c r="H314" s="113"/>
      <c r="I314" s="113"/>
      <c r="J314" s="113"/>
      <c r="K314" s="113"/>
      <c r="L314" s="113"/>
      <c r="M314" s="113"/>
      <c r="N314" s="113"/>
      <c r="O314" s="113"/>
      <c r="P314" s="113"/>
      <c r="Q314" s="113"/>
      <c r="R314" s="113"/>
      <c r="S314" s="113"/>
      <c r="T314" s="113"/>
      <c r="U314" s="113"/>
      <c r="V314" s="113"/>
      <c r="W314" s="113"/>
      <c r="X314" s="113"/>
      <c r="Y314" s="113"/>
      <c r="Z314" s="113"/>
      <c r="AA314" s="113"/>
      <c r="AB314" s="113"/>
      <c r="AC314" s="113"/>
      <c r="AD314" s="113"/>
      <c r="AE314" s="113"/>
      <c r="AF314" s="113"/>
      <c r="AG314" s="113"/>
      <c r="AH314" s="113"/>
      <c r="AI314" s="113"/>
      <c r="AJ314" s="113"/>
      <c r="AK314" s="113"/>
      <c r="AL314" s="113"/>
      <c r="AM314" s="113"/>
      <c r="AN314" s="113"/>
      <c r="AO314" s="113"/>
      <c r="AP314" s="113"/>
    </row>
    <row r="315" customFormat="false" ht="11.25" hidden="false" customHeight="false" outlineLevel="0" collapsed="false">
      <c r="D315" s="113"/>
      <c r="E315" s="113"/>
      <c r="F315" s="113"/>
      <c r="G315" s="113"/>
      <c r="H315" s="113"/>
      <c r="I315" s="113"/>
      <c r="J315" s="113"/>
      <c r="K315" s="113"/>
      <c r="L315" s="113"/>
      <c r="M315" s="113"/>
      <c r="N315" s="113"/>
      <c r="O315" s="113"/>
      <c r="P315" s="113"/>
      <c r="Q315" s="113"/>
      <c r="R315" s="113"/>
      <c r="S315" s="113"/>
      <c r="T315" s="113"/>
      <c r="U315" s="113"/>
      <c r="V315" s="113"/>
      <c r="W315" s="113"/>
      <c r="X315" s="113"/>
      <c r="Y315" s="113"/>
      <c r="Z315" s="113"/>
      <c r="AA315" s="113"/>
      <c r="AB315" s="113"/>
      <c r="AC315" s="113"/>
      <c r="AD315" s="113"/>
      <c r="AE315" s="113"/>
      <c r="AF315" s="113"/>
      <c r="AG315" s="113"/>
      <c r="AH315" s="113"/>
      <c r="AI315" s="113"/>
      <c r="AJ315" s="113"/>
      <c r="AK315" s="113"/>
      <c r="AL315" s="113"/>
      <c r="AM315" s="113"/>
      <c r="AN315" s="113"/>
      <c r="AO315" s="113"/>
      <c r="AP315" s="113"/>
    </row>
    <row r="316" customFormat="false" ht="11.25" hidden="false" customHeight="false" outlineLevel="0" collapsed="false">
      <c r="D316" s="113"/>
      <c r="E316" s="113"/>
      <c r="F316" s="113"/>
      <c r="G316" s="113"/>
      <c r="H316" s="113"/>
      <c r="I316" s="113"/>
      <c r="J316" s="113"/>
      <c r="K316" s="113"/>
      <c r="L316" s="113"/>
      <c r="M316" s="113"/>
      <c r="N316" s="113"/>
      <c r="O316" s="113"/>
      <c r="P316" s="113"/>
      <c r="Q316" s="113"/>
      <c r="R316" s="113"/>
      <c r="S316" s="113"/>
      <c r="T316" s="113"/>
      <c r="U316" s="113"/>
      <c r="V316" s="113"/>
      <c r="W316" s="113"/>
      <c r="X316" s="113"/>
      <c r="Y316" s="113"/>
      <c r="Z316" s="113"/>
      <c r="AA316" s="113"/>
      <c r="AB316" s="113"/>
      <c r="AC316" s="113"/>
      <c r="AD316" s="113"/>
      <c r="AE316" s="113"/>
      <c r="AF316" s="113"/>
      <c r="AG316" s="113"/>
      <c r="AH316" s="113"/>
      <c r="AI316" s="113"/>
      <c r="AJ316" s="113"/>
      <c r="AK316" s="113"/>
      <c r="AL316" s="113"/>
      <c r="AM316" s="113"/>
      <c r="AN316" s="113"/>
      <c r="AO316" s="113"/>
      <c r="AP316" s="113"/>
    </row>
    <row r="317" customFormat="false" ht="11.25" hidden="false" customHeight="false" outlineLevel="0" collapsed="false">
      <c r="D317" s="113"/>
      <c r="E317" s="113"/>
      <c r="F317" s="113"/>
      <c r="G317" s="113"/>
      <c r="H317" s="113"/>
      <c r="I317" s="113"/>
      <c r="J317" s="113"/>
      <c r="K317" s="113"/>
      <c r="L317" s="113"/>
      <c r="M317" s="113"/>
      <c r="N317" s="113"/>
      <c r="O317" s="113"/>
      <c r="P317" s="113"/>
      <c r="Q317" s="113"/>
      <c r="R317" s="113"/>
      <c r="S317" s="113"/>
      <c r="T317" s="113"/>
      <c r="U317" s="113"/>
      <c r="V317" s="113"/>
      <c r="W317" s="113"/>
      <c r="X317" s="113"/>
      <c r="Y317" s="113"/>
      <c r="Z317" s="113"/>
      <c r="AA317" s="113"/>
      <c r="AB317" s="113"/>
      <c r="AC317" s="113"/>
      <c r="AD317" s="113"/>
      <c r="AE317" s="113"/>
      <c r="AF317" s="113"/>
      <c r="AG317" s="113"/>
      <c r="AH317" s="113"/>
      <c r="AI317" s="113"/>
      <c r="AJ317" s="113"/>
      <c r="AK317" s="113"/>
      <c r="AL317" s="113"/>
      <c r="AM317" s="113"/>
      <c r="AN317" s="113"/>
      <c r="AO317" s="113"/>
      <c r="AP317" s="113"/>
    </row>
    <row r="318" customFormat="false" ht="11.25" hidden="false" customHeight="false" outlineLevel="0" collapsed="false">
      <c r="D318" s="113"/>
      <c r="E318" s="113"/>
      <c r="F318" s="113"/>
      <c r="G318" s="113"/>
      <c r="H318" s="113"/>
      <c r="I318" s="113"/>
      <c r="J318" s="113"/>
      <c r="K318" s="113"/>
      <c r="L318" s="113"/>
      <c r="M318" s="113"/>
      <c r="N318" s="113"/>
      <c r="O318" s="113"/>
      <c r="P318" s="113"/>
      <c r="Q318" s="113"/>
      <c r="R318" s="113"/>
      <c r="S318" s="113"/>
      <c r="T318" s="113"/>
      <c r="U318" s="113"/>
      <c r="V318" s="113"/>
      <c r="W318" s="113"/>
      <c r="X318" s="113"/>
      <c r="Y318" s="113"/>
      <c r="Z318" s="113"/>
      <c r="AA318" s="113"/>
      <c r="AB318" s="113"/>
      <c r="AC318" s="113"/>
      <c r="AD318" s="113"/>
      <c r="AE318" s="113"/>
      <c r="AF318" s="113"/>
      <c r="AG318" s="113"/>
      <c r="AH318" s="113"/>
      <c r="AI318" s="113"/>
      <c r="AJ318" s="113"/>
      <c r="AK318" s="113"/>
      <c r="AL318" s="113"/>
      <c r="AM318" s="113"/>
      <c r="AN318" s="113"/>
      <c r="AO318" s="113"/>
      <c r="AP318" s="113"/>
    </row>
    <row r="319" customFormat="false" ht="11.25" hidden="false" customHeight="false" outlineLevel="0" collapsed="false">
      <c r="D319" s="113"/>
      <c r="E319" s="113"/>
      <c r="F319" s="113"/>
      <c r="G319" s="113"/>
      <c r="H319" s="113"/>
      <c r="I319" s="113"/>
      <c r="J319" s="113"/>
      <c r="K319" s="113"/>
      <c r="L319" s="113"/>
      <c r="M319" s="113"/>
      <c r="N319" s="113"/>
      <c r="O319" s="113"/>
      <c r="P319" s="113"/>
      <c r="Q319" s="113"/>
      <c r="R319" s="113"/>
      <c r="S319" s="113"/>
      <c r="T319" s="113"/>
      <c r="U319" s="113"/>
      <c r="V319" s="113"/>
      <c r="W319" s="113"/>
      <c r="X319" s="113"/>
      <c r="Y319" s="113"/>
      <c r="Z319" s="113"/>
      <c r="AA319" s="113"/>
      <c r="AB319" s="113"/>
      <c r="AC319" s="113"/>
      <c r="AD319" s="113"/>
      <c r="AE319" s="113"/>
      <c r="AF319" s="113"/>
      <c r="AG319" s="113"/>
      <c r="AH319" s="113"/>
      <c r="AI319" s="113"/>
      <c r="AJ319" s="113"/>
      <c r="AK319" s="113"/>
      <c r="AL319" s="113"/>
      <c r="AM319" s="113"/>
      <c r="AN319" s="113"/>
      <c r="AO319" s="113"/>
      <c r="AP319" s="113"/>
    </row>
    <row r="320" customFormat="false" ht="11.25" hidden="false" customHeight="false" outlineLevel="0" collapsed="false">
      <c r="D320" s="113"/>
      <c r="E320" s="113"/>
      <c r="F320" s="113"/>
      <c r="G320" s="113"/>
      <c r="H320" s="113"/>
      <c r="I320" s="113"/>
      <c r="J320" s="113"/>
      <c r="K320" s="113"/>
      <c r="L320" s="113"/>
      <c r="M320" s="113"/>
      <c r="N320" s="113"/>
      <c r="O320" s="113"/>
      <c r="P320" s="113"/>
      <c r="Q320" s="113"/>
      <c r="R320" s="113"/>
      <c r="S320" s="113"/>
      <c r="T320" s="113"/>
      <c r="U320" s="113"/>
      <c r="V320" s="113"/>
      <c r="W320" s="113"/>
      <c r="X320" s="113"/>
      <c r="Y320" s="113"/>
      <c r="Z320" s="113"/>
      <c r="AA320" s="113"/>
      <c r="AB320" s="113"/>
      <c r="AC320" s="113"/>
      <c r="AD320" s="113"/>
      <c r="AE320" s="113"/>
      <c r="AF320" s="113"/>
      <c r="AG320" s="113"/>
      <c r="AH320" s="113"/>
      <c r="AI320" s="113"/>
      <c r="AJ320" s="113"/>
      <c r="AK320" s="113"/>
      <c r="AL320" s="113"/>
      <c r="AM320" s="113"/>
      <c r="AN320" s="113"/>
      <c r="AO320" s="113"/>
      <c r="AP320" s="113"/>
    </row>
    <row r="321" customFormat="false" ht="11.25" hidden="false" customHeight="false" outlineLevel="0" collapsed="false">
      <c r="D321" s="113"/>
      <c r="E321" s="113"/>
      <c r="F321" s="113"/>
      <c r="G321" s="113"/>
      <c r="H321" s="113"/>
      <c r="I321" s="113"/>
      <c r="J321" s="113"/>
      <c r="K321" s="113"/>
      <c r="L321" s="113"/>
      <c r="M321" s="113"/>
      <c r="N321" s="113"/>
      <c r="O321" s="113"/>
      <c r="P321" s="113"/>
      <c r="Q321" s="113"/>
      <c r="R321" s="113"/>
      <c r="S321" s="113"/>
      <c r="T321" s="113"/>
      <c r="U321" s="113"/>
      <c r="V321" s="113"/>
      <c r="W321" s="113"/>
      <c r="X321" s="113"/>
      <c r="Y321" s="113"/>
      <c r="Z321" s="113"/>
      <c r="AA321" s="113"/>
      <c r="AB321" s="113"/>
      <c r="AC321" s="113"/>
      <c r="AD321" s="113"/>
      <c r="AE321" s="113"/>
      <c r="AF321" s="113"/>
      <c r="AG321" s="113"/>
      <c r="AH321" s="113"/>
      <c r="AI321" s="113"/>
      <c r="AJ321" s="113"/>
      <c r="AK321" s="113"/>
      <c r="AL321" s="113"/>
      <c r="AM321" s="113"/>
      <c r="AN321" s="113"/>
      <c r="AO321" s="113"/>
      <c r="AP321" s="113"/>
    </row>
    <row r="322" customFormat="false" ht="11.25" hidden="false" customHeight="false" outlineLevel="0" collapsed="false">
      <c r="D322" s="113"/>
      <c r="E322" s="113"/>
      <c r="F322" s="113"/>
      <c r="G322" s="113"/>
      <c r="H322" s="113"/>
      <c r="I322" s="113"/>
      <c r="J322" s="113"/>
      <c r="K322" s="113"/>
      <c r="L322" s="113"/>
      <c r="M322" s="113"/>
      <c r="N322" s="113"/>
      <c r="O322" s="113"/>
      <c r="P322" s="113"/>
      <c r="Q322" s="113"/>
      <c r="R322" s="113"/>
      <c r="S322" s="113"/>
      <c r="T322" s="113"/>
      <c r="U322" s="113"/>
      <c r="V322" s="113"/>
      <c r="W322" s="113"/>
      <c r="X322" s="113"/>
      <c r="Y322" s="113"/>
      <c r="Z322" s="113"/>
      <c r="AA322" s="113"/>
      <c r="AB322" s="113"/>
      <c r="AC322" s="113"/>
      <c r="AD322" s="113"/>
      <c r="AE322" s="113"/>
      <c r="AF322" s="113"/>
      <c r="AG322" s="113"/>
      <c r="AH322" s="113"/>
      <c r="AI322" s="113"/>
      <c r="AJ322" s="113"/>
      <c r="AK322" s="113"/>
      <c r="AL322" s="113"/>
      <c r="AM322" s="113"/>
      <c r="AN322" s="113"/>
      <c r="AO322" s="113"/>
      <c r="AP322" s="113"/>
    </row>
    <row r="323" customFormat="false" ht="11.25" hidden="false" customHeight="false" outlineLevel="0" collapsed="false">
      <c r="D323" s="113"/>
      <c r="E323" s="113"/>
      <c r="F323" s="113"/>
      <c r="G323" s="113"/>
      <c r="H323" s="113"/>
      <c r="I323" s="113"/>
      <c r="J323" s="113"/>
      <c r="K323" s="113"/>
      <c r="L323" s="113"/>
      <c r="M323" s="113"/>
      <c r="N323" s="113"/>
      <c r="O323" s="113"/>
      <c r="P323" s="113"/>
      <c r="Q323" s="113"/>
      <c r="R323" s="113"/>
      <c r="S323" s="113"/>
      <c r="T323" s="113"/>
      <c r="U323" s="113"/>
      <c r="V323" s="113"/>
      <c r="W323" s="113"/>
      <c r="X323" s="113"/>
      <c r="Y323" s="113"/>
      <c r="Z323" s="113"/>
      <c r="AA323" s="113"/>
      <c r="AB323" s="113"/>
      <c r="AC323" s="113"/>
      <c r="AD323" s="113"/>
      <c r="AE323" s="113"/>
      <c r="AF323" s="113"/>
      <c r="AG323" s="113"/>
      <c r="AH323" s="113"/>
      <c r="AI323" s="113"/>
      <c r="AJ323" s="113"/>
      <c r="AK323" s="113"/>
      <c r="AL323" s="113"/>
      <c r="AM323" s="113"/>
      <c r="AN323" s="113"/>
      <c r="AO323" s="113"/>
      <c r="AP323" s="113"/>
    </row>
    <row r="324" customFormat="false" ht="11.25" hidden="false" customHeight="false" outlineLevel="0" collapsed="false">
      <c r="D324" s="113"/>
      <c r="E324" s="113"/>
      <c r="F324" s="113"/>
      <c r="G324" s="113"/>
      <c r="H324" s="113"/>
      <c r="I324" s="113"/>
      <c r="J324" s="113"/>
      <c r="K324" s="113"/>
      <c r="L324" s="113"/>
      <c r="M324" s="113"/>
      <c r="N324" s="113"/>
      <c r="O324" s="113"/>
      <c r="P324" s="113"/>
      <c r="Q324" s="113"/>
      <c r="R324" s="113"/>
      <c r="S324" s="113"/>
      <c r="T324" s="113"/>
      <c r="U324" s="113"/>
      <c r="V324" s="113"/>
      <c r="W324" s="113"/>
      <c r="X324" s="113"/>
      <c r="Y324" s="113"/>
      <c r="Z324" s="113"/>
      <c r="AA324" s="113"/>
      <c r="AB324" s="113"/>
      <c r="AC324" s="113"/>
      <c r="AD324" s="113"/>
      <c r="AE324" s="113"/>
      <c r="AF324" s="113"/>
      <c r="AG324" s="113"/>
      <c r="AH324" s="113"/>
      <c r="AI324" s="113"/>
      <c r="AJ324" s="113"/>
      <c r="AK324" s="113"/>
      <c r="AL324" s="113"/>
      <c r="AM324" s="113"/>
      <c r="AN324" s="113"/>
      <c r="AO324" s="113"/>
      <c r="AP324" s="113"/>
    </row>
    <row r="325" customFormat="false" ht="11.25" hidden="false" customHeight="false" outlineLevel="0" collapsed="false">
      <c r="D325" s="113"/>
      <c r="E325" s="113"/>
      <c r="F325" s="113"/>
      <c r="G325" s="113"/>
      <c r="H325" s="113"/>
      <c r="I325" s="113"/>
      <c r="J325" s="113"/>
      <c r="K325" s="113"/>
      <c r="L325" s="113"/>
      <c r="M325" s="113"/>
      <c r="N325" s="113"/>
      <c r="O325" s="113"/>
      <c r="P325" s="113"/>
      <c r="Q325" s="113"/>
      <c r="R325" s="113"/>
      <c r="S325" s="113"/>
      <c r="T325" s="113"/>
      <c r="U325" s="113"/>
      <c r="V325" s="113"/>
      <c r="W325" s="113"/>
      <c r="X325" s="113"/>
      <c r="Y325" s="113"/>
      <c r="Z325" s="113"/>
      <c r="AA325" s="113"/>
      <c r="AB325" s="113"/>
      <c r="AC325" s="113"/>
      <c r="AD325" s="113"/>
      <c r="AE325" s="113"/>
      <c r="AF325" s="113"/>
      <c r="AG325" s="113"/>
      <c r="AH325" s="113"/>
      <c r="AI325" s="113"/>
      <c r="AJ325" s="113"/>
      <c r="AK325" s="113"/>
      <c r="AL325" s="113"/>
      <c r="AM325" s="113"/>
      <c r="AN325" s="113"/>
      <c r="AO325" s="113"/>
      <c r="AP325" s="113"/>
    </row>
    <row r="326" customFormat="false" ht="11.25" hidden="false" customHeight="false" outlineLevel="0" collapsed="false">
      <c r="D326" s="113"/>
      <c r="E326" s="113"/>
      <c r="F326" s="113"/>
      <c r="G326" s="113"/>
      <c r="H326" s="113"/>
      <c r="I326" s="113"/>
      <c r="J326" s="113"/>
      <c r="K326" s="113"/>
      <c r="L326" s="113"/>
      <c r="M326" s="113"/>
      <c r="N326" s="113"/>
      <c r="O326" s="113"/>
      <c r="P326" s="113"/>
      <c r="Q326" s="113"/>
      <c r="R326" s="113"/>
      <c r="S326" s="113"/>
      <c r="T326" s="113"/>
      <c r="U326" s="113"/>
      <c r="V326" s="113"/>
      <c r="W326" s="113"/>
      <c r="X326" s="113"/>
      <c r="Y326" s="113"/>
      <c r="Z326" s="113"/>
      <c r="AA326" s="113"/>
      <c r="AB326" s="113"/>
      <c r="AC326" s="113"/>
      <c r="AD326" s="113"/>
      <c r="AE326" s="113"/>
      <c r="AF326" s="113"/>
      <c r="AG326" s="113"/>
      <c r="AH326" s="113"/>
      <c r="AI326" s="113"/>
      <c r="AJ326" s="113"/>
      <c r="AK326" s="113"/>
      <c r="AL326" s="113"/>
      <c r="AM326" s="113"/>
      <c r="AN326" s="113"/>
      <c r="AO326" s="113"/>
      <c r="AP326" s="113"/>
    </row>
    <row r="327" customFormat="false" ht="11.25" hidden="false" customHeight="false" outlineLevel="0" collapsed="false">
      <c r="D327" s="113"/>
      <c r="E327" s="113"/>
      <c r="F327" s="113"/>
      <c r="G327" s="113"/>
      <c r="H327" s="113"/>
      <c r="I327" s="113"/>
      <c r="J327" s="113"/>
      <c r="K327" s="113"/>
      <c r="L327" s="113"/>
      <c r="M327" s="113"/>
      <c r="N327" s="113"/>
      <c r="O327" s="113"/>
      <c r="P327" s="113"/>
      <c r="Q327" s="113"/>
      <c r="R327" s="113"/>
      <c r="S327" s="113"/>
      <c r="T327" s="113"/>
      <c r="U327" s="113"/>
      <c r="V327" s="113"/>
      <c r="W327" s="113"/>
      <c r="X327" s="113"/>
      <c r="Y327" s="113"/>
      <c r="Z327" s="113"/>
      <c r="AA327" s="113"/>
      <c r="AB327" s="113"/>
      <c r="AC327" s="113"/>
      <c r="AD327" s="113"/>
      <c r="AE327" s="113"/>
      <c r="AF327" s="113"/>
      <c r="AG327" s="113"/>
      <c r="AH327" s="113"/>
      <c r="AI327" s="113"/>
      <c r="AJ327" s="113"/>
      <c r="AK327" s="113"/>
      <c r="AL327" s="113"/>
      <c r="AM327" s="113"/>
      <c r="AN327" s="113"/>
      <c r="AO327" s="113"/>
      <c r="AP327" s="113"/>
    </row>
    <row r="328" customFormat="false" ht="11.25" hidden="false" customHeight="false" outlineLevel="0" collapsed="false">
      <c r="D328" s="113"/>
      <c r="E328" s="113"/>
      <c r="F328" s="113"/>
      <c r="G328" s="113"/>
      <c r="H328" s="113"/>
      <c r="I328" s="113"/>
      <c r="J328" s="113"/>
      <c r="K328" s="113"/>
      <c r="L328" s="113"/>
      <c r="M328" s="113"/>
      <c r="N328" s="113"/>
      <c r="O328" s="113"/>
      <c r="P328" s="113"/>
      <c r="Q328" s="113"/>
      <c r="R328" s="113"/>
      <c r="S328" s="113"/>
      <c r="T328" s="113"/>
      <c r="U328" s="113"/>
      <c r="V328" s="113"/>
      <c r="W328" s="113"/>
      <c r="X328" s="113"/>
      <c r="Y328" s="113"/>
      <c r="Z328" s="113"/>
      <c r="AA328" s="113"/>
      <c r="AB328" s="113"/>
      <c r="AC328" s="113"/>
      <c r="AD328" s="113"/>
      <c r="AE328" s="113"/>
      <c r="AF328" s="113"/>
      <c r="AG328" s="113"/>
      <c r="AH328" s="113"/>
      <c r="AI328" s="113"/>
      <c r="AJ328" s="113"/>
      <c r="AK328" s="113"/>
      <c r="AL328" s="113"/>
      <c r="AM328" s="113"/>
      <c r="AN328" s="113"/>
      <c r="AO328" s="113"/>
      <c r="AP328" s="113"/>
    </row>
    <row r="329" customFormat="false" ht="11.25" hidden="false" customHeight="false" outlineLevel="0" collapsed="false">
      <c r="D329" s="113"/>
      <c r="E329" s="113"/>
      <c r="F329" s="113"/>
      <c r="G329" s="113"/>
      <c r="H329" s="113"/>
      <c r="I329" s="113"/>
      <c r="J329" s="113"/>
      <c r="K329" s="113"/>
      <c r="L329" s="113"/>
      <c r="M329" s="113"/>
      <c r="N329" s="113"/>
      <c r="O329" s="113"/>
      <c r="P329" s="113"/>
      <c r="Q329" s="113"/>
      <c r="R329" s="113"/>
      <c r="S329" s="113"/>
      <c r="T329" s="113"/>
      <c r="U329" s="113"/>
      <c r="V329" s="113"/>
      <c r="W329" s="113"/>
      <c r="X329" s="113"/>
      <c r="Y329" s="113"/>
      <c r="Z329" s="113"/>
      <c r="AA329" s="113"/>
      <c r="AB329" s="113"/>
      <c r="AC329" s="113"/>
      <c r="AD329" s="113"/>
      <c r="AE329" s="113"/>
      <c r="AF329" s="113"/>
      <c r="AG329" s="113"/>
      <c r="AH329" s="113"/>
      <c r="AI329" s="113"/>
      <c r="AJ329" s="113"/>
      <c r="AK329" s="113"/>
      <c r="AL329" s="113"/>
      <c r="AM329" s="113"/>
      <c r="AN329" s="113"/>
      <c r="AO329" s="113"/>
      <c r="AP329" s="113"/>
    </row>
    <row r="330" customFormat="false" ht="11.25" hidden="false" customHeight="false" outlineLevel="0" collapsed="false">
      <c r="D330" s="113"/>
      <c r="E330" s="113"/>
      <c r="F330" s="113"/>
      <c r="G330" s="113"/>
      <c r="H330" s="113"/>
      <c r="I330" s="113"/>
      <c r="J330" s="113"/>
      <c r="K330" s="113"/>
      <c r="L330" s="113"/>
      <c r="M330" s="113"/>
      <c r="N330" s="113"/>
      <c r="O330" s="113"/>
      <c r="P330" s="113"/>
      <c r="Q330" s="113"/>
      <c r="R330" s="113"/>
      <c r="S330" s="113"/>
      <c r="T330" s="113"/>
      <c r="U330" s="113"/>
      <c r="V330" s="113"/>
      <c r="W330" s="113"/>
      <c r="X330" s="113"/>
      <c r="Y330" s="113"/>
      <c r="Z330" s="113"/>
      <c r="AA330" s="113"/>
      <c r="AB330" s="113"/>
      <c r="AC330" s="113"/>
      <c r="AD330" s="113"/>
      <c r="AE330" s="113"/>
      <c r="AF330" s="113"/>
      <c r="AG330" s="113"/>
      <c r="AH330" s="113"/>
      <c r="AI330" s="113"/>
      <c r="AJ330" s="113"/>
      <c r="AK330" s="113"/>
      <c r="AL330" s="113"/>
      <c r="AM330" s="113"/>
      <c r="AN330" s="113"/>
      <c r="AO330" s="113"/>
      <c r="AP330" s="113"/>
    </row>
    <row r="331" customFormat="false" ht="11.25" hidden="false" customHeight="false" outlineLevel="0" collapsed="false">
      <c r="D331" s="113"/>
      <c r="E331" s="113"/>
      <c r="F331" s="113"/>
      <c r="G331" s="113"/>
      <c r="H331" s="113"/>
      <c r="I331" s="113"/>
      <c r="J331" s="113"/>
      <c r="K331" s="113"/>
      <c r="L331" s="113"/>
      <c r="M331" s="113"/>
      <c r="N331" s="113"/>
      <c r="O331" s="113"/>
      <c r="P331" s="113"/>
      <c r="Q331" s="113"/>
      <c r="R331" s="113"/>
      <c r="S331" s="113"/>
      <c r="T331" s="113"/>
      <c r="U331" s="113"/>
      <c r="V331" s="113"/>
      <c r="W331" s="113"/>
      <c r="X331" s="113"/>
      <c r="Y331" s="113"/>
      <c r="Z331" s="113"/>
      <c r="AA331" s="113"/>
      <c r="AB331" s="113"/>
      <c r="AC331" s="113"/>
      <c r="AD331" s="113"/>
      <c r="AE331" s="113"/>
      <c r="AF331" s="113"/>
      <c r="AG331" s="113"/>
      <c r="AH331" s="113"/>
      <c r="AI331" s="113"/>
      <c r="AJ331" s="113"/>
      <c r="AK331" s="113"/>
      <c r="AL331" s="113"/>
      <c r="AM331" s="113"/>
      <c r="AN331" s="113"/>
      <c r="AO331" s="113"/>
      <c r="AP331" s="113"/>
    </row>
    <row r="332" customFormat="false" ht="11.25" hidden="false" customHeight="false" outlineLevel="0" collapsed="false">
      <c r="D332" s="113"/>
      <c r="E332" s="113"/>
      <c r="F332" s="113"/>
      <c r="G332" s="113"/>
      <c r="H332" s="113"/>
      <c r="I332" s="113"/>
      <c r="J332" s="113"/>
      <c r="K332" s="113"/>
      <c r="L332" s="113"/>
      <c r="M332" s="113"/>
      <c r="N332" s="113"/>
      <c r="O332" s="113"/>
      <c r="P332" s="113"/>
      <c r="Q332" s="113"/>
      <c r="R332" s="113"/>
      <c r="S332" s="113"/>
      <c r="T332" s="113"/>
      <c r="U332" s="113"/>
      <c r="V332" s="113"/>
      <c r="W332" s="113"/>
      <c r="X332" s="113"/>
      <c r="Y332" s="113"/>
      <c r="Z332" s="113"/>
      <c r="AA332" s="113"/>
      <c r="AB332" s="113"/>
      <c r="AC332" s="113"/>
      <c r="AD332" s="113"/>
      <c r="AE332" s="113"/>
      <c r="AF332" s="113"/>
      <c r="AG332" s="113"/>
      <c r="AH332" s="113"/>
      <c r="AI332" s="113"/>
      <c r="AJ332" s="113"/>
      <c r="AK332" s="113"/>
      <c r="AL332" s="113"/>
      <c r="AM332" s="113"/>
      <c r="AN332" s="113"/>
      <c r="AO332" s="113"/>
      <c r="AP332" s="113"/>
    </row>
    <row r="333" customFormat="false" ht="11.25" hidden="false" customHeight="false" outlineLevel="0" collapsed="false">
      <c r="D333" s="113"/>
      <c r="E333" s="113"/>
      <c r="F333" s="113"/>
      <c r="G333" s="113"/>
      <c r="H333" s="113"/>
      <c r="I333" s="113"/>
      <c r="J333" s="113"/>
      <c r="K333" s="113"/>
      <c r="L333" s="113"/>
      <c r="M333" s="113"/>
      <c r="N333" s="113"/>
      <c r="O333" s="113"/>
      <c r="P333" s="113"/>
      <c r="Q333" s="113"/>
      <c r="R333" s="113"/>
      <c r="S333" s="113"/>
      <c r="T333" s="113"/>
      <c r="U333" s="113"/>
      <c r="V333" s="113"/>
      <c r="W333" s="113"/>
      <c r="X333" s="113"/>
      <c r="Y333" s="113"/>
      <c r="Z333" s="113"/>
      <c r="AA333" s="113"/>
      <c r="AB333" s="113"/>
      <c r="AC333" s="113"/>
      <c r="AD333" s="113"/>
      <c r="AE333" s="113"/>
      <c r="AF333" s="113"/>
      <c r="AG333" s="113"/>
      <c r="AH333" s="113"/>
      <c r="AI333" s="113"/>
      <c r="AJ333" s="113"/>
      <c r="AK333" s="113"/>
      <c r="AL333" s="113"/>
      <c r="AM333" s="113"/>
      <c r="AN333" s="113"/>
      <c r="AO333" s="113"/>
      <c r="AP333" s="113"/>
    </row>
    <row r="334" customFormat="false" ht="11.25" hidden="false" customHeight="false" outlineLevel="0" collapsed="false">
      <c r="D334" s="113"/>
      <c r="E334" s="113"/>
      <c r="F334" s="113"/>
      <c r="G334" s="113"/>
      <c r="H334" s="113"/>
      <c r="I334" s="113"/>
      <c r="J334" s="113"/>
      <c r="K334" s="113"/>
      <c r="L334" s="113"/>
      <c r="M334" s="113"/>
      <c r="N334" s="113"/>
      <c r="O334" s="113"/>
      <c r="P334" s="113"/>
      <c r="Q334" s="113"/>
      <c r="R334" s="113"/>
      <c r="S334" s="113"/>
      <c r="T334" s="113"/>
      <c r="U334" s="113"/>
      <c r="V334" s="113"/>
      <c r="W334" s="113"/>
      <c r="X334" s="113"/>
      <c r="Y334" s="113"/>
      <c r="Z334" s="113"/>
      <c r="AA334" s="113"/>
      <c r="AB334" s="113"/>
      <c r="AC334" s="113"/>
      <c r="AD334" s="113"/>
      <c r="AE334" s="113"/>
      <c r="AF334" s="113"/>
      <c r="AG334" s="113"/>
      <c r="AH334" s="113"/>
      <c r="AI334" s="113"/>
      <c r="AJ334" s="113"/>
      <c r="AK334" s="113"/>
      <c r="AL334" s="113"/>
      <c r="AM334" s="113"/>
      <c r="AN334" s="113"/>
      <c r="AO334" s="113"/>
      <c r="AP334" s="113"/>
    </row>
    <row r="335" customFormat="false" ht="11.25" hidden="false" customHeight="false" outlineLevel="0" collapsed="false">
      <c r="D335" s="113"/>
      <c r="E335" s="113"/>
      <c r="F335" s="113"/>
      <c r="G335" s="113"/>
      <c r="H335" s="113"/>
      <c r="I335" s="113"/>
      <c r="J335" s="113"/>
      <c r="K335" s="113"/>
      <c r="L335" s="113"/>
      <c r="M335" s="113"/>
      <c r="N335" s="113"/>
      <c r="O335" s="113"/>
      <c r="P335" s="113"/>
      <c r="Q335" s="113"/>
      <c r="R335" s="113"/>
      <c r="S335" s="113"/>
      <c r="T335" s="113"/>
      <c r="U335" s="113"/>
      <c r="V335" s="113"/>
      <c r="W335" s="113"/>
      <c r="X335" s="113"/>
      <c r="Y335" s="113"/>
      <c r="Z335" s="113"/>
      <c r="AA335" s="113"/>
      <c r="AB335" s="113"/>
      <c r="AC335" s="113"/>
      <c r="AD335" s="113"/>
      <c r="AE335" s="113"/>
      <c r="AF335" s="113"/>
      <c r="AG335" s="113"/>
      <c r="AH335" s="113"/>
      <c r="AI335" s="113"/>
      <c r="AJ335" s="113"/>
      <c r="AK335" s="113"/>
      <c r="AL335" s="113"/>
      <c r="AM335" s="113"/>
      <c r="AN335" s="113"/>
      <c r="AO335" s="113"/>
      <c r="AP335" s="113"/>
    </row>
    <row r="336" customFormat="false" ht="11.25" hidden="false" customHeight="false" outlineLevel="0" collapsed="false">
      <c r="D336" s="113"/>
      <c r="E336" s="113"/>
      <c r="F336" s="113"/>
      <c r="G336" s="113"/>
      <c r="H336" s="113"/>
      <c r="I336" s="113"/>
      <c r="J336" s="113"/>
      <c r="K336" s="113"/>
      <c r="L336" s="113"/>
      <c r="M336" s="113"/>
      <c r="N336" s="113"/>
      <c r="O336" s="113"/>
      <c r="P336" s="113"/>
      <c r="Q336" s="113"/>
      <c r="R336" s="113"/>
      <c r="S336" s="113"/>
      <c r="T336" s="113"/>
      <c r="U336" s="113"/>
      <c r="V336" s="113"/>
      <c r="W336" s="113"/>
      <c r="X336" s="113"/>
      <c r="Y336" s="113"/>
      <c r="Z336" s="113"/>
      <c r="AA336" s="113"/>
      <c r="AB336" s="113"/>
      <c r="AC336" s="113"/>
      <c r="AD336" s="113"/>
      <c r="AE336" s="113"/>
      <c r="AF336" s="113"/>
      <c r="AG336" s="113"/>
      <c r="AH336" s="113"/>
      <c r="AI336" s="113"/>
      <c r="AJ336" s="113"/>
      <c r="AK336" s="113"/>
      <c r="AL336" s="113"/>
      <c r="AM336" s="113"/>
      <c r="AN336" s="113"/>
      <c r="AO336" s="113"/>
      <c r="AP336" s="113"/>
    </row>
    <row r="337" customFormat="false" ht="11.25" hidden="false" customHeight="false" outlineLevel="0" collapsed="false">
      <c r="D337" s="113"/>
      <c r="E337" s="113"/>
      <c r="F337" s="113"/>
      <c r="G337" s="113"/>
      <c r="H337" s="113"/>
      <c r="I337" s="113"/>
      <c r="J337" s="113"/>
      <c r="K337" s="113"/>
      <c r="L337" s="113"/>
      <c r="M337" s="113"/>
      <c r="N337" s="113"/>
      <c r="O337" s="113"/>
      <c r="P337" s="113"/>
      <c r="Q337" s="113"/>
      <c r="R337" s="113"/>
      <c r="S337" s="113"/>
      <c r="T337" s="113"/>
      <c r="U337" s="113"/>
      <c r="V337" s="113"/>
      <c r="W337" s="113"/>
      <c r="X337" s="113"/>
      <c r="Y337" s="113"/>
      <c r="Z337" s="113"/>
      <c r="AA337" s="113"/>
      <c r="AB337" s="113"/>
      <c r="AC337" s="113"/>
      <c r="AD337" s="113"/>
      <c r="AE337" s="113"/>
      <c r="AF337" s="113"/>
      <c r="AG337" s="113"/>
      <c r="AH337" s="113"/>
      <c r="AI337" s="113"/>
      <c r="AJ337" s="113"/>
      <c r="AK337" s="113"/>
      <c r="AL337" s="113"/>
      <c r="AM337" s="113"/>
      <c r="AN337" s="113"/>
      <c r="AO337" s="113"/>
      <c r="AP337" s="113"/>
    </row>
    <row r="338" customFormat="false" ht="11.25" hidden="false" customHeight="false" outlineLevel="0" collapsed="false">
      <c r="D338" s="113"/>
      <c r="E338" s="113"/>
      <c r="F338" s="113"/>
      <c r="G338" s="113"/>
      <c r="H338" s="113"/>
      <c r="I338" s="113"/>
      <c r="J338" s="113"/>
      <c r="K338" s="113"/>
      <c r="L338" s="113"/>
      <c r="M338" s="113"/>
      <c r="N338" s="113"/>
      <c r="O338" s="113"/>
      <c r="P338" s="113"/>
      <c r="Q338" s="113"/>
      <c r="R338" s="113"/>
      <c r="S338" s="113"/>
      <c r="T338" s="113"/>
      <c r="U338" s="113"/>
      <c r="V338" s="113"/>
      <c r="W338" s="113"/>
      <c r="X338" s="113"/>
      <c r="Y338" s="113"/>
      <c r="Z338" s="113"/>
      <c r="AA338" s="113"/>
      <c r="AB338" s="113"/>
      <c r="AC338" s="113"/>
      <c r="AD338" s="113"/>
      <c r="AE338" s="113"/>
      <c r="AF338" s="113"/>
      <c r="AG338" s="113"/>
      <c r="AH338" s="113"/>
      <c r="AI338" s="113"/>
      <c r="AJ338" s="113"/>
      <c r="AK338" s="113"/>
      <c r="AL338" s="113"/>
      <c r="AM338" s="113"/>
      <c r="AN338" s="113"/>
      <c r="AO338" s="113"/>
      <c r="AP338" s="113"/>
    </row>
    <row r="339" customFormat="false" ht="11.25" hidden="false" customHeight="false" outlineLevel="0" collapsed="false">
      <c r="D339" s="113"/>
      <c r="E339" s="113"/>
      <c r="F339" s="113"/>
      <c r="G339" s="113"/>
      <c r="H339" s="113"/>
      <c r="I339" s="113"/>
      <c r="J339" s="113"/>
      <c r="K339" s="113"/>
      <c r="L339" s="113"/>
      <c r="M339" s="113"/>
      <c r="N339" s="113"/>
      <c r="O339" s="113"/>
      <c r="P339" s="113"/>
      <c r="Q339" s="113"/>
      <c r="R339" s="113"/>
      <c r="S339" s="113"/>
      <c r="T339" s="113"/>
      <c r="U339" s="113"/>
      <c r="V339" s="113"/>
      <c r="W339" s="113"/>
      <c r="X339" s="113"/>
      <c r="Y339" s="113"/>
      <c r="Z339" s="113"/>
      <c r="AA339" s="113"/>
      <c r="AB339" s="113"/>
      <c r="AC339" s="113"/>
      <c r="AD339" s="113"/>
      <c r="AE339" s="113"/>
      <c r="AF339" s="113"/>
      <c r="AG339" s="113"/>
      <c r="AH339" s="113"/>
      <c r="AI339" s="113"/>
      <c r="AJ339" s="113"/>
      <c r="AK339" s="113"/>
      <c r="AL339" s="113"/>
      <c r="AM339" s="113"/>
      <c r="AN339" s="113"/>
      <c r="AO339" s="113"/>
      <c r="AP339" s="113"/>
    </row>
    <row r="340" customFormat="false" ht="11.25" hidden="false" customHeight="false" outlineLevel="0" collapsed="false">
      <c r="D340" s="113"/>
      <c r="E340" s="113"/>
      <c r="F340" s="113"/>
      <c r="G340" s="113"/>
      <c r="H340" s="113"/>
      <c r="I340" s="113"/>
      <c r="J340" s="113"/>
      <c r="K340" s="113"/>
      <c r="L340" s="113"/>
      <c r="M340" s="113"/>
      <c r="N340" s="113"/>
      <c r="O340" s="113"/>
      <c r="P340" s="113"/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  <c r="AA340" s="113"/>
      <c r="AB340" s="113"/>
      <c r="AC340" s="113"/>
      <c r="AD340" s="113"/>
      <c r="AE340" s="113"/>
      <c r="AF340" s="113"/>
      <c r="AG340" s="113"/>
      <c r="AH340" s="113"/>
      <c r="AI340" s="113"/>
      <c r="AJ340" s="113"/>
      <c r="AK340" s="113"/>
      <c r="AL340" s="113"/>
      <c r="AM340" s="113"/>
      <c r="AN340" s="113"/>
      <c r="AO340" s="113"/>
      <c r="AP340" s="113"/>
    </row>
    <row r="341" customFormat="false" ht="11.25" hidden="false" customHeight="false" outlineLevel="0" collapsed="false">
      <c r="D341" s="113"/>
      <c r="E341" s="113"/>
      <c r="F341" s="113"/>
      <c r="G341" s="113"/>
      <c r="H341" s="113"/>
      <c r="I341" s="113"/>
      <c r="J341" s="113"/>
      <c r="K341" s="113"/>
      <c r="L341" s="113"/>
      <c r="M341" s="113"/>
      <c r="N341" s="113"/>
      <c r="O341" s="113"/>
      <c r="P341" s="113"/>
      <c r="Q341" s="113"/>
      <c r="R341" s="113"/>
      <c r="S341" s="113"/>
      <c r="T341" s="113"/>
      <c r="U341" s="113"/>
      <c r="V341" s="113"/>
      <c r="W341" s="113"/>
      <c r="X341" s="113"/>
      <c r="Y341" s="113"/>
      <c r="Z341" s="113"/>
      <c r="AA341" s="113"/>
      <c r="AB341" s="113"/>
      <c r="AC341" s="113"/>
      <c r="AD341" s="113"/>
      <c r="AE341" s="113"/>
      <c r="AF341" s="113"/>
      <c r="AG341" s="113"/>
      <c r="AH341" s="113"/>
      <c r="AI341" s="113"/>
      <c r="AJ341" s="113"/>
      <c r="AK341" s="113"/>
      <c r="AL341" s="113"/>
      <c r="AM341" s="113"/>
      <c r="AN341" s="113"/>
      <c r="AO341" s="113"/>
      <c r="AP341" s="113"/>
    </row>
    <row r="342" customFormat="false" ht="11.25" hidden="false" customHeight="false" outlineLevel="0" collapsed="false">
      <c r="D342" s="113"/>
      <c r="E342" s="113"/>
      <c r="F342" s="113"/>
      <c r="G342" s="113"/>
      <c r="H342" s="113"/>
      <c r="I342" s="113"/>
      <c r="J342" s="113"/>
      <c r="K342" s="113"/>
      <c r="L342" s="113"/>
      <c r="M342" s="113"/>
      <c r="N342" s="113"/>
      <c r="O342" s="113"/>
      <c r="P342" s="113"/>
      <c r="Q342" s="113"/>
      <c r="R342" s="113"/>
      <c r="S342" s="113"/>
      <c r="T342" s="113"/>
      <c r="U342" s="113"/>
      <c r="V342" s="113"/>
      <c r="W342" s="113"/>
      <c r="X342" s="113"/>
      <c r="Y342" s="113"/>
      <c r="Z342" s="113"/>
      <c r="AA342" s="113"/>
      <c r="AB342" s="113"/>
      <c r="AC342" s="113"/>
      <c r="AD342" s="113"/>
      <c r="AE342" s="113"/>
      <c r="AF342" s="113"/>
      <c r="AG342" s="113"/>
      <c r="AH342" s="113"/>
      <c r="AI342" s="113"/>
      <c r="AJ342" s="113"/>
      <c r="AK342" s="113"/>
      <c r="AL342" s="113"/>
      <c r="AM342" s="113"/>
      <c r="AN342" s="113"/>
      <c r="AO342" s="113"/>
      <c r="AP342" s="113"/>
    </row>
    <row r="343" customFormat="false" ht="11.25" hidden="false" customHeight="false" outlineLevel="0" collapsed="false">
      <c r="D343" s="113"/>
      <c r="E343" s="113"/>
      <c r="F343" s="113"/>
      <c r="G343" s="113"/>
      <c r="H343" s="113"/>
      <c r="I343" s="113"/>
      <c r="J343" s="113"/>
      <c r="K343" s="113"/>
      <c r="L343" s="113"/>
      <c r="M343" s="113"/>
      <c r="N343" s="113"/>
      <c r="O343" s="113"/>
      <c r="P343" s="113"/>
      <c r="Q343" s="113"/>
      <c r="R343" s="113"/>
      <c r="S343" s="113"/>
      <c r="T343" s="113"/>
      <c r="U343" s="113"/>
      <c r="V343" s="113"/>
      <c r="W343" s="113"/>
      <c r="X343" s="113"/>
      <c r="Y343" s="113"/>
      <c r="Z343" s="113"/>
      <c r="AA343" s="113"/>
      <c r="AB343" s="113"/>
      <c r="AC343" s="113"/>
      <c r="AD343" s="113"/>
      <c r="AE343" s="113"/>
      <c r="AF343" s="113"/>
      <c r="AG343" s="113"/>
      <c r="AH343" s="113"/>
      <c r="AI343" s="113"/>
      <c r="AJ343" s="113"/>
      <c r="AK343" s="113"/>
      <c r="AL343" s="113"/>
      <c r="AM343" s="113"/>
      <c r="AN343" s="113"/>
      <c r="AO343" s="113"/>
      <c r="AP343" s="113"/>
    </row>
    <row r="344" customFormat="false" ht="11.25" hidden="false" customHeight="false" outlineLevel="0" collapsed="false">
      <c r="D344" s="113"/>
      <c r="E344" s="113"/>
      <c r="F344" s="113"/>
      <c r="G344" s="113"/>
      <c r="H344" s="113"/>
      <c r="I344" s="113"/>
      <c r="J344" s="113"/>
      <c r="K344" s="113"/>
      <c r="L344" s="113"/>
      <c r="M344" s="113"/>
      <c r="N344" s="113"/>
      <c r="O344" s="113"/>
      <c r="P344" s="113"/>
      <c r="Q344" s="113"/>
      <c r="R344" s="113"/>
      <c r="S344" s="113"/>
      <c r="T344" s="113"/>
      <c r="U344" s="113"/>
      <c r="V344" s="113"/>
      <c r="W344" s="113"/>
      <c r="X344" s="113"/>
      <c r="Y344" s="113"/>
      <c r="Z344" s="113"/>
      <c r="AA344" s="113"/>
      <c r="AB344" s="113"/>
      <c r="AC344" s="113"/>
      <c r="AD344" s="113"/>
      <c r="AE344" s="113"/>
      <c r="AF344" s="113"/>
      <c r="AG344" s="113"/>
      <c r="AH344" s="113"/>
      <c r="AI344" s="113"/>
      <c r="AJ344" s="113"/>
      <c r="AK344" s="113"/>
      <c r="AL344" s="113"/>
      <c r="AM344" s="113"/>
      <c r="AN344" s="113"/>
      <c r="AO344" s="113"/>
      <c r="AP344" s="113"/>
    </row>
    <row r="345" customFormat="false" ht="11.25" hidden="false" customHeight="false" outlineLevel="0" collapsed="false">
      <c r="D345" s="113"/>
      <c r="E345" s="113"/>
      <c r="F345" s="113"/>
      <c r="G345" s="113"/>
      <c r="H345" s="113"/>
      <c r="I345" s="113"/>
      <c r="J345" s="113"/>
      <c r="K345" s="113"/>
      <c r="L345" s="113"/>
      <c r="M345" s="113"/>
      <c r="N345" s="113"/>
      <c r="O345" s="113"/>
      <c r="P345" s="113"/>
      <c r="Q345" s="113"/>
      <c r="R345" s="113"/>
      <c r="S345" s="113"/>
      <c r="T345" s="113"/>
      <c r="U345" s="113"/>
      <c r="V345" s="113"/>
      <c r="W345" s="113"/>
      <c r="X345" s="113"/>
      <c r="Y345" s="113"/>
      <c r="Z345" s="113"/>
      <c r="AA345" s="113"/>
      <c r="AB345" s="113"/>
      <c r="AC345" s="113"/>
      <c r="AD345" s="113"/>
      <c r="AE345" s="113"/>
      <c r="AF345" s="113"/>
      <c r="AG345" s="113"/>
      <c r="AH345" s="113"/>
      <c r="AI345" s="113"/>
      <c r="AJ345" s="113"/>
      <c r="AK345" s="113"/>
      <c r="AL345" s="113"/>
      <c r="AM345" s="113"/>
      <c r="AN345" s="113"/>
      <c r="AO345" s="113"/>
      <c r="AP345" s="113"/>
    </row>
    <row r="346" customFormat="false" ht="11.25" hidden="false" customHeight="false" outlineLevel="0" collapsed="false">
      <c r="D346" s="113"/>
      <c r="E346" s="113"/>
      <c r="F346" s="113"/>
      <c r="G346" s="113"/>
      <c r="H346" s="113"/>
      <c r="I346" s="113"/>
      <c r="J346" s="113"/>
      <c r="K346" s="113"/>
      <c r="L346" s="113"/>
      <c r="M346" s="113"/>
      <c r="N346" s="113"/>
      <c r="O346" s="113"/>
      <c r="P346" s="113"/>
      <c r="Q346" s="113"/>
      <c r="R346" s="113"/>
      <c r="S346" s="113"/>
      <c r="T346" s="113"/>
      <c r="U346" s="113"/>
      <c r="V346" s="113"/>
      <c r="W346" s="113"/>
      <c r="X346" s="113"/>
      <c r="Y346" s="113"/>
      <c r="Z346" s="113"/>
      <c r="AA346" s="113"/>
      <c r="AB346" s="113"/>
      <c r="AC346" s="113"/>
      <c r="AD346" s="113"/>
      <c r="AE346" s="113"/>
      <c r="AF346" s="113"/>
      <c r="AG346" s="113"/>
      <c r="AH346" s="113"/>
      <c r="AI346" s="113"/>
      <c r="AJ346" s="113"/>
      <c r="AK346" s="113"/>
      <c r="AL346" s="113"/>
      <c r="AM346" s="113"/>
      <c r="AN346" s="113"/>
      <c r="AO346" s="113"/>
      <c r="AP346" s="113"/>
    </row>
    <row r="347" customFormat="false" ht="11.25" hidden="false" customHeight="false" outlineLevel="0" collapsed="false">
      <c r="D347" s="113"/>
      <c r="E347" s="113"/>
      <c r="F347" s="113"/>
      <c r="G347" s="113"/>
      <c r="H347" s="113"/>
      <c r="I347" s="113"/>
      <c r="J347" s="113"/>
      <c r="K347" s="113"/>
      <c r="L347" s="113"/>
      <c r="M347" s="113"/>
      <c r="N347" s="113"/>
      <c r="O347" s="113"/>
      <c r="P347" s="113"/>
      <c r="Q347" s="113"/>
      <c r="R347" s="113"/>
      <c r="S347" s="113"/>
      <c r="T347" s="113"/>
      <c r="U347" s="113"/>
      <c r="V347" s="113"/>
      <c r="W347" s="113"/>
      <c r="X347" s="113"/>
      <c r="Y347" s="113"/>
      <c r="Z347" s="113"/>
      <c r="AA347" s="113"/>
      <c r="AB347" s="113"/>
      <c r="AC347" s="113"/>
      <c r="AD347" s="113"/>
      <c r="AE347" s="113"/>
      <c r="AF347" s="113"/>
      <c r="AG347" s="113"/>
      <c r="AH347" s="113"/>
      <c r="AI347" s="113"/>
      <c r="AJ347" s="113"/>
      <c r="AK347" s="113"/>
      <c r="AL347" s="113"/>
      <c r="AM347" s="113"/>
      <c r="AN347" s="113"/>
      <c r="AO347" s="113"/>
      <c r="AP347" s="113"/>
    </row>
    <row r="348" customFormat="false" ht="11.25" hidden="false" customHeight="false" outlineLevel="0" collapsed="false">
      <c r="D348" s="113"/>
      <c r="E348" s="113"/>
      <c r="F348" s="113"/>
      <c r="G348" s="113"/>
      <c r="H348" s="113"/>
      <c r="I348" s="113"/>
      <c r="J348" s="113"/>
      <c r="K348" s="113"/>
      <c r="L348" s="113"/>
      <c r="M348" s="113"/>
      <c r="N348" s="113"/>
      <c r="O348" s="113"/>
      <c r="P348" s="113"/>
      <c r="Q348" s="113"/>
      <c r="R348" s="113"/>
      <c r="S348" s="113"/>
      <c r="T348" s="113"/>
      <c r="U348" s="113"/>
      <c r="V348" s="113"/>
      <c r="W348" s="113"/>
      <c r="X348" s="113"/>
      <c r="Y348" s="113"/>
      <c r="Z348" s="113"/>
      <c r="AA348" s="113"/>
      <c r="AB348" s="113"/>
      <c r="AC348" s="113"/>
      <c r="AD348" s="113"/>
      <c r="AE348" s="113"/>
      <c r="AF348" s="113"/>
      <c r="AG348" s="113"/>
      <c r="AH348" s="113"/>
      <c r="AI348" s="113"/>
      <c r="AJ348" s="113"/>
      <c r="AK348" s="113"/>
      <c r="AL348" s="113"/>
      <c r="AM348" s="113"/>
      <c r="AN348" s="113"/>
      <c r="AO348" s="113"/>
      <c r="AP348" s="113"/>
    </row>
    <row r="349" customFormat="false" ht="11.25" hidden="false" customHeight="false" outlineLevel="0" collapsed="false">
      <c r="D349" s="113"/>
      <c r="E349" s="113"/>
      <c r="F349" s="113"/>
      <c r="G349" s="113"/>
      <c r="H349" s="113"/>
      <c r="I349" s="113"/>
      <c r="J349" s="113"/>
      <c r="K349" s="113"/>
      <c r="L349" s="113"/>
      <c r="M349" s="113"/>
      <c r="N349" s="113"/>
      <c r="O349" s="113"/>
      <c r="P349" s="113"/>
      <c r="Q349" s="113"/>
      <c r="R349" s="113"/>
      <c r="S349" s="113"/>
      <c r="T349" s="113"/>
      <c r="U349" s="113"/>
      <c r="V349" s="113"/>
      <c r="W349" s="113"/>
      <c r="X349" s="113"/>
      <c r="Y349" s="113"/>
      <c r="Z349" s="113"/>
      <c r="AA349" s="113"/>
      <c r="AB349" s="113"/>
      <c r="AC349" s="113"/>
      <c r="AD349" s="113"/>
      <c r="AE349" s="113"/>
      <c r="AF349" s="113"/>
      <c r="AG349" s="113"/>
      <c r="AH349" s="113"/>
      <c r="AI349" s="113"/>
      <c r="AJ349" s="113"/>
      <c r="AK349" s="113"/>
      <c r="AL349" s="113"/>
      <c r="AM349" s="113"/>
      <c r="AN349" s="113"/>
      <c r="AO349" s="113"/>
      <c r="AP349" s="113"/>
    </row>
    <row r="350" customFormat="false" ht="11.25" hidden="false" customHeight="false" outlineLevel="0" collapsed="false">
      <c r="D350" s="113"/>
      <c r="E350" s="113"/>
      <c r="F350" s="113"/>
      <c r="G350" s="113"/>
      <c r="H350" s="113"/>
      <c r="I350" s="113"/>
      <c r="J350" s="113"/>
      <c r="K350" s="113"/>
      <c r="L350" s="113"/>
      <c r="M350" s="113"/>
      <c r="N350" s="113"/>
      <c r="O350" s="113"/>
      <c r="P350" s="113"/>
      <c r="Q350" s="113"/>
      <c r="R350" s="113"/>
      <c r="S350" s="113"/>
      <c r="T350" s="113"/>
      <c r="U350" s="113"/>
      <c r="V350" s="113"/>
      <c r="W350" s="113"/>
      <c r="X350" s="113"/>
      <c r="Y350" s="113"/>
      <c r="Z350" s="113"/>
      <c r="AA350" s="113"/>
      <c r="AB350" s="113"/>
      <c r="AC350" s="113"/>
      <c r="AD350" s="113"/>
      <c r="AE350" s="113"/>
      <c r="AF350" s="113"/>
      <c r="AG350" s="113"/>
      <c r="AH350" s="113"/>
      <c r="AI350" s="113"/>
      <c r="AJ350" s="113"/>
      <c r="AK350" s="113"/>
      <c r="AL350" s="113"/>
      <c r="AM350" s="113"/>
      <c r="AN350" s="113"/>
      <c r="AO350" s="113"/>
      <c r="AP350" s="113"/>
    </row>
    <row r="351" customFormat="false" ht="11.25" hidden="false" customHeight="false" outlineLevel="0" collapsed="false">
      <c r="D351" s="113"/>
      <c r="E351" s="113"/>
      <c r="F351" s="113"/>
      <c r="G351" s="113"/>
      <c r="H351" s="113"/>
      <c r="I351" s="113"/>
      <c r="J351" s="113"/>
      <c r="K351" s="113"/>
      <c r="L351" s="113"/>
      <c r="M351" s="113"/>
      <c r="N351" s="113"/>
      <c r="O351" s="113"/>
      <c r="P351" s="113"/>
      <c r="Q351" s="113"/>
      <c r="R351" s="113"/>
      <c r="S351" s="113"/>
      <c r="T351" s="113"/>
      <c r="U351" s="113"/>
      <c r="V351" s="113"/>
      <c r="W351" s="113"/>
      <c r="X351" s="113"/>
      <c r="Y351" s="113"/>
      <c r="Z351" s="113"/>
      <c r="AA351" s="113"/>
      <c r="AB351" s="113"/>
      <c r="AC351" s="113"/>
      <c r="AD351" s="113"/>
      <c r="AE351" s="113"/>
      <c r="AF351" s="113"/>
      <c r="AG351" s="113"/>
      <c r="AH351" s="113"/>
      <c r="AI351" s="113"/>
      <c r="AJ351" s="113"/>
      <c r="AK351" s="113"/>
      <c r="AL351" s="113"/>
      <c r="AM351" s="113"/>
      <c r="AN351" s="113"/>
      <c r="AO351" s="113"/>
      <c r="AP351" s="113"/>
    </row>
    <row r="352" customFormat="false" ht="11.25" hidden="false" customHeight="false" outlineLevel="0" collapsed="false">
      <c r="D352" s="113"/>
      <c r="E352" s="113"/>
      <c r="F352" s="113"/>
      <c r="G352" s="113"/>
      <c r="H352" s="113"/>
      <c r="I352" s="113"/>
      <c r="J352" s="113"/>
      <c r="K352" s="113"/>
      <c r="L352" s="113"/>
      <c r="M352" s="113"/>
      <c r="N352" s="113"/>
      <c r="O352" s="113"/>
      <c r="P352" s="113"/>
      <c r="Q352" s="113"/>
      <c r="R352" s="113"/>
      <c r="S352" s="113"/>
      <c r="T352" s="113"/>
      <c r="U352" s="113"/>
      <c r="V352" s="113"/>
      <c r="W352" s="113"/>
      <c r="X352" s="113"/>
      <c r="Y352" s="113"/>
      <c r="Z352" s="113"/>
      <c r="AA352" s="113"/>
      <c r="AB352" s="113"/>
      <c r="AC352" s="113"/>
      <c r="AD352" s="113"/>
      <c r="AE352" s="113"/>
      <c r="AF352" s="113"/>
      <c r="AG352" s="113"/>
      <c r="AH352" s="113"/>
      <c r="AI352" s="113"/>
      <c r="AJ352" s="113"/>
      <c r="AK352" s="113"/>
      <c r="AL352" s="113"/>
      <c r="AM352" s="113"/>
      <c r="AN352" s="113"/>
      <c r="AO352" s="113"/>
      <c r="AP352" s="113"/>
    </row>
    <row r="353" customFormat="false" ht="11.25" hidden="false" customHeight="false" outlineLevel="0" collapsed="false">
      <c r="D353" s="113"/>
      <c r="E353" s="113"/>
      <c r="F353" s="113"/>
      <c r="G353" s="113"/>
      <c r="H353" s="113"/>
      <c r="I353" s="113"/>
      <c r="J353" s="113"/>
      <c r="K353" s="113"/>
      <c r="L353" s="113"/>
      <c r="M353" s="113"/>
      <c r="N353" s="113"/>
      <c r="O353" s="113"/>
      <c r="P353" s="113"/>
      <c r="Q353" s="113"/>
      <c r="R353" s="113"/>
      <c r="S353" s="113"/>
      <c r="T353" s="113"/>
      <c r="U353" s="113"/>
      <c r="V353" s="113"/>
      <c r="W353" s="113"/>
      <c r="X353" s="113"/>
      <c r="Y353" s="113"/>
      <c r="Z353" s="113"/>
      <c r="AA353" s="113"/>
      <c r="AB353" s="113"/>
      <c r="AC353" s="113"/>
      <c r="AD353" s="113"/>
      <c r="AE353" s="113"/>
      <c r="AF353" s="113"/>
      <c r="AG353" s="113"/>
      <c r="AH353" s="113"/>
      <c r="AI353" s="113"/>
      <c r="AJ353" s="113"/>
      <c r="AK353" s="113"/>
      <c r="AL353" s="113"/>
      <c r="AM353" s="113"/>
      <c r="AN353" s="113"/>
      <c r="AO353" s="113"/>
      <c r="AP353" s="113"/>
    </row>
    <row r="354" customFormat="false" ht="11.25" hidden="false" customHeight="false" outlineLevel="0" collapsed="false">
      <c r="D354" s="113"/>
      <c r="E354" s="113"/>
      <c r="F354" s="113"/>
      <c r="G354" s="113"/>
      <c r="H354" s="113"/>
      <c r="I354" s="113"/>
      <c r="J354" s="113"/>
      <c r="K354" s="113"/>
      <c r="L354" s="113"/>
      <c r="M354" s="113"/>
      <c r="N354" s="113"/>
      <c r="O354" s="113"/>
      <c r="P354" s="113"/>
      <c r="Q354" s="113"/>
      <c r="R354" s="113"/>
      <c r="S354" s="113"/>
      <c r="T354" s="113"/>
      <c r="U354" s="113"/>
      <c r="V354" s="113"/>
      <c r="W354" s="113"/>
      <c r="X354" s="113"/>
      <c r="Y354" s="113"/>
      <c r="Z354" s="113"/>
      <c r="AA354" s="113"/>
      <c r="AB354" s="113"/>
      <c r="AC354" s="113"/>
      <c r="AD354" s="113"/>
      <c r="AE354" s="113"/>
      <c r="AF354" s="113"/>
      <c r="AG354" s="113"/>
      <c r="AH354" s="113"/>
      <c r="AI354" s="113"/>
      <c r="AJ354" s="113"/>
      <c r="AK354" s="113"/>
      <c r="AL354" s="113"/>
      <c r="AM354" s="113"/>
      <c r="AN354" s="113"/>
      <c r="AO354" s="113"/>
      <c r="AP354" s="113"/>
    </row>
    <row r="355" customFormat="false" ht="11.25" hidden="false" customHeight="false" outlineLevel="0" collapsed="false">
      <c r="D355" s="113"/>
      <c r="E355" s="113"/>
      <c r="F355" s="113"/>
      <c r="G355" s="113"/>
      <c r="H355" s="113"/>
      <c r="I355" s="113"/>
      <c r="J355" s="113"/>
      <c r="K355" s="113"/>
      <c r="L355" s="113"/>
      <c r="M355" s="113"/>
      <c r="N355" s="113"/>
      <c r="O355" s="113"/>
      <c r="P355" s="113"/>
      <c r="Q355" s="113"/>
      <c r="R355" s="113"/>
      <c r="S355" s="113"/>
      <c r="T355" s="113"/>
      <c r="U355" s="113"/>
      <c r="V355" s="113"/>
      <c r="W355" s="113"/>
      <c r="X355" s="113"/>
      <c r="Y355" s="113"/>
      <c r="Z355" s="113"/>
      <c r="AA355" s="113"/>
      <c r="AB355" s="113"/>
      <c r="AC355" s="113"/>
      <c r="AD355" s="113"/>
      <c r="AE355" s="113"/>
      <c r="AF355" s="113"/>
      <c r="AG355" s="113"/>
      <c r="AH355" s="113"/>
      <c r="AI355" s="113"/>
      <c r="AJ355" s="113"/>
      <c r="AK355" s="113"/>
      <c r="AL355" s="113"/>
      <c r="AM355" s="113"/>
      <c r="AN355" s="113"/>
      <c r="AO355" s="113"/>
      <c r="AP355" s="113"/>
    </row>
    <row r="356" customFormat="false" ht="11.25" hidden="false" customHeight="false" outlineLevel="0" collapsed="false">
      <c r="D356" s="113"/>
      <c r="E356" s="113"/>
      <c r="F356" s="113"/>
      <c r="G356" s="113"/>
      <c r="H356" s="113"/>
      <c r="I356" s="113"/>
      <c r="J356" s="113"/>
      <c r="K356" s="113"/>
      <c r="L356" s="113"/>
      <c r="M356" s="113"/>
      <c r="N356" s="113"/>
      <c r="O356" s="113"/>
      <c r="P356" s="113"/>
      <c r="Q356" s="113"/>
      <c r="R356" s="113"/>
      <c r="S356" s="113"/>
      <c r="T356" s="113"/>
      <c r="U356" s="113"/>
      <c r="V356" s="113"/>
      <c r="W356" s="113"/>
      <c r="X356" s="113"/>
      <c r="Y356" s="113"/>
      <c r="Z356" s="113"/>
      <c r="AA356" s="113"/>
      <c r="AB356" s="113"/>
      <c r="AC356" s="113"/>
      <c r="AD356" s="113"/>
      <c r="AE356" s="113"/>
      <c r="AF356" s="113"/>
      <c r="AG356" s="113"/>
      <c r="AH356" s="113"/>
      <c r="AI356" s="113"/>
      <c r="AJ356" s="113"/>
      <c r="AK356" s="113"/>
      <c r="AL356" s="113"/>
      <c r="AM356" s="113"/>
      <c r="AN356" s="113"/>
      <c r="AO356" s="113"/>
      <c r="AP356" s="113"/>
    </row>
    <row r="357" customFormat="false" ht="11.25" hidden="false" customHeight="false" outlineLevel="0" collapsed="false">
      <c r="D357" s="113"/>
      <c r="E357" s="113"/>
      <c r="F357" s="113"/>
      <c r="G357" s="113"/>
      <c r="H357" s="113"/>
      <c r="I357" s="113"/>
      <c r="J357" s="113"/>
      <c r="K357" s="113"/>
      <c r="L357" s="113"/>
      <c r="M357" s="113"/>
      <c r="N357" s="113"/>
      <c r="O357" s="113"/>
      <c r="P357" s="113"/>
      <c r="Q357" s="113"/>
      <c r="R357" s="113"/>
      <c r="S357" s="113"/>
      <c r="T357" s="113"/>
      <c r="U357" s="113"/>
      <c r="V357" s="113"/>
      <c r="W357" s="113"/>
      <c r="X357" s="113"/>
      <c r="Y357" s="113"/>
      <c r="Z357" s="113"/>
      <c r="AA357" s="113"/>
      <c r="AB357" s="113"/>
      <c r="AC357" s="113"/>
      <c r="AD357" s="113"/>
      <c r="AE357" s="113"/>
      <c r="AF357" s="113"/>
      <c r="AG357" s="113"/>
      <c r="AH357" s="113"/>
      <c r="AI357" s="113"/>
      <c r="AJ357" s="113"/>
      <c r="AK357" s="113"/>
      <c r="AL357" s="113"/>
      <c r="AM357" s="113"/>
      <c r="AN357" s="113"/>
      <c r="AO357" s="113"/>
      <c r="AP357" s="113"/>
    </row>
    <row r="358" customFormat="false" ht="11.25" hidden="false" customHeight="false" outlineLevel="0" collapsed="false">
      <c r="D358" s="113"/>
      <c r="E358" s="113"/>
      <c r="F358" s="113"/>
      <c r="G358" s="113"/>
      <c r="H358" s="113"/>
      <c r="I358" s="113"/>
      <c r="J358" s="113"/>
      <c r="K358" s="113"/>
      <c r="L358" s="113"/>
      <c r="M358" s="113"/>
      <c r="N358" s="113"/>
      <c r="O358" s="113"/>
      <c r="P358" s="113"/>
      <c r="Q358" s="113"/>
      <c r="R358" s="113"/>
      <c r="S358" s="113"/>
      <c r="T358" s="113"/>
      <c r="U358" s="113"/>
      <c r="V358" s="113"/>
      <c r="W358" s="113"/>
      <c r="X358" s="113"/>
      <c r="Y358" s="113"/>
      <c r="Z358" s="113"/>
      <c r="AA358" s="113"/>
      <c r="AB358" s="113"/>
      <c r="AC358" s="113"/>
      <c r="AD358" s="113"/>
      <c r="AE358" s="113"/>
      <c r="AF358" s="113"/>
      <c r="AG358" s="113"/>
      <c r="AH358" s="113"/>
      <c r="AI358" s="113"/>
      <c r="AJ358" s="113"/>
      <c r="AK358" s="113"/>
      <c r="AL358" s="113"/>
      <c r="AM358" s="113"/>
      <c r="AN358" s="113"/>
      <c r="AO358" s="113"/>
      <c r="AP358" s="113"/>
    </row>
    <row r="359" customFormat="false" ht="11.25" hidden="false" customHeight="false" outlineLevel="0" collapsed="false">
      <c r="D359" s="113"/>
      <c r="E359" s="113"/>
      <c r="F359" s="113"/>
      <c r="G359" s="113"/>
      <c r="H359" s="113"/>
      <c r="I359" s="113"/>
      <c r="J359" s="113"/>
      <c r="K359" s="113"/>
      <c r="L359" s="113"/>
      <c r="M359" s="113"/>
      <c r="N359" s="113"/>
      <c r="O359" s="113"/>
      <c r="P359" s="113"/>
      <c r="Q359" s="113"/>
      <c r="R359" s="113"/>
      <c r="S359" s="113"/>
      <c r="T359" s="113"/>
      <c r="U359" s="113"/>
      <c r="V359" s="113"/>
      <c r="W359" s="113"/>
      <c r="X359" s="113"/>
      <c r="Y359" s="113"/>
      <c r="Z359" s="113"/>
      <c r="AA359" s="113"/>
      <c r="AB359" s="113"/>
      <c r="AC359" s="113"/>
      <c r="AD359" s="113"/>
      <c r="AE359" s="113"/>
      <c r="AF359" s="113"/>
      <c r="AG359" s="113"/>
      <c r="AH359" s="113"/>
      <c r="AI359" s="113"/>
      <c r="AJ359" s="113"/>
      <c r="AK359" s="113"/>
      <c r="AL359" s="113"/>
      <c r="AM359" s="113"/>
      <c r="AN359" s="113"/>
      <c r="AO359" s="113"/>
      <c r="AP359" s="113"/>
    </row>
    <row r="360" customFormat="false" ht="11.25" hidden="false" customHeight="false" outlineLevel="0" collapsed="false">
      <c r="D360" s="113"/>
      <c r="E360" s="113"/>
      <c r="F360" s="113"/>
      <c r="G360" s="113"/>
      <c r="H360" s="113"/>
      <c r="I360" s="113"/>
      <c r="J360" s="113"/>
      <c r="K360" s="113"/>
      <c r="L360" s="113"/>
      <c r="M360" s="113"/>
      <c r="N360" s="113"/>
      <c r="O360" s="113"/>
      <c r="P360" s="113"/>
      <c r="Q360" s="113"/>
      <c r="R360" s="113"/>
      <c r="S360" s="113"/>
      <c r="T360" s="113"/>
      <c r="U360" s="113"/>
      <c r="V360" s="113"/>
      <c r="W360" s="113"/>
      <c r="X360" s="113"/>
      <c r="Y360" s="113"/>
      <c r="Z360" s="113"/>
      <c r="AA360" s="113"/>
      <c r="AB360" s="113"/>
      <c r="AC360" s="113"/>
      <c r="AD360" s="113"/>
      <c r="AE360" s="113"/>
      <c r="AF360" s="113"/>
      <c r="AG360" s="113"/>
      <c r="AH360" s="113"/>
      <c r="AI360" s="113"/>
      <c r="AJ360" s="113"/>
      <c r="AK360" s="113"/>
      <c r="AL360" s="113"/>
      <c r="AM360" s="113"/>
      <c r="AN360" s="113"/>
      <c r="AO360" s="113"/>
      <c r="AP360" s="113"/>
    </row>
    <row r="361" customFormat="false" ht="11.25" hidden="false" customHeight="false" outlineLevel="0" collapsed="false">
      <c r="D361" s="113"/>
      <c r="E361" s="113"/>
      <c r="F361" s="113"/>
      <c r="G361" s="113"/>
      <c r="H361" s="113"/>
      <c r="I361" s="113"/>
      <c r="J361" s="113"/>
      <c r="K361" s="113"/>
      <c r="L361" s="113"/>
      <c r="M361" s="113"/>
      <c r="N361" s="113"/>
      <c r="O361" s="113"/>
      <c r="P361" s="113"/>
      <c r="Q361" s="113"/>
      <c r="R361" s="113"/>
      <c r="S361" s="113"/>
      <c r="T361" s="113"/>
      <c r="U361" s="113"/>
      <c r="V361" s="113"/>
      <c r="W361" s="113"/>
      <c r="X361" s="113"/>
      <c r="Y361" s="113"/>
      <c r="Z361" s="113"/>
      <c r="AA361" s="113"/>
      <c r="AB361" s="113"/>
      <c r="AC361" s="113"/>
      <c r="AD361" s="113"/>
      <c r="AE361" s="113"/>
      <c r="AF361" s="113"/>
      <c r="AG361" s="113"/>
      <c r="AH361" s="113"/>
      <c r="AI361" s="113"/>
      <c r="AJ361" s="113"/>
      <c r="AK361" s="113"/>
      <c r="AL361" s="113"/>
      <c r="AM361" s="113"/>
      <c r="AN361" s="113"/>
      <c r="AO361" s="113"/>
      <c r="AP361" s="113"/>
    </row>
    <row r="362" customFormat="false" ht="11.25" hidden="false" customHeight="false" outlineLevel="0" collapsed="false">
      <c r="D362" s="113"/>
      <c r="E362" s="113"/>
      <c r="F362" s="113"/>
      <c r="G362" s="113"/>
      <c r="H362" s="113"/>
      <c r="I362" s="113"/>
      <c r="J362" s="113"/>
      <c r="K362" s="113"/>
      <c r="L362" s="113"/>
      <c r="M362" s="113"/>
      <c r="N362" s="113"/>
      <c r="O362" s="113"/>
      <c r="P362" s="113"/>
      <c r="Q362" s="113"/>
      <c r="R362" s="113"/>
      <c r="S362" s="113"/>
      <c r="T362" s="113"/>
      <c r="U362" s="113"/>
      <c r="V362" s="113"/>
      <c r="W362" s="113"/>
      <c r="X362" s="113"/>
      <c r="Y362" s="113"/>
      <c r="Z362" s="113"/>
      <c r="AA362" s="113"/>
      <c r="AB362" s="113"/>
      <c r="AC362" s="113"/>
      <c r="AD362" s="113"/>
      <c r="AE362" s="113"/>
      <c r="AF362" s="113"/>
      <c r="AG362" s="113"/>
      <c r="AH362" s="113"/>
      <c r="AI362" s="113"/>
      <c r="AJ362" s="113"/>
      <c r="AK362" s="113"/>
      <c r="AL362" s="113"/>
      <c r="AM362" s="113"/>
      <c r="AN362" s="113"/>
      <c r="AO362" s="113"/>
      <c r="AP362" s="113"/>
    </row>
    <row r="363" customFormat="false" ht="11.25" hidden="false" customHeight="false" outlineLevel="0" collapsed="false">
      <c r="D363" s="113"/>
      <c r="E363" s="113"/>
      <c r="F363" s="113"/>
      <c r="G363" s="113"/>
      <c r="H363" s="113"/>
      <c r="I363" s="113"/>
      <c r="J363" s="113"/>
      <c r="K363" s="113"/>
      <c r="L363" s="113"/>
      <c r="M363" s="113"/>
      <c r="N363" s="113"/>
      <c r="O363" s="113"/>
      <c r="P363" s="113"/>
      <c r="Q363" s="113"/>
      <c r="R363" s="113"/>
      <c r="S363" s="113"/>
      <c r="T363" s="113"/>
      <c r="U363" s="113"/>
      <c r="V363" s="113"/>
      <c r="W363" s="113"/>
      <c r="X363" s="113"/>
      <c r="Y363" s="113"/>
      <c r="Z363" s="113"/>
      <c r="AA363" s="113"/>
      <c r="AB363" s="113"/>
      <c r="AC363" s="113"/>
      <c r="AD363" s="113"/>
      <c r="AE363" s="113"/>
      <c r="AF363" s="113"/>
      <c r="AG363" s="113"/>
      <c r="AH363" s="113"/>
      <c r="AI363" s="113"/>
      <c r="AJ363" s="113"/>
      <c r="AK363" s="113"/>
      <c r="AL363" s="113"/>
      <c r="AM363" s="113"/>
      <c r="AN363" s="113"/>
      <c r="AO363" s="113"/>
      <c r="AP363" s="113"/>
    </row>
    <row r="364" customFormat="false" ht="11.25" hidden="false" customHeight="false" outlineLevel="0" collapsed="false">
      <c r="D364" s="113"/>
      <c r="E364" s="113"/>
      <c r="F364" s="113"/>
      <c r="G364" s="113"/>
      <c r="H364" s="113"/>
      <c r="I364" s="113"/>
      <c r="J364" s="113"/>
      <c r="K364" s="113"/>
      <c r="L364" s="113"/>
      <c r="M364" s="113"/>
      <c r="N364" s="113"/>
      <c r="O364" s="113"/>
      <c r="P364" s="113"/>
      <c r="Q364" s="113"/>
      <c r="R364" s="113"/>
      <c r="S364" s="113"/>
      <c r="T364" s="113"/>
      <c r="U364" s="113"/>
      <c r="V364" s="113"/>
      <c r="W364" s="113"/>
      <c r="X364" s="113"/>
      <c r="Y364" s="113"/>
      <c r="Z364" s="113"/>
      <c r="AA364" s="113"/>
      <c r="AB364" s="113"/>
      <c r="AC364" s="113"/>
      <c r="AD364" s="113"/>
      <c r="AE364" s="113"/>
      <c r="AF364" s="113"/>
      <c r="AG364" s="113"/>
      <c r="AH364" s="113"/>
      <c r="AI364" s="113"/>
      <c r="AJ364" s="113"/>
      <c r="AK364" s="113"/>
      <c r="AL364" s="113"/>
      <c r="AM364" s="113"/>
      <c r="AN364" s="113"/>
      <c r="AO364" s="113"/>
      <c r="AP364" s="113"/>
    </row>
    <row r="365" customFormat="false" ht="11.25" hidden="false" customHeight="false" outlineLevel="0" collapsed="false">
      <c r="D365" s="113"/>
      <c r="E365" s="113"/>
      <c r="F365" s="113"/>
      <c r="G365" s="113"/>
      <c r="H365" s="113"/>
      <c r="I365" s="113"/>
      <c r="J365" s="113"/>
      <c r="K365" s="113"/>
      <c r="L365" s="113"/>
      <c r="M365" s="113"/>
      <c r="N365" s="113"/>
      <c r="O365" s="113"/>
      <c r="P365" s="113"/>
      <c r="Q365" s="113"/>
      <c r="R365" s="113"/>
      <c r="S365" s="113"/>
      <c r="T365" s="113"/>
      <c r="U365" s="113"/>
      <c r="V365" s="113"/>
      <c r="W365" s="113"/>
      <c r="X365" s="113"/>
      <c r="Y365" s="113"/>
      <c r="Z365" s="113"/>
      <c r="AA365" s="113"/>
      <c r="AB365" s="113"/>
      <c r="AC365" s="113"/>
      <c r="AD365" s="113"/>
      <c r="AE365" s="113"/>
      <c r="AF365" s="113"/>
      <c r="AG365" s="113"/>
      <c r="AH365" s="113"/>
      <c r="AI365" s="113"/>
      <c r="AJ365" s="113"/>
      <c r="AK365" s="113"/>
      <c r="AL365" s="113"/>
      <c r="AM365" s="113"/>
      <c r="AN365" s="113"/>
      <c r="AO365" s="113"/>
      <c r="AP365" s="113"/>
    </row>
    <row r="366" customFormat="false" ht="11.25" hidden="false" customHeight="false" outlineLevel="0" collapsed="false">
      <c r="D366" s="113"/>
      <c r="E366" s="113"/>
      <c r="F366" s="113"/>
      <c r="G366" s="113"/>
      <c r="H366" s="113"/>
      <c r="I366" s="113"/>
      <c r="J366" s="113"/>
      <c r="K366" s="113"/>
      <c r="L366" s="113"/>
      <c r="M366" s="113"/>
      <c r="N366" s="113"/>
      <c r="O366" s="113"/>
      <c r="P366" s="113"/>
      <c r="Q366" s="113"/>
      <c r="R366" s="113"/>
      <c r="S366" s="113"/>
      <c r="T366" s="113"/>
      <c r="U366" s="113"/>
      <c r="V366" s="113"/>
      <c r="W366" s="113"/>
      <c r="X366" s="113"/>
      <c r="Y366" s="113"/>
      <c r="Z366" s="113"/>
      <c r="AA366" s="113"/>
      <c r="AB366" s="113"/>
      <c r="AC366" s="113"/>
      <c r="AD366" s="113"/>
      <c r="AE366" s="113"/>
      <c r="AF366" s="113"/>
      <c r="AG366" s="113"/>
      <c r="AH366" s="113"/>
      <c r="AI366" s="113"/>
      <c r="AJ366" s="113"/>
      <c r="AK366" s="113"/>
      <c r="AL366" s="113"/>
      <c r="AM366" s="113"/>
      <c r="AN366" s="113"/>
      <c r="AO366" s="113"/>
      <c r="AP366" s="113"/>
    </row>
    <row r="367" customFormat="false" ht="11.25" hidden="false" customHeight="false" outlineLevel="0" collapsed="false">
      <c r="D367" s="113"/>
      <c r="E367" s="113"/>
      <c r="F367" s="113"/>
      <c r="G367" s="113"/>
      <c r="H367" s="113"/>
      <c r="I367" s="113"/>
      <c r="J367" s="113"/>
      <c r="K367" s="113"/>
      <c r="L367" s="113"/>
      <c r="M367" s="113"/>
      <c r="N367" s="113"/>
      <c r="O367" s="113"/>
      <c r="P367" s="113"/>
      <c r="Q367" s="113"/>
      <c r="R367" s="113"/>
      <c r="S367" s="113"/>
      <c r="T367" s="113"/>
      <c r="U367" s="113"/>
      <c r="V367" s="113"/>
      <c r="W367" s="113"/>
      <c r="X367" s="113"/>
      <c r="Y367" s="113"/>
      <c r="Z367" s="113"/>
      <c r="AA367" s="113"/>
      <c r="AB367" s="113"/>
      <c r="AC367" s="113"/>
      <c r="AD367" s="113"/>
      <c r="AE367" s="113"/>
      <c r="AF367" s="113"/>
      <c r="AG367" s="113"/>
      <c r="AH367" s="113"/>
      <c r="AI367" s="113"/>
      <c r="AJ367" s="113"/>
      <c r="AK367" s="113"/>
      <c r="AL367" s="113"/>
      <c r="AM367" s="113"/>
      <c r="AN367" s="113"/>
      <c r="AO367" s="113"/>
      <c r="AP367" s="113"/>
    </row>
    <row r="368" customFormat="false" ht="11.25" hidden="false" customHeight="false" outlineLevel="0" collapsed="false">
      <c r="D368" s="113"/>
      <c r="E368" s="113"/>
      <c r="F368" s="113"/>
      <c r="G368" s="113"/>
      <c r="H368" s="113"/>
      <c r="I368" s="113"/>
      <c r="J368" s="113"/>
      <c r="K368" s="113"/>
      <c r="L368" s="113"/>
      <c r="M368" s="113"/>
      <c r="N368" s="113"/>
      <c r="O368" s="113"/>
      <c r="P368" s="113"/>
      <c r="Q368" s="113"/>
      <c r="R368" s="113"/>
      <c r="S368" s="113"/>
      <c r="T368" s="113"/>
      <c r="U368" s="113"/>
      <c r="V368" s="113"/>
      <c r="W368" s="113"/>
      <c r="X368" s="113"/>
      <c r="Y368" s="113"/>
      <c r="Z368" s="113"/>
      <c r="AA368" s="113"/>
      <c r="AB368" s="113"/>
      <c r="AC368" s="113"/>
      <c r="AD368" s="113"/>
      <c r="AE368" s="113"/>
      <c r="AF368" s="113"/>
      <c r="AG368" s="113"/>
      <c r="AH368" s="113"/>
      <c r="AI368" s="113"/>
      <c r="AJ368" s="113"/>
      <c r="AK368" s="113"/>
      <c r="AL368" s="113"/>
      <c r="AM368" s="113"/>
      <c r="AN368" s="113"/>
      <c r="AO368" s="113"/>
      <c r="AP368" s="113"/>
    </row>
    <row r="369" customFormat="false" ht="11.25" hidden="false" customHeight="false" outlineLevel="0" collapsed="false">
      <c r="D369" s="113"/>
      <c r="E369" s="113"/>
      <c r="F369" s="113"/>
      <c r="G369" s="113"/>
      <c r="H369" s="113"/>
      <c r="I369" s="113"/>
      <c r="J369" s="113"/>
      <c r="K369" s="113"/>
      <c r="L369" s="113"/>
      <c r="M369" s="113"/>
      <c r="N369" s="113"/>
      <c r="O369" s="113"/>
      <c r="P369" s="113"/>
      <c r="Q369" s="113"/>
      <c r="R369" s="113"/>
      <c r="S369" s="113"/>
      <c r="T369" s="113"/>
      <c r="U369" s="113"/>
      <c r="V369" s="113"/>
      <c r="W369" s="113"/>
      <c r="X369" s="113"/>
      <c r="Y369" s="113"/>
      <c r="Z369" s="113"/>
      <c r="AA369" s="113"/>
      <c r="AB369" s="113"/>
      <c r="AC369" s="113"/>
      <c r="AD369" s="113"/>
      <c r="AE369" s="113"/>
      <c r="AF369" s="113"/>
      <c r="AG369" s="113"/>
      <c r="AH369" s="113"/>
      <c r="AI369" s="113"/>
      <c r="AJ369" s="113"/>
      <c r="AK369" s="113"/>
      <c r="AL369" s="113"/>
      <c r="AM369" s="113"/>
      <c r="AN369" s="113"/>
      <c r="AO369" s="113"/>
      <c r="AP369" s="113"/>
    </row>
    <row r="370" customFormat="false" ht="11.25" hidden="false" customHeight="false" outlineLevel="0" collapsed="false">
      <c r="D370" s="113"/>
      <c r="E370" s="113"/>
      <c r="F370" s="113"/>
      <c r="G370" s="113"/>
      <c r="H370" s="113"/>
      <c r="I370" s="113"/>
      <c r="J370" s="113"/>
      <c r="K370" s="113"/>
      <c r="L370" s="113"/>
      <c r="M370" s="113"/>
      <c r="N370" s="113"/>
      <c r="O370" s="113"/>
      <c r="P370" s="113"/>
      <c r="Q370" s="113"/>
      <c r="R370" s="113"/>
      <c r="S370" s="113"/>
      <c r="T370" s="113"/>
      <c r="U370" s="113"/>
      <c r="V370" s="113"/>
      <c r="W370" s="113"/>
      <c r="X370" s="113"/>
      <c r="Y370" s="113"/>
      <c r="Z370" s="113"/>
      <c r="AA370" s="113"/>
      <c r="AB370" s="113"/>
      <c r="AC370" s="113"/>
      <c r="AD370" s="113"/>
      <c r="AE370" s="113"/>
      <c r="AF370" s="113"/>
      <c r="AG370" s="113"/>
      <c r="AH370" s="113"/>
      <c r="AI370" s="113"/>
      <c r="AJ370" s="113"/>
      <c r="AK370" s="113"/>
      <c r="AL370" s="113"/>
      <c r="AM370" s="113"/>
      <c r="AN370" s="113"/>
      <c r="AO370" s="113"/>
      <c r="AP370" s="113"/>
    </row>
    <row r="371" customFormat="false" ht="11.25" hidden="false" customHeight="false" outlineLevel="0" collapsed="false">
      <c r="D371" s="113"/>
      <c r="E371" s="113"/>
      <c r="F371" s="113"/>
      <c r="G371" s="113"/>
      <c r="H371" s="113"/>
      <c r="I371" s="113"/>
      <c r="J371" s="113"/>
      <c r="K371" s="113"/>
      <c r="L371" s="113"/>
      <c r="M371" s="113"/>
      <c r="N371" s="113"/>
      <c r="O371" s="113"/>
      <c r="P371" s="113"/>
      <c r="Q371" s="113"/>
      <c r="R371" s="113"/>
      <c r="S371" s="113"/>
      <c r="T371" s="113"/>
      <c r="U371" s="113"/>
      <c r="V371" s="113"/>
      <c r="W371" s="113"/>
      <c r="X371" s="113"/>
      <c r="Y371" s="113"/>
      <c r="Z371" s="113"/>
      <c r="AA371" s="113"/>
      <c r="AB371" s="113"/>
      <c r="AC371" s="113"/>
      <c r="AD371" s="113"/>
      <c r="AE371" s="113"/>
      <c r="AF371" s="113"/>
      <c r="AG371" s="113"/>
      <c r="AH371" s="113"/>
      <c r="AI371" s="113"/>
      <c r="AJ371" s="113"/>
      <c r="AK371" s="113"/>
      <c r="AL371" s="113"/>
      <c r="AM371" s="113"/>
      <c r="AN371" s="113"/>
      <c r="AO371" s="113"/>
      <c r="AP371" s="113"/>
    </row>
    <row r="372" customFormat="false" ht="11.25" hidden="false" customHeight="false" outlineLevel="0" collapsed="false">
      <c r="D372" s="113"/>
      <c r="E372" s="113"/>
      <c r="F372" s="113"/>
      <c r="G372" s="113"/>
      <c r="H372" s="113"/>
      <c r="I372" s="113"/>
      <c r="J372" s="113"/>
      <c r="K372" s="113"/>
      <c r="L372" s="113"/>
      <c r="M372" s="113"/>
      <c r="N372" s="113"/>
      <c r="O372" s="113"/>
      <c r="P372" s="113"/>
      <c r="Q372" s="113"/>
      <c r="R372" s="113"/>
      <c r="S372" s="113"/>
      <c r="T372" s="113"/>
      <c r="U372" s="113"/>
      <c r="V372" s="113"/>
      <c r="W372" s="113"/>
      <c r="X372" s="113"/>
      <c r="Y372" s="113"/>
      <c r="Z372" s="113"/>
      <c r="AA372" s="113"/>
      <c r="AB372" s="113"/>
      <c r="AC372" s="113"/>
      <c r="AD372" s="113"/>
      <c r="AE372" s="113"/>
      <c r="AF372" s="113"/>
      <c r="AG372" s="113"/>
      <c r="AH372" s="113"/>
      <c r="AI372" s="113"/>
      <c r="AJ372" s="113"/>
      <c r="AK372" s="113"/>
      <c r="AL372" s="113"/>
      <c r="AM372" s="113"/>
      <c r="AN372" s="113"/>
      <c r="AO372" s="113"/>
      <c r="AP372" s="113"/>
    </row>
    <row r="373" customFormat="false" ht="11.25" hidden="false" customHeight="false" outlineLevel="0" collapsed="false">
      <c r="D373" s="113"/>
      <c r="E373" s="113"/>
      <c r="F373" s="113"/>
      <c r="G373" s="113"/>
      <c r="H373" s="113"/>
      <c r="I373" s="113"/>
      <c r="J373" s="113"/>
      <c r="K373" s="113"/>
      <c r="L373" s="113"/>
      <c r="M373" s="113"/>
      <c r="N373" s="113"/>
      <c r="O373" s="113"/>
      <c r="P373" s="113"/>
      <c r="Q373" s="113"/>
      <c r="R373" s="113"/>
      <c r="S373" s="113"/>
      <c r="T373" s="113"/>
      <c r="U373" s="113"/>
      <c r="V373" s="113"/>
      <c r="W373" s="113"/>
      <c r="X373" s="113"/>
      <c r="Y373" s="113"/>
      <c r="Z373" s="113"/>
      <c r="AA373" s="113"/>
      <c r="AB373" s="113"/>
      <c r="AC373" s="113"/>
      <c r="AD373" s="113"/>
      <c r="AE373" s="113"/>
      <c r="AF373" s="113"/>
      <c r="AG373" s="113"/>
      <c r="AH373" s="113"/>
      <c r="AI373" s="113"/>
      <c r="AJ373" s="113"/>
      <c r="AK373" s="113"/>
      <c r="AL373" s="113"/>
      <c r="AM373" s="113"/>
      <c r="AN373" s="113"/>
      <c r="AO373" s="113"/>
      <c r="AP373" s="113"/>
    </row>
    <row r="374" customFormat="false" ht="11.25" hidden="false" customHeight="false" outlineLevel="0" collapsed="false">
      <c r="D374" s="113"/>
      <c r="E374" s="113"/>
      <c r="F374" s="113"/>
      <c r="G374" s="113"/>
      <c r="H374" s="113"/>
      <c r="I374" s="113"/>
      <c r="J374" s="113"/>
      <c r="K374" s="113"/>
      <c r="L374" s="113"/>
      <c r="M374" s="113"/>
      <c r="N374" s="113"/>
      <c r="O374" s="113"/>
      <c r="P374" s="113"/>
      <c r="Q374" s="113"/>
      <c r="R374" s="113"/>
      <c r="S374" s="113"/>
      <c r="T374" s="113"/>
      <c r="U374" s="113"/>
      <c r="V374" s="113"/>
      <c r="W374" s="113"/>
      <c r="X374" s="113"/>
      <c r="Y374" s="113"/>
      <c r="Z374" s="113"/>
      <c r="AA374" s="113"/>
      <c r="AB374" s="113"/>
      <c r="AC374" s="113"/>
      <c r="AD374" s="113"/>
      <c r="AE374" s="113"/>
      <c r="AF374" s="113"/>
      <c r="AG374" s="113"/>
      <c r="AH374" s="113"/>
      <c r="AI374" s="113"/>
      <c r="AJ374" s="113"/>
      <c r="AK374" s="113"/>
      <c r="AL374" s="113"/>
      <c r="AM374" s="113"/>
      <c r="AN374" s="113"/>
      <c r="AO374" s="113"/>
      <c r="AP374" s="113"/>
    </row>
    <row r="375" customFormat="false" ht="11.25" hidden="false" customHeight="false" outlineLevel="0" collapsed="false">
      <c r="D375" s="113"/>
      <c r="E375" s="113"/>
      <c r="F375" s="113"/>
      <c r="G375" s="113"/>
      <c r="H375" s="113"/>
      <c r="I375" s="113"/>
      <c r="J375" s="113"/>
      <c r="K375" s="113"/>
      <c r="L375" s="113"/>
      <c r="M375" s="113"/>
      <c r="N375" s="113"/>
      <c r="O375" s="113"/>
      <c r="P375" s="113"/>
      <c r="Q375" s="113"/>
      <c r="R375" s="113"/>
      <c r="S375" s="113"/>
      <c r="T375" s="113"/>
      <c r="U375" s="113"/>
      <c r="V375" s="113"/>
      <c r="W375" s="113"/>
      <c r="X375" s="113"/>
      <c r="Y375" s="113"/>
      <c r="Z375" s="113"/>
      <c r="AA375" s="113"/>
      <c r="AB375" s="113"/>
      <c r="AC375" s="113"/>
      <c r="AD375" s="113"/>
      <c r="AE375" s="113"/>
      <c r="AF375" s="113"/>
      <c r="AG375" s="113"/>
      <c r="AH375" s="113"/>
      <c r="AI375" s="113"/>
      <c r="AJ375" s="113"/>
      <c r="AK375" s="113"/>
      <c r="AL375" s="113"/>
      <c r="AM375" s="113"/>
      <c r="AN375" s="113"/>
      <c r="AO375" s="113"/>
      <c r="AP375" s="113"/>
    </row>
    <row r="376" customFormat="false" ht="11.25" hidden="false" customHeight="false" outlineLevel="0" collapsed="false">
      <c r="D376" s="113"/>
      <c r="E376" s="113"/>
      <c r="F376" s="113"/>
      <c r="G376" s="113"/>
      <c r="H376" s="113"/>
      <c r="I376" s="113"/>
      <c r="J376" s="113"/>
      <c r="K376" s="113"/>
      <c r="L376" s="113"/>
      <c r="M376" s="113"/>
      <c r="N376" s="113"/>
      <c r="O376" s="113"/>
      <c r="P376" s="113"/>
      <c r="Q376" s="113"/>
      <c r="R376" s="113"/>
      <c r="S376" s="113"/>
      <c r="T376" s="113"/>
      <c r="U376" s="113"/>
      <c r="V376" s="113"/>
      <c r="W376" s="113"/>
      <c r="X376" s="113"/>
      <c r="Y376" s="113"/>
      <c r="Z376" s="113"/>
      <c r="AA376" s="113"/>
      <c r="AB376" s="113"/>
      <c r="AC376" s="113"/>
      <c r="AD376" s="113"/>
      <c r="AE376" s="113"/>
      <c r="AF376" s="113"/>
      <c r="AG376" s="113"/>
      <c r="AH376" s="113"/>
      <c r="AI376" s="113"/>
      <c r="AJ376" s="113"/>
      <c r="AK376" s="113"/>
      <c r="AL376" s="113"/>
      <c r="AM376" s="113"/>
      <c r="AN376" s="113"/>
      <c r="AO376" s="113"/>
      <c r="AP376" s="113"/>
    </row>
    <row r="377" customFormat="false" ht="11.25" hidden="false" customHeight="false" outlineLevel="0" collapsed="false">
      <c r="D377" s="113"/>
      <c r="E377" s="113"/>
      <c r="F377" s="113"/>
      <c r="G377" s="113"/>
      <c r="H377" s="113"/>
      <c r="I377" s="113"/>
      <c r="J377" s="113"/>
      <c r="K377" s="113"/>
      <c r="L377" s="113"/>
      <c r="M377" s="113"/>
      <c r="N377" s="113"/>
      <c r="O377" s="113"/>
      <c r="P377" s="113"/>
      <c r="Q377" s="113"/>
      <c r="R377" s="113"/>
      <c r="S377" s="113"/>
      <c r="T377" s="113"/>
      <c r="U377" s="113"/>
      <c r="V377" s="113"/>
      <c r="W377" s="113"/>
      <c r="X377" s="113"/>
      <c r="Y377" s="113"/>
      <c r="Z377" s="113"/>
      <c r="AA377" s="113"/>
      <c r="AB377" s="113"/>
      <c r="AC377" s="113"/>
      <c r="AD377" s="113"/>
      <c r="AE377" s="113"/>
      <c r="AF377" s="113"/>
      <c r="AG377" s="113"/>
      <c r="AH377" s="113"/>
      <c r="AI377" s="113"/>
      <c r="AJ377" s="113"/>
      <c r="AK377" s="113"/>
      <c r="AL377" s="113"/>
      <c r="AM377" s="113"/>
      <c r="AN377" s="113"/>
      <c r="AO377" s="113"/>
      <c r="AP377" s="113"/>
    </row>
    <row r="378" customFormat="false" ht="11.25" hidden="false" customHeight="false" outlineLevel="0" collapsed="false">
      <c r="D378" s="113"/>
      <c r="E378" s="113"/>
      <c r="F378" s="113"/>
      <c r="G378" s="113"/>
      <c r="H378" s="113"/>
      <c r="I378" s="113"/>
      <c r="J378" s="113"/>
      <c r="K378" s="113"/>
      <c r="L378" s="113"/>
      <c r="M378" s="113"/>
      <c r="N378" s="113"/>
      <c r="O378" s="113"/>
      <c r="P378" s="113"/>
      <c r="Q378" s="113"/>
      <c r="R378" s="113"/>
      <c r="S378" s="113"/>
      <c r="T378" s="113"/>
      <c r="U378" s="113"/>
      <c r="V378" s="113"/>
      <c r="W378" s="113"/>
      <c r="X378" s="113"/>
      <c r="Y378" s="113"/>
      <c r="Z378" s="113"/>
      <c r="AA378" s="113"/>
      <c r="AB378" s="113"/>
      <c r="AC378" s="113"/>
      <c r="AD378" s="113"/>
      <c r="AE378" s="113"/>
      <c r="AF378" s="113"/>
      <c r="AG378" s="113"/>
      <c r="AH378" s="113"/>
      <c r="AI378" s="113"/>
      <c r="AJ378" s="113"/>
      <c r="AK378" s="113"/>
      <c r="AL378" s="113"/>
      <c r="AM378" s="113"/>
      <c r="AN378" s="113"/>
      <c r="AO378" s="113"/>
      <c r="AP378" s="113"/>
    </row>
    <row r="379" customFormat="false" ht="11.25" hidden="false" customHeight="false" outlineLevel="0" collapsed="false">
      <c r="D379" s="113"/>
      <c r="E379" s="113"/>
      <c r="F379" s="113"/>
      <c r="G379" s="113"/>
      <c r="H379" s="113"/>
      <c r="I379" s="113"/>
      <c r="J379" s="113"/>
      <c r="K379" s="113"/>
      <c r="L379" s="113"/>
      <c r="M379" s="113"/>
      <c r="N379" s="113"/>
      <c r="O379" s="113"/>
      <c r="P379" s="113"/>
      <c r="Q379" s="113"/>
      <c r="R379" s="113"/>
      <c r="S379" s="113"/>
      <c r="T379" s="113"/>
      <c r="U379" s="113"/>
      <c r="V379" s="113"/>
      <c r="W379" s="113"/>
      <c r="X379" s="113"/>
      <c r="Y379" s="113"/>
      <c r="Z379" s="113"/>
      <c r="AA379" s="113"/>
      <c r="AB379" s="113"/>
      <c r="AC379" s="113"/>
      <c r="AD379" s="113"/>
      <c r="AE379" s="113"/>
      <c r="AF379" s="113"/>
      <c r="AG379" s="113"/>
      <c r="AH379" s="113"/>
      <c r="AI379" s="113"/>
      <c r="AJ379" s="113"/>
      <c r="AK379" s="113"/>
      <c r="AL379" s="113"/>
      <c r="AM379" s="113"/>
      <c r="AN379" s="113"/>
      <c r="AO379" s="113"/>
      <c r="AP379" s="113"/>
    </row>
  </sheetData>
  <printOptions headings="false" gridLines="false" gridLinesSet="true" horizontalCentered="false" verticalCentered="false"/>
  <pageMargins left="0.220138888888889" right="0.220138888888889" top="0.570138888888889" bottom="0.479861111111111" header="0.511811023622047" footer="0.2"/>
  <pageSetup paperSize="5" scale="53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
&amp;D
&amp;T&amp;CPage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28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6.7"/>
    <col collapsed="false" customWidth="true" hidden="false" outlineLevel="0" max="2" min="2" style="0" width="21.13"/>
    <col collapsed="false" customWidth="true" hidden="false" outlineLevel="0" max="3" min="3" style="0" width="20.41"/>
    <col collapsed="false" customWidth="true" hidden="false" outlineLevel="0" max="4" min="4" style="0" width="17.28"/>
    <col collapsed="false" customWidth="true" hidden="false" outlineLevel="0" max="5" min="5" style="0" width="18.14"/>
    <col collapsed="false" customWidth="true" hidden="false" outlineLevel="0" max="6" min="6" style="0" width="25.28"/>
    <col collapsed="false" customWidth="true" hidden="false" outlineLevel="0" max="7" min="7" style="0" width="25.56"/>
    <col collapsed="false" customWidth="true" hidden="false" outlineLevel="0" max="8" min="8" style="0" width="17.7"/>
    <col collapsed="false" customWidth="true" hidden="false" outlineLevel="0" max="9" min="9" style="0" width="16.7"/>
    <col collapsed="false" customWidth="true" hidden="false" outlineLevel="0" max="10" min="10" style="0" width="17.7"/>
    <col collapsed="false" customWidth="true" hidden="false" outlineLevel="0" max="11" min="11" style="0" width="17.28"/>
    <col collapsed="false" customWidth="true" hidden="false" outlineLevel="0" max="12" min="12" style="0" width="18.28"/>
    <col collapsed="false" customWidth="true" hidden="false" outlineLevel="0" max="13" min="13" style="0" width="20.85"/>
    <col collapsed="false" customWidth="true" hidden="false" outlineLevel="0" max="15" min="14" style="0" width="14.14"/>
    <col collapsed="false" customWidth="true" hidden="false" outlineLevel="0" max="16" min="16" style="0" width="17.28"/>
    <col collapsed="false" customWidth="true" hidden="false" outlineLevel="0" max="17" min="17" style="0" width="19.85"/>
    <col collapsed="false" customWidth="true" hidden="false" outlineLevel="0" max="18" min="18" style="0" width="17.42"/>
    <col collapsed="false" customWidth="true" hidden="false" outlineLevel="0" max="21" min="19" style="0" width="11.56"/>
  </cols>
  <sheetData>
    <row r="1" customFormat="false" ht="51" hidden="false" customHeight="false" outlineLevel="0" collapsed="false">
      <c r="A1" s="0" t="s">
        <v>553</v>
      </c>
      <c r="B1" s="0" t="s">
        <v>554</v>
      </c>
      <c r="C1" s="0" t="s">
        <v>555</v>
      </c>
      <c r="D1" s="0" t="s">
        <v>556</v>
      </c>
      <c r="E1" s="0" t="s">
        <v>557</v>
      </c>
      <c r="F1" s="0" t="s">
        <v>558</v>
      </c>
      <c r="G1" s="0" t="s">
        <v>559</v>
      </c>
      <c r="H1" s="0" t="s">
        <v>560</v>
      </c>
      <c r="I1" s="631" t="s">
        <v>561</v>
      </c>
      <c r="J1" s="0" t="s">
        <v>562</v>
      </c>
      <c r="K1" s="0" t="s">
        <v>563</v>
      </c>
      <c r="L1" s="0" t="s">
        <v>564</v>
      </c>
      <c r="M1" s="0" t="s">
        <v>565</v>
      </c>
      <c r="N1" s="0" t="s">
        <v>566</v>
      </c>
      <c r="O1" s="3" t="s">
        <v>567</v>
      </c>
      <c r="P1" s="3" t="s">
        <v>568</v>
      </c>
      <c r="Q1" s="3" t="s">
        <v>569</v>
      </c>
      <c r="R1" s="3" t="s">
        <v>570</v>
      </c>
    </row>
    <row r="2" customFormat="false" ht="12.75" hidden="false" customHeight="false" outlineLevel="0" collapsed="false">
      <c r="A2" s="0" t="s">
        <v>517</v>
      </c>
      <c r="B2" s="0" t="n">
        <v>5</v>
      </c>
      <c r="C2" s="0" t="s">
        <v>517</v>
      </c>
      <c r="D2" s="0" t="s">
        <v>517</v>
      </c>
      <c r="E2" s="292" t="s">
        <v>517</v>
      </c>
      <c r="F2" s="632" t="s">
        <v>517</v>
      </c>
      <c r="G2" s="632" t="s">
        <v>517</v>
      </c>
      <c r="H2" s="292" t="s">
        <v>517</v>
      </c>
      <c r="I2" s="292" t="s">
        <v>517</v>
      </c>
      <c r="J2" s="318" t="s">
        <v>517</v>
      </c>
      <c r="K2" s="318" t="s">
        <v>517</v>
      </c>
      <c r="L2" s="318" t="s">
        <v>517</v>
      </c>
      <c r="M2" s="318" t="s">
        <v>517</v>
      </c>
      <c r="N2" s="633" t="s">
        <v>517</v>
      </c>
      <c r="O2" s="443" t="s">
        <v>517</v>
      </c>
      <c r="P2" s="443" t="s">
        <v>517</v>
      </c>
      <c r="Q2" s="443" t="s">
        <v>517</v>
      </c>
      <c r="R2" s="443" t="s">
        <v>517</v>
      </c>
    </row>
    <row r="4" customFormat="false" ht="12.75" hidden="false" customHeight="false" outlineLevel="0" collapsed="false">
      <c r="A4" s="0" t="n">
        <v>1</v>
      </c>
      <c r="B4" s="0" t="s">
        <v>571</v>
      </c>
      <c r="C4" s="292" t="n">
        <f aca="false">C5+116.369</f>
        <v>280.369</v>
      </c>
      <c r="D4" s="292" t="n">
        <f aca="false">D5+116.369</f>
        <v>274.369</v>
      </c>
      <c r="E4" s="292" t="n">
        <v>11670</v>
      </c>
      <c r="F4" s="632" t="n">
        <v>0.02</v>
      </c>
      <c r="G4" s="632" t="n">
        <v>0.015</v>
      </c>
      <c r="H4" s="292" t="n">
        <v>16000</v>
      </c>
      <c r="I4" s="292" t="n">
        <v>0</v>
      </c>
      <c r="J4" s="318" t="n">
        <f aca="false">J5+60000</f>
        <v>149669</v>
      </c>
      <c r="K4" s="465" t="n">
        <v>6020</v>
      </c>
      <c r="L4" s="465" t="n">
        <v>6108</v>
      </c>
      <c r="M4" s="634" t="n">
        <v>0</v>
      </c>
      <c r="N4" s="635" t="n">
        <v>1.49</v>
      </c>
      <c r="O4" s="443" t="n">
        <v>0.92</v>
      </c>
      <c r="P4" s="443" t="n">
        <v>0</v>
      </c>
      <c r="Q4" s="443" t="n">
        <v>0.05</v>
      </c>
      <c r="R4" s="443" t="n">
        <v>0.03</v>
      </c>
    </row>
    <row r="5" customFormat="false" ht="12.75" hidden="false" customHeight="false" outlineLevel="0" collapsed="false">
      <c r="A5" s="112" t="n">
        <v>2</v>
      </c>
      <c r="B5" s="112" t="s">
        <v>572</v>
      </c>
      <c r="C5" s="292" t="n">
        <f aca="false">164</f>
        <v>164</v>
      </c>
      <c r="D5" s="292" t="n">
        <f aca="false">158</f>
        <v>158</v>
      </c>
      <c r="E5" s="292" t="n">
        <f aca="false">11800</f>
        <v>11800</v>
      </c>
      <c r="F5" s="632" t="n">
        <v>0.02</v>
      </c>
      <c r="G5" s="632" t="n">
        <v>0.02</v>
      </c>
      <c r="H5" s="292" t="n">
        <v>16000</v>
      </c>
      <c r="I5" s="292" t="n">
        <v>20</v>
      </c>
      <c r="J5" s="318" t="n">
        <f aca="false">(((81741-1237)+4000)+2500)+2665</f>
        <v>89669</v>
      </c>
      <c r="K5" s="480" t="n">
        <f aca="false">6020</f>
        <v>6020</v>
      </c>
      <c r="L5" s="480" t="n">
        <f aca="false">6108</f>
        <v>6108</v>
      </c>
      <c r="M5" s="634" t="n">
        <v>0</v>
      </c>
      <c r="N5" s="635" t="n">
        <v>1.49</v>
      </c>
      <c r="O5" s="443" t="n">
        <v>0.92</v>
      </c>
      <c r="P5" s="443" t="n">
        <v>0</v>
      </c>
      <c r="Q5" s="443" t="n">
        <v>0.05</v>
      </c>
      <c r="R5" s="443" t="n">
        <v>0.03</v>
      </c>
      <c r="S5" s="112"/>
      <c r="T5" s="112"/>
      <c r="U5" s="112"/>
    </row>
    <row r="6" customFormat="false" ht="12.75" hidden="false" customHeight="false" outlineLevel="0" collapsed="false">
      <c r="A6" s="0" t="n">
        <v>3</v>
      </c>
      <c r="B6" s="0" t="s">
        <v>573</v>
      </c>
      <c r="C6" s="292" t="n">
        <f aca="false">(11*15)+C5</f>
        <v>329</v>
      </c>
      <c r="D6" s="292" t="n">
        <f aca="false">(11*15)+D5</f>
        <v>323</v>
      </c>
      <c r="E6" s="292" t="n">
        <f aca="false">13187</f>
        <v>13187</v>
      </c>
      <c r="F6" s="632" t="n">
        <v>0.02</v>
      </c>
      <c r="G6" s="632" t="n">
        <v>0.02</v>
      </c>
      <c r="H6" s="292" t="n">
        <v>16000</v>
      </c>
      <c r="I6" s="292" t="n">
        <v>20</v>
      </c>
      <c r="J6" s="318" t="n">
        <f aca="false">51000+J5</f>
        <v>140669</v>
      </c>
      <c r="K6" s="465" t="n">
        <v>6020</v>
      </c>
      <c r="L6" s="465" t="n">
        <v>6108</v>
      </c>
      <c r="M6" s="634" t="n">
        <v>0</v>
      </c>
      <c r="N6" s="635" t="n">
        <v>0.04</v>
      </c>
      <c r="O6" s="443" t="n">
        <v>0.92</v>
      </c>
      <c r="P6" s="443" t="n">
        <v>0</v>
      </c>
      <c r="Q6" s="443" t="n">
        <v>0.05</v>
      </c>
      <c r="R6" s="443" t="n">
        <v>0.03</v>
      </c>
    </row>
    <row r="7" customFormat="false" ht="12.75" hidden="false" customHeight="false" outlineLevel="0" collapsed="false">
      <c r="A7" s="0" t="n">
        <v>4</v>
      </c>
      <c r="B7" s="0" t="s">
        <v>574</v>
      </c>
      <c r="C7" s="292" t="n">
        <f aca="false">164+102.278+102.278</f>
        <v>368.556</v>
      </c>
      <c r="D7" s="292" t="n">
        <f aca="false">158+102.278+102.278</f>
        <v>362.556</v>
      </c>
      <c r="E7" s="292" t="n">
        <v>11578</v>
      </c>
      <c r="F7" s="632" t="n">
        <v>0.02</v>
      </c>
      <c r="G7" s="632" t="n">
        <v>0.02</v>
      </c>
      <c r="H7" s="292" t="n">
        <v>16000</v>
      </c>
      <c r="I7" s="292" t="n">
        <v>0</v>
      </c>
      <c r="J7" s="318" t="n">
        <f aca="false">(((81741-1237)+4000)+2500)+2665+(80000*1.47)</f>
        <v>207269</v>
      </c>
      <c r="K7" s="480" t="n">
        <f aca="false">6020</f>
        <v>6020</v>
      </c>
      <c r="L7" s="480" t="n">
        <f aca="false">6108</f>
        <v>6108</v>
      </c>
      <c r="M7" s="634" t="n">
        <v>0</v>
      </c>
      <c r="N7" s="635" t="n">
        <v>1.49</v>
      </c>
      <c r="O7" s="443" t="n">
        <v>0.92</v>
      </c>
      <c r="P7" s="443" t="n">
        <v>0</v>
      </c>
      <c r="Q7" s="443" t="n">
        <v>0.05</v>
      </c>
      <c r="R7" s="443" t="n">
        <v>0.03</v>
      </c>
    </row>
    <row r="8" customFormat="false" ht="12.75" hidden="false" customHeight="false" outlineLevel="0" collapsed="false">
      <c r="A8" s="0" t="n">
        <v>5</v>
      </c>
      <c r="B8" s="0" t="s">
        <v>575</v>
      </c>
      <c r="C8" s="292" t="n">
        <f aca="false">164+160</f>
        <v>324</v>
      </c>
      <c r="D8" s="292" t="n">
        <f aca="false">158+154</f>
        <v>312</v>
      </c>
      <c r="E8" s="292" t="n">
        <v>11960</v>
      </c>
      <c r="F8" s="632" t="n">
        <v>0.02</v>
      </c>
      <c r="G8" s="632" t="n">
        <v>0.02</v>
      </c>
      <c r="H8" s="292" t="n">
        <v>16000</v>
      </c>
      <c r="I8" s="292" t="n">
        <v>20</v>
      </c>
      <c r="J8" s="318" t="n">
        <f aca="false">(((81741-1237)+4000)+2500)+2665+73500+3749</f>
        <v>166918</v>
      </c>
      <c r="K8" s="465" t="n">
        <v>6020</v>
      </c>
      <c r="L8" s="465" t="n">
        <v>6108</v>
      </c>
      <c r="M8" s="634" t="n">
        <v>0</v>
      </c>
      <c r="N8" s="635" t="n">
        <v>1.49</v>
      </c>
      <c r="O8" s="443" t="n">
        <v>0.92</v>
      </c>
      <c r="P8" s="443" t="n">
        <v>0</v>
      </c>
      <c r="Q8" s="443" t="n">
        <v>0.05</v>
      </c>
      <c r="R8" s="443" t="n">
        <v>0.03</v>
      </c>
    </row>
    <row r="9" customFormat="false" ht="12.75" hidden="false" customHeight="false" outlineLevel="0" collapsed="false">
      <c r="H9" s="292"/>
      <c r="I9" s="292"/>
      <c r="J9" s="318"/>
      <c r="K9" s="318"/>
      <c r="L9" s="318"/>
      <c r="M9" s="318"/>
      <c r="N9" s="635"/>
    </row>
    <row r="10" customFormat="false" ht="12.75" hidden="false" customHeight="false" outlineLevel="0" collapsed="false">
      <c r="A10" s="636" t="s">
        <v>576</v>
      </c>
      <c r="B10" s="16" t="str">
        <f aca="false">INDEX(B4:B8,B2)</f>
        <v>2 X GT11N1 + GT13D</v>
      </c>
      <c r="C10" s="16" t="n">
        <f aca="false">IF($B$10=$B$4,C4,IF($B$10=$B$5,C5,IF($B$10=$B$6,C6,IF($B$10=$B$7,C7,IF($B$10=$B$8,C8,C2)))))</f>
        <v>324</v>
      </c>
      <c r="D10" s="16" t="n">
        <f aca="false">IF($B$10=$B$4,D4,IF($B$10=$B$5,D5,IF($B$10=$B$6,D6,IF($B$10=$B$7,D7,IF($B$10=$B$8,D8,D2)))))</f>
        <v>312</v>
      </c>
      <c r="E10" s="637" t="n">
        <f aca="false">IF($B$10=$B$4,E4,IF($B$10=$B$5,E5,IF($B$10=$B$6,E6,IF($B$10=$B$7,E7,IF($B$10=$B$8,E8,E2)))))</f>
        <v>11960</v>
      </c>
      <c r="F10" s="16" t="n">
        <f aca="false">IF($B$10=$B$4,F4,IF($B$10=$B$5,F5,IF($B$10=$B$6,F6,IF($B$10=$B$7,F7,IF($B$10=$B$8,F8,F2)))))</f>
        <v>0.02</v>
      </c>
      <c r="G10" s="16" t="n">
        <f aca="false">IF($B$10=$B$4,G4,IF($B$10=$B$5,G5,IF($B$10=$B$6,G6,IF($B$10=$B$7,G7,IF($B$10=$B$8,G8,G2)))))</f>
        <v>0.02</v>
      </c>
      <c r="H10" s="637" t="n">
        <f aca="false">IF($B$10=$B$4,H4,IF($B$10=$B$5,H5,IF($B$10=$B$6,H6,IF($B$10=$B$7,H7,IF($B$10=$B$8,H8,H2)))))</f>
        <v>16000</v>
      </c>
      <c r="I10" s="16" t="n">
        <f aca="false">IF($B$10=$B$4,I4,IF($B$10=$B$5,I5,IF($B$10=$B$6,I6,IF($B$10=$B$7,I7,IF($B$10=$B$8,I8,I2)))))</f>
        <v>20</v>
      </c>
      <c r="J10" s="638" t="n">
        <f aca="false">IF($B$10=$B$4,J4,IF($B$10=$B$5,J5,IF($B$10=$B$6,J6,IF($B$10=$B$7,J7,IF($B$10=$B$8,J8,J2)))))</f>
        <v>166918</v>
      </c>
      <c r="K10" s="638" t="n">
        <f aca="false">IF($B$10=$B$4,K4,IF($B$10=$B$5,K5,IF($B$10=$B$6,K6,IF($B$10=$B$7,K7,IF($B$10=$B$8,K8,K2)))))</f>
        <v>6020</v>
      </c>
      <c r="L10" s="638" t="n">
        <f aca="false">IF($B$10=$B$4,L4,IF($B$10=$B$5,L5,IF($B$10=$B$6,L6,IF($B$10=$B$7,L7,IF($B$10=$B$8,L8,L2)))))</f>
        <v>6108</v>
      </c>
      <c r="M10" s="16" t="n">
        <f aca="false">IF($B$10=$B$4,M4,IF($B$10=$B$5,M5,IF($B$10=$B$6,M6,IF($B$10=$B$7,M7,IF($B$10=$B$8,M8,M2)))))</f>
        <v>0</v>
      </c>
      <c r="N10" s="639" t="n">
        <f aca="false">IF($B$10=$B$4,N4,IF($B$10=$B$5,N5,IF($B$10=$B$6,N6,IF($B$10=$B$7,N7,IF($B$10=$B$8,N8,N2)))))</f>
        <v>1.49</v>
      </c>
      <c r="O10" s="16" t="n">
        <f aca="false">IF($B$10=$B$4,O4,IF($B$10=$B$5,O5,IF($B$10=$B$6,O6,IF($B$10=$B$7,O7,IF($B$10=$B$8,O8,O2)))))</f>
        <v>0.92</v>
      </c>
      <c r="P10" s="16" t="n">
        <f aca="false">IF($B$10=$B$4,P4,IF($B$10=$B$5,P5,IF($B$10=$B$6,P6,IF($B$10=$B$7,P7,IF($B$10=$B$8,P8,P2)))))</f>
        <v>0</v>
      </c>
      <c r="Q10" s="16" t="n">
        <f aca="false">IF($B$10=$B$4,Q4,IF($B$10=$B$5,Q5,IF($B$10=$B$6,Q6,IF($B$10=$B$7,Q7,IF($B$10=$B$8,Q8,Q2)))))</f>
        <v>0.05</v>
      </c>
      <c r="R10" s="16" t="n">
        <f aca="false">IF($B$10=$B$4,R4,IF($B$10=$B$5,R5,IF($B$10=$B$6,R6,IF($B$10=$B$7,R7,IF($B$10=$B$8,R8,R2)))))</f>
        <v>0.03</v>
      </c>
    </row>
    <row r="11" customFormat="false" ht="12.75" hidden="false" customHeight="false" outlineLevel="0" collapsed="false">
      <c r="L11" s="465"/>
    </row>
    <row r="12" customFormat="false" ht="25.5" hidden="false" customHeight="false" outlineLevel="0" collapsed="false">
      <c r="A12" s="9" t="s">
        <v>577</v>
      </c>
      <c r="B12" s="0" t="s">
        <v>578</v>
      </c>
      <c r="C12" s="640" t="s">
        <v>579</v>
      </c>
      <c r="D12" s="0" t="s">
        <v>580</v>
      </c>
      <c r="H12" s="443"/>
      <c r="J12" s="465"/>
    </row>
    <row r="13" customFormat="false" ht="12.75" hidden="false" customHeight="false" outlineLevel="0" collapsed="false">
      <c r="B13" s="448" t="n">
        <v>3</v>
      </c>
      <c r="C13" s="112"/>
      <c r="J13" s="465"/>
    </row>
    <row r="14" customFormat="false" ht="12.75" hidden="false" customHeight="false" outlineLevel="0" collapsed="false">
      <c r="B14" s="448"/>
      <c r="C14" s="112"/>
      <c r="E14" s="5"/>
      <c r="F14" s="107"/>
      <c r="G14" s="107"/>
      <c r="H14" s="107"/>
      <c r="I14" s="107"/>
      <c r="J14" s="465"/>
    </row>
    <row r="15" customFormat="false" ht="12.75" hidden="false" customHeight="false" outlineLevel="0" collapsed="false">
      <c r="A15" s="0" t="n">
        <v>1</v>
      </c>
      <c r="B15" s="641" t="n">
        <v>5</v>
      </c>
      <c r="C15" s="642" t="e">
        <f aca="false">'SemiAnnual IRR'!I5</f>
        <v>#VALUE!</v>
      </c>
      <c r="D15" s="333" t="e">
        <f aca="false">'SemiAnnual IRR'!U5</f>
        <v>#VALUE!</v>
      </c>
      <c r="F15" s="465"/>
      <c r="G15" s="465"/>
      <c r="H15" s="465"/>
      <c r="I15" s="465"/>
      <c r="J15" s="49"/>
    </row>
    <row r="16" customFormat="false" ht="12.75" hidden="false" customHeight="false" outlineLevel="0" collapsed="false">
      <c r="A16" s="0" t="n">
        <v>2</v>
      </c>
      <c r="B16" s="643" t="n">
        <v>10</v>
      </c>
      <c r="C16" s="642" t="e">
        <f aca="false">'SemiAnnual IRR'!I6</f>
        <v>#VALUE!</v>
      </c>
      <c r="D16" s="333" t="e">
        <f aca="false">'SemiAnnual IRR'!U6</f>
        <v>#VALUE!</v>
      </c>
      <c r="F16" s="465"/>
      <c r="G16" s="465"/>
      <c r="H16" s="465"/>
      <c r="I16" s="465"/>
      <c r="J16" s="49"/>
      <c r="P16" s="49"/>
    </row>
    <row r="17" customFormat="false" ht="12.75" hidden="false" customHeight="false" outlineLevel="0" collapsed="false">
      <c r="A17" s="0" t="n">
        <v>3</v>
      </c>
      <c r="B17" s="643" t="n">
        <v>15</v>
      </c>
      <c r="C17" s="642" t="e">
        <f aca="false">'SemiAnnual IRR'!I7</f>
        <v>#VALUE!</v>
      </c>
      <c r="D17" s="333" t="e">
        <f aca="false">'SemiAnnual IRR'!U7</f>
        <v>#VALUE!</v>
      </c>
      <c r="F17" s="465"/>
      <c r="G17" s="465"/>
      <c r="H17" s="465"/>
      <c r="I17" s="465"/>
      <c r="J17" s="49"/>
      <c r="P17" s="49"/>
    </row>
    <row r="18" customFormat="false" ht="12.75" hidden="false" customHeight="false" outlineLevel="0" collapsed="false">
      <c r="A18" s="0" t="n">
        <v>4</v>
      </c>
      <c r="B18" s="643" t="n">
        <v>20</v>
      </c>
      <c r="C18" s="642" t="n">
        <f aca="false">'SemiAnnual IRR'!I8</f>
        <v>0</v>
      </c>
      <c r="D18" s="333" t="n">
        <f aca="false">'SemiAnnual IRR'!U8</f>
        <v>0</v>
      </c>
      <c r="F18" s="465"/>
      <c r="G18" s="465"/>
      <c r="H18" s="465"/>
      <c r="I18" s="465"/>
      <c r="J18" s="49"/>
      <c r="P18" s="49"/>
    </row>
    <row r="19" customFormat="false" ht="12.75" hidden="false" customHeight="false" outlineLevel="0" collapsed="false">
      <c r="A19" s="0" t="n">
        <v>5</v>
      </c>
      <c r="B19" s="643" t="n">
        <v>3</v>
      </c>
      <c r="C19" s="642" t="e">
        <f aca="false">'SemiAnnual IRR'!I4</f>
        <v>#VALUE!</v>
      </c>
      <c r="D19" s="333" t="e">
        <f aca="false">'SemiAnnual IRR'!U4</f>
        <v>#VALUE!</v>
      </c>
      <c r="F19" s="49"/>
      <c r="G19" s="49"/>
      <c r="H19" s="49"/>
      <c r="I19" s="49"/>
      <c r="J19" s="49"/>
      <c r="P19" s="49"/>
    </row>
    <row r="20" customFormat="false" ht="12.75" hidden="false" customHeight="false" outlineLevel="0" collapsed="false">
      <c r="C20" s="112"/>
      <c r="F20" s="49"/>
      <c r="G20" s="465"/>
      <c r="H20" s="49"/>
      <c r="I20" s="49"/>
      <c r="J20" s="49"/>
      <c r="P20" s="49"/>
    </row>
    <row r="21" customFormat="false" ht="12.75" hidden="false" customHeight="false" outlineLevel="0" collapsed="false">
      <c r="A21" s="636" t="s">
        <v>581</v>
      </c>
      <c r="B21" s="16" t="n">
        <f aca="false">INDEX(B15:B19,B13)</f>
        <v>15</v>
      </c>
      <c r="C21" s="644" t="e">
        <f aca="false">IF($B$21=$B$19,C19,IF($B$21=$B$18,C18,IF($B$21=$B$17,C17,IF($B$21=$B$16,C16,IF($B$21=$B$15,C15,C13)))))</f>
        <v>#VALUE!</v>
      </c>
      <c r="D21" s="644" t="e">
        <f aca="false">IF($B$21=$B$19,D19,IF($B$21=$B$18,D18,IF($B$21=$B$17,D17,IF($B$21=$B$16,D16,IF($B$21=$B$15,D15,D13)))))</f>
        <v>#VALUE!</v>
      </c>
      <c r="F21" s="49"/>
      <c r="G21" s="465"/>
      <c r="H21" s="49"/>
      <c r="I21" s="49"/>
      <c r="J21" s="49"/>
      <c r="P21" s="49"/>
    </row>
    <row r="22" customFormat="false" ht="12.75" hidden="false" customHeight="false" outlineLevel="0" collapsed="false">
      <c r="H22" s="49"/>
      <c r="I22" s="465"/>
      <c r="J22" s="49"/>
      <c r="R22" s="49"/>
    </row>
    <row r="23" customFormat="false" ht="12.75" hidden="false" customHeight="false" outlineLevel="0" collapsed="false">
      <c r="A23" s="9" t="s">
        <v>582</v>
      </c>
      <c r="B23" s="0" t="s">
        <v>583</v>
      </c>
      <c r="D23" s="100" t="s">
        <v>584</v>
      </c>
      <c r="E23" s="645"/>
      <c r="H23" s="49"/>
      <c r="I23" s="49"/>
      <c r="J23" s="49"/>
      <c r="R23" s="49"/>
    </row>
    <row r="24" customFormat="false" ht="12.75" hidden="false" customHeight="false" outlineLevel="0" collapsed="false">
      <c r="B24" s="0" t="n">
        <v>1</v>
      </c>
      <c r="C24" s="443"/>
      <c r="D24" s="105"/>
      <c r="E24" s="646" t="n">
        <v>1</v>
      </c>
      <c r="R24" s="49"/>
    </row>
    <row r="25" customFormat="false" ht="12.75" hidden="false" customHeight="false" outlineLevel="0" collapsed="false">
      <c r="A25" s="0" t="n">
        <v>1</v>
      </c>
      <c r="B25" s="0" t="n">
        <v>70</v>
      </c>
      <c r="C25" s="443"/>
      <c r="D25" s="105" t="n">
        <v>1</v>
      </c>
      <c r="E25" s="646" t="s">
        <v>585</v>
      </c>
      <c r="R25" s="49"/>
    </row>
    <row r="26" customFormat="false" ht="12.75" hidden="false" customHeight="false" outlineLevel="0" collapsed="false">
      <c r="A26" s="0" t="n">
        <v>2</v>
      </c>
      <c r="B26" s="112" t="n">
        <v>110</v>
      </c>
      <c r="C26" s="443"/>
      <c r="D26" s="105" t="n">
        <v>2</v>
      </c>
      <c r="E26" s="646" t="s">
        <v>586</v>
      </c>
      <c r="R26" s="49"/>
    </row>
    <row r="27" customFormat="false" ht="12.75" hidden="false" customHeight="false" outlineLevel="0" collapsed="false">
      <c r="A27" s="0" t="n">
        <v>3</v>
      </c>
      <c r="B27" s="0" t="n">
        <v>200</v>
      </c>
      <c r="C27" s="443"/>
      <c r="D27" s="105" t="n">
        <v>3</v>
      </c>
      <c r="E27" s="646" t="s">
        <v>587</v>
      </c>
      <c r="R27" s="49"/>
    </row>
    <row r="28" customFormat="false" ht="12.75" hidden="false" customHeight="false" outlineLevel="0" collapsed="false">
      <c r="A28" s="0" t="n">
        <v>4</v>
      </c>
      <c r="B28" s="0" t="n">
        <v>250</v>
      </c>
      <c r="C28" s="443"/>
      <c r="D28" s="105" t="n">
        <v>4</v>
      </c>
      <c r="E28" s="646" t="s">
        <v>588</v>
      </c>
      <c r="R28" s="49"/>
    </row>
    <row r="29" customFormat="false" ht="12.75" hidden="false" customHeight="false" outlineLevel="0" collapsed="false">
      <c r="D29" s="105"/>
      <c r="E29" s="646"/>
    </row>
    <row r="30" customFormat="false" ht="12.75" hidden="false" customHeight="false" outlineLevel="0" collapsed="false">
      <c r="A30" s="636" t="s">
        <v>581</v>
      </c>
      <c r="B30" s="637" t="n">
        <f aca="false">INDEX(B25:B28,B24)</f>
        <v>70</v>
      </c>
      <c r="C30" s="443"/>
      <c r="D30" s="109" t="s">
        <v>581</v>
      </c>
      <c r="E30" s="111" t="str">
        <f aca="false">INDEX(E25:E28,E24)</f>
        <v>Michigan</v>
      </c>
    </row>
    <row r="31" customFormat="false" ht="12.75" hidden="false" customHeight="false" outlineLevel="0" collapsed="false">
      <c r="A31" s="49"/>
      <c r="B31" s="292"/>
      <c r="C31" s="443"/>
    </row>
    <row r="32" customFormat="false" ht="12.75" hidden="false" customHeight="false" outlineLevel="0" collapsed="false">
      <c r="B32" s="0" t="n">
        <v>2</v>
      </c>
    </row>
    <row r="33" customFormat="false" ht="51" hidden="false" customHeight="false" outlineLevel="0" collapsed="false">
      <c r="A33" s="9" t="s">
        <v>589</v>
      </c>
      <c r="B33" s="9" t="s">
        <v>590</v>
      </c>
      <c r="C33" s="9" t="s">
        <v>555</v>
      </c>
      <c r="D33" s="9" t="s">
        <v>556</v>
      </c>
      <c r="E33" s="9" t="s">
        <v>557</v>
      </c>
      <c r="F33" s="9" t="s">
        <v>558</v>
      </c>
      <c r="G33" s="9" t="s">
        <v>559</v>
      </c>
      <c r="H33" s="9" t="s">
        <v>560</v>
      </c>
      <c r="I33" s="647" t="s">
        <v>561</v>
      </c>
      <c r="J33" s="647" t="s">
        <v>591</v>
      </c>
      <c r="K33" s="9" t="s">
        <v>563</v>
      </c>
      <c r="L33" s="9" t="s">
        <v>564</v>
      </c>
      <c r="M33" s="9" t="s">
        <v>565</v>
      </c>
      <c r="N33" s="9" t="s">
        <v>566</v>
      </c>
      <c r="O33" s="5" t="s">
        <v>567</v>
      </c>
      <c r="P33" s="5" t="s">
        <v>568</v>
      </c>
      <c r="Q33" s="5" t="s">
        <v>569</v>
      </c>
      <c r="R33" s="5" t="s">
        <v>570</v>
      </c>
      <c r="S33" s="5" t="s">
        <v>592</v>
      </c>
      <c r="T33" s="5" t="s">
        <v>593</v>
      </c>
      <c r="V33" s="9"/>
      <c r="W33" s="9"/>
    </row>
    <row r="34" customFormat="false" ht="12.75" hidden="false" customHeight="false" outlineLevel="0" collapsed="false">
      <c r="A34" s="0" t="n">
        <v>1</v>
      </c>
      <c r="B34" s="0" t="s">
        <v>594</v>
      </c>
      <c r="C34" s="91" t="n">
        <f aca="false">D34</f>
        <v>259.617</v>
      </c>
      <c r="D34" s="91" t="n">
        <v>259.617</v>
      </c>
      <c r="E34" s="292" t="n">
        <f aca="false">7026*1.11</f>
        <v>7798.86</v>
      </c>
      <c r="F34" s="648" t="n">
        <f aca="false">F5</f>
        <v>0.02</v>
      </c>
      <c r="G34" s="648" t="n">
        <f aca="false">G5</f>
        <v>0.02</v>
      </c>
      <c r="H34" s="649" t="n">
        <f aca="false">H5</f>
        <v>16000</v>
      </c>
      <c r="I34" s="649" t="n">
        <f aca="false">I5</f>
        <v>20</v>
      </c>
      <c r="J34" s="292" t="n">
        <f aca="false">((111169000-62760000)*Assumptions!E31)/1000</f>
        <v>71161.23</v>
      </c>
      <c r="K34" s="0" t="n">
        <v>0</v>
      </c>
      <c r="L34" s="292" t="n">
        <v>3000</v>
      </c>
      <c r="M34" s="0" t="n">
        <v>0</v>
      </c>
      <c r="N34" s="0" t="n">
        <v>0.1</v>
      </c>
      <c r="P34" s="443" t="n">
        <v>1</v>
      </c>
      <c r="S34" s="0" t="n">
        <v>30</v>
      </c>
      <c r="T34" s="0" t="n">
        <v>4210.10712235046</v>
      </c>
    </row>
    <row r="35" customFormat="false" ht="12.75" hidden="false" customHeight="false" outlineLevel="0" collapsed="false">
      <c r="A35" s="0" t="n">
        <v>2</v>
      </c>
      <c r="B35" s="0" t="s">
        <v>595</v>
      </c>
      <c r="C35" s="91" t="n">
        <f aca="false">C10</f>
        <v>324</v>
      </c>
      <c r="D35" s="91" t="n">
        <f aca="false">D10</f>
        <v>312</v>
      </c>
      <c r="E35" s="649" t="n">
        <f aca="false">E10</f>
        <v>11960</v>
      </c>
      <c r="F35" s="648" t="n">
        <f aca="false">F10</f>
        <v>0.02</v>
      </c>
      <c r="G35" s="648" t="n">
        <f aca="false">G10</f>
        <v>0.02</v>
      </c>
      <c r="H35" s="637" t="n">
        <f aca="false">H10</f>
        <v>16000</v>
      </c>
      <c r="I35" s="649" t="n">
        <f aca="false">I10</f>
        <v>20</v>
      </c>
      <c r="J35" s="649" t="n">
        <v>0</v>
      </c>
      <c r="K35" s="0" t="n">
        <v>0</v>
      </c>
      <c r="M35" s="0" t="n">
        <v>0</v>
      </c>
      <c r="S35" s="649" t="n">
        <f aca="false">B30</f>
        <v>70</v>
      </c>
    </row>
    <row r="36" customFormat="false" ht="12.75" hidden="false" customHeight="false" outlineLevel="0" collapsed="false">
      <c r="A36" s="16" t="s">
        <v>581</v>
      </c>
      <c r="B36" s="16" t="str">
        <f aca="false">INDEX(B34:B35,B32)</f>
        <v>Simple Cycle</v>
      </c>
      <c r="C36" s="650" t="n">
        <f aca="false">IF($B$36=$B$34,C34,C35)</f>
        <v>324</v>
      </c>
      <c r="D36" s="650" t="n">
        <f aca="false">IF($B$36=$B$34,D34,D35)</f>
        <v>312</v>
      </c>
      <c r="E36" s="637" t="n">
        <f aca="false">IF($B$36=$B$34,E34,E35)</f>
        <v>11960</v>
      </c>
      <c r="F36" s="651" t="n">
        <f aca="false">IF($B$36=$B$34,F34,F35)</f>
        <v>0.02</v>
      </c>
      <c r="G36" s="651" t="n">
        <f aca="false">IF($B$36=$B$34,G34,G35)</f>
        <v>0.02</v>
      </c>
      <c r="H36" s="637" t="n">
        <f aca="false">IF($B$36=$B$34,H34,H35)</f>
        <v>16000</v>
      </c>
      <c r="I36" s="16" t="n">
        <f aca="false">IF($B$36=$B$34,I34,I35)</f>
        <v>20</v>
      </c>
      <c r="J36" s="637" t="n">
        <f aca="false">IF($B$36=$B$34,J34,J35)</f>
        <v>0</v>
      </c>
      <c r="K36" s="16" t="n">
        <f aca="false">IF($B$36=$B$34,K34,K35)</f>
        <v>0</v>
      </c>
      <c r="L36" s="637" t="n">
        <f aca="false">IF($B$36=$B$34,L34,L35)</f>
        <v>0</v>
      </c>
      <c r="M36" s="16" t="n">
        <f aca="false">IF($B$36=$B$34,M34,M35)</f>
        <v>0</v>
      </c>
      <c r="N36" s="16" t="n">
        <f aca="false">IF($B$36=$B$34,N34,N35)</f>
        <v>0</v>
      </c>
      <c r="O36" s="16" t="n">
        <f aca="false">IF($B$36=$B$34,O34,O35)</f>
        <v>0</v>
      </c>
      <c r="P36" s="651" t="n">
        <f aca="false">IF($B$36=$B$34,P34,P35)</f>
        <v>0</v>
      </c>
      <c r="Q36" s="16" t="n">
        <f aca="false">IF($B$36=$B$34,Q34,Q35)</f>
        <v>0</v>
      </c>
      <c r="R36" s="16" t="n">
        <f aca="false">IF($B$36=$B$34,R34,R35)</f>
        <v>0</v>
      </c>
      <c r="S36" s="16" t="n">
        <f aca="false">IF($B$36=$B$34,S34,S35)</f>
        <v>70</v>
      </c>
      <c r="T36" s="16" t="n">
        <f aca="false">IF($B$36=$B$34,T34,T35)</f>
        <v>0</v>
      </c>
    </row>
    <row r="39" customFormat="false" ht="12.75" hidden="false" customHeight="false" outlineLevel="0" collapsed="false">
      <c r="A39" s="9" t="s">
        <v>596</v>
      </c>
      <c r="B39" s="0" t="n">
        <v>1</v>
      </c>
      <c r="C39" s="0" t="n">
        <v>2</v>
      </c>
      <c r="D39" s="0" t="n">
        <v>3</v>
      </c>
      <c r="E39" s="0" t="n">
        <v>4</v>
      </c>
      <c r="F39" s="0" t="n">
        <v>5</v>
      </c>
      <c r="G39" s="0" t="n">
        <v>6</v>
      </c>
      <c r="H39" s="0" t="n">
        <v>7</v>
      </c>
      <c r="I39" s="0" t="n">
        <v>8</v>
      </c>
      <c r="J39" s="0" t="n">
        <v>9</v>
      </c>
      <c r="K39" s="0" t="n">
        <v>10</v>
      </c>
      <c r="L39" s="0" t="n">
        <v>11</v>
      </c>
      <c r="M39" s="0" t="n">
        <v>12</v>
      </c>
      <c r="N39" s="0" t="n">
        <v>13</v>
      </c>
      <c r="O39" s="0" t="n">
        <v>14</v>
      </c>
      <c r="P39" s="0" t="n">
        <v>15</v>
      </c>
      <c r="Q39" s="0" t="n">
        <v>16</v>
      </c>
      <c r="R39" s="0" t="n">
        <v>17</v>
      </c>
      <c r="S39" s="0" t="n">
        <v>18</v>
      </c>
      <c r="T39" s="0" t="n">
        <v>19</v>
      </c>
      <c r="U39" s="0" t="n">
        <v>20</v>
      </c>
      <c r="V39" s="0" t="n">
        <v>21</v>
      </c>
      <c r="W39" s="0" t="n">
        <v>22</v>
      </c>
      <c r="X39" s="0" t="n">
        <v>23</v>
      </c>
      <c r="Y39" s="0" t="n">
        <v>24</v>
      </c>
      <c r="Z39" s="0" t="n">
        <v>25</v>
      </c>
      <c r="AA39" s="0" t="n">
        <v>26</v>
      </c>
    </row>
    <row r="40" customFormat="false" ht="12.75" hidden="false" customHeight="false" outlineLevel="0" collapsed="false">
      <c r="A40" s="9" t="s">
        <v>597</v>
      </c>
      <c r="B40" s="9" t="n">
        <v>1999</v>
      </c>
      <c r="C40" s="9" t="n">
        <v>2000</v>
      </c>
      <c r="D40" s="9" t="n">
        <v>2001</v>
      </c>
      <c r="E40" s="9" t="n">
        <v>2002</v>
      </c>
      <c r="F40" s="9" t="n">
        <v>2003</v>
      </c>
      <c r="G40" s="9" t="n">
        <v>2004</v>
      </c>
      <c r="H40" s="9" t="n">
        <v>2005</v>
      </c>
      <c r="I40" s="9" t="n">
        <v>2006</v>
      </c>
      <c r="J40" s="9" t="n">
        <v>2007</v>
      </c>
      <c r="K40" s="9" t="n">
        <v>2008</v>
      </c>
      <c r="L40" s="9" t="n">
        <v>2009</v>
      </c>
      <c r="M40" s="9" t="n">
        <v>2010</v>
      </c>
      <c r="N40" s="9" t="n">
        <v>2011</v>
      </c>
      <c r="O40" s="9" t="n">
        <v>2012</v>
      </c>
      <c r="P40" s="9" t="n">
        <v>2013</v>
      </c>
      <c r="Q40" s="9" t="n">
        <v>2014</v>
      </c>
      <c r="R40" s="9" t="n">
        <v>2015</v>
      </c>
      <c r="S40" s="9" t="n">
        <v>2016</v>
      </c>
      <c r="T40" s="9" t="n">
        <v>2017</v>
      </c>
      <c r="U40" s="9" t="n">
        <v>2018</v>
      </c>
      <c r="V40" s="9" t="n">
        <v>2019</v>
      </c>
      <c r="W40" s="9" t="n">
        <v>2020</v>
      </c>
      <c r="X40" s="9" t="n">
        <v>2021</v>
      </c>
      <c r="Y40" s="9" t="n">
        <v>2022</v>
      </c>
      <c r="Z40" s="9" t="n">
        <v>2023</v>
      </c>
      <c r="AA40" s="9" t="n">
        <v>2024</v>
      </c>
      <c r="AC40" s="9"/>
      <c r="AD40" s="9"/>
      <c r="AE40" s="9"/>
      <c r="AF40" s="9"/>
      <c r="AG40" s="9"/>
    </row>
    <row r="41" customFormat="false" ht="12.75" hidden="false" customHeight="false" outlineLevel="0" collapsed="false">
      <c r="A41" s="0" t="s">
        <v>598</v>
      </c>
      <c r="B41" s="652" t="n">
        <v>0.2512</v>
      </c>
      <c r="C41" s="652" t="n">
        <v>0.2512</v>
      </c>
      <c r="D41" s="652" t="n">
        <v>0.2512</v>
      </c>
      <c r="E41" s="652" t="n">
        <v>0.2512</v>
      </c>
      <c r="F41" s="652" t="n">
        <v>0.2512</v>
      </c>
      <c r="G41" s="652" t="n">
        <v>0.2512</v>
      </c>
      <c r="H41" s="652" t="n">
        <v>0.2512</v>
      </c>
      <c r="I41" s="652" t="n">
        <v>0.2512</v>
      </c>
      <c r="J41" s="652" t="n">
        <v>0.2512</v>
      </c>
      <c r="K41" s="652" t="n">
        <v>0.2512</v>
      </c>
      <c r="L41" s="652" t="n">
        <v>0.2512</v>
      </c>
      <c r="M41" s="652" t="n">
        <v>0.2512</v>
      </c>
      <c r="N41" s="652" t="n">
        <v>0.2512</v>
      </c>
      <c r="O41" s="652" t="n">
        <v>0.2512</v>
      </c>
      <c r="P41" s="652" t="n">
        <v>0.2512</v>
      </c>
      <c r="Q41" s="652" t="n">
        <v>0.2512</v>
      </c>
      <c r="R41" s="652" t="n">
        <v>0.2512</v>
      </c>
      <c r="S41" s="652" t="n">
        <v>0.2512</v>
      </c>
      <c r="T41" s="652" t="n">
        <v>0.2512</v>
      </c>
      <c r="U41" s="652" t="n">
        <v>0.2512</v>
      </c>
      <c r="V41" s="652" t="n">
        <v>0.2512</v>
      </c>
      <c r="W41" s="652" t="n">
        <v>0.2512</v>
      </c>
      <c r="X41" s="652" t="n">
        <v>0.2512</v>
      </c>
      <c r="Y41" s="652" t="n">
        <v>0.2512</v>
      </c>
      <c r="Z41" s="652" t="n">
        <v>0.2512</v>
      </c>
      <c r="AA41" s="652" t="n">
        <v>0.2512</v>
      </c>
      <c r="AC41" s="443"/>
      <c r="AD41" s="443"/>
      <c r="AE41" s="443"/>
      <c r="AF41" s="443"/>
      <c r="AG41" s="443"/>
    </row>
    <row r="42" customFormat="false" ht="12.75" hidden="false" customHeight="false" outlineLevel="0" collapsed="false">
      <c r="A42" s="0" t="s">
        <v>599</v>
      </c>
      <c r="B42" s="653" t="n">
        <v>-0.01</v>
      </c>
      <c r="C42" s="653" t="n">
        <f aca="false">-0.03</f>
        <v>-0.03</v>
      </c>
      <c r="D42" s="653" t="n">
        <f aca="false">-0.05</f>
        <v>-0.05</v>
      </c>
      <c r="E42" s="653" t="n">
        <f aca="false">-7%</f>
        <v>-0.07</v>
      </c>
      <c r="F42" s="652" t="n">
        <f aca="false">$E$42</f>
        <v>-0.07</v>
      </c>
      <c r="G42" s="652" t="n">
        <f aca="false">$E$42</f>
        <v>-0.07</v>
      </c>
      <c r="H42" s="652" t="n">
        <f aca="false">$E$42</f>
        <v>-0.07</v>
      </c>
      <c r="I42" s="652" t="n">
        <f aca="false">$E$42</f>
        <v>-0.07</v>
      </c>
      <c r="J42" s="652" t="n">
        <f aca="false">$E$42</f>
        <v>-0.07</v>
      </c>
      <c r="K42" s="652" t="n">
        <f aca="false">$E$42</f>
        <v>-0.07</v>
      </c>
      <c r="L42" s="652" t="n">
        <f aca="false">$E$42</f>
        <v>-0.07</v>
      </c>
      <c r="M42" s="652" t="n">
        <f aca="false">$E$42</f>
        <v>-0.07</v>
      </c>
      <c r="N42" s="652" t="n">
        <f aca="false">$E$42</f>
        <v>-0.07</v>
      </c>
      <c r="O42" s="652" t="n">
        <f aca="false">$E$42</f>
        <v>-0.07</v>
      </c>
      <c r="P42" s="652" t="n">
        <f aca="false">$E$42</f>
        <v>-0.07</v>
      </c>
      <c r="Q42" s="652" t="n">
        <f aca="false">$E$42</f>
        <v>-0.07</v>
      </c>
      <c r="R42" s="652" t="n">
        <f aca="false">$E$42</f>
        <v>-0.07</v>
      </c>
      <c r="S42" s="652" t="n">
        <f aca="false">$E$42</f>
        <v>-0.07</v>
      </c>
      <c r="T42" s="652" t="n">
        <f aca="false">$E$42</f>
        <v>-0.07</v>
      </c>
      <c r="U42" s="652" t="n">
        <f aca="false">$E$42</f>
        <v>-0.07</v>
      </c>
      <c r="V42" s="652" t="n">
        <f aca="false">$E$42</f>
        <v>-0.07</v>
      </c>
      <c r="W42" s="652" t="n">
        <f aca="false">$E$42</f>
        <v>-0.07</v>
      </c>
      <c r="X42" s="652" t="n">
        <f aca="false">$E$42</f>
        <v>-0.07</v>
      </c>
      <c r="Y42" s="652" t="n">
        <f aca="false">$E$42</f>
        <v>-0.07</v>
      </c>
      <c r="Z42" s="652" t="n">
        <f aca="false">$E$42</f>
        <v>-0.07</v>
      </c>
      <c r="AA42" s="652" t="n">
        <f aca="false">$E$42</f>
        <v>-0.07</v>
      </c>
      <c r="AC42" s="443"/>
      <c r="AD42" s="443"/>
      <c r="AE42" s="443"/>
      <c r="AF42" s="443"/>
      <c r="AG42" s="443"/>
    </row>
    <row r="43" customFormat="false" ht="12.75" hidden="false" customHeight="false" outlineLevel="0" collapsed="false">
      <c r="A43" s="0" t="s">
        <v>600</v>
      </c>
      <c r="B43" s="654" t="n">
        <f aca="false">SUM(B41:B42)</f>
        <v>0.2412</v>
      </c>
      <c r="C43" s="655" t="n">
        <f aca="false">SUM(C41:C42)</f>
        <v>0.2212</v>
      </c>
      <c r="D43" s="655" t="n">
        <f aca="false">SUM(D41:D42)</f>
        <v>0.2012</v>
      </c>
      <c r="E43" s="655" t="n">
        <f aca="false">SUM(E41:E42)</f>
        <v>0.1812</v>
      </c>
      <c r="F43" s="655" t="n">
        <f aca="false">SUM(F41:F42)</f>
        <v>0.1812</v>
      </c>
      <c r="G43" s="655" t="n">
        <f aca="false">SUM(G41:G42)</f>
        <v>0.1812</v>
      </c>
      <c r="H43" s="655" t="n">
        <f aca="false">SUM(H41:H42)</f>
        <v>0.1812</v>
      </c>
      <c r="I43" s="655" t="n">
        <f aca="false">SUM(I41:I42)</f>
        <v>0.1812</v>
      </c>
      <c r="J43" s="655" t="n">
        <f aca="false">SUM(J41:J42)</f>
        <v>0.1812</v>
      </c>
      <c r="K43" s="655" t="n">
        <f aca="false">SUM(K41:K42)</f>
        <v>0.1812</v>
      </c>
      <c r="L43" s="655" t="n">
        <f aca="false">SUM(L41:L42)</f>
        <v>0.1812</v>
      </c>
      <c r="M43" s="655" t="n">
        <f aca="false">SUM(M41:M42)</f>
        <v>0.1812</v>
      </c>
      <c r="N43" s="655" t="n">
        <f aca="false">SUM(N41:N42)</f>
        <v>0.1812</v>
      </c>
      <c r="O43" s="655" t="n">
        <f aca="false">SUM(O41:O42)</f>
        <v>0.1812</v>
      </c>
      <c r="P43" s="655" t="n">
        <f aca="false">SUM(P41:P42)</f>
        <v>0.1812</v>
      </c>
      <c r="Q43" s="655" t="n">
        <f aca="false">SUM(Q41:Q42)</f>
        <v>0.1812</v>
      </c>
      <c r="R43" s="655" t="n">
        <f aca="false">SUM(R41:R42)</f>
        <v>0.1812</v>
      </c>
      <c r="S43" s="655" t="n">
        <f aca="false">SUM(S41:S42)</f>
        <v>0.1812</v>
      </c>
      <c r="T43" s="655" t="n">
        <f aca="false">SUM(T41:T42)</f>
        <v>0.1812</v>
      </c>
      <c r="U43" s="655" t="n">
        <f aca="false">SUM(U41:U42)</f>
        <v>0.1812</v>
      </c>
      <c r="V43" s="655" t="n">
        <f aca="false">SUM(V41:V42)</f>
        <v>0.1812</v>
      </c>
      <c r="W43" s="655" t="n">
        <f aca="false">SUM(W41:W42)</f>
        <v>0.1812</v>
      </c>
      <c r="X43" s="655" t="n">
        <f aca="false">SUM(X41:X42)</f>
        <v>0.1812</v>
      </c>
      <c r="Y43" s="655" t="n">
        <f aca="false">SUM(Y41:Y42)</f>
        <v>0.1812</v>
      </c>
      <c r="Z43" s="655" t="n">
        <f aca="false">SUM(Z41:Z42)</f>
        <v>0.1812</v>
      </c>
      <c r="AA43" s="655" t="n">
        <f aca="false">SUM(AA41:AA42)</f>
        <v>0.1812</v>
      </c>
      <c r="AC43" s="440"/>
      <c r="AD43" s="440"/>
      <c r="AE43" s="440"/>
      <c r="AF43" s="440"/>
      <c r="AG43" s="440"/>
    </row>
    <row r="44" customFormat="false" ht="12.75" hidden="false" customHeight="false" outlineLevel="0" collapsed="false">
      <c r="A44" s="0" t="s">
        <v>256</v>
      </c>
      <c r="B44" s="653" t="n">
        <v>0.04</v>
      </c>
      <c r="C44" s="652" t="n">
        <f aca="false">$B$44</f>
        <v>0.04</v>
      </c>
      <c r="D44" s="652" t="n">
        <f aca="false">$B$44</f>
        <v>0.04</v>
      </c>
      <c r="E44" s="652" t="n">
        <f aca="false">$B$44</f>
        <v>0.04</v>
      </c>
      <c r="F44" s="652" t="n">
        <f aca="false">$B$44</f>
        <v>0.04</v>
      </c>
      <c r="G44" s="652" t="n">
        <f aca="false">$B$44</f>
        <v>0.04</v>
      </c>
      <c r="H44" s="652" t="n">
        <f aca="false">$B$44</f>
        <v>0.04</v>
      </c>
      <c r="I44" s="652" t="n">
        <f aca="false">$B$44</f>
        <v>0.04</v>
      </c>
      <c r="J44" s="652" t="n">
        <f aca="false">$B$44</f>
        <v>0.04</v>
      </c>
      <c r="K44" s="652" t="n">
        <f aca="false">$B$44</f>
        <v>0.04</v>
      </c>
      <c r="L44" s="652" t="n">
        <f aca="false">$B$44</f>
        <v>0.04</v>
      </c>
      <c r="M44" s="652" t="n">
        <f aca="false">$B$44</f>
        <v>0.04</v>
      </c>
      <c r="N44" s="652" t="n">
        <f aca="false">$B$44</f>
        <v>0.04</v>
      </c>
      <c r="O44" s="652" t="n">
        <f aca="false">$B$44</f>
        <v>0.04</v>
      </c>
      <c r="P44" s="652" t="n">
        <f aca="false">$B$44</f>
        <v>0.04</v>
      </c>
      <c r="Q44" s="652" t="n">
        <f aca="false">$B$44</f>
        <v>0.04</v>
      </c>
      <c r="R44" s="652" t="n">
        <f aca="false">$B$44</f>
        <v>0.04</v>
      </c>
      <c r="S44" s="652" t="n">
        <f aca="false">$B$44</f>
        <v>0.04</v>
      </c>
      <c r="T44" s="652" t="n">
        <f aca="false">$B$44</f>
        <v>0.04</v>
      </c>
      <c r="U44" s="652" t="n">
        <f aca="false">$B$44</f>
        <v>0.04</v>
      </c>
      <c r="V44" s="652" t="n">
        <f aca="false">$B$44</f>
        <v>0.04</v>
      </c>
      <c r="W44" s="652" t="n">
        <f aca="false">$B$44</f>
        <v>0.04</v>
      </c>
      <c r="X44" s="652" t="n">
        <f aca="false">$B$44</f>
        <v>0.04</v>
      </c>
      <c r="Y44" s="652" t="n">
        <f aca="false">$B$44</f>
        <v>0.04</v>
      </c>
      <c r="Z44" s="652" t="n">
        <f aca="false">$B$44</f>
        <v>0.04</v>
      </c>
      <c r="AA44" s="652" t="n">
        <f aca="false">$B$44</f>
        <v>0.04</v>
      </c>
    </row>
    <row r="45" customFormat="false" ht="12.75" hidden="false" customHeight="false" outlineLevel="0" collapsed="false">
      <c r="A45" s="0" t="s">
        <v>601</v>
      </c>
      <c r="B45" s="656" t="n">
        <v>0.00225</v>
      </c>
      <c r="C45" s="656" t="n">
        <f aca="false">$B$45</f>
        <v>0.00225</v>
      </c>
      <c r="D45" s="657" t="n">
        <f aca="false">$B$45</f>
        <v>0.00225</v>
      </c>
      <c r="E45" s="657" t="n">
        <f aca="false">$B$45</f>
        <v>0.00225</v>
      </c>
      <c r="F45" s="657" t="n">
        <f aca="false">$B$45</f>
        <v>0.00225</v>
      </c>
      <c r="G45" s="657" t="n">
        <f aca="false">$B$45</f>
        <v>0.00225</v>
      </c>
      <c r="H45" s="657" t="n">
        <f aca="false">$B$45</f>
        <v>0.00225</v>
      </c>
      <c r="I45" s="657" t="n">
        <f aca="false">$B$45</f>
        <v>0.00225</v>
      </c>
      <c r="J45" s="657" t="n">
        <f aca="false">$B$45</f>
        <v>0.00225</v>
      </c>
      <c r="K45" s="657" t="n">
        <f aca="false">$B$45</f>
        <v>0.00225</v>
      </c>
      <c r="L45" s="657" t="n">
        <f aca="false">$B$45</f>
        <v>0.00225</v>
      </c>
      <c r="M45" s="657" t="n">
        <f aca="false">$B$45</f>
        <v>0.00225</v>
      </c>
      <c r="N45" s="657" t="n">
        <f aca="false">$B$45</f>
        <v>0.00225</v>
      </c>
      <c r="O45" s="657" t="n">
        <f aca="false">$B$45</f>
        <v>0.00225</v>
      </c>
      <c r="P45" s="657" t="n">
        <f aca="false">$B$45</f>
        <v>0.00225</v>
      </c>
      <c r="Q45" s="657" t="n">
        <f aca="false">$B$45</f>
        <v>0.00225</v>
      </c>
      <c r="R45" s="657" t="n">
        <f aca="false">$B$45</f>
        <v>0.00225</v>
      </c>
      <c r="S45" s="657" t="n">
        <f aca="false">$B$45</f>
        <v>0.00225</v>
      </c>
      <c r="T45" s="657" t="n">
        <f aca="false">$B$45</f>
        <v>0.00225</v>
      </c>
      <c r="U45" s="657" t="n">
        <f aca="false">$B$45</f>
        <v>0.00225</v>
      </c>
      <c r="V45" s="657" t="n">
        <f aca="false">$B$45</f>
        <v>0.00225</v>
      </c>
      <c r="W45" s="657" t="n">
        <f aca="false">$B$45</f>
        <v>0.00225</v>
      </c>
      <c r="X45" s="657" t="n">
        <f aca="false">$B$45</f>
        <v>0.00225</v>
      </c>
      <c r="Y45" s="657" t="n">
        <f aca="false">$B$45</f>
        <v>0.00225</v>
      </c>
      <c r="Z45" s="657" t="n">
        <f aca="false">$B$45</f>
        <v>0.00225</v>
      </c>
      <c r="AA45" s="657" t="n">
        <f aca="false">$B$45</f>
        <v>0.00225</v>
      </c>
      <c r="AB45" s="657"/>
    </row>
    <row r="46" customFormat="false" ht="12.75" hidden="false" customHeight="false" outlineLevel="0" collapsed="false">
      <c r="B46" s="656"/>
      <c r="C46" s="656"/>
      <c r="D46" s="657"/>
      <c r="E46" s="657"/>
      <c r="F46" s="657"/>
      <c r="G46" s="657"/>
      <c r="H46" s="657"/>
      <c r="I46" s="657"/>
      <c r="J46" s="657"/>
      <c r="K46" s="657"/>
      <c r="L46" s="657"/>
      <c r="M46" s="657"/>
      <c r="N46" s="657"/>
      <c r="O46" s="657"/>
      <c r="P46" s="657"/>
      <c r="Q46" s="657"/>
      <c r="R46" s="657"/>
      <c r="S46" s="657"/>
      <c r="T46" s="657"/>
      <c r="U46" s="657"/>
      <c r="V46" s="657"/>
      <c r="W46" s="657"/>
      <c r="X46" s="657"/>
      <c r="Y46" s="657"/>
      <c r="Z46" s="657"/>
      <c r="AA46" s="657"/>
      <c r="AB46" s="657"/>
    </row>
    <row r="47" customFormat="false" ht="12.75" hidden="false" customHeight="false" outlineLevel="0" collapsed="false">
      <c r="A47" s="9" t="s">
        <v>602</v>
      </c>
      <c r="B47" s="292" t="n">
        <v>2</v>
      </c>
      <c r="C47" s="656"/>
      <c r="D47" s="657"/>
      <c r="E47" s="657"/>
      <c r="F47" s="657"/>
      <c r="G47" s="657"/>
      <c r="H47" s="657"/>
      <c r="I47" s="657"/>
      <c r="J47" s="657"/>
      <c r="K47" s="657"/>
      <c r="L47" s="657"/>
      <c r="M47" s="657"/>
      <c r="N47" s="657"/>
      <c r="O47" s="657"/>
      <c r="P47" s="657"/>
      <c r="Q47" s="657"/>
      <c r="R47" s="657"/>
      <c r="S47" s="657"/>
      <c r="T47" s="657"/>
      <c r="U47" s="657"/>
      <c r="V47" s="657"/>
      <c r="W47" s="657"/>
      <c r="X47" s="657"/>
      <c r="Y47" s="657"/>
      <c r="Z47" s="657"/>
      <c r="AA47" s="657"/>
      <c r="AB47" s="657"/>
    </row>
    <row r="48" customFormat="false" ht="12.75" hidden="false" customHeight="false" outlineLevel="0" collapsed="false">
      <c r="A48" s="0" t="n">
        <v>1</v>
      </c>
      <c r="B48" s="656" t="s">
        <v>603</v>
      </c>
      <c r="C48" s="656"/>
      <c r="D48" s="657"/>
      <c r="E48" s="657"/>
      <c r="F48" s="657"/>
      <c r="G48" s="657"/>
      <c r="H48" s="657"/>
      <c r="I48" s="658"/>
      <c r="J48" s="658"/>
      <c r="K48" s="657"/>
      <c r="L48" s="657"/>
      <c r="M48" s="657"/>
      <c r="N48" s="657"/>
      <c r="O48" s="657"/>
      <c r="P48" s="657"/>
      <c r="Q48" s="657"/>
      <c r="R48" s="657"/>
      <c r="S48" s="657"/>
      <c r="T48" s="657"/>
      <c r="U48" s="657"/>
      <c r="V48" s="657"/>
      <c r="W48" s="657"/>
      <c r="X48" s="657"/>
      <c r="Y48" s="657"/>
      <c r="Z48" s="657"/>
      <c r="AA48" s="657"/>
      <c r="AB48" s="657"/>
    </row>
    <row r="49" customFormat="false" ht="12.75" hidden="false" customHeight="false" outlineLevel="0" collapsed="false">
      <c r="A49" s="0" t="n">
        <v>2</v>
      </c>
      <c r="B49" s="0" t="s">
        <v>604</v>
      </c>
    </row>
    <row r="50" customFormat="false" ht="12.75" hidden="false" customHeight="false" outlineLevel="0" collapsed="false">
      <c r="A50" s="9" t="s">
        <v>581</v>
      </c>
      <c r="B50" s="0" t="str">
        <f aca="false">INDEX(B48:B49,B47)</f>
        <v>Ontario</v>
      </c>
    </row>
    <row r="51" customFormat="false" ht="12.75" hidden="false" customHeight="false" outlineLevel="0" collapsed="false">
      <c r="A51" s="9"/>
    </row>
    <row r="52" customFormat="false" ht="12.75" hidden="false" customHeight="false" outlineLevel="0" collapsed="false">
      <c r="A52" s="9" t="s">
        <v>605</v>
      </c>
    </row>
    <row r="53" customFormat="false" ht="12.75" hidden="false" customHeight="false" outlineLevel="0" collapsed="false">
      <c r="A53" s="0" t="s">
        <v>606</v>
      </c>
      <c r="B53" s="659" t="n">
        <v>0.155</v>
      </c>
      <c r="C53" s="655" t="n">
        <f aca="false">$B$53</f>
        <v>0.155</v>
      </c>
      <c r="D53" s="655" t="n">
        <f aca="false">$B$53</f>
        <v>0.155</v>
      </c>
      <c r="E53" s="655" t="n">
        <v>0.145</v>
      </c>
      <c r="F53" s="655" t="n">
        <f aca="false">$E$53</f>
        <v>0.145</v>
      </c>
      <c r="G53" s="655" t="n">
        <f aca="false">$E$53</f>
        <v>0.145</v>
      </c>
      <c r="H53" s="655" t="n">
        <f aca="false">$E$53</f>
        <v>0.145</v>
      </c>
      <c r="I53" s="655" t="n">
        <f aca="false">$E$53</f>
        <v>0.145</v>
      </c>
      <c r="J53" s="655" t="n">
        <f aca="false">$E$53</f>
        <v>0.145</v>
      </c>
      <c r="K53" s="655" t="n">
        <f aca="false">$E$53</f>
        <v>0.145</v>
      </c>
      <c r="L53" s="655" t="n">
        <f aca="false">$E$53</f>
        <v>0.145</v>
      </c>
      <c r="M53" s="655" t="n">
        <f aca="false">$E$53</f>
        <v>0.145</v>
      </c>
      <c r="N53" s="655" t="n">
        <f aca="false">$E$53</f>
        <v>0.145</v>
      </c>
      <c r="O53" s="655" t="n">
        <f aca="false">$E$53</f>
        <v>0.145</v>
      </c>
      <c r="P53" s="655" t="n">
        <f aca="false">$E$53</f>
        <v>0.145</v>
      </c>
      <c r="Q53" s="655" t="n">
        <f aca="false">$E$53</f>
        <v>0.145</v>
      </c>
      <c r="R53" s="655" t="n">
        <f aca="false">$E$53</f>
        <v>0.145</v>
      </c>
      <c r="S53" s="655" t="n">
        <f aca="false">$E$53</f>
        <v>0.145</v>
      </c>
      <c r="T53" s="655" t="n">
        <f aca="false">$E$53</f>
        <v>0.145</v>
      </c>
      <c r="U53" s="655" t="n">
        <f aca="false">$E$53</f>
        <v>0.145</v>
      </c>
      <c r="V53" s="655" t="n">
        <f aca="false">$E$53</f>
        <v>0.145</v>
      </c>
      <c r="W53" s="655" t="n">
        <f aca="false">$E$53</f>
        <v>0.145</v>
      </c>
      <c r="X53" s="655" t="n">
        <f aca="false">$E$53</f>
        <v>0.145</v>
      </c>
      <c r="Y53" s="655" t="n">
        <f aca="false">$E$53</f>
        <v>0.145</v>
      </c>
      <c r="Z53" s="655" t="n">
        <f aca="false">$E$53</f>
        <v>0.145</v>
      </c>
      <c r="AA53" s="655" t="n">
        <f aca="false">$E$53</f>
        <v>0.145</v>
      </c>
      <c r="AC53" s="440"/>
      <c r="AD53" s="440"/>
      <c r="AE53" s="440"/>
      <c r="AF53" s="440"/>
      <c r="AG53" s="440"/>
    </row>
    <row r="54" customFormat="false" ht="12.75" hidden="false" customHeight="false" outlineLevel="0" collapsed="false">
      <c r="A54" s="0" t="s">
        <v>262</v>
      </c>
      <c r="B54" s="660" t="n">
        <v>0</v>
      </c>
      <c r="C54" s="655" t="n">
        <f aca="false">$B$54</f>
        <v>0</v>
      </c>
      <c r="D54" s="655" t="n">
        <f aca="false">$B$54</f>
        <v>0</v>
      </c>
      <c r="E54" s="655" t="n">
        <f aca="false">$B$54</f>
        <v>0</v>
      </c>
      <c r="F54" s="655" t="n">
        <f aca="false">$B$54</f>
        <v>0</v>
      </c>
      <c r="G54" s="655" t="n">
        <f aca="false">$B$54</f>
        <v>0</v>
      </c>
      <c r="H54" s="655" t="n">
        <f aca="false">$B$54</f>
        <v>0</v>
      </c>
      <c r="I54" s="655" t="n">
        <f aca="false">$B$54</f>
        <v>0</v>
      </c>
      <c r="J54" s="655" t="n">
        <f aca="false">$B$54</f>
        <v>0</v>
      </c>
      <c r="K54" s="655" t="n">
        <f aca="false">$B$54</f>
        <v>0</v>
      </c>
      <c r="L54" s="655" t="n">
        <f aca="false">$B$54</f>
        <v>0</v>
      </c>
      <c r="M54" s="655" t="n">
        <f aca="false">$B$54</f>
        <v>0</v>
      </c>
      <c r="N54" s="655" t="n">
        <f aca="false">$B$54</f>
        <v>0</v>
      </c>
      <c r="O54" s="655" t="n">
        <f aca="false">$B$54</f>
        <v>0</v>
      </c>
      <c r="P54" s="655" t="n">
        <f aca="false">$B$54</f>
        <v>0</v>
      </c>
      <c r="Q54" s="655" t="n">
        <f aca="false">$B$54</f>
        <v>0</v>
      </c>
      <c r="R54" s="655" t="n">
        <f aca="false">$B$54</f>
        <v>0</v>
      </c>
      <c r="S54" s="655" t="n">
        <f aca="false">$B$54</f>
        <v>0</v>
      </c>
      <c r="T54" s="655" t="n">
        <f aca="false">$B$54</f>
        <v>0</v>
      </c>
      <c r="U54" s="655" t="n">
        <f aca="false">$B$54</f>
        <v>0</v>
      </c>
      <c r="V54" s="655" t="n">
        <f aca="false">$B$54</f>
        <v>0</v>
      </c>
      <c r="W54" s="655" t="n">
        <f aca="false">$B$54</f>
        <v>0</v>
      </c>
      <c r="X54" s="655" t="n">
        <f aca="false">$B$54</f>
        <v>0</v>
      </c>
      <c r="Y54" s="655" t="n">
        <f aca="false">$B$54</f>
        <v>0</v>
      </c>
      <c r="Z54" s="655" t="n">
        <f aca="false">$B$54</f>
        <v>0</v>
      </c>
      <c r="AA54" s="655" t="n">
        <f aca="false">$B$54</f>
        <v>0</v>
      </c>
      <c r="AC54" s="440"/>
      <c r="AD54" s="440"/>
      <c r="AE54" s="440"/>
      <c r="AF54" s="440"/>
      <c r="AG54" s="440"/>
    </row>
    <row r="55" customFormat="false" ht="12.75" hidden="false" customHeight="false" outlineLevel="0" collapsed="false">
      <c r="A55" s="0" t="s">
        <v>607</v>
      </c>
      <c r="B55" s="660" t="n">
        <v>0</v>
      </c>
      <c r="C55" s="655" t="n">
        <f aca="false">$B$55</f>
        <v>0</v>
      </c>
      <c r="D55" s="655" t="n">
        <f aca="false">$B$55</f>
        <v>0</v>
      </c>
      <c r="E55" s="655" t="n">
        <f aca="false">$B$55</f>
        <v>0</v>
      </c>
      <c r="F55" s="655" t="n">
        <f aca="false">$B$55</f>
        <v>0</v>
      </c>
      <c r="G55" s="655" t="n">
        <f aca="false">$B$55</f>
        <v>0</v>
      </c>
      <c r="H55" s="655" t="n">
        <f aca="false">$B$55</f>
        <v>0</v>
      </c>
      <c r="I55" s="655" t="n">
        <f aca="false">$B$55</f>
        <v>0</v>
      </c>
      <c r="J55" s="655" t="n">
        <f aca="false">$B$55</f>
        <v>0</v>
      </c>
      <c r="K55" s="655" t="n">
        <f aca="false">$B$55</f>
        <v>0</v>
      </c>
      <c r="L55" s="655" t="n">
        <f aca="false">$B$55</f>
        <v>0</v>
      </c>
      <c r="M55" s="655" t="n">
        <f aca="false">$B$55</f>
        <v>0</v>
      </c>
      <c r="N55" s="655" t="n">
        <f aca="false">$B$55</f>
        <v>0</v>
      </c>
      <c r="O55" s="655" t="n">
        <f aca="false">$B$55</f>
        <v>0</v>
      </c>
      <c r="P55" s="655" t="n">
        <f aca="false">$B$55</f>
        <v>0</v>
      </c>
      <c r="Q55" s="655" t="n">
        <f aca="false">$B$55</f>
        <v>0</v>
      </c>
      <c r="R55" s="655" t="n">
        <f aca="false">$B$55</f>
        <v>0</v>
      </c>
      <c r="S55" s="655" t="n">
        <f aca="false">$B$55</f>
        <v>0</v>
      </c>
      <c r="T55" s="655" t="n">
        <f aca="false">$B$55</f>
        <v>0</v>
      </c>
      <c r="U55" s="655" t="n">
        <f aca="false">$B$55</f>
        <v>0</v>
      </c>
      <c r="V55" s="655" t="n">
        <f aca="false">$B$55</f>
        <v>0</v>
      </c>
      <c r="W55" s="655" t="n">
        <f aca="false">$B$55</f>
        <v>0</v>
      </c>
      <c r="X55" s="655" t="n">
        <f aca="false">$B$55</f>
        <v>0</v>
      </c>
      <c r="Y55" s="655" t="n">
        <f aca="false">$B$55</f>
        <v>0</v>
      </c>
      <c r="Z55" s="655" t="n">
        <f aca="false">$B$55</f>
        <v>0</v>
      </c>
      <c r="AA55" s="655" t="n">
        <f aca="false">$B$55</f>
        <v>0</v>
      </c>
      <c r="AC55" s="440"/>
      <c r="AD55" s="440"/>
      <c r="AE55" s="440"/>
      <c r="AF55" s="440"/>
      <c r="AG55" s="440"/>
    </row>
    <row r="57" customFormat="false" ht="12.75" hidden="false" customHeight="false" outlineLevel="0" collapsed="false">
      <c r="A57" s="9" t="s">
        <v>608</v>
      </c>
    </row>
    <row r="58" customFormat="false" ht="12.75" hidden="false" customHeight="false" outlineLevel="0" collapsed="false">
      <c r="A58" s="0" t="s">
        <v>606</v>
      </c>
      <c r="B58" s="661" t="n">
        <v>0.155</v>
      </c>
      <c r="C58" s="652" t="n">
        <f aca="false">B58</f>
        <v>0.155</v>
      </c>
      <c r="D58" s="652" t="n">
        <f aca="false">B58</f>
        <v>0.155</v>
      </c>
      <c r="E58" s="653" t="n">
        <v>0.135</v>
      </c>
      <c r="F58" s="655" t="n">
        <f aca="false">$E$58</f>
        <v>0.135</v>
      </c>
      <c r="G58" s="655" t="n">
        <f aca="false">$E$58</f>
        <v>0.135</v>
      </c>
      <c r="H58" s="655" t="n">
        <f aca="false">$E$58</f>
        <v>0.135</v>
      </c>
      <c r="I58" s="655" t="n">
        <f aca="false">$E$58</f>
        <v>0.135</v>
      </c>
      <c r="J58" s="655" t="n">
        <f aca="false">$E$58</f>
        <v>0.135</v>
      </c>
      <c r="K58" s="655" t="n">
        <f aca="false">$E$58</f>
        <v>0.135</v>
      </c>
      <c r="L58" s="655" t="n">
        <f aca="false">$E$58</f>
        <v>0.135</v>
      </c>
      <c r="M58" s="655" t="n">
        <f aca="false">$E$58</f>
        <v>0.135</v>
      </c>
      <c r="N58" s="655" t="n">
        <f aca="false">$E$58</f>
        <v>0.135</v>
      </c>
      <c r="O58" s="655" t="n">
        <f aca="false">$E$58</f>
        <v>0.135</v>
      </c>
      <c r="P58" s="655" t="n">
        <f aca="false">$E$58</f>
        <v>0.135</v>
      </c>
      <c r="Q58" s="655" t="n">
        <f aca="false">$E$58</f>
        <v>0.135</v>
      </c>
      <c r="R58" s="655" t="n">
        <f aca="false">$E$58</f>
        <v>0.135</v>
      </c>
      <c r="S58" s="655" t="n">
        <f aca="false">$E$58</f>
        <v>0.135</v>
      </c>
      <c r="T58" s="655" t="n">
        <f aca="false">$E$58</f>
        <v>0.135</v>
      </c>
      <c r="U58" s="655" t="n">
        <f aca="false">$E$58</f>
        <v>0.135</v>
      </c>
      <c r="V58" s="655" t="n">
        <f aca="false">$E$58</f>
        <v>0.135</v>
      </c>
      <c r="W58" s="655" t="n">
        <f aca="false">$E$58</f>
        <v>0.135</v>
      </c>
      <c r="X58" s="655" t="n">
        <f aca="false">$E$58</f>
        <v>0.135</v>
      </c>
      <c r="Y58" s="655" t="n">
        <f aca="false">$E$58</f>
        <v>0.135</v>
      </c>
      <c r="Z58" s="655" t="n">
        <f aca="false">$E$58</f>
        <v>0.135</v>
      </c>
      <c r="AA58" s="655" t="n">
        <f aca="false">$E$58</f>
        <v>0.135</v>
      </c>
      <c r="AB58" s="655"/>
    </row>
    <row r="59" customFormat="false" ht="12.75" hidden="false" customHeight="false" outlineLevel="0" collapsed="false">
      <c r="A59" s="0" t="s">
        <v>262</v>
      </c>
      <c r="B59" s="661" t="n">
        <v>0.003</v>
      </c>
      <c r="C59" s="652" t="n">
        <f aca="false">$B$59</f>
        <v>0.003</v>
      </c>
      <c r="D59" s="652" t="n">
        <f aca="false">$B$59</f>
        <v>0.003</v>
      </c>
      <c r="E59" s="652" t="n">
        <f aca="false">$B$59</f>
        <v>0.003</v>
      </c>
      <c r="F59" s="652" t="n">
        <f aca="false">$B$59</f>
        <v>0.003</v>
      </c>
      <c r="G59" s="652" t="n">
        <f aca="false">$B$59</f>
        <v>0.003</v>
      </c>
      <c r="H59" s="652" t="n">
        <f aca="false">$B$59</f>
        <v>0.003</v>
      </c>
      <c r="I59" s="652" t="n">
        <f aca="false">$B$59</f>
        <v>0.003</v>
      </c>
      <c r="J59" s="652" t="n">
        <f aca="false">$B$59</f>
        <v>0.003</v>
      </c>
      <c r="K59" s="652" t="n">
        <f aca="false">$B$59</f>
        <v>0.003</v>
      </c>
      <c r="L59" s="652" t="n">
        <f aca="false">$B$59</f>
        <v>0.003</v>
      </c>
      <c r="M59" s="652" t="n">
        <f aca="false">$B$59</f>
        <v>0.003</v>
      </c>
      <c r="N59" s="652" t="n">
        <f aca="false">$B$59</f>
        <v>0.003</v>
      </c>
      <c r="O59" s="652" t="n">
        <f aca="false">$B$59</f>
        <v>0.003</v>
      </c>
      <c r="P59" s="652" t="n">
        <f aca="false">$B$59</f>
        <v>0.003</v>
      </c>
      <c r="Q59" s="652" t="n">
        <f aca="false">$B$59</f>
        <v>0.003</v>
      </c>
      <c r="R59" s="652" t="n">
        <f aca="false">$B$59</f>
        <v>0.003</v>
      </c>
      <c r="S59" s="652" t="n">
        <f aca="false">$B$59</f>
        <v>0.003</v>
      </c>
      <c r="T59" s="652" t="n">
        <f aca="false">$B$59</f>
        <v>0.003</v>
      </c>
      <c r="U59" s="652" t="n">
        <f aca="false">$B$59</f>
        <v>0.003</v>
      </c>
      <c r="V59" s="652" t="n">
        <f aca="false">$B$59</f>
        <v>0.003</v>
      </c>
      <c r="W59" s="652" t="n">
        <f aca="false">$B$59</f>
        <v>0.003</v>
      </c>
      <c r="X59" s="652" t="n">
        <f aca="false">$B$59</f>
        <v>0.003</v>
      </c>
      <c r="Y59" s="652" t="n">
        <f aca="false">$B$59</f>
        <v>0.003</v>
      </c>
      <c r="Z59" s="652" t="n">
        <f aca="false">$B$59</f>
        <v>0.003</v>
      </c>
      <c r="AA59" s="652" t="n">
        <f aca="false">$B$59</f>
        <v>0.003</v>
      </c>
      <c r="AB59" s="655"/>
    </row>
    <row r="60" customFormat="false" ht="12.75" hidden="false" customHeight="false" outlineLevel="0" collapsed="false">
      <c r="A60" s="0" t="s">
        <v>607</v>
      </c>
      <c r="B60" s="661" t="n">
        <v>0.04</v>
      </c>
      <c r="C60" s="652" t="n">
        <f aca="false">$B$60</f>
        <v>0.04</v>
      </c>
      <c r="D60" s="652" t="n">
        <f aca="false">$B$60</f>
        <v>0.04</v>
      </c>
      <c r="E60" s="652" t="n">
        <f aca="false">$B$60</f>
        <v>0.04</v>
      </c>
      <c r="F60" s="652" t="n">
        <f aca="false">$B$60</f>
        <v>0.04</v>
      </c>
      <c r="G60" s="652" t="n">
        <f aca="false">$B$60</f>
        <v>0.04</v>
      </c>
      <c r="H60" s="652" t="n">
        <f aca="false">$B$60</f>
        <v>0.04</v>
      </c>
      <c r="I60" s="652" t="n">
        <f aca="false">$B$60</f>
        <v>0.04</v>
      </c>
      <c r="J60" s="652" t="n">
        <f aca="false">$B$60</f>
        <v>0.04</v>
      </c>
      <c r="K60" s="652" t="n">
        <f aca="false">$B$60</f>
        <v>0.04</v>
      </c>
      <c r="L60" s="652" t="n">
        <f aca="false">$B$60</f>
        <v>0.04</v>
      </c>
      <c r="M60" s="652" t="n">
        <f aca="false">$B$60</f>
        <v>0.04</v>
      </c>
      <c r="N60" s="652" t="n">
        <f aca="false">$B$60</f>
        <v>0.04</v>
      </c>
      <c r="O60" s="652" t="n">
        <f aca="false">$B$60</f>
        <v>0.04</v>
      </c>
      <c r="P60" s="652" t="n">
        <f aca="false">$B$60</f>
        <v>0.04</v>
      </c>
      <c r="Q60" s="652" t="n">
        <f aca="false">$B$60</f>
        <v>0.04</v>
      </c>
      <c r="R60" s="652" t="n">
        <f aca="false">$B$60</f>
        <v>0.04</v>
      </c>
      <c r="S60" s="652" t="n">
        <f aca="false">$B$60</f>
        <v>0.04</v>
      </c>
      <c r="T60" s="652" t="n">
        <f aca="false">$B$60</f>
        <v>0.04</v>
      </c>
      <c r="U60" s="652" t="n">
        <f aca="false">$B$60</f>
        <v>0.04</v>
      </c>
      <c r="V60" s="652" t="n">
        <f aca="false">$B$60</f>
        <v>0.04</v>
      </c>
      <c r="W60" s="652" t="n">
        <f aca="false">$B$60</f>
        <v>0.04</v>
      </c>
      <c r="X60" s="652" t="n">
        <f aca="false">$B$60</f>
        <v>0.04</v>
      </c>
      <c r="Y60" s="652" t="n">
        <f aca="false">$B$60</f>
        <v>0.04</v>
      </c>
      <c r="Z60" s="652" t="n">
        <f aca="false">$B$60</f>
        <v>0.04</v>
      </c>
      <c r="AA60" s="652" t="n">
        <f aca="false">$B$60</f>
        <v>0.04</v>
      </c>
      <c r="AB60" s="655"/>
    </row>
    <row r="61" customFormat="false" ht="12.75" hidden="false" customHeight="false" outlineLevel="0" collapsed="false">
      <c r="A61" s="288"/>
      <c r="B61" s="652"/>
      <c r="C61" s="652"/>
      <c r="D61" s="652"/>
      <c r="E61" s="652"/>
      <c r="F61" s="652"/>
      <c r="G61" s="652"/>
      <c r="H61" s="652"/>
      <c r="I61" s="652"/>
      <c r="J61" s="652"/>
      <c r="K61" s="652"/>
      <c r="L61" s="652"/>
      <c r="M61" s="652"/>
      <c r="N61" s="652"/>
      <c r="O61" s="652"/>
      <c r="P61" s="652"/>
      <c r="Q61" s="652"/>
      <c r="R61" s="652"/>
      <c r="S61" s="652"/>
      <c r="T61" s="652"/>
      <c r="U61" s="652"/>
      <c r="V61" s="652"/>
      <c r="W61" s="652"/>
      <c r="X61" s="652"/>
      <c r="Y61" s="652"/>
      <c r="Z61" s="652"/>
      <c r="AA61" s="652"/>
      <c r="AB61" s="652"/>
    </row>
    <row r="62" customFormat="false" ht="12.75" hidden="false" customHeight="false" outlineLevel="0" collapsed="false">
      <c r="A62" s="288"/>
      <c r="B62" s="9" t="n">
        <f aca="false">B40</f>
        <v>1999</v>
      </c>
      <c r="C62" s="9" t="n">
        <f aca="false">C40</f>
        <v>2000</v>
      </c>
      <c r="D62" s="9" t="n">
        <f aca="false">D40</f>
        <v>2001</v>
      </c>
      <c r="E62" s="9" t="n">
        <f aca="false">E40</f>
        <v>2002</v>
      </c>
      <c r="F62" s="9" t="n">
        <f aca="false">F40</f>
        <v>2003</v>
      </c>
      <c r="G62" s="9" t="n">
        <f aca="false">G40</f>
        <v>2004</v>
      </c>
      <c r="H62" s="9" t="n">
        <f aca="false">H40</f>
        <v>2005</v>
      </c>
      <c r="I62" s="9" t="n">
        <f aca="false">I40</f>
        <v>2006</v>
      </c>
      <c r="J62" s="9" t="n">
        <f aca="false">J40</f>
        <v>2007</v>
      </c>
      <c r="K62" s="9" t="n">
        <f aca="false">K40</f>
        <v>2008</v>
      </c>
      <c r="L62" s="9" t="n">
        <f aca="false">L40</f>
        <v>2009</v>
      </c>
      <c r="M62" s="9" t="n">
        <f aca="false">M40</f>
        <v>2010</v>
      </c>
      <c r="N62" s="9" t="n">
        <f aca="false">N40</f>
        <v>2011</v>
      </c>
      <c r="O62" s="9" t="n">
        <f aca="false">O40</f>
        <v>2012</v>
      </c>
      <c r="P62" s="9" t="n">
        <f aca="false">P40</f>
        <v>2013</v>
      </c>
      <c r="Q62" s="9" t="n">
        <f aca="false">Q40</f>
        <v>2014</v>
      </c>
      <c r="R62" s="9" t="n">
        <f aca="false">R40</f>
        <v>2015</v>
      </c>
      <c r="S62" s="9" t="n">
        <f aca="false">S40</f>
        <v>2016</v>
      </c>
      <c r="T62" s="9" t="n">
        <f aca="false">T40</f>
        <v>2017</v>
      </c>
      <c r="U62" s="9" t="n">
        <f aca="false">U40</f>
        <v>2018</v>
      </c>
      <c r="V62" s="9" t="n">
        <f aca="false">V40</f>
        <v>2019</v>
      </c>
      <c r="W62" s="9" t="n">
        <f aca="false">W40</f>
        <v>2020</v>
      </c>
      <c r="X62" s="9" t="n">
        <f aca="false">X40</f>
        <v>2021</v>
      </c>
      <c r="Y62" s="9" t="n">
        <f aca="false">Y40</f>
        <v>2022</v>
      </c>
      <c r="Z62" s="9" t="n">
        <f aca="false">Z40</f>
        <v>2023</v>
      </c>
      <c r="AA62" s="9" t="n">
        <f aca="false">AA40</f>
        <v>2024</v>
      </c>
      <c r="AB62" s="652"/>
    </row>
    <row r="63" customFormat="false" ht="12.75" hidden="false" customHeight="false" outlineLevel="0" collapsed="false">
      <c r="A63" s="9" t="s">
        <v>581</v>
      </c>
    </row>
    <row r="64" customFormat="false" ht="12.75" hidden="false" customHeight="false" outlineLevel="0" collapsed="false">
      <c r="A64" s="0" t="s">
        <v>606</v>
      </c>
      <c r="B64" s="652" t="n">
        <f aca="false">IF($B$50=$B$48,B53,IF($B$50=$B$49,B58))</f>
        <v>0.155</v>
      </c>
      <c r="C64" s="652" t="n">
        <f aca="false">IF($B$50=$B$48,C53,IF($B$50=$B$49,C58))</f>
        <v>0.155</v>
      </c>
      <c r="D64" s="652" t="n">
        <f aca="false">IF($B$50=$B$48,D53,IF($B$50=$B$49,D58))</f>
        <v>0.155</v>
      </c>
      <c r="E64" s="652" t="n">
        <f aca="false">IF($B$50=$B$48,E53,IF($B$50=$B$49,E58))</f>
        <v>0.135</v>
      </c>
      <c r="F64" s="652" t="n">
        <f aca="false">IF($B$50=$B$48,F53,IF($B$50=$B$49,F58))</f>
        <v>0.135</v>
      </c>
      <c r="G64" s="652" t="n">
        <f aca="false">IF($B$50=$B$48,G53,IF($B$50=$B$49,G58))</f>
        <v>0.135</v>
      </c>
      <c r="H64" s="652" t="n">
        <f aca="false">IF($B$50=$B$48,H53,IF($B$50=$B$49,H58))</f>
        <v>0.135</v>
      </c>
      <c r="I64" s="652" t="n">
        <f aca="false">IF($B$50=$B$48,I53,IF($B$50=$B$49,I58))</f>
        <v>0.135</v>
      </c>
      <c r="J64" s="652" t="n">
        <f aca="false">IF($B$50=$B$48,J53,IF($B$50=$B$49,J58))</f>
        <v>0.135</v>
      </c>
      <c r="K64" s="652" t="n">
        <f aca="false">IF($B$50=$B$48,K53,IF($B$50=$B$49,K58))</f>
        <v>0.135</v>
      </c>
      <c r="L64" s="652" t="n">
        <f aca="false">IF($B$50=$B$48,L53,IF($B$50=$B$49,L58))</f>
        <v>0.135</v>
      </c>
      <c r="M64" s="652" t="n">
        <f aca="false">IF($B$50=$B$48,M53,IF($B$50=$B$49,M58))</f>
        <v>0.135</v>
      </c>
      <c r="N64" s="652" t="n">
        <f aca="false">IF($B$50=$B$48,N53,IF($B$50=$B$49,N58))</f>
        <v>0.135</v>
      </c>
      <c r="O64" s="652" t="n">
        <f aca="false">IF($B$50=$B$48,O53,IF($B$50=$B$49,O58))</f>
        <v>0.135</v>
      </c>
      <c r="P64" s="652" t="n">
        <f aca="false">IF($B$50=$B$48,P53,IF($B$50=$B$49,P58))</f>
        <v>0.135</v>
      </c>
      <c r="Q64" s="652" t="n">
        <f aca="false">IF($B$50=$B$48,Q53,IF($B$50=$B$49,Q58))</f>
        <v>0.135</v>
      </c>
      <c r="R64" s="652" t="n">
        <f aca="false">IF($B$50=$B$48,R53,IF($B$50=$B$49,R58))</f>
        <v>0.135</v>
      </c>
      <c r="S64" s="652" t="n">
        <f aca="false">IF($B$50=$B$48,S53,IF($B$50=$B$49,S58))</f>
        <v>0.135</v>
      </c>
      <c r="T64" s="652" t="n">
        <f aca="false">IF($B$50=$B$48,T53,IF($B$50=$B$49,T58))</f>
        <v>0.135</v>
      </c>
      <c r="U64" s="652" t="n">
        <f aca="false">IF($B$50=$B$48,U53,IF($B$50=$B$49,U58))</f>
        <v>0.135</v>
      </c>
      <c r="V64" s="652" t="n">
        <f aca="false">IF($B$50=$B$48,V53,IF($B$50=$B$49,V58))</f>
        <v>0.135</v>
      </c>
      <c r="W64" s="652" t="n">
        <f aca="false">IF($B$50=$B$48,W53,IF($B$50=$B$49,W58))</f>
        <v>0.135</v>
      </c>
      <c r="X64" s="652" t="n">
        <f aca="false">IF($B$50=$B$48,X53,IF($B$50=$B$49,X58))</f>
        <v>0.135</v>
      </c>
      <c r="Y64" s="652" t="n">
        <f aca="false">IF($B$50=$B$48,Y53,IF($B$50=$B$49,Y58))</f>
        <v>0.135</v>
      </c>
      <c r="Z64" s="652" t="n">
        <f aca="false">IF($B$50=$B$48,Z53,IF($B$50=$B$49,Z58))</f>
        <v>0.135</v>
      </c>
      <c r="AA64" s="652" t="n">
        <f aca="false">IF($B$50=$B$48,AA53,IF($B$50=$B$49,AA58))</f>
        <v>0.135</v>
      </c>
    </row>
    <row r="65" customFormat="false" ht="12.75" hidden="false" customHeight="false" outlineLevel="0" collapsed="false">
      <c r="A65" s="0" t="s">
        <v>262</v>
      </c>
      <c r="B65" s="652" t="n">
        <f aca="false">IF($B$50=$B$48,B54,IF($B$50=$B$49,B59))</f>
        <v>0.003</v>
      </c>
      <c r="C65" s="652" t="n">
        <f aca="false">IF($B$50=$B$48,C54,IF($B$50=$B$49,C59))</f>
        <v>0.003</v>
      </c>
      <c r="D65" s="652" t="n">
        <f aca="false">IF($B$50=$B$48,D54,IF($B$50=$B$49,D59))</f>
        <v>0.003</v>
      </c>
      <c r="E65" s="652" t="n">
        <f aca="false">IF($B$50=$B$48,E54,IF($B$50=$B$49,E59))</f>
        <v>0.003</v>
      </c>
      <c r="F65" s="652" t="n">
        <f aca="false">IF($B$50=$B$48,F54,IF($B$50=$B$49,F59))</f>
        <v>0.003</v>
      </c>
      <c r="G65" s="652" t="n">
        <f aca="false">IF($B$50=$B$48,G54,IF($B$50=$B$49,G59))</f>
        <v>0.003</v>
      </c>
      <c r="H65" s="652" t="n">
        <f aca="false">IF($B$50=$B$48,H54,IF($B$50=$B$49,H59))</f>
        <v>0.003</v>
      </c>
      <c r="I65" s="652" t="n">
        <f aca="false">IF($B$50=$B$48,I54,IF($B$50=$B$49,I59))</f>
        <v>0.003</v>
      </c>
      <c r="J65" s="652" t="n">
        <f aca="false">IF($B$50=$B$48,J54,IF($B$50=$B$49,J59))</f>
        <v>0.003</v>
      </c>
      <c r="K65" s="652" t="n">
        <f aca="false">IF($B$50=$B$48,K54,IF($B$50=$B$49,K59))</f>
        <v>0.003</v>
      </c>
      <c r="L65" s="652" t="n">
        <f aca="false">IF($B$50=$B$48,L54,IF($B$50=$B$49,L59))</f>
        <v>0.003</v>
      </c>
      <c r="M65" s="652" t="n">
        <f aca="false">IF($B$50=$B$48,M54,IF($B$50=$B$49,M59))</f>
        <v>0.003</v>
      </c>
      <c r="N65" s="652" t="n">
        <f aca="false">IF($B$50=$B$48,N54,IF($B$50=$B$49,N59))</f>
        <v>0.003</v>
      </c>
      <c r="O65" s="652" t="n">
        <f aca="false">IF($B$50=$B$48,O54,IF($B$50=$B$49,O59))</f>
        <v>0.003</v>
      </c>
      <c r="P65" s="652" t="n">
        <f aca="false">IF($B$50=$B$48,P54,IF($B$50=$B$49,P59))</f>
        <v>0.003</v>
      </c>
      <c r="Q65" s="652" t="n">
        <f aca="false">IF($B$50=$B$48,Q54,IF($B$50=$B$49,Q59))</f>
        <v>0.003</v>
      </c>
      <c r="R65" s="652" t="n">
        <f aca="false">IF($B$50=$B$48,R54,IF($B$50=$B$49,R59))</f>
        <v>0.003</v>
      </c>
      <c r="S65" s="652" t="n">
        <f aca="false">IF($B$50=$B$48,S54,IF($B$50=$B$49,S59))</f>
        <v>0.003</v>
      </c>
      <c r="T65" s="652" t="n">
        <f aca="false">IF($B$50=$B$48,T54,IF($B$50=$B$49,T59))</f>
        <v>0.003</v>
      </c>
      <c r="U65" s="652" t="n">
        <f aca="false">IF($B$50=$B$48,U54,IF($B$50=$B$49,U59))</f>
        <v>0.003</v>
      </c>
      <c r="V65" s="652" t="n">
        <f aca="false">IF($B$50=$B$48,V54,IF($B$50=$B$49,V59))</f>
        <v>0.003</v>
      </c>
      <c r="W65" s="652" t="n">
        <f aca="false">IF($B$50=$B$48,W54,IF($B$50=$B$49,W59))</f>
        <v>0.003</v>
      </c>
      <c r="X65" s="652" t="n">
        <f aca="false">IF($B$50=$B$48,X54,IF($B$50=$B$49,X59))</f>
        <v>0.003</v>
      </c>
      <c r="Y65" s="652" t="n">
        <f aca="false">IF($B$50=$B$48,Y54,IF($B$50=$B$49,Y59))</f>
        <v>0.003</v>
      </c>
      <c r="Z65" s="652" t="n">
        <f aca="false">IF($B$50=$B$48,Z54,IF($B$50=$B$49,Z59))</f>
        <v>0.003</v>
      </c>
      <c r="AA65" s="652" t="n">
        <f aca="false">IF($B$50=$B$48,AA54,IF($B$50=$B$49,AA59))</f>
        <v>0.003</v>
      </c>
    </row>
    <row r="66" customFormat="false" ht="12.75" hidden="false" customHeight="false" outlineLevel="0" collapsed="false">
      <c r="A66" s="0" t="s">
        <v>263</v>
      </c>
      <c r="B66" s="652" t="n">
        <f aca="false">IF($B$50=$B$48,B55,IF($B$50=$B$49,B60))</f>
        <v>0.04</v>
      </c>
      <c r="C66" s="652" t="n">
        <f aca="false">IF($B$50=$B$48,C55,IF($B$50=$B$49,C60))</f>
        <v>0.04</v>
      </c>
      <c r="D66" s="652" t="n">
        <f aca="false">IF($B$50=$B$48,D55,IF($B$50=$B$49,D60))</f>
        <v>0.04</v>
      </c>
      <c r="E66" s="652" t="n">
        <f aca="false">IF($B$50=$B$48,E55,IF($B$50=$B$49,E60))</f>
        <v>0.04</v>
      </c>
      <c r="F66" s="652" t="n">
        <f aca="false">IF($B$50=$B$48,F55,IF($B$50=$B$49,F60))</f>
        <v>0.04</v>
      </c>
      <c r="G66" s="652" t="n">
        <f aca="false">IF($B$50=$B$48,G55,IF($B$50=$B$49,G60))</f>
        <v>0.04</v>
      </c>
      <c r="H66" s="652" t="n">
        <f aca="false">IF($B$50=$B$48,H55,IF($B$50=$B$49,H60))</f>
        <v>0.04</v>
      </c>
      <c r="I66" s="652" t="n">
        <f aca="false">IF($B$50=$B$48,I55,IF($B$50=$B$49,I60))</f>
        <v>0.04</v>
      </c>
      <c r="J66" s="652" t="n">
        <f aca="false">IF($B$50=$B$48,J55,IF($B$50=$B$49,J60))</f>
        <v>0.04</v>
      </c>
      <c r="K66" s="652" t="n">
        <f aca="false">IF($B$50=$B$48,K55,IF($B$50=$B$49,K60))</f>
        <v>0.04</v>
      </c>
      <c r="L66" s="652" t="n">
        <f aca="false">IF($B$50=$B$48,L55,IF($B$50=$B$49,L60))</f>
        <v>0.04</v>
      </c>
      <c r="M66" s="652" t="n">
        <f aca="false">IF($B$50=$B$48,M55,IF($B$50=$B$49,M60))</f>
        <v>0.04</v>
      </c>
      <c r="N66" s="652" t="n">
        <f aca="false">IF($B$50=$B$48,N55,IF($B$50=$B$49,N60))</f>
        <v>0.04</v>
      </c>
      <c r="O66" s="652" t="n">
        <f aca="false">IF($B$50=$B$48,O55,IF($B$50=$B$49,O60))</f>
        <v>0.04</v>
      </c>
      <c r="P66" s="652" t="n">
        <f aca="false">IF($B$50=$B$48,P55,IF($B$50=$B$49,P60))</f>
        <v>0.04</v>
      </c>
      <c r="Q66" s="652" t="n">
        <f aca="false">IF($B$50=$B$48,Q55,IF($B$50=$B$49,Q60))</f>
        <v>0.04</v>
      </c>
      <c r="R66" s="652" t="n">
        <f aca="false">IF($B$50=$B$48,R55,IF($B$50=$B$49,R60))</f>
        <v>0.04</v>
      </c>
      <c r="S66" s="652" t="n">
        <f aca="false">IF($B$50=$B$48,S55,IF($B$50=$B$49,S60))</f>
        <v>0.04</v>
      </c>
      <c r="T66" s="652" t="n">
        <f aca="false">IF($B$50=$B$48,T55,IF($B$50=$B$49,T60))</f>
        <v>0.04</v>
      </c>
      <c r="U66" s="652" t="n">
        <f aca="false">IF($B$50=$B$48,U55,IF($B$50=$B$49,U60))</f>
        <v>0.04</v>
      </c>
      <c r="V66" s="652" t="n">
        <f aca="false">IF($B$50=$B$48,V55,IF($B$50=$B$49,V60))</f>
        <v>0.04</v>
      </c>
      <c r="W66" s="652" t="n">
        <f aca="false">IF($B$50=$B$48,W55,IF($B$50=$B$49,W60))</f>
        <v>0.04</v>
      </c>
      <c r="X66" s="652" t="n">
        <f aca="false">IF($B$50=$B$48,X55,IF($B$50=$B$49,X60))</f>
        <v>0.04</v>
      </c>
      <c r="Y66" s="652" t="n">
        <f aca="false">IF($B$50=$B$48,Y55,IF($B$50=$B$49,Y60))</f>
        <v>0.04</v>
      </c>
      <c r="Z66" s="652" t="n">
        <f aca="false">IF($B$50=$B$48,Z55,IF($B$50=$B$49,Z60))</f>
        <v>0.04</v>
      </c>
      <c r="AA66" s="652" t="n">
        <f aca="false">IF($B$50=$B$48,AA55,IF($B$50=$B$49,AA60))</f>
        <v>0.04</v>
      </c>
    </row>
    <row r="67" customFormat="false" ht="12" hidden="false" customHeight="true" outlineLevel="0" collapsed="false">
      <c r="B67" s="662"/>
      <c r="C67" s="662"/>
      <c r="D67" s="662"/>
      <c r="E67" s="662"/>
      <c r="F67" s="662"/>
      <c r="G67" s="662"/>
      <c r="H67" s="662"/>
      <c r="I67" s="662"/>
      <c r="J67" s="662"/>
      <c r="K67" s="662"/>
      <c r="L67" s="662"/>
      <c r="M67" s="662"/>
      <c r="N67" s="662"/>
      <c r="O67" s="662"/>
      <c r="P67" s="662"/>
      <c r="Q67" s="662"/>
      <c r="R67" s="662"/>
      <c r="S67" s="662"/>
      <c r="T67" s="662"/>
      <c r="U67" s="662"/>
      <c r="V67" s="662"/>
      <c r="W67" s="662"/>
      <c r="X67" s="662"/>
      <c r="Y67" s="662"/>
      <c r="Z67" s="662"/>
      <c r="AA67" s="662"/>
      <c r="AB67" s="662"/>
    </row>
    <row r="68" customFormat="false" ht="12.75" hidden="false" customHeight="false" outlineLevel="0" collapsed="false">
      <c r="D68" s="655"/>
      <c r="E68" s="655"/>
      <c r="F68" s="655"/>
    </row>
    <row r="70" customFormat="false" ht="15.75" hidden="false" customHeight="false" outlineLevel="0" collapsed="false">
      <c r="A70" s="293" t="s">
        <v>609</v>
      </c>
    </row>
    <row r="72" customFormat="false" ht="25.5" hidden="false" customHeight="false" outlineLevel="0" collapsed="false">
      <c r="A72" s="9" t="s">
        <v>610</v>
      </c>
      <c r="B72" s="90" t="s">
        <v>611</v>
      </c>
      <c r="C72" s="90" t="s">
        <v>612</v>
      </c>
      <c r="D72" s="90" t="s">
        <v>613</v>
      </c>
      <c r="E72" s="90" t="s">
        <v>614</v>
      </c>
    </row>
    <row r="73" customFormat="false" ht="12.75" hidden="false" customHeight="false" outlineLevel="0" collapsed="false">
      <c r="A73" s="9"/>
      <c r="E73" s="113"/>
    </row>
    <row r="74" customFormat="false" ht="12.75" hidden="false" customHeight="false" outlineLevel="0" collapsed="false">
      <c r="A74" s="448" t="s">
        <v>615</v>
      </c>
      <c r="B74" s="333" t="n">
        <f aca="false">(Assumptions!$E$10*Assumptions!$E$29)</f>
        <v>66796.1187452546</v>
      </c>
      <c r="C74" s="333" t="n">
        <f aca="false">(Assumptions!$E$10*Assumptions!$E$29)</f>
        <v>66796.1187452546</v>
      </c>
      <c r="D74" s="333" t="n">
        <f aca="false">(Assumptions!$E$10*Assumptions!$E$29)</f>
        <v>66796.1187452546</v>
      </c>
      <c r="E74" s="333" t="n">
        <f aca="false">(Assumptions!$E$10*Assumptions!$E$29)</f>
        <v>66796.1187452546</v>
      </c>
    </row>
    <row r="75" customFormat="false" ht="12.75" hidden="false" customHeight="false" outlineLevel="0" collapsed="false">
      <c r="A75" s="448" t="s">
        <v>616</v>
      </c>
      <c r="B75" s="181" t="n">
        <f aca="false">SUM($J$10:$M$10)+Construction!$AB$82</f>
        <v>179046</v>
      </c>
      <c r="C75" s="328" t="n">
        <f aca="false">SUM($J$10:$M$10)+Construction!$AB$82</f>
        <v>179046</v>
      </c>
      <c r="D75" s="328" t="n">
        <f aca="false">SUM($J$10:$M$10)+Construction!$AB$82</f>
        <v>179046</v>
      </c>
      <c r="E75" s="328" t="n">
        <f aca="false">SUM($J$10:$M$10)+Construction!$AB$82</f>
        <v>179046</v>
      </c>
    </row>
    <row r="76" customFormat="false" ht="12.75" hidden="false" customHeight="false" outlineLevel="0" collapsed="false">
      <c r="A76" s="448" t="s">
        <v>617</v>
      </c>
      <c r="B76" s="333" t="n">
        <f aca="false">IF((B74-B75)&lt;0,0,(B74-B75))</f>
        <v>0</v>
      </c>
      <c r="C76" s="333" t="n">
        <f aca="false">IF((C74-C75)&lt;0,0,(C74-C75))</f>
        <v>0</v>
      </c>
      <c r="D76" s="333" t="n">
        <f aca="false">IF((D74-D75)&lt;0,0,(D74-D75))</f>
        <v>0</v>
      </c>
      <c r="E76" s="333" t="n">
        <f aca="false">IF((E74-E75)&lt;0,0,(E74-E75))</f>
        <v>0</v>
      </c>
    </row>
    <row r="77" customFormat="false" ht="12.75" hidden="false" customHeight="false" outlineLevel="0" collapsed="false">
      <c r="A77" s="9" t="s">
        <v>609</v>
      </c>
      <c r="B77" s="333" t="n">
        <f aca="false">(B76*0.75*SUM(F43:F44,F64))</f>
        <v>0</v>
      </c>
      <c r="C77" s="333" t="n">
        <f aca="false">(C76*0.75*SUM(K43:K44,K64))</f>
        <v>0</v>
      </c>
      <c r="D77" s="333" t="n">
        <f aca="false">(D76*0.75*SUM(P43:P44,P64))</f>
        <v>0</v>
      </c>
      <c r="E77" s="333" t="n">
        <f aca="false">(E76*0.75*SUM(U43:U44,U64))</f>
        <v>0</v>
      </c>
    </row>
    <row r="78" customFormat="false" ht="12.75" hidden="false" customHeight="false" outlineLevel="0" collapsed="false">
      <c r="E78" s="113"/>
    </row>
    <row r="79" customFormat="false" ht="12.75" hidden="false" customHeight="false" outlineLevel="0" collapsed="false">
      <c r="A79" s="9"/>
      <c r="E79" s="113"/>
    </row>
    <row r="80" customFormat="false" ht="12.75" hidden="false" customHeight="false" outlineLevel="0" collapsed="false">
      <c r="E80" s="113"/>
    </row>
    <row r="81" customFormat="false" ht="12.75" hidden="false" customHeight="false" outlineLevel="0" collapsed="false">
      <c r="B81" s="181"/>
      <c r="C81" s="181"/>
      <c r="D81" s="181"/>
      <c r="E81" s="181"/>
    </row>
    <row r="82" customFormat="false" ht="12.75" hidden="false" customHeight="false" outlineLevel="0" collapsed="false">
      <c r="B82" s="181"/>
      <c r="C82" s="181"/>
      <c r="D82" s="181"/>
      <c r="E82" s="181"/>
    </row>
    <row r="83" customFormat="false" ht="12.75" hidden="false" customHeight="false" outlineLevel="0" collapsed="false">
      <c r="B83" s="181"/>
      <c r="C83" s="181"/>
      <c r="D83" s="181"/>
      <c r="E83" s="181"/>
    </row>
    <row r="84" customFormat="false" ht="12.75" hidden="false" customHeight="false" outlineLevel="0" collapsed="false">
      <c r="E84" s="113"/>
    </row>
    <row r="85" customFormat="false" ht="12.75" hidden="false" customHeight="false" outlineLevel="0" collapsed="false">
      <c r="E85" s="113"/>
      <c r="L85" s="149" t="s">
        <v>618</v>
      </c>
    </row>
    <row r="252" customFormat="false" ht="12.75" hidden="false" customHeight="false" outlineLevel="0" collapsed="false">
      <c r="A252" s="103"/>
      <c r="B252" s="49"/>
      <c r="C252" s="49"/>
      <c r="D252" s="49"/>
      <c r="E252" s="49"/>
      <c r="F252" s="49"/>
    </row>
    <row r="253" customFormat="false" ht="12.75" hidden="false" customHeight="false" outlineLevel="0" collapsed="false">
      <c r="A253" s="103"/>
      <c r="B253" s="49"/>
      <c r="C253" s="49"/>
      <c r="D253" s="49"/>
      <c r="E253" s="465"/>
      <c r="F253" s="49"/>
    </row>
    <row r="254" customFormat="false" ht="12.75" hidden="false" customHeight="false" outlineLevel="0" collapsed="false">
      <c r="A254" s="103"/>
      <c r="B254" s="49"/>
      <c r="C254" s="49"/>
      <c r="D254" s="49"/>
      <c r="E254" s="49"/>
      <c r="F254" s="49"/>
    </row>
    <row r="255" customFormat="false" ht="12.75" hidden="false" customHeight="false" outlineLevel="0" collapsed="false">
      <c r="A255" s="103"/>
    </row>
    <row r="256" customFormat="false" ht="12.75" hidden="false" customHeight="false" outlineLevel="0" collapsed="false">
      <c r="A256" s="103"/>
    </row>
    <row r="257" customFormat="false" ht="12.75" hidden="false" customHeight="false" outlineLevel="0" collapsed="false">
      <c r="A257" s="103"/>
    </row>
    <row r="258" customFormat="false" ht="12.75" hidden="false" customHeight="false" outlineLevel="0" collapsed="false">
      <c r="A258" s="103"/>
    </row>
    <row r="259" customFormat="false" ht="12.75" hidden="false" customHeight="false" outlineLevel="0" collapsed="false">
      <c r="A259" s="103"/>
    </row>
    <row r="260" customFormat="false" ht="12.75" hidden="false" customHeight="false" outlineLevel="0" collapsed="false">
      <c r="A260" s="103"/>
    </row>
    <row r="261" customFormat="false" ht="12.75" hidden="false" customHeight="false" outlineLevel="0" collapsed="false">
      <c r="A261" s="103"/>
    </row>
    <row r="262" customFormat="false" ht="12.75" hidden="false" customHeight="false" outlineLevel="0" collapsed="false">
      <c r="A262" s="103"/>
    </row>
    <row r="263" customFormat="false" ht="12.75" hidden="false" customHeight="false" outlineLevel="0" collapsed="false">
      <c r="A263" s="103"/>
    </row>
    <row r="264" customFormat="false" ht="12.75" hidden="false" customHeight="false" outlineLevel="0" collapsed="false">
      <c r="A264" s="103"/>
    </row>
    <row r="265" customFormat="false" ht="12.75" hidden="false" customHeight="false" outlineLevel="0" collapsed="false">
      <c r="A265" s="103"/>
    </row>
    <row r="266" customFormat="false" ht="12.75" hidden="false" customHeight="false" outlineLevel="0" collapsed="false">
      <c r="A266" s="103"/>
    </row>
    <row r="267" customFormat="false" ht="12.75" hidden="false" customHeight="false" outlineLevel="0" collapsed="false">
      <c r="A267" s="103"/>
    </row>
    <row r="268" customFormat="false" ht="12.75" hidden="false" customHeight="false" outlineLevel="0" collapsed="false">
      <c r="A268" s="103"/>
    </row>
    <row r="269" customFormat="false" ht="12.75" hidden="false" customHeight="false" outlineLevel="0" collapsed="false">
      <c r="A269" s="103"/>
    </row>
    <row r="270" customFormat="false" ht="12.75" hidden="false" customHeight="false" outlineLevel="0" collapsed="false">
      <c r="A270" s="103"/>
    </row>
    <row r="271" customFormat="false" ht="12.75" hidden="false" customHeight="false" outlineLevel="0" collapsed="false">
      <c r="A271" s="103"/>
    </row>
    <row r="272" customFormat="false" ht="12.75" hidden="false" customHeight="false" outlineLevel="0" collapsed="false">
      <c r="A272" s="103"/>
    </row>
    <row r="273" customFormat="false" ht="12.75" hidden="false" customHeight="false" outlineLevel="0" collapsed="false">
      <c r="A273" s="103"/>
    </row>
    <row r="274" customFormat="false" ht="12.75" hidden="false" customHeight="false" outlineLevel="0" collapsed="false">
      <c r="A274" s="103"/>
    </row>
    <row r="275" customFormat="false" ht="12.75" hidden="false" customHeight="false" outlineLevel="0" collapsed="false">
      <c r="A275" s="103"/>
    </row>
    <row r="276" customFormat="false" ht="12.75" hidden="false" customHeight="false" outlineLevel="0" collapsed="false">
      <c r="A276" s="103"/>
    </row>
    <row r="277" customFormat="false" ht="12.75" hidden="false" customHeight="false" outlineLevel="0" collapsed="false">
      <c r="A277" s="103"/>
    </row>
    <row r="278" customFormat="false" ht="12.75" hidden="false" customHeight="false" outlineLevel="0" collapsed="false">
      <c r="A278" s="103"/>
    </row>
    <row r="279" customFormat="false" ht="12.75" hidden="false" customHeight="false" outlineLevel="0" collapsed="false">
      <c r="A279" s="103"/>
    </row>
    <row r="280" customFormat="false" ht="12.75" hidden="false" customHeight="false" outlineLevel="0" collapsed="false">
      <c r="A280" s="103"/>
    </row>
    <row r="281" customFormat="false" ht="12.75" hidden="false" customHeight="false" outlineLevel="0" collapsed="false">
      <c r="A281" s="103"/>
    </row>
    <row r="282" customFormat="false" ht="12.75" hidden="false" customHeight="false" outlineLevel="0" collapsed="false">
      <c r="A282" s="103"/>
    </row>
    <row r="283" customFormat="false" ht="12.75" hidden="false" customHeight="false" outlineLevel="0" collapsed="false">
      <c r="A283" s="1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94"/>
  <sheetViews>
    <sheetView showFormulas="false" showGridLines="true" showRowColHeaders="true" showZeros="true" rightToLeft="false" tabSelected="true" showOutlineSymbols="true" defaultGridColor="true" view="normal" topLeftCell="B1" colorId="64" zoomScale="75" zoomScaleNormal="75" zoomScalePageLayoutView="75" workbookViewId="0">
      <selection pane="topLeft" activeCell="A1" activeCellId="0" sqref="A1:H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9.28"/>
    <col collapsed="false" customWidth="true" hidden="false" outlineLevel="0" max="2" min="2" style="0" width="24.99"/>
    <col collapsed="false" customWidth="true" hidden="false" outlineLevel="0" max="3" min="3" style="0" width="6.7"/>
    <col collapsed="false" customWidth="true" hidden="false" outlineLevel="0" max="4" min="4" style="0" width="49.41"/>
    <col collapsed="false" customWidth="true" hidden="false" outlineLevel="0" max="5" min="5" style="0" width="23.56"/>
    <col collapsed="false" customWidth="true" hidden="false" outlineLevel="0" max="6" min="6" style="0" width="10.28"/>
    <col collapsed="false" customWidth="true" hidden="false" outlineLevel="0" max="7" min="7" style="0" width="26.28"/>
    <col collapsed="false" customWidth="true" hidden="false" outlineLevel="0" max="8" min="8" style="0" width="23.7"/>
    <col collapsed="false" customWidth="true" hidden="false" outlineLevel="0" max="11" min="9" style="0" width="16.56"/>
    <col collapsed="false" customWidth="true" hidden="false" outlineLevel="0" max="12" min="12" style="0" width="13.7"/>
    <col collapsed="false" customWidth="true" hidden="false" outlineLevel="0" max="18" min="18" style="0" width="25.28"/>
  </cols>
  <sheetData>
    <row r="1" customFormat="false" ht="30.75" hidden="false" customHeight="true" outlineLevel="0" collapsed="false">
      <c r="A1" s="663" t="s">
        <v>619</v>
      </c>
      <c r="B1" s="663"/>
      <c r="C1" s="663"/>
      <c r="D1" s="663"/>
      <c r="E1" s="663"/>
      <c r="F1" s="663"/>
      <c r="G1" s="663"/>
      <c r="H1" s="663"/>
      <c r="Q1" s="553"/>
      <c r="R1" s="553"/>
    </row>
    <row r="2" customFormat="false" ht="13.5" hidden="false" customHeight="false" outlineLevel="0" collapsed="false">
      <c r="Q2" s="553"/>
      <c r="R2" s="553"/>
    </row>
    <row r="3" customFormat="false" ht="15.75" hidden="false" customHeight="false" outlineLevel="0" collapsed="false">
      <c r="A3" s="664" t="s">
        <v>620</v>
      </c>
      <c r="B3" s="665"/>
      <c r="C3" s="553"/>
      <c r="D3" s="664" t="s">
        <v>621</v>
      </c>
      <c r="E3" s="665"/>
      <c r="F3" s="666"/>
      <c r="G3" s="664" t="s">
        <v>622</v>
      </c>
      <c r="H3" s="667"/>
      <c r="J3" s="9"/>
      <c r="Q3" s="553"/>
      <c r="R3" s="553"/>
      <c r="S3" s="553"/>
      <c r="U3" s="553"/>
      <c r="V3" s="553"/>
      <c r="W3" s="553"/>
      <c r="X3" s="553"/>
      <c r="Y3" s="553"/>
      <c r="Z3" s="553"/>
      <c r="AA3" s="553"/>
      <c r="AB3" s="553"/>
      <c r="AC3" s="553"/>
      <c r="AD3" s="553"/>
    </row>
    <row r="4" customFormat="false" ht="12.75" hidden="false" customHeight="false" outlineLevel="0" collapsed="false">
      <c r="A4" s="668" t="s">
        <v>623</v>
      </c>
      <c r="B4" s="669" t="s">
        <v>589</v>
      </c>
      <c r="C4" s="553"/>
      <c r="D4" s="668" t="s">
        <v>562</v>
      </c>
      <c r="E4" s="670" t="n">
        <f aca="false">Tables!J10</f>
        <v>166918</v>
      </c>
      <c r="F4" s="553"/>
      <c r="G4" s="671" t="s">
        <v>624</v>
      </c>
      <c r="H4" s="672" t="s">
        <v>625</v>
      </c>
      <c r="Q4" s="628"/>
      <c r="R4" s="113"/>
      <c r="S4" s="553"/>
      <c r="U4" s="553"/>
      <c r="V4" s="553"/>
      <c r="W4" s="553"/>
      <c r="X4" s="553"/>
      <c r="Y4" s="553"/>
      <c r="Z4" s="553"/>
      <c r="AA4" s="553"/>
      <c r="AB4" s="553"/>
    </row>
    <row r="5" customFormat="false" ht="18" hidden="false" customHeight="true" outlineLevel="0" collapsed="false">
      <c r="A5" s="668" t="s">
        <v>602</v>
      </c>
      <c r="B5" s="669"/>
      <c r="C5" s="553"/>
      <c r="D5" s="668" t="s">
        <v>83</v>
      </c>
      <c r="E5" s="670" t="n">
        <f aca="false">466</f>
        <v>466</v>
      </c>
      <c r="F5" s="553"/>
      <c r="G5" s="673" t="s">
        <v>626</v>
      </c>
      <c r="H5" s="674" t="s">
        <v>627</v>
      </c>
      <c r="Q5" s="628"/>
      <c r="S5" s="553"/>
      <c r="T5" s="113"/>
      <c r="U5" s="553"/>
      <c r="V5" s="553"/>
      <c r="W5" s="553"/>
      <c r="X5" s="553"/>
      <c r="Y5" s="553"/>
      <c r="Z5" s="553"/>
      <c r="AA5" s="553"/>
      <c r="AB5" s="553"/>
    </row>
    <row r="6" customFormat="false" ht="12.75" hidden="false" customHeight="false" outlineLevel="0" collapsed="false">
      <c r="A6" s="675" t="s">
        <v>628</v>
      </c>
      <c r="B6" s="676" t="n">
        <f aca="false">Tables!C10</f>
        <v>324</v>
      </c>
      <c r="C6" s="553"/>
      <c r="D6" s="668" t="s">
        <v>563</v>
      </c>
      <c r="E6" s="670" t="n">
        <f aca="false">Tables!K10</f>
        <v>6020</v>
      </c>
      <c r="F6" s="553"/>
      <c r="G6" s="671" t="s">
        <v>629</v>
      </c>
      <c r="H6" s="677" t="n">
        <f aca="false">IF(H4="No",92%,15.2%)</f>
        <v>0.92</v>
      </c>
      <c r="Q6" s="142"/>
      <c r="S6" s="365"/>
      <c r="T6" s="553"/>
      <c r="U6" s="553"/>
      <c r="V6" s="553"/>
      <c r="W6" s="553"/>
      <c r="X6" s="553"/>
    </row>
    <row r="7" customFormat="false" ht="17.25" hidden="false" customHeight="true" outlineLevel="0" collapsed="false">
      <c r="A7" s="675" t="s">
        <v>464</v>
      </c>
      <c r="B7" s="678" t="n">
        <f aca="false">Tables!D10</f>
        <v>312</v>
      </c>
      <c r="C7" s="553"/>
      <c r="D7" s="668" t="s">
        <v>564</v>
      </c>
      <c r="E7" s="670" t="n">
        <f aca="false">Tables!L10</f>
        <v>6108</v>
      </c>
      <c r="F7" s="679"/>
      <c r="G7" s="671" t="s">
        <v>630</v>
      </c>
      <c r="H7" s="680" t="n">
        <v>0</v>
      </c>
      <c r="Q7" s="142"/>
      <c r="S7" s="365"/>
      <c r="T7" s="113"/>
    </row>
    <row r="8" customFormat="false" ht="12.75" hidden="false" customHeight="false" outlineLevel="0" collapsed="false">
      <c r="A8" s="675" t="s">
        <v>631</v>
      </c>
      <c r="B8" s="681"/>
      <c r="C8" s="113"/>
      <c r="D8" s="668" t="s">
        <v>565</v>
      </c>
      <c r="E8" s="670" t="n">
        <f aca="false">Tables!M10</f>
        <v>0</v>
      </c>
      <c r="F8" s="114"/>
      <c r="G8" s="671" t="s">
        <v>632</v>
      </c>
      <c r="H8" s="680" t="n">
        <v>0.05</v>
      </c>
      <c r="Q8" s="113"/>
      <c r="S8" s="113"/>
      <c r="T8" s="113"/>
    </row>
    <row r="9" customFormat="false" ht="12.75" hidden="false" customHeight="false" outlineLevel="0" collapsed="false">
      <c r="A9" s="675"/>
      <c r="B9" s="681"/>
      <c r="C9" s="113"/>
      <c r="D9" s="668" t="s">
        <v>633</v>
      </c>
      <c r="E9" s="670" t="n">
        <f aca="false">IF(SUM(Construction!$A52:$IV52)&lt;0,-SUM(Construction!$A52:$IV52),SUM(Construction!$A52:$IV52))</f>
        <v>1018.05066285017</v>
      </c>
      <c r="F9" s="114"/>
      <c r="G9" s="671" t="s">
        <v>634</v>
      </c>
      <c r="H9" s="680" t="n">
        <v>0.03</v>
      </c>
      <c r="S9" s="682"/>
    </row>
    <row r="10" customFormat="false" ht="12.75" hidden="false" customHeight="false" outlineLevel="0" collapsed="false">
      <c r="A10" s="675" t="s">
        <v>635</v>
      </c>
      <c r="B10" s="681"/>
      <c r="C10" s="113"/>
      <c r="D10" s="668" t="s">
        <v>636</v>
      </c>
      <c r="E10" s="683" t="n">
        <f aca="false">SUM(E4:E9)</f>
        <v>180530.05066285</v>
      </c>
      <c r="F10" s="684"/>
      <c r="G10" s="671" t="s">
        <v>637</v>
      </c>
      <c r="H10" s="680" t="n">
        <v>0</v>
      </c>
      <c r="S10" s="628"/>
    </row>
    <row r="11" customFormat="false" ht="13.5" hidden="false" customHeight="false" outlineLevel="0" collapsed="false">
      <c r="A11" s="675"/>
      <c r="B11" s="681"/>
      <c r="C11" s="113"/>
      <c r="D11" s="668" t="s">
        <v>638</v>
      </c>
      <c r="E11" s="685" t="n">
        <f aca="false">E10/E31</f>
        <v>122809.558274048</v>
      </c>
      <c r="F11" s="686"/>
      <c r="G11" s="671" t="s">
        <v>639</v>
      </c>
      <c r="H11" s="677" t="n">
        <f aca="false">IF(H4="yes",80%,0)</f>
        <v>0</v>
      </c>
      <c r="S11" s="628"/>
    </row>
    <row r="12" customFormat="false" ht="14.25" hidden="false" customHeight="false" outlineLevel="0" collapsed="false">
      <c r="A12" s="687" t="s">
        <v>595</v>
      </c>
      <c r="B12" s="681"/>
      <c r="C12" s="113"/>
      <c r="D12" s="687" t="s">
        <v>640</v>
      </c>
      <c r="E12" s="683"/>
      <c r="F12" s="686"/>
      <c r="G12" s="688" t="s">
        <v>641</v>
      </c>
      <c r="H12" s="689" t="s">
        <v>642</v>
      </c>
      <c r="S12" s="628"/>
      <c r="T12" s="553"/>
      <c r="U12" s="113"/>
      <c r="V12" s="553"/>
      <c r="W12" s="113"/>
      <c r="X12" s="113"/>
    </row>
    <row r="13" customFormat="false" ht="18.75" hidden="false" customHeight="false" outlineLevel="0" collapsed="false">
      <c r="A13" s="690" t="s">
        <v>643</v>
      </c>
      <c r="B13" s="691" t="n">
        <f aca="false">Tables!E10</f>
        <v>11960</v>
      </c>
      <c r="C13" s="113"/>
      <c r="D13" s="668" t="s">
        <v>644</v>
      </c>
      <c r="E13" s="683" t="n">
        <f aca="false">Tables!J36</f>
        <v>0</v>
      </c>
      <c r="F13" s="686"/>
      <c r="G13" s="686"/>
      <c r="P13" s="113"/>
      <c r="Q13" s="692" t="s">
        <v>645</v>
      </c>
      <c r="R13" s="693" t="e">
        <f aca="false">IF(Tables!$B$21=Tables!$B$15,IF(Tax!J15&lt;0,"Y","N"),IF(Tables!$B$21=Tables!$B$16,IF(Tax!O15&lt;0,"Y","N"),IF(Tables!$B$21=Tables!$B$17,IF(Tax!T15&lt;0,"Y","N"),IF(Tables!$B$21=Tables!$B$18,IF(#REF!&lt;0,"Y","N")))))</f>
        <v>#VALUE!</v>
      </c>
      <c r="S13" s="142"/>
      <c r="T13" s="553"/>
      <c r="U13" s="113"/>
      <c r="V13" s="113"/>
    </row>
    <row r="14" customFormat="false" ht="16.5" hidden="false" customHeight="true" outlineLevel="0" collapsed="false">
      <c r="A14" s="690" t="s">
        <v>646</v>
      </c>
      <c r="B14" s="694" t="n">
        <f aca="false">Tables!F10</f>
        <v>0.02</v>
      </c>
      <c r="C14" s="113"/>
      <c r="D14" s="668" t="s">
        <v>647</v>
      </c>
      <c r="E14" s="683" t="n">
        <v>0</v>
      </c>
      <c r="F14" s="686"/>
      <c r="G14" s="664" t="s">
        <v>648</v>
      </c>
      <c r="H14" s="695"/>
      <c r="P14" s="113"/>
      <c r="Q14" s="692" t="s">
        <v>649</v>
      </c>
      <c r="R14" s="693" t="str">
        <f aca="false">IF(Tables!$B$21=Tables!$B$15,IF(Tables!B77&gt;0,"Y","N"),IF(Tables!$B$21=Tables!$B$16,IF(Tables!C77&gt;0,"Y","N"),IF(Tables!$B$21=Tables!$B$17,IF(Tables!D77&gt;0,"Y","N"),IF(Tables!$B$21=Tables!$B$18,IF(Tables!E77&gt;0,"Y","N")))))</f>
        <v>N</v>
      </c>
      <c r="S14" s="142"/>
      <c r="T14" s="113"/>
      <c r="U14" s="113"/>
      <c r="V14" s="113"/>
    </row>
    <row r="15" customFormat="false" ht="15.75" hidden="false" customHeight="true" outlineLevel="0" collapsed="false">
      <c r="A15" s="690" t="s">
        <v>560</v>
      </c>
      <c r="B15" s="696" t="n">
        <f aca="false">Tables!H10</f>
        <v>16000</v>
      </c>
      <c r="C15" s="441" t="s">
        <v>517</v>
      </c>
      <c r="D15" s="668" t="s">
        <v>564</v>
      </c>
      <c r="E15" s="683" t="n">
        <f aca="false">Tables!L36</f>
        <v>0</v>
      </c>
      <c r="F15" s="686"/>
      <c r="G15" s="675" t="s">
        <v>116</v>
      </c>
      <c r="H15" s="697" t="n">
        <v>25</v>
      </c>
      <c r="P15" s="113"/>
      <c r="Q15" s="553"/>
      <c r="R15" s="113"/>
      <c r="S15" s="113"/>
      <c r="T15" s="113"/>
      <c r="U15" s="113"/>
      <c r="V15" s="113"/>
    </row>
    <row r="16" customFormat="false" ht="12.75" hidden="false" customHeight="false" outlineLevel="0" collapsed="false">
      <c r="A16" s="690" t="s">
        <v>650</v>
      </c>
      <c r="B16" s="698" t="n">
        <f aca="false">Tables!G10</f>
        <v>0.02</v>
      </c>
      <c r="C16" s="441"/>
      <c r="D16" s="668" t="s">
        <v>633</v>
      </c>
      <c r="E16" s="683" t="n">
        <f aca="false">SUM(Construction!D109:AA110)</f>
        <v>0</v>
      </c>
      <c r="F16" s="699"/>
      <c r="G16" s="675" t="s">
        <v>651</v>
      </c>
      <c r="H16" s="700" t="n">
        <f aca="false">Tables!B41</f>
        <v>0.2512</v>
      </c>
      <c r="P16" s="113"/>
      <c r="Q16" s="701"/>
      <c r="R16" s="553"/>
      <c r="S16" s="142"/>
      <c r="T16" s="113"/>
      <c r="U16" s="113"/>
      <c r="V16" s="113"/>
    </row>
    <row r="17" customFormat="false" ht="16.5" hidden="false" customHeight="true" outlineLevel="0" collapsed="false">
      <c r="A17" s="690" t="s">
        <v>652</v>
      </c>
      <c r="B17" s="702" t="n">
        <v>5000</v>
      </c>
      <c r="C17" s="113"/>
      <c r="D17" s="668" t="s">
        <v>653</v>
      </c>
      <c r="E17" s="685" t="n">
        <f aca="false">SUM(E13:E16)</f>
        <v>0</v>
      </c>
      <c r="F17" s="515"/>
      <c r="G17" s="675" t="s">
        <v>654</v>
      </c>
      <c r="H17" s="700" t="n">
        <f aca="false">Tables!B64</f>
        <v>0.155</v>
      </c>
      <c r="P17" s="113"/>
      <c r="Q17" s="701"/>
      <c r="R17" s="553"/>
      <c r="S17" s="701"/>
    </row>
    <row r="18" customFormat="false" ht="13.5" hidden="false" customHeight="false" outlineLevel="0" collapsed="false">
      <c r="A18" s="703" t="s">
        <v>594</v>
      </c>
      <c r="B18" s="696"/>
      <c r="C18" s="113"/>
      <c r="D18" s="668" t="s">
        <v>655</v>
      </c>
      <c r="E18" s="704" t="n">
        <v>0.015</v>
      </c>
      <c r="F18" s="705"/>
      <c r="G18" s="675" t="s">
        <v>656</v>
      </c>
      <c r="H18" s="700" t="n">
        <f aca="false">Tables!B42</f>
        <v>-0.01</v>
      </c>
      <c r="M18" s="113"/>
      <c r="Q18" s="706"/>
      <c r="R18" s="628"/>
      <c r="S18" s="142"/>
      <c r="T18" s="142"/>
      <c r="U18" s="113"/>
      <c r="V18" s="113"/>
      <c r="W18" s="113"/>
      <c r="X18" s="113"/>
      <c r="Y18" s="113"/>
    </row>
    <row r="19" customFormat="false" ht="22.5" hidden="false" customHeight="true" outlineLevel="0" collapsed="false">
      <c r="A19" s="675" t="s">
        <v>430</v>
      </c>
      <c r="B19" s="696" t="n">
        <f aca="false">Tables!D34</f>
        <v>259.617</v>
      </c>
      <c r="C19" s="707"/>
      <c r="D19" s="668" t="s">
        <v>657</v>
      </c>
      <c r="E19" s="708" t="n">
        <v>0.07</v>
      </c>
      <c r="F19" s="142"/>
      <c r="G19" s="709" t="s">
        <v>256</v>
      </c>
      <c r="H19" s="700" t="n">
        <v>0.04</v>
      </c>
      <c r="U19" s="553"/>
      <c r="V19" s="553"/>
      <c r="W19" s="553"/>
      <c r="X19" s="553"/>
      <c r="Y19" s="113"/>
    </row>
    <row r="20" customFormat="false" ht="12.75" hidden="false" customHeight="false" outlineLevel="0" collapsed="false">
      <c r="A20" s="690" t="s">
        <v>643</v>
      </c>
      <c r="B20" s="696" t="n">
        <f aca="false">Tables!E34</f>
        <v>7798.86</v>
      </c>
      <c r="C20" s="113"/>
      <c r="D20" s="668" t="s">
        <v>658</v>
      </c>
      <c r="E20" s="708" t="n">
        <v>0.02</v>
      </c>
      <c r="F20" s="710"/>
      <c r="G20" s="675" t="s">
        <v>659</v>
      </c>
      <c r="H20" s="700" t="n">
        <f aca="false">SUM(H16:H19)</f>
        <v>0.4362</v>
      </c>
      <c r="U20" s="553"/>
      <c r="V20" s="553"/>
      <c r="W20" s="553"/>
      <c r="X20" s="553"/>
      <c r="Y20" s="113"/>
    </row>
    <row r="21" customFormat="false" ht="13.5" hidden="false" customHeight="false" outlineLevel="0" collapsed="false">
      <c r="A21" s="690" t="s">
        <v>660</v>
      </c>
      <c r="B21" s="694" t="n">
        <v>0.95</v>
      </c>
      <c r="C21" s="113"/>
      <c r="D21" s="668" t="s">
        <v>661</v>
      </c>
      <c r="E21" s="711" t="n">
        <f aca="false">MIN((1/((E27)/Tables!B21)),13)</f>
        <v>13</v>
      </c>
      <c r="F21" s="710"/>
      <c r="G21" s="712" t="s">
        <v>272</v>
      </c>
      <c r="H21" s="713" t="n">
        <f aca="false">Tables!B45</f>
        <v>0.00225</v>
      </c>
      <c r="U21" s="553"/>
      <c r="V21" s="553"/>
      <c r="W21" s="553"/>
      <c r="X21" s="553"/>
      <c r="Y21" s="113"/>
    </row>
    <row r="22" customFormat="false" ht="13.5" hidden="false" customHeight="false" outlineLevel="0" collapsed="false">
      <c r="A22" s="668"/>
      <c r="B22" s="714"/>
      <c r="C22" s="113"/>
      <c r="D22" s="668" t="s">
        <v>662</v>
      </c>
      <c r="E22" s="683" t="e">
        <f aca="false">SUM('Debt Amort'!C36:D36)+'Debt Amort'!E26</f>
        <v>#VALUE!</v>
      </c>
      <c r="F22" s="715"/>
      <c r="U22" s="553"/>
      <c r="V22" s="553"/>
      <c r="W22" s="553"/>
      <c r="X22" s="553"/>
      <c r="Y22" s="113"/>
    </row>
    <row r="23" customFormat="false" ht="20.25" hidden="false" customHeight="true" outlineLevel="0" collapsed="false">
      <c r="A23" s="716" t="s">
        <v>592</v>
      </c>
      <c r="B23" s="717"/>
      <c r="C23" s="113"/>
      <c r="D23" s="668" t="s">
        <v>663</v>
      </c>
      <c r="E23" s="718" t="n">
        <v>13</v>
      </c>
      <c r="F23" s="715"/>
      <c r="G23" s="664" t="s">
        <v>664</v>
      </c>
      <c r="H23" s="665"/>
      <c r="U23" s="553"/>
      <c r="V23" s="553"/>
      <c r="W23" s="553"/>
      <c r="X23" s="553"/>
      <c r="Y23" s="113"/>
    </row>
    <row r="24" customFormat="false" ht="13.5" hidden="false" customHeight="false" outlineLevel="0" collapsed="false">
      <c r="C24" s="113"/>
      <c r="D24" s="668"/>
      <c r="E24" s="683"/>
      <c r="F24" s="719"/>
      <c r="G24" s="671"/>
      <c r="H24" s="720" t="s">
        <v>60</v>
      </c>
      <c r="U24" s="553"/>
      <c r="V24" s="553"/>
      <c r="W24" s="553"/>
      <c r="AA24" s="113"/>
      <c r="AB24" s="113"/>
    </row>
    <row r="25" customFormat="false" ht="15.75" hidden="false" customHeight="false" outlineLevel="0" collapsed="false">
      <c r="A25" s="664" t="s">
        <v>665</v>
      </c>
      <c r="B25" s="665"/>
      <c r="C25" s="113"/>
      <c r="D25" s="668" t="s">
        <v>666</v>
      </c>
      <c r="E25" s="721" t="e">
        <f aca="false">E22/(E10*E34)</f>
        <v>#VALUE!</v>
      </c>
      <c r="F25" s="699"/>
      <c r="G25" s="671" t="s">
        <v>64</v>
      </c>
      <c r="H25" s="722" t="n">
        <v>15</v>
      </c>
      <c r="U25" s="113"/>
      <c r="V25" s="113"/>
      <c r="W25" s="553"/>
      <c r="AA25" s="113"/>
      <c r="AB25" s="113"/>
    </row>
    <row r="26" customFormat="false" ht="18.75" hidden="false" customHeight="true" outlineLevel="0" collapsed="false">
      <c r="A26" s="668" t="s">
        <v>667</v>
      </c>
      <c r="B26" s="723" t="n">
        <f aca="true">NOW()</f>
        <v>45926.9398576025</v>
      </c>
      <c r="C26" s="113"/>
      <c r="D26" s="668"/>
      <c r="E26" s="711"/>
      <c r="F26" s="113"/>
      <c r="G26" s="671" t="s">
        <v>65</v>
      </c>
      <c r="H26" s="724" t="n">
        <v>0</v>
      </c>
      <c r="U26" s="113"/>
      <c r="V26" s="113"/>
      <c r="W26" s="553"/>
      <c r="AA26" s="113"/>
      <c r="AB26" s="113"/>
    </row>
    <row r="27" customFormat="false" ht="21.75" hidden="false" customHeight="true" outlineLevel="0" collapsed="false">
      <c r="A27" s="687"/>
      <c r="B27" s="725"/>
      <c r="C27" s="142"/>
      <c r="D27" s="668" t="s">
        <v>668</v>
      </c>
      <c r="E27" s="726" t="n">
        <v>1</v>
      </c>
      <c r="F27" s="719"/>
      <c r="G27" s="671" t="s">
        <v>66</v>
      </c>
      <c r="H27" s="727" t="n">
        <v>5</v>
      </c>
      <c r="U27" s="498"/>
      <c r="V27" s="498"/>
      <c r="W27" s="113"/>
      <c r="X27" s="113"/>
      <c r="Y27" s="113"/>
      <c r="AC27" s="113"/>
      <c r="AD27" s="113"/>
    </row>
    <row r="28" customFormat="false" ht="27.75" hidden="false" customHeight="true" outlineLevel="0" collapsed="false">
      <c r="A28" s="687" t="s">
        <v>669</v>
      </c>
      <c r="B28" s="728" t="e">
        <f aca="false">Tables!D$21+$F$64</f>
        <v>#VALUE!</v>
      </c>
      <c r="C28" s="142"/>
      <c r="D28" s="668" t="s">
        <v>670</v>
      </c>
      <c r="E28" s="697" t="s">
        <v>517</v>
      </c>
      <c r="F28" s="699"/>
      <c r="G28" s="671" t="s">
        <v>68</v>
      </c>
      <c r="H28" s="727" t="n">
        <v>30</v>
      </c>
      <c r="U28" s="114"/>
      <c r="V28" s="113"/>
      <c r="W28" s="113"/>
      <c r="X28" s="113"/>
      <c r="Y28" s="113"/>
      <c r="AC28" s="113"/>
      <c r="AD28" s="113"/>
    </row>
    <row r="29" customFormat="false" ht="25.5" hidden="false" customHeight="true" outlineLevel="0" collapsed="false">
      <c r="A29" s="668" t="s">
        <v>379</v>
      </c>
      <c r="B29" s="729" t="n">
        <v>0.1</v>
      </c>
      <c r="C29" s="142"/>
      <c r="D29" s="668" t="s">
        <v>671</v>
      </c>
      <c r="E29" s="708" t="n">
        <v>0.37</v>
      </c>
      <c r="F29" s="699"/>
      <c r="G29" s="671" t="s">
        <v>69</v>
      </c>
      <c r="H29" s="727" t="n">
        <v>10</v>
      </c>
      <c r="U29" s="295"/>
      <c r="V29" s="113"/>
      <c r="W29" s="113"/>
      <c r="X29" s="113"/>
      <c r="Y29" s="113"/>
      <c r="AC29" s="113"/>
      <c r="AD29" s="113"/>
    </row>
    <row r="30" customFormat="false" ht="27.75" hidden="false" customHeight="true" outlineLevel="0" collapsed="false">
      <c r="A30" s="687" t="s">
        <v>672</v>
      </c>
      <c r="B30" s="728" t="e">
        <f aca="false">Tables!C$21+$F$64</f>
        <v>#VALUE!</v>
      </c>
      <c r="D30" s="668" t="s">
        <v>673</v>
      </c>
      <c r="E30" s="730" t="n">
        <f aca="false">'Int Curves'!Q6</f>
        <v>0.0688221874283014</v>
      </c>
      <c r="G30" s="731" t="s">
        <v>674</v>
      </c>
      <c r="H30" s="732" t="n">
        <v>5</v>
      </c>
    </row>
    <row r="31" customFormat="false" ht="25.5" hidden="false" customHeight="true" outlineLevel="0" collapsed="false">
      <c r="A31" s="733" t="s">
        <v>379</v>
      </c>
      <c r="B31" s="734" t="n">
        <v>0.1</v>
      </c>
      <c r="D31" s="668" t="s">
        <v>675</v>
      </c>
      <c r="E31" s="735" t="n">
        <v>1.47</v>
      </c>
    </row>
    <row r="32" customFormat="false" ht="25.5" hidden="false" customHeight="true" outlineLevel="0" collapsed="false">
      <c r="D32" s="668" t="s">
        <v>676</v>
      </c>
      <c r="E32" s="736" t="n">
        <v>0.02</v>
      </c>
      <c r="G32" s="112"/>
    </row>
    <row r="33" customFormat="false" ht="22.5" hidden="false" customHeight="true" outlineLevel="0" collapsed="false">
      <c r="A33" s="664" t="s">
        <v>677</v>
      </c>
      <c r="B33" s="665"/>
      <c r="D33" s="668" t="s">
        <v>678</v>
      </c>
      <c r="E33" s="737" t="n">
        <v>0.675221915027956</v>
      </c>
    </row>
    <row r="34" customFormat="false" ht="21.75" hidden="false" customHeight="true" outlineLevel="0" collapsed="false">
      <c r="A34" s="675" t="s">
        <v>679</v>
      </c>
      <c r="B34" s="738" t="n">
        <f aca="false">(0.35*1.055056)*(1.1/1.3)</f>
        <v>0.312458892307692</v>
      </c>
      <c r="D34" s="668" t="s">
        <v>680</v>
      </c>
      <c r="E34" s="739" t="n">
        <f aca="false">1-E33</f>
        <v>0.324778084972044</v>
      </c>
    </row>
    <row r="35" customFormat="false" ht="15.75" hidden="false" customHeight="true" outlineLevel="0" collapsed="false">
      <c r="A35" s="675"/>
      <c r="B35" s="738"/>
      <c r="D35" s="687" t="s">
        <v>681</v>
      </c>
      <c r="E35" s="739"/>
      <c r="F35" s="149"/>
      <c r="G35" s="740"/>
    </row>
    <row r="36" customFormat="false" ht="24" hidden="false" customHeight="true" outlineLevel="0" collapsed="false">
      <c r="A36" s="675" t="s">
        <v>682</v>
      </c>
      <c r="B36" s="741" t="n">
        <v>4.19</v>
      </c>
      <c r="D36" s="668" t="s">
        <v>678</v>
      </c>
      <c r="E36" s="708" t="n">
        <v>1</v>
      </c>
      <c r="F36" s="149"/>
      <c r="G36" s="112"/>
    </row>
    <row r="37" customFormat="false" ht="27" hidden="false" customHeight="true" outlineLevel="0" collapsed="false">
      <c r="A37" s="687" t="s">
        <v>683</v>
      </c>
      <c r="B37" s="741"/>
      <c r="D37" s="668" t="s">
        <v>680</v>
      </c>
      <c r="E37" s="742" t="n">
        <f aca="false">1-E36</f>
        <v>0</v>
      </c>
      <c r="F37" s="149"/>
      <c r="G37" s="112"/>
    </row>
    <row r="38" customFormat="false" ht="15.75" hidden="false" customHeight="true" outlineLevel="0" collapsed="false">
      <c r="A38" s="675" t="s">
        <v>684</v>
      </c>
      <c r="B38" s="741"/>
      <c r="D38" s="687" t="s">
        <v>685</v>
      </c>
      <c r="E38" s="739"/>
      <c r="F38" s="288"/>
      <c r="G38" s="288"/>
    </row>
    <row r="39" customFormat="false" ht="19.5" hidden="false" customHeight="true" outlineLevel="0" collapsed="false">
      <c r="A39" s="675" t="s">
        <v>686</v>
      </c>
      <c r="B39" s="741"/>
      <c r="D39" s="668" t="s">
        <v>687</v>
      </c>
      <c r="E39" s="743" t="n">
        <v>0</v>
      </c>
      <c r="F39" s="288"/>
      <c r="I39" s="49"/>
      <c r="J39" s="49"/>
      <c r="K39" s="49"/>
      <c r="L39" s="49"/>
      <c r="M39" s="49"/>
    </row>
    <row r="40" customFormat="false" ht="12.75" hidden="false" customHeight="false" outlineLevel="0" collapsed="false">
      <c r="A40" s="675"/>
      <c r="B40" s="741"/>
      <c r="D40" s="668" t="s">
        <v>688</v>
      </c>
      <c r="E40" s="743" t="n">
        <v>0</v>
      </c>
      <c r="F40" s="288"/>
      <c r="G40" s="149"/>
      <c r="I40" s="49"/>
      <c r="J40" s="49"/>
      <c r="K40" s="49"/>
      <c r="L40" s="49"/>
      <c r="M40" s="49"/>
    </row>
    <row r="41" customFormat="false" ht="12.75" hidden="false" customHeight="false" outlineLevel="0" collapsed="false">
      <c r="A41" s="675" t="s">
        <v>689</v>
      </c>
      <c r="B41" s="721"/>
      <c r="D41" s="668" t="s">
        <v>690</v>
      </c>
      <c r="E41" s="743" t="n">
        <v>0</v>
      </c>
      <c r="F41" s="288"/>
      <c r="G41" s="288"/>
      <c r="I41" s="744"/>
      <c r="J41" s="745"/>
      <c r="K41" s="744"/>
      <c r="L41" s="745"/>
      <c r="M41" s="49"/>
    </row>
    <row r="42" customFormat="false" ht="12.75" hidden="false" customHeight="false" outlineLevel="0" collapsed="false">
      <c r="A42" s="675" t="s">
        <v>691</v>
      </c>
      <c r="B42" s="746" t="n">
        <v>0</v>
      </c>
      <c r="D42" s="668" t="s">
        <v>692</v>
      </c>
      <c r="E42" s="743" t="n">
        <v>0</v>
      </c>
      <c r="F42" s="288"/>
      <c r="G42" s="188"/>
      <c r="I42" s="747"/>
      <c r="J42" s="747"/>
      <c r="K42" s="747"/>
      <c r="L42" s="747"/>
      <c r="M42" s="49"/>
    </row>
    <row r="43" customFormat="false" ht="12.75" hidden="false" customHeight="false" outlineLevel="0" collapsed="false">
      <c r="A43" s="675"/>
      <c r="B43" s="721"/>
      <c r="D43" s="687" t="s">
        <v>693</v>
      </c>
      <c r="E43" s="739"/>
      <c r="F43" s="288"/>
      <c r="G43" s="188"/>
      <c r="I43" s="747"/>
      <c r="J43" s="747"/>
      <c r="K43" s="747"/>
      <c r="L43" s="747"/>
      <c r="M43" s="49"/>
    </row>
    <row r="44" customFormat="false" ht="12.75" hidden="false" customHeight="false" outlineLevel="0" collapsed="false">
      <c r="A44" s="31"/>
      <c r="B44" s="721"/>
      <c r="D44" s="668" t="s">
        <v>694</v>
      </c>
      <c r="E44" s="748" t="e">
        <f aca="false">MIN(Cashflow!E$68:O$68)</f>
        <v>#VALUE!</v>
      </c>
      <c r="F44" s="288"/>
      <c r="G44" s="292"/>
      <c r="I44" s="747"/>
      <c r="J44" s="747"/>
      <c r="K44" s="747"/>
      <c r="L44" s="747"/>
      <c r="M44" s="49"/>
    </row>
    <row r="45" customFormat="false" ht="12.75" hidden="false" customHeight="false" outlineLevel="0" collapsed="false">
      <c r="A45" s="675" t="s">
        <v>695</v>
      </c>
      <c r="B45" s="721"/>
      <c r="C45" s="288"/>
      <c r="D45" s="668" t="s">
        <v>696</v>
      </c>
      <c r="E45" s="749" t="e">
        <f aca="false">AVERAGE(Cashflow!E$68:O$68)</f>
        <v>#VALUE!</v>
      </c>
      <c r="F45" s="149" t="n">
        <v>2.5</v>
      </c>
      <c r="G45" s="292" t="s">
        <v>697</v>
      </c>
      <c r="I45" s="747"/>
      <c r="J45" s="747"/>
      <c r="K45" s="747"/>
      <c r="L45" s="747"/>
      <c r="M45" s="49"/>
    </row>
    <row r="46" customFormat="false" ht="12.75" hidden="false" customHeight="false" outlineLevel="0" collapsed="false">
      <c r="A46" s="675"/>
      <c r="B46" s="721"/>
      <c r="C46" s="288"/>
      <c r="D46" s="668" t="s">
        <v>698</v>
      </c>
      <c r="E46" s="748" t="e">
        <f aca="false">MAX(Cashflow!E68:O68)</f>
        <v>#VALUE!</v>
      </c>
      <c r="F46" s="288"/>
      <c r="G46" s="292"/>
      <c r="I46" s="747"/>
      <c r="J46" s="747"/>
      <c r="K46" s="747"/>
      <c r="L46" s="747"/>
      <c r="M46" s="49"/>
    </row>
    <row r="47" customFormat="false" ht="12.75" hidden="false" customHeight="false" outlineLevel="0" collapsed="false">
      <c r="A47" s="687" t="s">
        <v>699</v>
      </c>
      <c r="B47" s="750" t="s">
        <v>642</v>
      </c>
      <c r="C47" s="288"/>
      <c r="D47" s="675" t="s">
        <v>700</v>
      </c>
      <c r="E47" s="751" t="n">
        <v>36586</v>
      </c>
      <c r="F47" s="288"/>
      <c r="G47" s="292"/>
      <c r="I47" s="747"/>
      <c r="J47" s="747"/>
      <c r="K47" s="747"/>
      <c r="L47" s="747"/>
      <c r="M47" s="49"/>
    </row>
    <row r="48" customFormat="false" ht="12.75" hidden="false" customHeight="false" outlineLevel="0" collapsed="false">
      <c r="A48" s="752"/>
      <c r="B48" s="726"/>
      <c r="C48" s="288"/>
      <c r="D48" s="668" t="s">
        <v>701</v>
      </c>
      <c r="E48" s="718" t="n">
        <v>10</v>
      </c>
      <c r="F48" s="288"/>
      <c r="G48" s="292"/>
      <c r="I48" s="747"/>
      <c r="J48" s="747"/>
      <c r="K48" s="747"/>
      <c r="L48" s="747"/>
      <c r="M48" s="49"/>
    </row>
    <row r="49" customFormat="false" ht="12.75" hidden="false" customHeight="false" outlineLevel="0" collapsed="false">
      <c r="A49" s="675" t="s">
        <v>702</v>
      </c>
      <c r="B49" s="753" t="n">
        <v>0</v>
      </c>
      <c r="D49" s="668" t="s">
        <v>703</v>
      </c>
      <c r="E49" s="754" t="n">
        <v>36831</v>
      </c>
      <c r="F49" s="288"/>
      <c r="G49" s="292"/>
      <c r="I49" s="747"/>
      <c r="J49" s="747"/>
      <c r="K49" s="747"/>
      <c r="L49" s="747"/>
      <c r="M49" s="49"/>
    </row>
    <row r="50" customFormat="false" ht="12.75" hidden="false" customHeight="false" outlineLevel="0" collapsed="false">
      <c r="A50" s="755" t="s">
        <v>704</v>
      </c>
      <c r="B50" s="738" t="n">
        <v>65</v>
      </c>
      <c r="D50" s="668" t="s">
        <v>705</v>
      </c>
      <c r="E50" s="754" t="s">
        <v>706</v>
      </c>
      <c r="F50" s="288"/>
      <c r="G50" s="292"/>
      <c r="I50" s="747"/>
      <c r="J50" s="747"/>
      <c r="K50" s="747"/>
      <c r="L50" s="747"/>
      <c r="M50" s="49"/>
    </row>
    <row r="51" customFormat="false" ht="12.75" hidden="false" customHeight="false" outlineLevel="0" collapsed="false">
      <c r="A51" s="675"/>
      <c r="B51" s="721"/>
      <c r="D51" s="668" t="s">
        <v>707</v>
      </c>
      <c r="E51" s="718" t="n">
        <v>2</v>
      </c>
      <c r="F51" s="288"/>
      <c r="G51" s="292"/>
      <c r="I51" s="747"/>
      <c r="J51" s="747"/>
      <c r="K51" s="747"/>
      <c r="L51" s="747"/>
      <c r="M51" s="49"/>
    </row>
    <row r="52" customFormat="false" ht="12.75" hidden="false" customHeight="false" outlineLevel="0" collapsed="false">
      <c r="A52" s="675" t="s">
        <v>708</v>
      </c>
      <c r="B52" s="756" t="n">
        <v>0</v>
      </c>
      <c r="D52" s="668" t="s">
        <v>709</v>
      </c>
      <c r="E52" s="757" t="n">
        <f aca="true">TODAY()</f>
        <v>45926</v>
      </c>
      <c r="F52" s="288"/>
      <c r="G52" s="292"/>
      <c r="I52" s="747"/>
      <c r="J52" s="747"/>
      <c r="K52" s="747"/>
      <c r="L52" s="747"/>
      <c r="M52" s="49"/>
    </row>
    <row r="53" customFormat="false" ht="12.75" hidden="false" customHeight="false" outlineLevel="0" collapsed="false">
      <c r="A53" s="675" t="s">
        <v>710</v>
      </c>
      <c r="B53" s="743" t="n">
        <v>10000</v>
      </c>
      <c r="D53" s="687" t="s">
        <v>711</v>
      </c>
      <c r="E53" s="754"/>
      <c r="F53" s="288"/>
      <c r="I53" s="747"/>
      <c r="J53" s="747"/>
      <c r="K53" s="747"/>
      <c r="L53" s="747"/>
      <c r="M53" s="49"/>
    </row>
    <row r="54" customFormat="false" ht="12.75" hidden="false" customHeight="false" outlineLevel="0" collapsed="false">
      <c r="A54" s="675" t="s">
        <v>712</v>
      </c>
      <c r="B54" s="743" t="n">
        <v>0</v>
      </c>
      <c r="D54" s="675" t="s">
        <v>700</v>
      </c>
      <c r="E54" s="754" t="n">
        <v>37895</v>
      </c>
      <c r="H54" s="745"/>
      <c r="I54" s="747"/>
      <c r="J54" s="747"/>
      <c r="K54" s="747"/>
      <c r="L54" s="747"/>
      <c r="M54" s="49"/>
    </row>
    <row r="55" customFormat="false" ht="12.75" hidden="false" customHeight="false" outlineLevel="0" collapsed="false">
      <c r="A55" s="675" t="s">
        <v>713</v>
      </c>
      <c r="B55" s="726" t="n">
        <v>0</v>
      </c>
      <c r="D55" s="668" t="s">
        <v>714</v>
      </c>
      <c r="E55" s="722" t="n">
        <v>3</v>
      </c>
      <c r="H55" s="758"/>
      <c r="I55" s="759"/>
      <c r="J55" s="759"/>
      <c r="K55" s="759"/>
      <c r="L55" s="759"/>
      <c r="M55" s="49"/>
    </row>
    <row r="56" customFormat="false" ht="12.75" hidden="false" customHeight="false" outlineLevel="0" collapsed="false">
      <c r="A56" s="675" t="s">
        <v>715</v>
      </c>
      <c r="B56" s="743" t="n">
        <v>0</v>
      </c>
      <c r="D56" s="668" t="s">
        <v>703</v>
      </c>
      <c r="E56" s="760" t="n">
        <v>37987</v>
      </c>
      <c r="H56" s="747"/>
      <c r="I56" s="288"/>
      <c r="J56" s="288"/>
      <c r="K56" s="288"/>
      <c r="L56" s="288"/>
      <c r="M56" s="49"/>
    </row>
    <row r="57" customFormat="false" ht="12.75" hidden="false" customHeight="false" outlineLevel="0" collapsed="false">
      <c r="A57" s="675" t="s">
        <v>716</v>
      </c>
      <c r="B57" s="726" t="n">
        <v>0</v>
      </c>
      <c r="D57" s="668" t="s">
        <v>705</v>
      </c>
      <c r="E57" s="757" t="s">
        <v>706</v>
      </c>
      <c r="G57" s="744"/>
      <c r="H57" s="747"/>
      <c r="I57" s="49"/>
      <c r="J57" s="49"/>
      <c r="K57" s="49"/>
      <c r="L57" s="49"/>
      <c r="M57" s="49"/>
    </row>
    <row r="58" customFormat="false" ht="13.5" hidden="false" customHeight="false" outlineLevel="0" collapsed="false">
      <c r="A58" s="668" t="s">
        <v>717</v>
      </c>
      <c r="B58" s="738" t="n">
        <f aca="false">Tables!N10</f>
        <v>1.49</v>
      </c>
      <c r="C58" s="49"/>
      <c r="D58" s="761"/>
      <c r="E58" s="762"/>
      <c r="G58" s="744"/>
      <c r="H58" s="763"/>
      <c r="I58" s="49"/>
      <c r="J58" s="49"/>
      <c r="K58" s="49"/>
      <c r="L58" s="49"/>
      <c r="M58" s="49"/>
    </row>
    <row r="59" customFormat="false" ht="12.75" hidden="false" customHeight="false" outlineLevel="0" collapsed="false">
      <c r="A59" s="668" t="s">
        <v>718</v>
      </c>
      <c r="B59" s="738" t="n">
        <v>4</v>
      </c>
      <c r="C59" s="49"/>
      <c r="G59" s="747"/>
      <c r="H59" s="763"/>
      <c r="I59" s="49"/>
    </row>
    <row r="60" customFormat="false" ht="12.75" hidden="false" customHeight="false" outlineLevel="0" collapsed="false">
      <c r="A60" s="668" t="s">
        <v>719</v>
      </c>
      <c r="B60" s="738" t="n">
        <v>0</v>
      </c>
      <c r="C60" s="49"/>
      <c r="G60" s="747"/>
      <c r="H60" s="763"/>
      <c r="I60" s="49"/>
    </row>
    <row r="61" customFormat="false" ht="12.75" hidden="false" customHeight="false" outlineLevel="0" collapsed="false">
      <c r="A61" s="764" t="s">
        <v>720</v>
      </c>
      <c r="B61" s="765" t="n">
        <v>0.6</v>
      </c>
      <c r="C61" s="49"/>
      <c r="G61" s="763"/>
      <c r="H61" s="763"/>
      <c r="I61" s="49"/>
    </row>
    <row r="62" customFormat="false" ht="13.5" hidden="false" customHeight="false" outlineLevel="0" collapsed="false">
      <c r="A62" s="766"/>
      <c r="B62" s="738"/>
      <c r="G62" s="763"/>
      <c r="H62" s="763"/>
      <c r="I62" s="49"/>
    </row>
    <row r="63" customFormat="false" ht="12.75" hidden="false" customHeight="false" outlineLevel="0" collapsed="false">
      <c r="A63" s="668" t="s">
        <v>721</v>
      </c>
      <c r="B63" s="767" t="n">
        <f aca="false">0.5%</f>
        <v>0.005</v>
      </c>
      <c r="D63" s="768"/>
      <c r="E63" s="769" t="s">
        <v>722</v>
      </c>
      <c r="F63" s="770" t="s">
        <v>723</v>
      </c>
      <c r="G63" s="763"/>
      <c r="H63" s="763"/>
      <c r="I63" s="49"/>
    </row>
    <row r="64" customFormat="false" ht="13.5" hidden="false" customHeight="false" outlineLevel="0" collapsed="false">
      <c r="A64" s="668" t="s">
        <v>724</v>
      </c>
      <c r="B64" s="767" t="n">
        <f aca="false">0.25%</f>
        <v>0.0025</v>
      </c>
      <c r="D64" s="733" t="s">
        <v>725</v>
      </c>
      <c r="E64" s="771" t="n">
        <f aca="false">2355909/1000</f>
        <v>2355.909</v>
      </c>
      <c r="F64" s="772" t="n">
        <f aca="false">E64*0.854</f>
        <v>2011.946286</v>
      </c>
      <c r="G64" s="763"/>
      <c r="H64" s="763"/>
      <c r="I64" s="49"/>
    </row>
    <row r="65" customFormat="false" ht="13.5" hidden="false" customHeight="false" outlineLevel="0" collapsed="false">
      <c r="A65" s="733" t="s">
        <v>494</v>
      </c>
      <c r="B65" s="773" t="n">
        <v>45</v>
      </c>
      <c r="I65" s="49"/>
    </row>
    <row r="66" customFormat="false" ht="13.5" hidden="false" customHeight="false" outlineLevel="0" collapsed="false">
      <c r="B66" s="774"/>
      <c r="D66" s="450"/>
      <c r="E66" s="49"/>
      <c r="F66" s="49"/>
      <c r="H66" s="763"/>
      <c r="I66" s="49"/>
    </row>
    <row r="67" customFormat="false" ht="15.75" hidden="false" customHeight="false" outlineLevel="0" collapsed="false">
      <c r="A67" s="775" t="s">
        <v>481</v>
      </c>
      <c r="B67" s="776"/>
      <c r="D67" s="777"/>
      <c r="E67" s="745"/>
      <c r="F67" s="745"/>
      <c r="H67" s="288"/>
    </row>
    <row r="68" customFormat="false" ht="12.75" hidden="false" customHeight="false" outlineLevel="0" collapsed="false">
      <c r="A68" s="668" t="s">
        <v>726</v>
      </c>
      <c r="B68" s="778" t="n">
        <f aca="false">(5750/2)*E31</f>
        <v>4226.25</v>
      </c>
      <c r="D68" s="288"/>
      <c r="E68" s="292"/>
      <c r="F68" s="745"/>
    </row>
    <row r="69" customFormat="false" ht="12.75" hidden="false" customHeight="false" outlineLevel="0" collapsed="false">
      <c r="A69" s="668" t="s">
        <v>727</v>
      </c>
      <c r="B69" s="708" t="n">
        <v>0</v>
      </c>
      <c r="D69" s="288"/>
      <c r="E69" s="779"/>
      <c r="F69" s="780"/>
      <c r="G69" s="763"/>
    </row>
    <row r="70" customFormat="false" ht="12.75" hidden="false" customHeight="false" outlineLevel="0" collapsed="false">
      <c r="A70" s="668" t="s">
        <v>728</v>
      </c>
      <c r="B70" s="669" t="n">
        <v>230</v>
      </c>
      <c r="D70" s="288"/>
      <c r="E70" s="779"/>
      <c r="F70" s="780"/>
      <c r="G70" s="763"/>
    </row>
    <row r="71" customFormat="false" ht="12.75" hidden="false" customHeight="false" outlineLevel="0" collapsed="false">
      <c r="A71" s="668" t="s">
        <v>729</v>
      </c>
      <c r="B71" s="708" t="n">
        <v>0.1</v>
      </c>
      <c r="D71" s="288"/>
      <c r="E71" s="292"/>
      <c r="F71" s="780"/>
      <c r="G71" s="763"/>
    </row>
    <row r="72" customFormat="false" ht="13.5" hidden="false" customHeight="false" outlineLevel="0" collapsed="false">
      <c r="A72" s="733" t="s">
        <v>730</v>
      </c>
      <c r="B72" s="781" t="n">
        <v>5</v>
      </c>
      <c r="D72" s="288"/>
      <c r="E72" s="292"/>
      <c r="F72" s="780"/>
      <c r="G72" s="763"/>
    </row>
    <row r="73" customFormat="false" ht="12.75" hidden="false" customHeight="false" outlineLevel="0" collapsed="false">
      <c r="D73" s="49"/>
      <c r="E73" s="292"/>
      <c r="F73" s="780"/>
      <c r="G73" s="288"/>
    </row>
    <row r="74" customFormat="false" ht="12.75" hidden="false" customHeight="false" outlineLevel="0" collapsed="false">
      <c r="D74" s="49" t="s">
        <v>731</v>
      </c>
      <c r="E74" s="49"/>
      <c r="F74" s="780"/>
      <c r="G74" s="49"/>
    </row>
    <row r="75" customFormat="false" ht="12.75" hidden="false" customHeight="false" outlineLevel="0" collapsed="false">
      <c r="D75" s="49"/>
      <c r="E75" s="292"/>
      <c r="F75" s="780"/>
    </row>
    <row r="76" customFormat="false" ht="12.75" hidden="false" customHeight="false" outlineLevel="0" collapsed="false">
      <c r="D76" s="49"/>
      <c r="E76" s="292"/>
      <c r="F76" s="780"/>
    </row>
    <row r="77" customFormat="false" ht="12.75" hidden="false" customHeight="false" outlineLevel="0" collapsed="false">
      <c r="D77" s="49"/>
      <c r="E77" s="292"/>
      <c r="F77" s="780"/>
    </row>
    <row r="78" customFormat="false" ht="12.75" hidden="false" customHeight="false" outlineLevel="0" collapsed="false">
      <c r="D78" s="49"/>
      <c r="E78" s="49"/>
      <c r="F78" s="49"/>
    </row>
    <row r="79" customFormat="false" ht="12.75" hidden="false" customHeight="false" outlineLevel="0" collapsed="false">
      <c r="D79" s="288"/>
      <c r="E79" s="292"/>
      <c r="F79" s="747"/>
    </row>
    <row r="80" customFormat="false" ht="12.75" hidden="false" customHeight="false" outlineLevel="0" collapsed="false">
      <c r="D80" s="288"/>
      <c r="E80" s="779"/>
      <c r="F80" s="747"/>
    </row>
    <row r="81" customFormat="false" ht="12.75" hidden="false" customHeight="false" outlineLevel="0" collapsed="false">
      <c r="D81" s="288"/>
      <c r="E81" s="779"/>
      <c r="F81" s="747"/>
    </row>
    <row r="82" customFormat="false" ht="12.75" hidden="false" customHeight="false" outlineLevel="0" collapsed="false">
      <c r="D82" s="288"/>
      <c r="E82" s="779"/>
      <c r="F82" s="747"/>
    </row>
    <row r="83" customFormat="false" ht="12.75" hidden="false" customHeight="false" outlineLevel="0" collapsed="false">
      <c r="D83" s="288"/>
      <c r="E83" s="292"/>
      <c r="F83" s="747"/>
    </row>
    <row r="84" customFormat="false" ht="12.75" hidden="false" customHeight="false" outlineLevel="0" collapsed="false">
      <c r="D84" s="49"/>
      <c r="E84" s="292"/>
      <c r="F84" s="747"/>
    </row>
    <row r="85" customFormat="false" ht="12.75" hidden="false" customHeight="false" outlineLevel="0" collapsed="false">
      <c r="D85" s="288"/>
      <c r="E85" s="288"/>
      <c r="F85" s="49"/>
    </row>
    <row r="86" customFormat="false" ht="12.75" hidden="false" customHeight="false" outlineLevel="0" collapsed="false">
      <c r="D86" s="288"/>
      <c r="E86" s="782"/>
      <c r="F86" s="747"/>
    </row>
    <row r="87" customFormat="false" ht="12.75" hidden="false" customHeight="false" outlineLevel="0" collapsed="false">
      <c r="D87" s="288"/>
      <c r="E87" s="783"/>
      <c r="F87" s="747"/>
    </row>
    <row r="88" customFormat="false" ht="12.75" hidden="false" customHeight="false" outlineLevel="0" collapsed="false">
      <c r="D88" s="288"/>
      <c r="E88" s="49"/>
      <c r="F88" s="747"/>
    </row>
    <row r="89" customFormat="false" ht="12.75" hidden="false" customHeight="false" outlineLevel="0" collapsed="false">
      <c r="D89" s="49"/>
      <c r="E89" s="49"/>
      <c r="F89" s="49"/>
    </row>
    <row r="90" customFormat="false" ht="12.75" hidden="false" customHeight="false" outlineLevel="0" collapsed="false">
      <c r="D90" s="450"/>
      <c r="E90" s="745"/>
      <c r="F90" s="49"/>
    </row>
    <row r="91" customFormat="false" ht="12.75" hidden="false" customHeight="false" outlineLevel="0" collapsed="false">
      <c r="D91" s="49"/>
      <c r="E91" s="49"/>
      <c r="F91" s="49"/>
    </row>
    <row r="92" customFormat="false" ht="12.75" hidden="false" customHeight="false" outlineLevel="0" collapsed="false">
      <c r="D92" s="49"/>
      <c r="E92" s="49"/>
      <c r="F92" s="49"/>
    </row>
    <row r="93" customFormat="false" ht="12.75" hidden="false" customHeight="false" outlineLevel="0" collapsed="false">
      <c r="D93" s="49"/>
      <c r="E93" s="49"/>
      <c r="F93" s="49"/>
    </row>
    <row r="94" customFormat="false" ht="12.75" hidden="false" customHeight="false" outlineLevel="0" collapsed="false">
      <c r="D94" s="49"/>
      <c r="E94" s="49"/>
      <c r="F94" s="49"/>
    </row>
  </sheetData>
  <mergeCells count="1">
    <mergeCell ref="A1:H1"/>
  </mergeCells>
  <printOptions headings="false" gridLines="false" gridLinesSet="true" horizontalCentered="false" verticalCentered="false"/>
  <pageMargins left="0.479861111111111" right="0.359722222222222" top="0.420138888888889" bottom="0.340277777777778" header="0.511811023622047" footer="0.190277777777778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31">
              <controlPr defaultSize="0" print="false" autoFill="0" autoPict="0" macro="Module1.CopyTaxCap">
                <anchor moveWithCells="true" sizeWithCells="false">
                  <from>
                    <xdr:col>1</xdr:col>
                    <xdr:colOff>232200</xdr:colOff>
                    <xdr:row>73</xdr:row>
                    <xdr:rowOff>0</xdr:rowOff>
                  </from>
                  <to>
                    <xdr:col>2</xdr:col>
                    <xdr:colOff>-330480</xdr:colOff>
                    <xdr:row>75</xdr:row>
                    <xdr:rowOff>66240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H1358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3" ySplit="7" topLeftCell="D11" activePane="bottomRight" state="frozen"/>
      <selection pane="topLeft" activeCell="A4" activeCellId="0" sqref="A4"/>
      <selection pane="topRight" activeCell="D4" activeCellId="0" sqref="D4"/>
      <selection pane="bottomLeft" activeCell="A11" activeCellId="0" sqref="A11"/>
      <selection pane="bottomRight" activeCell="D11" activeCellId="0" sqref="D11"/>
    </sheetView>
  </sheetViews>
  <sheetFormatPr defaultColWidth="9.0546875" defaultRowHeight="18.75" customHeight="true" zeroHeight="false" outlineLevelRow="0" outlineLevelCol="0"/>
  <cols>
    <col collapsed="false" customWidth="true" hidden="false" outlineLevel="0" max="9" min="5" style="112" width="9.14"/>
    <col collapsed="false" customWidth="true" hidden="false" outlineLevel="0" max="10" min="10" style="112" width="4.14"/>
    <col collapsed="false" customWidth="true" hidden="false" outlineLevel="0" max="11" min="11" style="0" width="10.28"/>
    <col collapsed="false" customWidth="true" hidden="false" outlineLevel="0" max="12" min="12" style="0" width="4.7"/>
    <col collapsed="false" customWidth="true" hidden="false" outlineLevel="0" max="13" min="13" style="288" width="14.85"/>
    <col collapsed="false" customWidth="true" hidden="false" outlineLevel="0" max="16" min="14" style="288" width="13.85"/>
    <col collapsed="false" customWidth="true" hidden="false" outlineLevel="0" max="17" min="17" style="288" width="14.28"/>
    <col collapsed="false" customWidth="true" hidden="false" outlineLevel="0" max="18" min="18" style="288" width="16.56"/>
    <col collapsed="false" customWidth="true" hidden="false" outlineLevel="0" max="19" min="19" style="288" width="14.28"/>
    <col collapsed="false" customWidth="true" hidden="false" outlineLevel="0" max="20" min="20" style="288" width="10.28"/>
    <col collapsed="false" customWidth="false" hidden="true" outlineLevel="0" max="21" min="21" style="288" width="9.06"/>
    <col collapsed="false" customWidth="true" hidden="false" outlineLevel="0" max="22" min="22" style="288" width="9.99"/>
    <col collapsed="false" customWidth="true" hidden="false" outlineLevel="0" max="23" min="23" style="288" width="10.13"/>
    <col collapsed="false" customWidth="true" hidden="false" outlineLevel="0" max="24" min="24" style="288" width="10.28"/>
    <col collapsed="false" customWidth="true" hidden="false" outlineLevel="0" max="25" min="25" style="288" width="9.99"/>
    <col collapsed="false" customWidth="true" hidden="false" outlineLevel="0" max="26" min="26" style="288" width="10.56"/>
    <col collapsed="false" customWidth="true" hidden="false" outlineLevel="0" max="27" min="27" style="288" width="9.85"/>
    <col collapsed="false" customWidth="true" hidden="false" outlineLevel="0" max="28" min="28" style="288" width="10.28"/>
    <col collapsed="false" customWidth="true" hidden="false" outlineLevel="0" max="29" min="29" style="288" width="4.14"/>
    <col collapsed="false" customWidth="true" hidden="false" outlineLevel="0" max="30" min="30" style="288" width="14.28"/>
    <col collapsed="false" customWidth="true" hidden="false" outlineLevel="0" max="31" min="31" style="288" width="13.85"/>
    <col collapsed="false" customWidth="true" hidden="false" outlineLevel="0" max="32" min="32" style="288" width="8.85"/>
    <col collapsed="false" customWidth="true" hidden="false" outlineLevel="0" max="33" min="33" style="288" width="3.28"/>
    <col collapsed="false" customWidth="false" hidden="true" outlineLevel="0" max="34" min="34" style="288" width="9.06"/>
    <col collapsed="false" customWidth="true" hidden="false" outlineLevel="0" max="35" min="35" style="288" width="10.71"/>
    <col collapsed="false" customWidth="true" hidden="false" outlineLevel="0" max="36" min="36" style="288" width="10.28"/>
    <col collapsed="false" customWidth="true" hidden="false" outlineLevel="0" max="37" min="37" style="288" width="10.71"/>
    <col collapsed="false" customWidth="true" hidden="false" outlineLevel="0" max="40" min="38" style="288" width="9.85"/>
    <col collapsed="false" customWidth="true" hidden="false" outlineLevel="0" max="42" min="41" style="288" width="3.56"/>
    <col collapsed="false" customWidth="true" hidden="false" outlineLevel="0" max="43" min="43" style="288" width="15.99"/>
    <col collapsed="false" customWidth="true" hidden="false" outlineLevel="0" max="44" min="44" style="288" width="12.28"/>
    <col collapsed="false" customWidth="true" hidden="false" outlineLevel="0" max="45" min="45" style="288" width="10.13"/>
    <col collapsed="false" customWidth="true" hidden="false" outlineLevel="0" max="46" min="46" style="288" width="9.85"/>
    <col collapsed="false" customWidth="true" hidden="false" outlineLevel="0" max="47" min="47" style="288" width="12.28"/>
    <col collapsed="false" customWidth="true" hidden="false" outlineLevel="0" max="48" min="48" style="288" width="9.56"/>
    <col collapsed="false" customWidth="true" hidden="false" outlineLevel="0" max="49" min="49" style="288" width="11.28"/>
    <col collapsed="false" customWidth="true" hidden="false" outlineLevel="0" max="50" min="50" style="288" width="11.42"/>
    <col collapsed="false" customWidth="true" hidden="false" outlineLevel="0" max="51" min="51" style="288" width="10.28"/>
    <col collapsed="false" customWidth="true" hidden="false" outlineLevel="0" max="52" min="52" style="288" width="10.41"/>
    <col collapsed="false" customWidth="true" hidden="false" outlineLevel="0" max="57" min="53" style="288" width="9.85"/>
    <col collapsed="false" customWidth="true" hidden="false" outlineLevel="0" max="58" min="58" style="288" width="9.14"/>
    <col collapsed="false" customWidth="true" hidden="false" outlineLevel="0" max="59" min="59" style="0" width="13.14"/>
    <col collapsed="false" customWidth="true" hidden="false" outlineLevel="0" max="61" min="60" style="0" width="10.71"/>
    <col collapsed="false" customWidth="true" hidden="false" outlineLevel="0" max="62" min="62" style="0" width="10.13"/>
    <col collapsed="false" customWidth="true" hidden="false" outlineLevel="0" max="63" min="63" style="112" width="10.13"/>
    <col collapsed="false" customWidth="true" hidden="false" outlineLevel="0" max="64" min="64" style="288" width="14.28"/>
    <col collapsed="false" customWidth="true" hidden="false" outlineLevel="0" max="66" min="65" style="288" width="10.13"/>
    <col collapsed="false" customWidth="true" hidden="false" outlineLevel="0" max="67" min="67" style="112" width="14.14"/>
    <col collapsed="false" customWidth="true" hidden="false" outlineLevel="0" max="68" min="68" style="0" width="14.14"/>
    <col collapsed="false" customWidth="true" hidden="false" outlineLevel="0" max="69" min="69" style="288" width="10.13"/>
    <col collapsed="false" customWidth="true" hidden="false" outlineLevel="0" max="70" min="70" style="0" width="10.13"/>
    <col collapsed="false" customWidth="true" hidden="false" outlineLevel="0" max="71" min="71" style="0" width="12.28"/>
    <col collapsed="false" customWidth="true" hidden="false" outlineLevel="0" max="72" min="72" style="0" width="10.28"/>
    <col collapsed="false" customWidth="true" hidden="false" outlineLevel="0" max="73" min="73" style="0" width="12.85"/>
    <col collapsed="false" customWidth="true" hidden="false" outlineLevel="0" max="74" min="74" style="112" width="12.85"/>
    <col collapsed="false" customWidth="true" hidden="false" outlineLevel="0" max="75" min="75" style="0" width="12.85"/>
    <col collapsed="false" customWidth="true" hidden="false" outlineLevel="0" max="76" min="76" style="0" width="14.56"/>
    <col collapsed="false" customWidth="true" hidden="false" outlineLevel="0" max="77" min="77" style="0" width="15.85"/>
    <col collapsed="false" customWidth="true" hidden="false" outlineLevel="0" max="78" min="78" style="112" width="6.99"/>
    <col collapsed="false" customWidth="true" hidden="false" outlineLevel="0" max="84" min="79" style="112" width="12.85"/>
    <col collapsed="false" customWidth="true" hidden="false" outlineLevel="0" max="85" min="85" style="0" width="10.13"/>
    <col collapsed="false" customWidth="true" hidden="false" outlineLevel="0" max="87" min="86" style="0" width="11.42"/>
    <col collapsed="false" customWidth="true" hidden="false" outlineLevel="0" max="90" min="88" style="0" width="10.13"/>
    <col collapsed="false" customWidth="true" hidden="false" outlineLevel="0" max="91" min="91" style="0" width="12.28"/>
    <col collapsed="false" customWidth="true" hidden="false" outlineLevel="0" max="95" min="92" style="0" width="10.13"/>
    <col collapsed="false" customWidth="true" hidden="false" outlineLevel="0" max="101" min="101" style="784" width="9.14"/>
    <col collapsed="false" customWidth="true" hidden="false" outlineLevel="0" max="104" min="102" style="784" width="12.42"/>
    <col collapsed="false" customWidth="true" hidden="false" outlineLevel="0" max="106" min="106" style="0" width="15.13"/>
    <col collapsed="false" customWidth="true" hidden="false" outlineLevel="0" max="107" min="107" style="0" width="14.85"/>
    <col collapsed="false" customWidth="true" hidden="false" outlineLevel="0" max="109" min="109" style="0" width="10.28"/>
    <col collapsed="false" customWidth="true" hidden="false" outlineLevel="0" max="110" min="110" style="0" width="10.56"/>
    <col collapsed="false" customWidth="true" hidden="false" outlineLevel="0" max="111" min="111" style="0" width="13.56"/>
    <col collapsed="false" customWidth="true" hidden="false" outlineLevel="0" max="112" min="112" style="0" width="12.85"/>
  </cols>
  <sheetData>
    <row r="1" customFormat="false" ht="34.5" hidden="true" customHeight="true" outlineLevel="0" collapsed="false">
      <c r="A1" s="0" t="s">
        <v>732</v>
      </c>
      <c r="B1" s="0" t="s">
        <v>733</v>
      </c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12"/>
      <c r="AB1" s="0"/>
      <c r="AC1" s="0"/>
      <c r="AD1" s="0"/>
      <c r="AE1" s="0"/>
      <c r="AF1" s="0"/>
      <c r="AG1" s="112"/>
      <c r="AH1" s="49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O1" s="0"/>
      <c r="BQ1" s="0"/>
      <c r="BZ1" s="0"/>
      <c r="CA1" s="0"/>
      <c r="CB1" s="0"/>
      <c r="CC1" s="0"/>
      <c r="CD1" s="0"/>
      <c r="CE1" s="0"/>
      <c r="CF1" s="0"/>
    </row>
    <row r="2" customFormat="false" ht="29.25" hidden="true" customHeight="true" outlineLevel="0" collapsed="false">
      <c r="A2" s="0" t="s">
        <v>734</v>
      </c>
      <c r="B2" s="0" t="s">
        <v>735</v>
      </c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12"/>
      <c r="AB2" s="0"/>
      <c r="AC2" s="0"/>
      <c r="AD2" s="0"/>
      <c r="AE2" s="0"/>
      <c r="AF2" s="0"/>
      <c r="AG2" s="112"/>
      <c r="AH2" s="49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O2" s="0"/>
      <c r="BQ2" s="0"/>
      <c r="BZ2" s="0"/>
      <c r="CA2" s="0"/>
      <c r="CB2" s="0"/>
      <c r="CC2" s="0"/>
      <c r="CD2" s="0"/>
      <c r="CE2" s="0"/>
      <c r="CF2" s="0"/>
    </row>
    <row r="3" customFormat="false" ht="24.75" hidden="true" customHeight="true" outlineLevel="0" collapsed="false">
      <c r="A3" s="0" t="s">
        <v>736</v>
      </c>
      <c r="B3" s="0" t="s">
        <v>737</v>
      </c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785"/>
      <c r="AA3" s="112"/>
      <c r="AB3" s="0"/>
      <c r="AC3" s="0"/>
      <c r="AD3" s="0"/>
      <c r="AE3" s="0"/>
      <c r="AF3" s="0"/>
      <c r="AG3" s="112"/>
      <c r="AH3" s="49"/>
      <c r="AI3" s="0"/>
      <c r="AJ3" s="0"/>
      <c r="AK3" s="0"/>
      <c r="AL3" s="785" t="s">
        <v>581</v>
      </c>
      <c r="AM3" s="785"/>
      <c r="AN3" s="785"/>
      <c r="AO3" s="785"/>
      <c r="AP3" s="785"/>
      <c r="AQ3" s="785"/>
      <c r="AR3" s="785"/>
      <c r="AS3" s="785"/>
      <c r="AT3" s="785"/>
      <c r="AU3" s="785"/>
      <c r="AV3" s="785"/>
      <c r="AW3" s="785"/>
      <c r="AX3" s="785"/>
      <c r="AY3" s="785"/>
      <c r="AZ3" s="785"/>
      <c r="BA3" s="785"/>
      <c r="BB3" s="785"/>
      <c r="BC3" s="785"/>
      <c r="BD3" s="785"/>
      <c r="BE3" s="785"/>
      <c r="BO3" s="0"/>
      <c r="BQ3" s="0"/>
      <c r="BT3" s="785" t="s">
        <v>581</v>
      </c>
      <c r="BZ3" s="0"/>
      <c r="CA3" s="0"/>
      <c r="CB3" s="0"/>
      <c r="CC3" s="0"/>
      <c r="CD3" s="0"/>
      <c r="CE3" s="0"/>
      <c r="CF3" s="0"/>
    </row>
    <row r="4" customFormat="false" ht="18.75" hidden="false" customHeight="true" outlineLevel="0" collapsed="false">
      <c r="A4" s="786" t="s">
        <v>738</v>
      </c>
      <c r="D4" s="112"/>
      <c r="K4" s="112"/>
      <c r="L4" s="112"/>
      <c r="M4" s="112" t="s">
        <v>739</v>
      </c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785"/>
      <c r="AA4" s="112"/>
      <c r="AB4" s="0"/>
      <c r="AC4" s="0"/>
      <c r="AD4" s="0"/>
      <c r="AE4" s="0"/>
      <c r="AF4" s="0"/>
      <c r="AG4" s="112"/>
      <c r="AH4" s="49"/>
      <c r="AI4" s="0"/>
      <c r="AJ4" s="0" t="s">
        <v>740</v>
      </c>
      <c r="AK4" s="0"/>
      <c r="AL4" s="785"/>
      <c r="AM4" s="785" t="s">
        <v>741</v>
      </c>
      <c r="AN4" s="785"/>
      <c r="AO4" s="785"/>
      <c r="AP4" s="785"/>
      <c r="AQ4" s="785"/>
      <c r="AR4" s="785"/>
      <c r="AS4" s="785"/>
      <c r="AT4" s="785"/>
      <c r="AU4" s="785"/>
      <c r="AV4" s="785"/>
      <c r="AW4" s="785"/>
      <c r="AX4" s="785"/>
      <c r="AY4" s="785"/>
      <c r="AZ4" s="785"/>
      <c r="BA4" s="785"/>
      <c r="BB4" s="785"/>
      <c r="BC4" s="785"/>
      <c r="BD4" s="785"/>
      <c r="BE4" s="785"/>
      <c r="BF4" s="288" t="n">
        <v>0.5</v>
      </c>
      <c r="BG4" s="0" t="s">
        <v>742</v>
      </c>
      <c r="BO4" s="0"/>
      <c r="BQ4" s="0"/>
      <c r="BT4" s="785"/>
      <c r="BZ4" s="0"/>
      <c r="CA4" s="0"/>
      <c r="CB4" s="0"/>
      <c r="CC4" s="0"/>
      <c r="CD4" s="0"/>
      <c r="CE4" s="0"/>
      <c r="CF4" s="0"/>
    </row>
    <row r="5" customFormat="false" ht="18.75" hidden="false" customHeight="true" outlineLevel="0" collapsed="false">
      <c r="A5" s="786"/>
      <c r="D5" s="112"/>
      <c r="K5" s="112"/>
      <c r="L5" s="112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785"/>
      <c r="AA5" s="112"/>
      <c r="AB5" s="0"/>
      <c r="AC5" s="0"/>
      <c r="AD5" s="0"/>
      <c r="AE5" s="0"/>
      <c r="AF5" s="0"/>
      <c r="AG5" s="112"/>
      <c r="AH5" s="49"/>
      <c r="AI5" s="0"/>
      <c r="AJ5" s="0"/>
      <c r="AK5" s="0"/>
      <c r="AL5" s="785"/>
      <c r="AM5" s="785"/>
      <c r="AN5" s="785"/>
      <c r="AO5" s="785"/>
      <c r="AP5" s="785"/>
      <c r="AQ5" s="785"/>
      <c r="AR5" s="785"/>
      <c r="AS5" s="785"/>
      <c r="AT5" s="107" t="s">
        <v>743</v>
      </c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288" t="n">
        <v>8</v>
      </c>
      <c r="BG5" s="0" t="s">
        <v>744</v>
      </c>
      <c r="BO5" s="0"/>
      <c r="BQ5" s="0"/>
      <c r="BR5" s="655" t="n">
        <f aca="false">1-BR16</f>
        <v>0.99117</v>
      </c>
      <c r="BT5" s="785"/>
      <c r="BZ5" s="0"/>
      <c r="CA5" s="0"/>
      <c r="CB5" s="0"/>
      <c r="CC5" s="0"/>
      <c r="CD5" s="0"/>
      <c r="CE5" s="0"/>
      <c r="CF5" s="0"/>
    </row>
    <row r="6" customFormat="false" ht="18.75" hidden="false" customHeight="true" outlineLevel="0" collapsed="false">
      <c r="A6" s="786"/>
      <c r="D6" s="112"/>
      <c r="K6" s="112"/>
      <c r="L6" s="112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785"/>
      <c r="AA6" s="112"/>
      <c r="AB6" s="0"/>
      <c r="AC6" s="0"/>
      <c r="AD6" s="0"/>
      <c r="AE6" s="0"/>
      <c r="AF6" s="0"/>
      <c r="AG6" s="112"/>
      <c r="AH6" s="49"/>
      <c r="AI6" s="0"/>
      <c r="AJ6" s="0"/>
      <c r="AK6" s="0"/>
      <c r="AL6" s="785"/>
      <c r="AM6" s="785"/>
      <c r="AN6" s="785"/>
      <c r="AO6" s="785"/>
      <c r="AP6" s="785"/>
      <c r="AQ6" s="785"/>
      <c r="AR6" s="785"/>
      <c r="AS6" s="785"/>
      <c r="AT6" s="785"/>
      <c r="AU6" s="785"/>
      <c r="AV6" s="785"/>
      <c r="AW6" s="785"/>
      <c r="AX6" s="785"/>
      <c r="AY6" s="785"/>
      <c r="AZ6" s="785"/>
      <c r="BA6" s="785"/>
      <c r="BB6" s="785"/>
      <c r="BC6" s="785"/>
      <c r="BD6" s="785"/>
      <c r="BE6" s="785"/>
      <c r="BO6" s="0"/>
      <c r="BQ6" s="0"/>
      <c r="BT6" s="785"/>
      <c r="BZ6" s="0"/>
      <c r="CA6" s="0"/>
      <c r="CB6" s="0"/>
      <c r="CC6" s="0"/>
      <c r="CD6" s="0"/>
      <c r="CE6" s="0"/>
      <c r="CF6" s="0"/>
    </row>
    <row r="7" customFormat="false" ht="18.75" hidden="false" customHeight="true" outlineLevel="0" collapsed="false">
      <c r="M7" s="0" t="s">
        <v>745</v>
      </c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785"/>
      <c r="AA7" s="112"/>
      <c r="AB7" s="0"/>
      <c r="AC7" s="0"/>
      <c r="AD7" s="0"/>
      <c r="AE7" s="0"/>
      <c r="AF7" s="0"/>
      <c r="AG7" s="787"/>
      <c r="AH7" s="788"/>
      <c r="AI7" s="789" t="s">
        <v>746</v>
      </c>
      <c r="AJ7" s="789"/>
      <c r="AK7" s="789"/>
      <c r="AL7" s="789"/>
      <c r="AM7" s="789"/>
      <c r="AN7" s="789"/>
      <c r="AO7" s="693"/>
      <c r="AP7" s="693"/>
      <c r="AQ7" s="790" t="s">
        <v>747</v>
      </c>
      <c r="AR7" s="790"/>
      <c r="AS7" s="790"/>
      <c r="AT7" s="785"/>
      <c r="AU7" s="791" t="s">
        <v>748</v>
      </c>
      <c r="AV7" s="791"/>
      <c r="AW7" s="791"/>
      <c r="AX7" s="789"/>
      <c r="AY7" s="789"/>
      <c r="AZ7" s="789"/>
      <c r="BA7" s="785"/>
      <c r="BB7" s="785"/>
      <c r="BC7" s="785"/>
      <c r="BD7" s="785"/>
      <c r="BE7" s="785"/>
      <c r="BO7" s="0"/>
      <c r="BQ7" s="0"/>
      <c r="BT7" s="785"/>
      <c r="BZ7" s="0"/>
      <c r="CA7" s="0"/>
      <c r="CB7" s="0"/>
      <c r="CC7" s="0"/>
      <c r="CD7" s="0"/>
      <c r="CE7" s="0"/>
      <c r="CF7" s="0"/>
      <c r="CX7" s="471" t="s">
        <v>749</v>
      </c>
      <c r="DF7" s="440"/>
    </row>
    <row r="8" customFormat="false" ht="18.75" hidden="false" customHeight="true" outlineLevel="0" collapsed="false">
      <c r="M8" s="0"/>
      <c r="N8" s="0"/>
      <c r="O8" s="0"/>
      <c r="P8" s="0"/>
      <c r="Q8" s="0"/>
      <c r="R8" s="792"/>
      <c r="S8" s="0"/>
      <c r="T8" s="0"/>
      <c r="U8" s="0"/>
      <c r="V8" s="0"/>
      <c r="W8" s="0"/>
      <c r="X8" s="0"/>
      <c r="Y8" s="0"/>
      <c r="Z8" s="785"/>
      <c r="AA8" s="112"/>
      <c r="AB8" s="0"/>
      <c r="AC8" s="0"/>
      <c r="AD8" s="0"/>
      <c r="AE8" s="0"/>
      <c r="AF8" s="0"/>
      <c r="AG8" s="793"/>
      <c r="AH8" s="49"/>
      <c r="AI8" s="49"/>
      <c r="AJ8" s="49"/>
      <c r="AK8" s="49" t="s">
        <v>750</v>
      </c>
      <c r="AL8" s="785"/>
      <c r="AM8" s="785"/>
      <c r="AN8" s="794" t="s">
        <v>751</v>
      </c>
      <c r="AO8" s="785"/>
      <c r="AP8" s="785"/>
      <c r="AQ8" s="795" t="s">
        <v>752</v>
      </c>
      <c r="AR8" s="795"/>
      <c r="AS8" s="795"/>
      <c r="AT8" s="785"/>
      <c r="AU8" s="795" t="s">
        <v>753</v>
      </c>
      <c r="AV8" s="795"/>
      <c r="AW8" s="795"/>
      <c r="AX8" s="795"/>
      <c r="AY8" s="795"/>
      <c r="AZ8" s="795"/>
      <c r="BA8" s="785"/>
      <c r="BB8" s="785"/>
      <c r="BC8" s="785"/>
      <c r="BD8" s="785"/>
      <c r="BE8" s="785"/>
      <c r="BO8" s="0"/>
      <c r="BQ8" s="0"/>
      <c r="BT8" s="785"/>
      <c r="BZ8" s="0"/>
      <c r="CA8" s="0"/>
      <c r="CB8" s="0"/>
      <c r="CC8" s="0"/>
      <c r="CD8" s="0"/>
      <c r="CE8" s="0"/>
      <c r="CF8" s="0"/>
    </row>
    <row r="9" customFormat="false" ht="38.25" hidden="false" customHeight="true" outlineLevel="0" collapsed="false">
      <c r="C9" s="796"/>
      <c r="D9" s="796"/>
      <c r="E9" s="797" t="s">
        <v>754</v>
      </c>
      <c r="F9" s="797"/>
      <c r="G9" s="797"/>
      <c r="H9" s="797"/>
      <c r="I9" s="797"/>
      <c r="J9" s="798"/>
      <c r="M9" s="0"/>
      <c r="N9" s="0"/>
      <c r="O9" s="0"/>
      <c r="P9" s="0"/>
      <c r="Q9" s="0"/>
      <c r="R9" s="0"/>
      <c r="S9" s="0"/>
      <c r="T9" s="0"/>
      <c r="U9" s="0"/>
      <c r="V9" s="799" t="s">
        <v>755</v>
      </c>
      <c r="W9" s="799"/>
      <c r="X9" s="799"/>
      <c r="Y9" s="799"/>
      <c r="Z9" s="800" t="n">
        <v>1</v>
      </c>
      <c r="AA9" s="112"/>
      <c r="AB9" s="0"/>
      <c r="AC9" s="0"/>
      <c r="AD9" s="0"/>
      <c r="AE9" s="0"/>
      <c r="AF9" s="0"/>
      <c r="AG9" s="793"/>
      <c r="AH9" s="49"/>
      <c r="AI9" s="801" t="s">
        <v>756</v>
      </c>
      <c r="AJ9" s="802"/>
      <c r="AK9" s="803"/>
      <c r="AL9" s="800" t="n">
        <v>3</v>
      </c>
      <c r="AM9" s="800"/>
      <c r="AN9" s="804" t="s">
        <v>757</v>
      </c>
      <c r="AO9" s="800"/>
      <c r="AP9" s="800"/>
      <c r="AQ9" s="805" t="s">
        <v>758</v>
      </c>
      <c r="AR9" s="806"/>
      <c r="AS9" s="807"/>
      <c r="AT9" s="800"/>
      <c r="AU9" s="808" t="s">
        <v>759</v>
      </c>
      <c r="AV9" s="808"/>
      <c r="AW9" s="808"/>
      <c r="AX9" s="808" t="s">
        <v>760</v>
      </c>
      <c r="AY9" s="808"/>
      <c r="AZ9" s="808"/>
      <c r="BA9" s="800"/>
      <c r="BB9" s="808" t="s">
        <v>761</v>
      </c>
      <c r="BC9" s="808"/>
      <c r="BD9" s="808"/>
      <c r="BE9" s="800"/>
      <c r="BF9" s="809"/>
      <c r="BG9" s="810" t="s">
        <v>762</v>
      </c>
      <c r="BH9" s="811"/>
      <c r="BI9" s="811"/>
      <c r="BJ9" s="812" t="n">
        <v>1</v>
      </c>
      <c r="BK9" s="800"/>
      <c r="BL9" s="800" t="s">
        <v>748</v>
      </c>
      <c r="BM9" s="800" t="s">
        <v>763</v>
      </c>
      <c r="BN9" s="800"/>
      <c r="BO9" s="813" t="s">
        <v>764</v>
      </c>
      <c r="BP9" s="812"/>
      <c r="BQ9" s="800"/>
      <c r="BR9" s="814"/>
      <c r="BS9" s="815" t="s">
        <v>765</v>
      </c>
      <c r="BT9" s="815"/>
      <c r="BU9" s="815"/>
      <c r="BV9" s="809"/>
      <c r="BW9" s="815" t="s">
        <v>766</v>
      </c>
      <c r="BX9" s="815"/>
      <c r="BY9" s="815"/>
      <c r="BZ9" s="809"/>
      <c r="CA9" s="816" t="s">
        <v>767</v>
      </c>
      <c r="CB9" s="816"/>
      <c r="CC9" s="816"/>
      <c r="CD9" s="816" t="s">
        <v>768</v>
      </c>
      <c r="CE9" s="816"/>
      <c r="CF9" s="816"/>
      <c r="CH9" s="817" t="s">
        <v>769</v>
      </c>
      <c r="CI9" s="818"/>
      <c r="CJ9" s="819"/>
      <c r="CR9" s="820" t="s">
        <v>770</v>
      </c>
      <c r="CS9" s="820"/>
      <c r="CT9" s="820" t="s">
        <v>771</v>
      </c>
      <c r="CU9" s="820"/>
      <c r="CV9" s="821" t="s">
        <v>772</v>
      </c>
      <c r="CW9" s="815" t="s">
        <v>495</v>
      </c>
      <c r="CX9" s="815"/>
      <c r="CY9" s="815"/>
      <c r="CZ9" s="815"/>
      <c r="DB9" s="95"/>
      <c r="DC9" s="95"/>
      <c r="DD9" s="95"/>
      <c r="DE9" s="95"/>
      <c r="DF9" s="95"/>
      <c r="DG9" s="822"/>
      <c r="DH9" s="822"/>
    </row>
    <row r="10" customFormat="false" ht="38.25" hidden="false" customHeight="true" outlineLevel="0" collapsed="false">
      <c r="C10" s="149"/>
      <c r="D10" s="289" t="s">
        <v>375</v>
      </c>
      <c r="E10" s="823" t="s">
        <v>773</v>
      </c>
      <c r="F10" s="824" t="s">
        <v>774</v>
      </c>
      <c r="G10" s="824" t="s">
        <v>775</v>
      </c>
      <c r="H10" s="825" t="s">
        <v>776</v>
      </c>
      <c r="I10" s="826" t="s">
        <v>346</v>
      </c>
      <c r="J10" s="289"/>
      <c r="K10" s="149" t="s">
        <v>777</v>
      </c>
      <c r="L10" s="149"/>
      <c r="M10" s="827" t="s">
        <v>778</v>
      </c>
      <c r="N10" s="828" t="s">
        <v>779</v>
      </c>
      <c r="O10" s="828" t="s">
        <v>780</v>
      </c>
      <c r="P10" s="829" t="s">
        <v>781</v>
      </c>
      <c r="Q10" s="829" t="s">
        <v>782</v>
      </c>
      <c r="R10" s="828" t="s">
        <v>783</v>
      </c>
      <c r="S10" s="829" t="s">
        <v>784</v>
      </c>
      <c r="T10" s="149"/>
      <c r="U10" s="149"/>
      <c r="V10" s="830" t="s">
        <v>732</v>
      </c>
      <c r="W10" s="830" t="s">
        <v>734</v>
      </c>
      <c r="X10" s="831" t="s">
        <v>736</v>
      </c>
      <c r="Y10" s="830" t="s">
        <v>785</v>
      </c>
      <c r="Z10" s="832" t="str">
        <f aca="false">INDEX(V10:X10,Z9)</f>
        <v>Scenario 1</v>
      </c>
      <c r="AA10" s="833" t="s">
        <v>465</v>
      </c>
      <c r="AB10" s="834" t="s">
        <v>786</v>
      </c>
      <c r="AC10" s="835"/>
      <c r="AD10" s="832" t="s">
        <v>787</v>
      </c>
      <c r="AE10" s="836" t="s">
        <v>788</v>
      </c>
      <c r="AF10" s="835"/>
      <c r="AG10" s="837"/>
      <c r="AH10" s="49"/>
      <c r="AI10" s="830" t="s">
        <v>588</v>
      </c>
      <c r="AJ10" s="830" t="s">
        <v>789</v>
      </c>
      <c r="AK10" s="838" t="s">
        <v>736</v>
      </c>
      <c r="AL10" s="838" t="str">
        <f aca="false">INDEX(AI10:AK10,AL9)</f>
        <v>Scenario 3</v>
      </c>
      <c r="AM10" s="829" t="s">
        <v>790</v>
      </c>
      <c r="AN10" s="839" t="s">
        <v>737</v>
      </c>
      <c r="AO10" s="835"/>
      <c r="AP10" s="835"/>
      <c r="AQ10" s="840" t="s">
        <v>791</v>
      </c>
      <c r="AR10" s="827" t="s">
        <v>792</v>
      </c>
      <c r="AS10" s="839" t="s">
        <v>737</v>
      </c>
      <c r="AT10" s="835"/>
      <c r="AU10" s="840" t="s">
        <v>791</v>
      </c>
      <c r="AV10" s="841" t="s">
        <v>792</v>
      </c>
      <c r="AW10" s="842" t="s">
        <v>737</v>
      </c>
      <c r="AX10" s="840" t="s">
        <v>791</v>
      </c>
      <c r="AY10" s="841" t="s">
        <v>792</v>
      </c>
      <c r="AZ10" s="843" t="s">
        <v>737</v>
      </c>
      <c r="BA10" s="835"/>
      <c r="BB10" s="840" t="s">
        <v>791</v>
      </c>
      <c r="BC10" s="841" t="s">
        <v>792</v>
      </c>
      <c r="BD10" s="842" t="s">
        <v>737</v>
      </c>
      <c r="BE10" s="835"/>
      <c r="BF10" s="844"/>
      <c r="BG10" s="830" t="s">
        <v>733</v>
      </c>
      <c r="BH10" s="831" t="s">
        <v>735</v>
      </c>
      <c r="BI10" s="830" t="s">
        <v>737</v>
      </c>
      <c r="BJ10" s="838" t="str">
        <f aca="false">INDEX(BG10:BI10,BJ9)</f>
        <v>ENA Curve</v>
      </c>
      <c r="BK10" s="835"/>
      <c r="BL10" s="838" t="s">
        <v>793</v>
      </c>
      <c r="BM10" s="838" t="s">
        <v>794</v>
      </c>
      <c r="BN10" s="835"/>
      <c r="BO10" s="838" t="s">
        <v>795</v>
      </c>
      <c r="BP10" s="838" t="s">
        <v>796</v>
      </c>
      <c r="BQ10" s="835"/>
      <c r="BR10" s="845" t="s">
        <v>431</v>
      </c>
      <c r="BS10" s="846" t="s">
        <v>355</v>
      </c>
      <c r="BT10" s="847" t="s">
        <v>797</v>
      </c>
      <c r="BU10" s="847" t="s">
        <v>798</v>
      </c>
      <c r="BV10" s="848"/>
      <c r="BW10" s="849" t="s">
        <v>355</v>
      </c>
      <c r="BX10" s="838" t="s">
        <v>797</v>
      </c>
      <c r="BY10" s="847" t="s">
        <v>798</v>
      </c>
      <c r="BZ10" s="835"/>
      <c r="CA10" s="849" t="s">
        <v>799</v>
      </c>
      <c r="CB10" s="838" t="s">
        <v>797</v>
      </c>
      <c r="CC10" s="847" t="s">
        <v>798</v>
      </c>
      <c r="CD10" s="849" t="s">
        <v>800</v>
      </c>
      <c r="CE10" s="838" t="s">
        <v>797</v>
      </c>
      <c r="CF10" s="847" t="s">
        <v>798</v>
      </c>
      <c r="CH10" s="849" t="s">
        <v>799</v>
      </c>
      <c r="CI10" s="850" t="s">
        <v>797</v>
      </c>
      <c r="CJ10" s="847" t="s">
        <v>798</v>
      </c>
      <c r="CM10" s="851" t="s">
        <v>801</v>
      </c>
      <c r="CN10" s="852" t="s">
        <v>802</v>
      </c>
      <c r="CO10" s="853" t="s">
        <v>803</v>
      </c>
      <c r="CP10" s="854" t="s">
        <v>804</v>
      </c>
      <c r="CR10" s="855" t="s">
        <v>805</v>
      </c>
      <c r="CS10" s="855" t="s">
        <v>30</v>
      </c>
      <c r="CT10" s="855" t="s">
        <v>805</v>
      </c>
      <c r="CU10" s="855" t="s">
        <v>30</v>
      </c>
      <c r="CV10" s="856" t="s">
        <v>806</v>
      </c>
      <c r="CW10" s="857"/>
      <c r="CX10" s="858" t="s">
        <v>807</v>
      </c>
      <c r="CY10" s="859" t="s">
        <v>808</v>
      </c>
      <c r="CZ10" s="860" t="s">
        <v>809</v>
      </c>
      <c r="DB10" s="861"/>
      <c r="DC10" s="861"/>
      <c r="DD10" s="861"/>
      <c r="DE10" s="861"/>
      <c r="DF10" s="862"/>
      <c r="DG10" s="49"/>
    </row>
    <row r="11" customFormat="false" ht="18.75" hidden="false" customHeight="true" outlineLevel="0" collapsed="false">
      <c r="A11" s="49" t="s">
        <v>810</v>
      </c>
      <c r="B11" s="863" t="n">
        <v>36892</v>
      </c>
      <c r="C11" s="288" t="n">
        <f aca="false">YEAR(B11)</f>
        <v>2001</v>
      </c>
      <c r="D11" s="864" t="n">
        <v>1</v>
      </c>
      <c r="E11" s="865" t="n">
        <v>22</v>
      </c>
      <c r="F11" s="866" t="n">
        <v>4</v>
      </c>
      <c r="G11" s="866" t="n">
        <v>4</v>
      </c>
      <c r="H11" s="866" t="n">
        <v>1</v>
      </c>
      <c r="I11" s="867" t="n">
        <f aca="false">SUM(E11:H11)</f>
        <v>31</v>
      </c>
      <c r="J11" s="868"/>
      <c r="K11" s="869" t="n">
        <f aca="false">INDEX(FX!$A$3:$C$362,MATCH(B11,FX!$A$3:$A$362,0),MATCH("Monthly Curve",FX!$A$2:$C$2,0))</f>
        <v>1.44293783666563</v>
      </c>
      <c r="L11" s="869"/>
      <c r="M11" s="870" t="n">
        <v>3.166</v>
      </c>
      <c r="N11" s="871" t="n">
        <v>0.27</v>
      </c>
      <c r="O11" s="665" t="n">
        <v>0.02</v>
      </c>
      <c r="P11" s="872" t="n">
        <f aca="false">N11+O11</f>
        <v>0.29</v>
      </c>
      <c r="Q11" s="873" t="n">
        <f aca="false">SUM(M11:O11)</f>
        <v>3.456</v>
      </c>
      <c r="R11" s="874" t="n">
        <f aca="false">Assumptions!$B$34</f>
        <v>0.312458892307692</v>
      </c>
      <c r="S11" s="875" t="n">
        <f aca="false">(Q11*K11)+R11</f>
        <v>5.29925205582411</v>
      </c>
      <c r="T11" s="869"/>
      <c r="V11" s="876" t="n">
        <f aca="false">Assumptions!$B$42</f>
        <v>0</v>
      </c>
      <c r="W11" s="876" t="n">
        <v>6.5</v>
      </c>
      <c r="X11" s="877" t="n">
        <v>1</v>
      </c>
      <c r="Y11" s="878" t="n">
        <f aca="false">Assumptions!$B$7</f>
        <v>312</v>
      </c>
      <c r="Z11" s="879" t="n">
        <f aca="false">IF($Z$10=$V$10,V11,IF($Z$10=$W$10,W11,IF($Z$10=$X$10,X11,0)))</f>
        <v>0</v>
      </c>
      <c r="AA11" s="880" t="n">
        <f aca="false">Y11*Z11</f>
        <v>0</v>
      </c>
      <c r="AB11" s="881" t="n">
        <f aca="false">AA11*K11</f>
        <v>0</v>
      </c>
      <c r="AC11" s="188"/>
      <c r="AD11" s="882" t="n">
        <f aca="false">IF(Tables!$E$30="Michigan",INDEX('Michigan Curve'!$A$4:$S$256,MATCH('Monthly Table'!B11,'Michigan Curve'!$A$4:$A$256,0),MATCH("Michigan Selected Option Value US$/month",'Michigan Curve'!$A$4:$S$4,0)),INDEX('NY Curve'!$A$4:$T$256,MATCH('Monthly Table'!B11,'NY Curve'!$A$4:$A$256,0),MATCH("New York Selected Option Value US$/month",'NY Curve'!$A$4:$T$4,0)))</f>
        <v>55230.2550103511</v>
      </c>
      <c r="AE11" s="883" t="n">
        <f aca="false">AD11*K11</f>
        <v>79693.8246831271</v>
      </c>
      <c r="AF11" s="188"/>
      <c r="AG11" s="884"/>
      <c r="AI11" s="885" t="n">
        <f aca="false">Assumptions!$B$50</f>
        <v>65</v>
      </c>
      <c r="AJ11" s="886"/>
      <c r="AK11" s="887" t="n">
        <f aca="false">IF(Tables!$E$30="Custom",'Monthly Table'!AI11,IF(Tables!$E$30="New York",INDEX('NY Curve'!$A$4:$G$256,MATCH('Monthly Table'!B11,'NY Curve'!$A$4:$A$256,0),MATCH("Super Peak Curve",'NY Curve'!$A$4:$G$4,0)),IF(Tables!$E$30="New York Flat",INDEX('NY Curve'!$A$4:$G$256,MATCH('Monthly Table'!B11,'NY Curve'!$A$4:$A$256,0),MATCH("Flat NY West",'NY Curve'!$A$4:$G$4,0)),INDEX('Michigan Curve'!$A$4:$F$256,MATCH('Monthly Table'!B11,'Michigan Curve'!$A$4:$A$256,0),MATCH("Michigan Super Peak Curve US$/MWhr",'Michigan Curve'!$A$4:$F$4,0)))))</f>
        <v>30.2939984436035</v>
      </c>
      <c r="AL11" s="888" t="n">
        <f aca="false">IF(D11&lt;=Tables!$B$21,IF($AL$10=$AI$10,AI11,IF($AL$10=$AJ$10,AJ11,IF($AL$10=$AK$10,AK11,0))),0)</f>
        <v>30.2939984436035</v>
      </c>
      <c r="AM11" s="889" t="n">
        <f aca="false">+AL11*K11</f>
        <v>43.7123565781652</v>
      </c>
      <c r="AN11" s="890" t="n">
        <f aca="false">IF((AL11*K11)&gt;($CP11+$BF$4),1,0)</f>
        <v>0</v>
      </c>
      <c r="AO11" s="891"/>
      <c r="AP11" s="891"/>
      <c r="AQ11" s="892" t="n">
        <f aca="false">IF(Tables!$E$30="New York",INDEX('NY Curve'!$A$4:$L$256,MATCH('Monthly Table'!B11,'NY Curve'!$A$4:$A$256,0),MATCH("New York Shoulder Hour Curve Mon-Fri",'NY Curve'!$A$4:$L$4,0)),IF(Tables!$E$30="Michigan",INDEX('Michigan Curve'!$A$4:$K$256,MATCH('Monthly Table'!B11,'Michigan Curve'!$A$4:$A$256,0),MATCH("Michigan Shoulder Hour Curve Mon-Fri",'Michigan Curve'!$A$4:$K$4,0))))</f>
        <v>29.1059985046387</v>
      </c>
      <c r="AR11" s="889" t="n">
        <f aca="false">AQ11*K11</f>
        <v>41.9981465162764</v>
      </c>
      <c r="AS11" s="893" t="n">
        <f aca="false">IF(AR11&gt;($CP11+$BF$4),1,0)</f>
        <v>0</v>
      </c>
      <c r="AT11" s="188"/>
      <c r="AU11" s="892" t="n">
        <f aca="false">IF(Tables!$E$30="New York",INDEX('NY Curve'!$A$4:$L$256,MATCH('Monthly Table'!$B11,'NY Curve'!$A$4:$A$256,0),MATCH("New York Saturday Super Peak",'NY Curve'!$A$4:$L$4,0)),IF(Tables!$E$30="Michigan",INDEX('Michigan Curve'!$A$4:$K$256,MATCH('Monthly Table'!$B11,'Michigan Curve'!$A$4:$A$256,0),MATCH("Michigan Saturday Super Peak",'Michigan Curve'!$A$4:$K$4,0))))</f>
        <v>22.44</v>
      </c>
      <c r="AV11" s="894" t="n">
        <f aca="false">AU11*K11</f>
        <v>32.3795250547767</v>
      </c>
      <c r="AW11" s="893" t="n">
        <f aca="false">IF(AV11&gt;($CP11+$BF$4),1,0)</f>
        <v>0</v>
      </c>
      <c r="AX11" s="892" t="n">
        <f aca="false">IF(Tables!$E$30="New York",INDEX('NY Curve'!$A$4:$L$256,MATCH('Monthly Table'!$B11,'NY Curve'!$A$4:$A$256,0),MATCH("New York Saturday Shoulder Peak",'NY Curve'!$A$4:$L$4,0)),IF(Tables!$E$30="Michigan",INDEX('Michigan Curve'!$A$4:$K$256,MATCH('Monthly Table'!$B11,'Michigan Curve'!$A$4:$A$256,0),MATCH("Michigan Saturday Shoulder Peak",'Michigan Curve'!$A$4:$K$4,0))))</f>
        <v>21.56</v>
      </c>
      <c r="AY11" s="895" t="n">
        <f aca="false">AX11*K11</f>
        <v>31.109739758511</v>
      </c>
      <c r="AZ11" s="893" t="n">
        <f aca="false">IF(AY11&gt;($CP11+$BF$4),1,0)</f>
        <v>0</v>
      </c>
      <c r="BA11" s="188"/>
      <c r="BB11" s="892" t="n">
        <f aca="false">IF(Tables!$E$30="New York",INDEX('NY Curve'!$A$4:$M$256,MATCH('Monthly Table'!$B11,'NY Curve'!$A$4:$A$256,0),MATCH("NY Sunday Super Peak",'NY Curve'!$A$4:$M$4,0)),IF(Tables!$E$30="Michigan",INDEX('Michigan Curve'!$A$4:$L$256,MATCH('Monthly Table'!$B11,'Michigan Curve'!$A$4:$A$256,0),MATCH("Michigan Sunday Super Peak",'Michigan Curve'!$A$4:$L$4,0))))</f>
        <v>21.42</v>
      </c>
      <c r="BC11" s="894" t="n">
        <f aca="false">BB11*K11</f>
        <v>30.9077284613778</v>
      </c>
      <c r="BD11" s="893" t="n">
        <f aca="false">IF(BC11&gt;($CP11+$BF$4),1,0)</f>
        <v>0</v>
      </c>
      <c r="BE11" s="188"/>
      <c r="BF11" s="896" t="n">
        <f aca="false">B11</f>
        <v>36892</v>
      </c>
      <c r="BG11" s="897" t="n">
        <f aca="false">IF($AN11=1,$E11*$BF$5,0)</f>
        <v>0</v>
      </c>
      <c r="BH11" s="897" t="n">
        <f aca="false">BG11</f>
        <v>0</v>
      </c>
      <c r="BI11" s="714" t="n">
        <f aca="false">IF($AN11=1,$E11*$BF$5,0)</f>
        <v>0</v>
      </c>
      <c r="BJ11" s="898" t="n">
        <f aca="false">IF('Monthly Table'!D11&lt;=Tables!$B$21,IF($BJ$10=$BG$10,BG11,IF($BJ$10=$BH$10,BH11,IF($BJ$10=$BI$10,BI11,0))),0)</f>
        <v>0</v>
      </c>
      <c r="BK11" s="288"/>
      <c r="BL11" s="898" t="n">
        <f aca="false">IF($AW11=1,$F11*$BF$5,0)</f>
        <v>0</v>
      </c>
      <c r="BM11" s="898" t="n">
        <f aca="false">IF($BD11=1,($G11+H11)*$BF$5,0)</f>
        <v>0</v>
      </c>
      <c r="BO11" s="898" t="n">
        <f aca="false">IF(AS11=1,BJ11,0)</f>
        <v>0</v>
      </c>
      <c r="BP11" s="898" t="n">
        <f aca="false">IF(AZ11=1,F11*$BF$5,0)</f>
        <v>0</v>
      </c>
      <c r="BR11" s="899" t="n">
        <f aca="false">IF(BJ11&gt;0,INDEX(OperationalDetail,MATCH("Capacity Degradation",ODColumn,0),MATCH('Monthly Table'!C11,ODRow,0)),0)</f>
        <v>0</v>
      </c>
      <c r="BS11" s="900" t="n">
        <f aca="false">BJ11*(1-$BR11)*Tables!$C$10</f>
        <v>0</v>
      </c>
      <c r="BT11" s="883" t="n">
        <f aca="false">BS11*AL11/1000</f>
        <v>0</v>
      </c>
      <c r="BU11" s="883" t="n">
        <f aca="false">BT11*K11</f>
        <v>0</v>
      </c>
      <c r="BV11" s="188"/>
      <c r="BW11" s="901" t="n">
        <f aca="false">$BO11*(1-$BR11)*Tables!$C$36</f>
        <v>0</v>
      </c>
      <c r="BX11" s="902" t="n">
        <f aca="false">(BW11*AQ11)/1000</f>
        <v>0</v>
      </c>
      <c r="BY11" s="883" t="n">
        <f aca="false">BX11*K11</f>
        <v>0</v>
      </c>
      <c r="BZ11" s="188"/>
      <c r="CA11" s="901" t="n">
        <f aca="false">$BL11*(1-$BR11)*Tables!$C$36</f>
        <v>0</v>
      </c>
      <c r="CB11" s="902" t="n">
        <f aca="false">(CA11*AU11)/1000</f>
        <v>0</v>
      </c>
      <c r="CC11" s="883" t="n">
        <f aca="false">CB11*K11</f>
        <v>0</v>
      </c>
      <c r="CD11" s="901" t="n">
        <f aca="false">$BP11*(1-$BR11)*Tables!$C$36</f>
        <v>0</v>
      </c>
      <c r="CE11" s="902" t="n">
        <f aca="false">(CD11*AX11)/1000</f>
        <v>0</v>
      </c>
      <c r="CF11" s="883" t="n">
        <f aca="false">CE11*K11</f>
        <v>0</v>
      </c>
      <c r="CH11" s="901" t="n">
        <f aca="false">$BM11*(1-$BR11)*Tables!$C$36</f>
        <v>0</v>
      </c>
      <c r="CI11" s="902" t="n">
        <f aca="false">(CH11*BB11)/1000</f>
        <v>0</v>
      </c>
      <c r="CJ11" s="883" t="n">
        <f aca="false">CI11*K11</f>
        <v>0</v>
      </c>
      <c r="CK11" s="292"/>
      <c r="CL11" s="292" t="n">
        <f aca="false">C11-1</f>
        <v>2000</v>
      </c>
      <c r="CM11" s="903" t="n">
        <f aca="false">INDEX(OperationalDetail,MATCH("Degraded Heat Rate",ODColumn,0),MATCH('Monthly Table'!CL11,ODRow,0))/1000</f>
        <v>12.03475</v>
      </c>
      <c r="CN11" s="904" t="n">
        <f aca="false">S11*CM11</f>
        <v>63.7751736788292</v>
      </c>
      <c r="CO11" s="905" t="n">
        <f aca="false">'O &amp; M'!E54</f>
        <v>6.735625</v>
      </c>
      <c r="CP11" s="906" t="n">
        <f aca="false">CN11+CO11</f>
        <v>70.5107986788292</v>
      </c>
      <c r="CQ11" s="292"/>
      <c r="CR11" s="856" t="str">
        <f aca="false">IF(BJ11=0,"",$C11)</f>
        <v/>
      </c>
      <c r="CS11" s="856" t="str">
        <f aca="false">IF(BO11=0,"",$C11)</f>
        <v/>
      </c>
      <c r="CT11" s="856" t="str">
        <f aca="false">IF(BL11=0,"",$C11)</f>
        <v/>
      </c>
      <c r="CU11" s="856" t="str">
        <f aca="false">IF(BP11=0,"",$C11)</f>
        <v/>
      </c>
      <c r="CV11" s="856" t="str">
        <f aca="false">IF(BD11=0,"",$C11)</f>
        <v/>
      </c>
      <c r="CW11" s="907" t="n">
        <f aca="false">YEAR(BF11)</f>
        <v>2001</v>
      </c>
      <c r="CX11" s="908" t="n">
        <f aca="false">INDEX('NY Curve'!$A$4:$G$256,MATCH('Monthly Table'!B11,'NY Curve'!$A$4:$A$256,0),MATCH("New York 5 X 16",'NY Curve'!$A$4:$G$4,0))</f>
        <v>32.5</v>
      </c>
      <c r="CY11" s="909" t="n">
        <f aca="false">K11</f>
        <v>1.44293783666563</v>
      </c>
      <c r="CZ11" s="910" t="n">
        <f aca="false">CX11*CY11</f>
        <v>46.895479691633</v>
      </c>
      <c r="DB11" s="911"/>
      <c r="DC11" s="911"/>
      <c r="DD11" s="95"/>
      <c r="DE11" s="912"/>
      <c r="DF11" s="913"/>
      <c r="DG11" s="292"/>
      <c r="DH11" s="292"/>
    </row>
    <row r="12" customFormat="false" ht="18.75" hidden="false" customHeight="true" outlineLevel="0" collapsed="false">
      <c r="A12" s="49" t="s">
        <v>811</v>
      </c>
      <c r="B12" s="863" t="n">
        <v>36923</v>
      </c>
      <c r="C12" s="288" t="n">
        <f aca="false">YEAR(B12)</f>
        <v>2001</v>
      </c>
      <c r="D12" s="864" t="n">
        <v>1</v>
      </c>
      <c r="E12" s="865" t="n">
        <v>20</v>
      </c>
      <c r="F12" s="866" t="n">
        <v>4</v>
      </c>
      <c r="G12" s="866" t="n">
        <v>4</v>
      </c>
      <c r="H12" s="866" t="n">
        <v>0</v>
      </c>
      <c r="I12" s="867" t="n">
        <f aca="false">SUM(E12:H12)</f>
        <v>28</v>
      </c>
      <c r="J12" s="868"/>
      <c r="K12" s="869" t="n">
        <f aca="false">INDEX(FX!$A$3:$C$362,MATCH(B12,FX!$A$3:$A$362,0),MATCH("Monthly Curve",FX!$A$2:$C$2,0))</f>
        <v>1.44179861399005</v>
      </c>
      <c r="L12" s="869"/>
      <c r="M12" s="914" t="n">
        <v>3.015</v>
      </c>
      <c r="N12" s="915" t="n">
        <v>0.34</v>
      </c>
      <c r="O12" s="714" t="n">
        <v>0.02</v>
      </c>
      <c r="P12" s="872" t="n">
        <f aca="false">N12+O12</f>
        <v>0.36</v>
      </c>
      <c r="Q12" s="873" t="n">
        <f aca="false">SUM(M12:O12)</f>
        <v>3.375</v>
      </c>
      <c r="R12" s="874" t="n">
        <f aca="false">Assumptions!$B$34</f>
        <v>0.312458892307692</v>
      </c>
      <c r="S12" s="875" t="n">
        <f aca="false">(Q12*K12)+R12</f>
        <v>5.17852921452411</v>
      </c>
      <c r="T12" s="869"/>
      <c r="V12" s="876" t="n">
        <f aca="false">Assumptions!$B$42</f>
        <v>0</v>
      </c>
      <c r="W12" s="876" t="n">
        <v>6.5</v>
      </c>
      <c r="X12" s="877" t="n">
        <v>1</v>
      </c>
      <c r="Y12" s="878" t="n">
        <f aca="false">Assumptions!$B$7</f>
        <v>312</v>
      </c>
      <c r="Z12" s="879" t="n">
        <f aca="false">IF($Z$10=$V$10,V12,IF($Z$10=$W$10,W12,IF($Z$10=$X$10,X12,0)))</f>
        <v>0</v>
      </c>
      <c r="AA12" s="880" t="n">
        <f aca="false">Y12*Z12</f>
        <v>0</v>
      </c>
      <c r="AB12" s="881" t="n">
        <f aca="false">AA12*K12</f>
        <v>0</v>
      </c>
      <c r="AC12" s="188"/>
      <c r="AD12" s="882" t="n">
        <f aca="false">IF(Tables!$E$30="Michigan",INDEX('Michigan Curve'!$A$4:$S$256,MATCH('Monthly Table'!B12,'Michigan Curve'!$A$4:$A$256,0),MATCH("Michigan Selected Option Value US$/month",'Michigan Curve'!$A$4:$S$4,0)),INDEX('NY Curve'!$A$4:$T$256,MATCH('Monthly Table'!B12,'NY Curve'!$A$4:$A$256,0),MATCH("New York Selected Option Value US$/month",'NY Curve'!$A$4:$T$4,0)))</f>
        <v>57292.4679750728</v>
      </c>
      <c r="AE12" s="883" t="n">
        <f aca="false">AD12*K12</f>
        <v>82604.2009185293</v>
      </c>
      <c r="AF12" s="188"/>
      <c r="AG12" s="884"/>
      <c r="AI12" s="885" t="n">
        <f aca="false">Assumptions!$B$50</f>
        <v>65</v>
      </c>
      <c r="AJ12" s="916"/>
      <c r="AK12" s="887" t="n">
        <f aca="false">IF(Tables!$E$30="Custom",'Monthly Table'!AI12,IF(Tables!$E$30="New York",INDEX('NY Curve'!$A$4:$G$256,MATCH('Monthly Table'!B12,'NY Curve'!$A$4:$A$256,0),MATCH("Super Peak Curve",'NY Curve'!$A$4:$G$4,0)),IF(Tables!$E$30="New York Flat",INDEX('NY Curve'!$A$4:$G$256,MATCH('Monthly Table'!B12,'NY Curve'!$A$4:$A$256,0),MATCH("Flat NY West",'NY Curve'!$A$4:$G$4,0)),INDEX('Michigan Curve'!$A$4:$F$256,MATCH('Monthly Table'!B12,'Michigan Curve'!$A$4:$A$256,0),MATCH("Michigan Super Peak Curve US$/MWhr",'Michigan Curve'!$A$4:$F$4,0)))))</f>
        <v>30.2939984436035</v>
      </c>
      <c r="AL12" s="888" t="n">
        <f aca="false">IF(D12&lt;=Tables!$B$21,IF($AL$10=$AI$10,AI12,IF($AL$10=$AJ$10,AJ12,IF($AL$10=$AK$10,AK12,0))),0)</f>
        <v>30.2939984436035</v>
      </c>
      <c r="AM12" s="889" t="n">
        <f aca="false">+AL12*K12</f>
        <v>43.6778449682043</v>
      </c>
      <c r="AN12" s="890" t="n">
        <f aca="false">IF((AL12*K12)&gt;(CP12+$BF$4),1,0)</f>
        <v>0</v>
      </c>
      <c r="AO12" s="891"/>
      <c r="AP12" s="894"/>
      <c r="AQ12" s="892" t="n">
        <f aca="false">IF(Tables!$E$30="New York",INDEX('NY Curve'!$A$4:$L$256,MATCH('Monthly Table'!B12,'NY Curve'!$A$4:$A$256,0),MATCH("New York Shoulder Hour Curve Mon-Fri",'NY Curve'!$A$4:$L$4,0)),IF(Tables!$E$30="Michigan",INDEX('Michigan Curve'!$A$4:$K$256,MATCH('Monthly Table'!B12,'Michigan Curve'!$A$4:$A$256,0),MATCH("Michigan Shoulder Hour Curve Mon-Fri",'Michigan Curve'!$A$4:$K$4,0))))</f>
        <v>29.1059985046387</v>
      </c>
      <c r="AR12" s="889" t="n">
        <f aca="false">AQ12*K12</f>
        <v>41.9649883027845</v>
      </c>
      <c r="AS12" s="893" t="n">
        <f aca="false">IF(AR12&gt;($CP12+$BF$4),1,0)</f>
        <v>0</v>
      </c>
      <c r="AT12" s="188"/>
      <c r="AU12" s="892" t="n">
        <f aca="false">IF(Tables!$E$30="New York",INDEX('NY Curve'!$A$4:$L$256,MATCH('Monthly Table'!$B12,'NY Curve'!$A$4:$A$256,0),MATCH("New York Saturday Super Peak",'NY Curve'!$A$4:$L$4,0)),IF(Tables!$E$30="Michigan",INDEX('Michigan Curve'!$A$4:$K$256,MATCH('Monthly Table'!$B12,'Michigan Curve'!$A$4:$A$256,0),MATCH("Michigan Saturday Super Peak",'Michigan Curve'!$A$4:$K$4,0))))</f>
        <v>22.4359202957153</v>
      </c>
      <c r="AV12" s="894" t="n">
        <f aca="false">AU12*K12</f>
        <v>32.3480787859536</v>
      </c>
      <c r="AW12" s="893" t="n">
        <f aca="false">IF(AV12&gt;($CP12+$BF$4),1,0)</f>
        <v>0</v>
      </c>
      <c r="AX12" s="892" t="n">
        <f aca="false">IF(Tables!$E$30="New York",INDEX('NY Curve'!$A$4:$L$256,MATCH('Monthly Table'!$B12,'NY Curve'!$A$4:$A$256,0),MATCH("New York Saturday Shoulder Peak",'NY Curve'!$A$4:$L$4,0)),IF(Tables!$E$30="Michigan",INDEX('Michigan Curve'!$A$4:$K$256,MATCH('Monthly Table'!$B12,'Michigan Curve'!$A$4:$A$256,0),MATCH("Michigan Saturday Shoulder Peak",'Michigan Curve'!$A$4:$K$4,0))))</f>
        <v>21.5560802841187</v>
      </c>
      <c r="AY12" s="895" t="n">
        <f aca="false">AX12*K12</f>
        <v>31.0795266767005</v>
      </c>
      <c r="AZ12" s="893" t="n">
        <f aca="false">IF(AY12&gt;($CP12+$BF$4),1,0)</f>
        <v>0</v>
      </c>
      <c r="BA12" s="188"/>
      <c r="BB12" s="892" t="n">
        <f aca="false">IF(Tables!$E$30="New York",INDEX('NY Curve'!$A$4:$M$256,MATCH('Monthly Table'!$B12,'NY Curve'!$A$4:$A$256,0),MATCH("NY Sunday Super Peak",'NY Curve'!$A$4:$M$4,0)),IF(Tables!$E$30="Michigan",INDEX('Michigan Curve'!$A$4:$L$256,MATCH('Monthly Table'!$B12,'Michigan Curve'!$A$4:$A$256,0),MATCH("Michigan Sunday Super Peak",'Michigan Curve'!$A$4:$L$4,0))))</f>
        <v>21.4164319610596</v>
      </c>
      <c r="BC12" s="894" t="n">
        <f aca="false">BB12*K12</f>
        <v>30.8781819180679</v>
      </c>
      <c r="BD12" s="893" t="n">
        <f aca="false">IF(BC12&gt;($CP12+$BF$4),1,0)</f>
        <v>0</v>
      </c>
      <c r="BE12" s="188"/>
      <c r="BF12" s="896" t="n">
        <f aca="false">B12</f>
        <v>36923</v>
      </c>
      <c r="BG12" s="897" t="n">
        <f aca="false">IF($AN12=1,$E12*$BF$5,0)</f>
        <v>0</v>
      </c>
      <c r="BH12" s="897" t="n">
        <f aca="false">BG12</f>
        <v>0</v>
      </c>
      <c r="BI12" s="714" t="n">
        <f aca="false">IF($AN12=1,$E12*$BF$5,0)</f>
        <v>0</v>
      </c>
      <c r="BJ12" s="898" t="n">
        <f aca="false">IF('Monthly Table'!D12&lt;=Tables!$B$21,IF($BJ$10=$BG$10,BG12,IF($BJ$10=$BH$10,BH12,IF($BJ$10=$BI$10,BI12,0))),0)</f>
        <v>0</v>
      </c>
      <c r="BK12" s="288"/>
      <c r="BL12" s="898" t="n">
        <f aca="false">IF($AW12=1,$F12*$BF$5,0)</f>
        <v>0</v>
      </c>
      <c r="BM12" s="898" t="n">
        <f aca="false">IF($BD12=1,($G12+H12)*$BF$5,0)</f>
        <v>0</v>
      </c>
      <c r="BO12" s="898" t="n">
        <f aca="false">IF(AS12=1,BJ12,0)</f>
        <v>0</v>
      </c>
      <c r="BP12" s="898" t="n">
        <f aca="false">IF(AZ12=1,F12*$BF$5,0)</f>
        <v>0</v>
      </c>
      <c r="BR12" s="899" t="n">
        <f aca="false">IF(BJ12&gt;0,INDEX(OperationalDetail,MATCH("Capacity Degradation",ODColumn,0),MATCH('Monthly Table'!C12,ODRow,0)),0)</f>
        <v>0</v>
      </c>
      <c r="BS12" s="900" t="n">
        <f aca="false">BJ12*(1-BR12)*Tables!$C$10</f>
        <v>0</v>
      </c>
      <c r="BT12" s="883" t="n">
        <f aca="false">BS12*AL12/1000</f>
        <v>0</v>
      </c>
      <c r="BU12" s="883" t="n">
        <f aca="false">BT12*K12</f>
        <v>0</v>
      </c>
      <c r="BV12" s="188"/>
      <c r="BW12" s="901" t="n">
        <f aca="false">$BO12*(1-$BR12)*Tables!$C$36</f>
        <v>0</v>
      </c>
      <c r="BX12" s="902" t="n">
        <f aca="false">(BW12*AQ12)/1000</f>
        <v>0</v>
      </c>
      <c r="BY12" s="883" t="n">
        <f aca="false">BX12*K12</f>
        <v>0</v>
      </c>
      <c r="BZ12" s="188"/>
      <c r="CA12" s="901" t="n">
        <f aca="false">$BL12*(1-$BR12)*Tables!$C$36</f>
        <v>0</v>
      </c>
      <c r="CB12" s="902" t="n">
        <f aca="false">(CA12*AU12)/1000</f>
        <v>0</v>
      </c>
      <c r="CC12" s="883" t="n">
        <f aca="false">CB12*K12</f>
        <v>0</v>
      </c>
      <c r="CD12" s="901" t="n">
        <f aca="false">$BP12*(1-$BR12)*Tables!$C$36</f>
        <v>0</v>
      </c>
      <c r="CE12" s="902" t="n">
        <f aca="false">(CD12*AX12)/1000</f>
        <v>0</v>
      </c>
      <c r="CF12" s="883" t="n">
        <f aca="false">CE12*K12</f>
        <v>0</v>
      </c>
      <c r="CH12" s="901" t="n">
        <f aca="false">$BM12*(1-$BR12)*Tables!$C$36</f>
        <v>0</v>
      </c>
      <c r="CI12" s="902" t="n">
        <f aca="false">(CH12*BB12)/1000</f>
        <v>0</v>
      </c>
      <c r="CJ12" s="883" t="n">
        <f aca="false">CI12*K12</f>
        <v>0</v>
      </c>
      <c r="CK12" s="292"/>
      <c r="CL12" s="292" t="n">
        <f aca="false">C12-1</f>
        <v>2000</v>
      </c>
      <c r="CM12" s="903" t="n">
        <f aca="false">INDEX(OperationalDetail,MATCH("Degraded Heat Rate",ODColumn,0),MATCH('Monthly Table'!CL12,ODRow,0))/1000</f>
        <v>12.03475</v>
      </c>
      <c r="CN12" s="904" t="n">
        <f aca="false">S12*CM12</f>
        <v>62.3223044644941</v>
      </c>
      <c r="CO12" s="905" t="n">
        <f aca="false">IF(A12="January",(CO11*(1+Assumptions!$E$32)),CO11)</f>
        <v>6.735625</v>
      </c>
      <c r="CP12" s="906" t="n">
        <f aca="false">CN12+CO12</f>
        <v>69.0579294644941</v>
      </c>
      <c r="CQ12" s="292"/>
      <c r="CR12" s="856" t="str">
        <f aca="false">IF(BJ12=0,"",C12)</f>
        <v/>
      </c>
      <c r="CS12" s="856" t="str">
        <f aca="false">IF(BO12=0,"",$C12)</f>
        <v/>
      </c>
      <c r="CT12" s="856" t="str">
        <f aca="false">IF(BL12=0,"",$C12)</f>
        <v/>
      </c>
      <c r="CU12" s="856" t="str">
        <f aca="false">IF(BP12=0,"",$C12)</f>
        <v/>
      </c>
      <c r="CV12" s="856" t="str">
        <f aca="false">IF(BD12=0,"",$C12)</f>
        <v/>
      </c>
      <c r="CW12" s="907" t="n">
        <f aca="false">YEAR(BF12)</f>
        <v>2001</v>
      </c>
      <c r="CX12" s="908" t="n">
        <f aca="false">INDEX('NY Curve'!$A$4:$G$256,MATCH('Monthly Table'!B12,'NY Curve'!$A$4:$A$256,0),MATCH("New York 5 X 16",'NY Curve'!$A$4:$G$4,0))</f>
        <v>32.5</v>
      </c>
      <c r="CY12" s="909" t="n">
        <f aca="false">K12</f>
        <v>1.44179861399005</v>
      </c>
      <c r="CZ12" s="910" t="n">
        <f aca="false">CX12*CY12</f>
        <v>46.8584549546766</v>
      </c>
      <c r="DB12" s="911"/>
      <c r="DC12" s="911"/>
      <c r="DD12" s="95"/>
      <c r="DE12" s="912"/>
      <c r="DF12" s="913"/>
      <c r="DG12" s="292"/>
      <c r="DH12" s="292"/>
    </row>
    <row r="13" customFormat="false" ht="18.75" hidden="false" customHeight="true" outlineLevel="0" collapsed="false">
      <c r="A13" s="49" t="s">
        <v>812</v>
      </c>
      <c r="B13" s="863" t="n">
        <v>36951</v>
      </c>
      <c r="C13" s="288" t="n">
        <f aca="false">YEAR(B13)</f>
        <v>2001</v>
      </c>
      <c r="D13" s="864" t="n">
        <v>1</v>
      </c>
      <c r="E13" s="865" t="n">
        <v>22</v>
      </c>
      <c r="F13" s="866" t="n">
        <v>5</v>
      </c>
      <c r="G13" s="866" t="n">
        <v>4</v>
      </c>
      <c r="H13" s="866" t="n">
        <v>0</v>
      </c>
      <c r="I13" s="867" t="n">
        <f aca="false">SUM(E13:H13)</f>
        <v>31</v>
      </c>
      <c r="J13" s="868"/>
      <c r="K13" s="869" t="n">
        <f aca="false">INDEX(FX!$A$3:$C$362,MATCH(B13,FX!$A$3:$A$362,0),MATCH("Monthly Curve",FX!$A$2:$C$2,0))</f>
        <v>1.44076302366238</v>
      </c>
      <c r="L13" s="869"/>
      <c r="M13" s="914" t="n">
        <v>2.86</v>
      </c>
      <c r="N13" s="915" t="n">
        <v>0.35</v>
      </c>
      <c r="O13" s="714" t="n">
        <v>0.02</v>
      </c>
      <c r="P13" s="872" t="n">
        <f aca="false">N13+O13</f>
        <v>0.37</v>
      </c>
      <c r="Q13" s="873" t="n">
        <f aca="false">SUM(M13:O13)</f>
        <v>3.23</v>
      </c>
      <c r="R13" s="874" t="n">
        <f aca="false">Assumptions!$B$34</f>
        <v>0.312458892307692</v>
      </c>
      <c r="S13" s="875" t="n">
        <f aca="false">(Q13*K13)+R13</f>
        <v>4.96612345873718</v>
      </c>
      <c r="T13" s="869"/>
      <c r="V13" s="876" t="n">
        <f aca="false">Assumptions!$B$42</f>
        <v>0</v>
      </c>
      <c r="W13" s="876" t="n">
        <v>6.5</v>
      </c>
      <c r="X13" s="877" t="n">
        <v>1</v>
      </c>
      <c r="Y13" s="878" t="n">
        <f aca="false">Assumptions!$B$7</f>
        <v>312</v>
      </c>
      <c r="Z13" s="879" t="n">
        <f aca="false">IF($Z$10=$V$10,V13,IF($Z$10=$W$10,W13,IF($Z$10=$X$10,X13,0)))</f>
        <v>0</v>
      </c>
      <c r="AA13" s="880" t="n">
        <f aca="false">Y13*Z13</f>
        <v>0</v>
      </c>
      <c r="AB13" s="881" t="n">
        <f aca="false">AA13*K13</f>
        <v>0</v>
      </c>
      <c r="AC13" s="188"/>
      <c r="AD13" s="882" t="n">
        <f aca="false">IF(Tables!$E$30="Michigan",INDEX('Michigan Curve'!$A$4:$S$256,MATCH('Monthly Table'!B13,'Michigan Curve'!$A$4:$A$256,0),MATCH("Michigan Selected Option Value US$/month",'Michigan Curve'!$A$4:$S$4,0)),INDEX('NY Curve'!$A$4:$T$256,MATCH('Monthly Table'!B13,'NY Curve'!$A$4:$A$256,0),MATCH("New York Selected Option Value US$/month",'NY Curve'!$A$4:$T$4,0)))</f>
        <v>3551.22177438594</v>
      </c>
      <c r="AE13" s="883" t="n">
        <f aca="false">AD13*K13</f>
        <v>5116.46902135997</v>
      </c>
      <c r="AF13" s="188"/>
      <c r="AG13" s="884"/>
      <c r="AI13" s="885" t="n">
        <f aca="false">Assumptions!$B$50</f>
        <v>65</v>
      </c>
      <c r="AJ13" s="916"/>
      <c r="AK13" s="887" t="n">
        <f aca="false">IF(Tables!$E$30="Custom",'Monthly Table'!AI13,IF(Tables!$E$30="New York",INDEX('NY Curve'!$A$4:$G$256,MATCH('Monthly Table'!B13,'NY Curve'!$A$4:$A$256,0),MATCH("Super Peak Curve",'NY Curve'!$A$4:$G$4,0)),IF(Tables!$E$30="New York Flat",INDEX('NY Curve'!$A$4:$G$256,MATCH('Monthly Table'!B13,'NY Curve'!$A$4:$A$256,0),MATCH("Flat NY West",'NY Curve'!$A$4:$G$4,0)),INDEX('Michigan Curve'!$A$4:$F$256,MATCH('Monthly Table'!B13,'Michigan Curve'!$A$4:$A$256,0),MATCH("Michigan Super Peak Curve US$/MWhr",'Michigan Curve'!$A$4:$F$4,0)))))</f>
        <v>24.735</v>
      </c>
      <c r="AL13" s="888" t="n">
        <f aca="false">IF(D13&lt;=Tables!$B$21,IF($AL$10=$AI$10,AI13,IF($AL$10=$AJ$10,AJ13,IF($AL$10=$AK$10,AK13,0))),0)</f>
        <v>24.735</v>
      </c>
      <c r="AM13" s="889" t="n">
        <f aca="false">+AL13*K13</f>
        <v>35.637273390289</v>
      </c>
      <c r="AN13" s="890" t="n">
        <f aca="false">IF((AL13*K13)&gt;(CP13+$BF$4),1,0)</f>
        <v>0</v>
      </c>
      <c r="AO13" s="891"/>
      <c r="AP13" s="894"/>
      <c r="AQ13" s="892" t="n">
        <f aca="false">IF(Tables!$E$30="New York",INDEX('NY Curve'!$A$4:$L$256,MATCH('Monthly Table'!B13,'NY Curve'!$A$4:$A$256,0),MATCH("New York Shoulder Hour Curve Mon-Fri",'NY Curve'!$A$4:$L$4,0)),IF(Tables!$E$30="Michigan",INDEX('Michigan Curve'!$A$4:$K$256,MATCH('Monthly Table'!B13,'Michigan Curve'!$A$4:$A$256,0),MATCH("Michigan Shoulder Hour Curve Mon-Fri",'Michigan Curve'!$A$4:$K$4,0))))</f>
        <v>23.765</v>
      </c>
      <c r="AR13" s="889" t="n">
        <f aca="false">AQ13*K13</f>
        <v>34.2397332573365</v>
      </c>
      <c r="AS13" s="893" t="n">
        <f aca="false">IF(AR13&gt;($CP13+$BF$4),1,0)</f>
        <v>0</v>
      </c>
      <c r="AT13" s="188"/>
      <c r="AU13" s="892" t="n">
        <f aca="false">IF(Tables!$E$30="New York",INDEX('NY Curve'!$A$4:$L$256,MATCH('Monthly Table'!$B13,'NY Curve'!$A$4:$A$256,0),MATCH("New York Saturday Super Peak",'NY Curve'!$A$4:$L$4,0)),IF(Tables!$E$30="Michigan",INDEX('Michigan Curve'!$A$4:$K$256,MATCH('Monthly Table'!$B13,'Michigan Curve'!$A$4:$A$256,0),MATCH("Michigan Saturday Super Peak",'Michigan Curve'!$A$4:$K$4,0))))</f>
        <v>20.4</v>
      </c>
      <c r="AV13" s="894" t="n">
        <f aca="false">AU13*K13</f>
        <v>29.3915656827126</v>
      </c>
      <c r="AW13" s="893" t="n">
        <f aca="false">IF(AV13&gt;($CP13+$BF$4),1,0)</f>
        <v>0</v>
      </c>
      <c r="AX13" s="892" t="n">
        <f aca="false">IF(Tables!$E$30="New York",INDEX('NY Curve'!$A$4:$L$256,MATCH('Monthly Table'!$B13,'NY Curve'!$A$4:$A$256,0),MATCH("New York Saturday Shoulder Peak",'NY Curve'!$A$4:$L$4,0)),IF(Tables!$E$30="Michigan",INDEX('Michigan Curve'!$A$4:$K$256,MATCH('Monthly Table'!$B13,'Michigan Curve'!$A$4:$A$256,0),MATCH("Michigan Saturday Shoulder Peak",'Michigan Curve'!$A$4:$K$4,0))))</f>
        <v>19.6</v>
      </c>
      <c r="AY13" s="895" t="n">
        <f aca="false">AX13*K13</f>
        <v>28.2389552637827</v>
      </c>
      <c r="AZ13" s="893" t="n">
        <f aca="false">IF(AY13&gt;($CP13+$BF$4),1,0)</f>
        <v>0</v>
      </c>
      <c r="BA13" s="188"/>
      <c r="BB13" s="892" t="n">
        <f aca="false">IF(Tables!$E$30="New York",INDEX('NY Curve'!$A$4:$M$256,MATCH('Monthly Table'!$B13,'NY Curve'!$A$4:$A$256,0),MATCH("NY Sunday Super Peak",'NY Curve'!$A$4:$M$4,0)),IF(Tables!$E$30="Michigan",INDEX('Michigan Curve'!$A$4:$L$256,MATCH('Monthly Table'!$B13,'Michigan Curve'!$A$4:$A$256,0),MATCH("Michigan Sunday Super Peak",'Michigan Curve'!$A$4:$L$4,0))))</f>
        <v>19.38</v>
      </c>
      <c r="BC13" s="894" t="n">
        <f aca="false">BB13*K13</f>
        <v>27.9219873985769</v>
      </c>
      <c r="BD13" s="893" t="n">
        <f aca="false">IF(BC13&gt;($CP13+$BF$4),1,0)</f>
        <v>0</v>
      </c>
      <c r="BE13" s="188"/>
      <c r="BF13" s="896" t="n">
        <f aca="false">B13</f>
        <v>36951</v>
      </c>
      <c r="BG13" s="897" t="n">
        <f aca="false">IF($AN13=1,$E13*$BF$5,0)</f>
        <v>0</v>
      </c>
      <c r="BH13" s="897" t="n">
        <f aca="false">BG13</f>
        <v>0</v>
      </c>
      <c r="BI13" s="714" t="n">
        <f aca="false">IF($AN13=1,$E13*$BF$5,0)</f>
        <v>0</v>
      </c>
      <c r="BJ13" s="898" t="n">
        <f aca="false">IF('Monthly Table'!D13&lt;=Tables!$B$21,IF($BJ$10=$BG$10,BG13,IF($BJ$10=$BH$10,BH13,IF($BJ$10=$BI$10,BI13,0))),0)</f>
        <v>0</v>
      </c>
      <c r="BK13" s="288"/>
      <c r="BL13" s="898" t="n">
        <f aca="false">IF($AW13=1,$F13*$BF$5,0)</f>
        <v>0</v>
      </c>
      <c r="BM13" s="898" t="n">
        <f aca="false">IF($BD13=1,($G13+H13)*$BF$5,0)</f>
        <v>0</v>
      </c>
      <c r="BO13" s="898" t="n">
        <f aca="false">IF(AS13=1,BJ13,0)</f>
        <v>0</v>
      </c>
      <c r="BP13" s="898" t="n">
        <f aca="false">IF(AZ13=1,F13*$BF$5,0)</f>
        <v>0</v>
      </c>
      <c r="BR13" s="899" t="n">
        <f aca="false">IF(BJ13&gt;0,INDEX(OperationalDetail,MATCH("Capacity Degradation",ODColumn,0),MATCH('Monthly Table'!C13,ODRow,0)),0)</f>
        <v>0</v>
      </c>
      <c r="BS13" s="900" t="n">
        <f aca="false">BJ13*(1-BR13)*Tables!$C$10</f>
        <v>0</v>
      </c>
      <c r="BT13" s="883" t="n">
        <f aca="false">BS13*AL13/1000</f>
        <v>0</v>
      </c>
      <c r="BU13" s="883" t="n">
        <f aca="false">BT13*K13</f>
        <v>0</v>
      </c>
      <c r="BV13" s="188"/>
      <c r="BW13" s="901" t="n">
        <f aca="false">$BO13*(1-$BR13)*Tables!$C$36</f>
        <v>0</v>
      </c>
      <c r="BX13" s="902" t="n">
        <f aca="false">(BW13*AQ13)/1000</f>
        <v>0</v>
      </c>
      <c r="BY13" s="883" t="n">
        <f aca="false">BX13*K13</f>
        <v>0</v>
      </c>
      <c r="BZ13" s="188"/>
      <c r="CA13" s="901" t="n">
        <f aca="false">$BL13*(1-$BR13)*Tables!$C$36</f>
        <v>0</v>
      </c>
      <c r="CB13" s="902" t="n">
        <f aca="false">(CA13*AU13)/1000</f>
        <v>0</v>
      </c>
      <c r="CC13" s="883" t="n">
        <f aca="false">CB13*K13</f>
        <v>0</v>
      </c>
      <c r="CD13" s="901" t="n">
        <f aca="false">$BP13*(1-$BR13)*Tables!$C$36</f>
        <v>0</v>
      </c>
      <c r="CE13" s="902" t="n">
        <f aca="false">(CD13*AX13)/1000</f>
        <v>0</v>
      </c>
      <c r="CF13" s="883" t="n">
        <f aca="false">CE13*K13</f>
        <v>0</v>
      </c>
      <c r="CH13" s="901" t="n">
        <f aca="false">$BM13*(1-$BR13)*Tables!$C$36</f>
        <v>0</v>
      </c>
      <c r="CI13" s="902" t="n">
        <f aca="false">(CH13*BB13)/1000</f>
        <v>0</v>
      </c>
      <c r="CJ13" s="883" t="n">
        <f aca="false">CI13*K13</f>
        <v>0</v>
      </c>
      <c r="CK13" s="292"/>
      <c r="CL13" s="292" t="n">
        <f aca="false">C13-1</f>
        <v>2000</v>
      </c>
      <c r="CM13" s="903" t="n">
        <f aca="false">INDEX(OperationalDetail,MATCH("Degraded Heat Rate",ODColumn,0),MATCH('Monthly Table'!CL13,ODRow,0))/1000</f>
        <v>12.03475</v>
      </c>
      <c r="CN13" s="904" t="n">
        <f aca="false">S13*CM13</f>
        <v>59.7660542950373</v>
      </c>
      <c r="CO13" s="905" t="n">
        <f aca="false">IF(A13="January",(CO12*(1+Assumptions!$E$32)),CO12)</f>
        <v>6.735625</v>
      </c>
      <c r="CP13" s="906" t="n">
        <f aca="false">CN13+CO13</f>
        <v>66.5016792950373</v>
      </c>
      <c r="CQ13" s="292"/>
      <c r="CR13" s="856" t="str">
        <f aca="false">IF(BJ13=0,"",C13)</f>
        <v/>
      </c>
      <c r="CS13" s="856" t="str">
        <f aca="false">IF(BO13=0,"",$C13)</f>
        <v/>
      </c>
      <c r="CT13" s="856" t="str">
        <f aca="false">IF(BL13=0,"",$C13)</f>
        <v/>
      </c>
      <c r="CU13" s="856" t="str">
        <f aca="false">IF(BP13=0,"",$C13)</f>
        <v/>
      </c>
      <c r="CV13" s="856" t="str">
        <f aca="false">IF(BD13=0,"",$C13)</f>
        <v/>
      </c>
      <c r="CW13" s="907" t="n">
        <f aca="false">YEAR(BF13)</f>
        <v>2001</v>
      </c>
      <c r="CX13" s="908" t="n">
        <f aca="false">INDEX('NY Curve'!$A$4:$G$256,MATCH('Monthly Table'!B13,'NY Curve'!$A$4:$A$256,0),MATCH("New York 5 X 16",'NY Curve'!$A$4:$G$4,0))</f>
        <v>27.5</v>
      </c>
      <c r="CY13" s="909" t="n">
        <f aca="false">K13</f>
        <v>1.44076302366238</v>
      </c>
      <c r="CZ13" s="910" t="n">
        <f aca="false">CX13*CY13</f>
        <v>39.6209831507155</v>
      </c>
      <c r="DB13" s="911"/>
      <c r="DC13" s="911"/>
      <c r="DD13" s="95"/>
      <c r="DE13" s="912"/>
      <c r="DF13" s="913"/>
      <c r="DG13" s="292"/>
      <c r="DH13" s="292"/>
    </row>
    <row r="14" customFormat="false" ht="18.75" hidden="false" customHeight="true" outlineLevel="0" collapsed="false">
      <c r="A14" s="49" t="s">
        <v>813</v>
      </c>
      <c r="B14" s="863" t="n">
        <v>36982</v>
      </c>
      <c r="C14" s="288" t="n">
        <f aca="false">YEAR(B14)</f>
        <v>2001</v>
      </c>
      <c r="D14" s="864" t="n">
        <v>1</v>
      </c>
      <c r="E14" s="865" t="n">
        <v>21</v>
      </c>
      <c r="F14" s="866" t="n">
        <v>4</v>
      </c>
      <c r="G14" s="866" t="n">
        <v>5</v>
      </c>
      <c r="H14" s="866" t="n">
        <v>0</v>
      </c>
      <c r="I14" s="867" t="n">
        <f aca="false">SUM(E14:H14)</f>
        <v>30</v>
      </c>
      <c r="J14" s="868"/>
      <c r="K14" s="869" t="n">
        <f aca="false">INDEX(FX!$A$3:$C$362,MATCH(B14,FX!$A$3:$A$362,0),MATCH("Monthly Curve",FX!$A$2:$C$2,0))</f>
        <v>1.43961860543668</v>
      </c>
      <c r="L14" s="869"/>
      <c r="M14" s="914" t="n">
        <v>2.735</v>
      </c>
      <c r="N14" s="915" t="n">
        <v>0.15</v>
      </c>
      <c r="O14" s="714" t="n">
        <v>0.02</v>
      </c>
      <c r="P14" s="872" t="n">
        <f aca="false">N14+O14</f>
        <v>0.17</v>
      </c>
      <c r="Q14" s="873" t="n">
        <f aca="false">SUM(M14:O14)</f>
        <v>2.905</v>
      </c>
      <c r="R14" s="874" t="n">
        <f aca="false">Assumptions!$B$34</f>
        <v>0.312458892307692</v>
      </c>
      <c r="S14" s="875" t="n">
        <f aca="false">(Q14*K14)+R14</f>
        <v>4.49455094110125</v>
      </c>
      <c r="T14" s="869"/>
      <c r="V14" s="876" t="n">
        <f aca="false">Assumptions!$B$42</f>
        <v>0</v>
      </c>
      <c r="W14" s="876" t="n">
        <v>6.5</v>
      </c>
      <c r="X14" s="877" t="n">
        <v>1</v>
      </c>
      <c r="Y14" s="878" t="n">
        <f aca="false">Assumptions!$B$7</f>
        <v>312</v>
      </c>
      <c r="Z14" s="879" t="n">
        <f aca="false">IF($Z$10=$V$10,V14,IF($Z$10=$W$10,W14,IF($Z$10=$X$10,X14,0)))</f>
        <v>0</v>
      </c>
      <c r="AA14" s="880" t="n">
        <f aca="false">Y14*Z14</f>
        <v>0</v>
      </c>
      <c r="AB14" s="881" t="n">
        <f aca="false">AA14*K14</f>
        <v>0</v>
      </c>
      <c r="AC14" s="188"/>
      <c r="AD14" s="882" t="n">
        <f aca="false">IF(Tables!$E$30="Michigan",INDEX('Michigan Curve'!$A$4:$S$256,MATCH('Monthly Table'!B14,'Michigan Curve'!$A$4:$A$256,0),MATCH("Michigan Selected Option Value US$/month",'Michigan Curve'!$A$4:$S$4,0)),INDEX('NY Curve'!$A$4:$T$256,MATCH('Monthly Table'!B14,'NY Curve'!$A$4:$A$256,0),MATCH("New York Selected Option Value US$/month",'NY Curve'!$A$4:$T$4,0)))</f>
        <v>8494.66039334754</v>
      </c>
      <c r="AE14" s="883" t="n">
        <f aca="false">AD14*K14</f>
        <v>12229.0711491292</v>
      </c>
      <c r="AF14" s="188"/>
      <c r="AG14" s="884"/>
      <c r="AI14" s="885" t="n">
        <f aca="false">Assumptions!$B$50</f>
        <v>65</v>
      </c>
      <c r="AJ14" s="916"/>
      <c r="AK14" s="887" t="n">
        <f aca="false">IF(Tables!$E$30="Custom",'Monthly Table'!AI14,IF(Tables!$E$30="New York",INDEX('NY Curve'!$A$4:$G$256,MATCH('Monthly Table'!B14,'NY Curve'!$A$4:$A$256,0),MATCH("Super Peak Curve",'NY Curve'!$A$4:$G$4,0)),IF(Tables!$E$30="New York Flat",INDEX('NY Curve'!$A$4:$G$256,MATCH('Monthly Table'!B14,'NY Curve'!$A$4:$A$256,0),MATCH("Flat NY West",'NY Curve'!$A$4:$G$4,0)),INDEX('Michigan Curve'!$A$4:$F$256,MATCH('Monthly Table'!B14,'Michigan Curve'!$A$4:$A$256,0),MATCH("Michigan Super Peak Curve US$/MWhr",'Michigan Curve'!$A$4:$F$4,0)))))</f>
        <v>24.5</v>
      </c>
      <c r="AL14" s="888" t="n">
        <f aca="false">IF(D14&lt;=Tables!$B$21,IF($AL$10=$AI$10,AI14,IF($AL$10=$AJ$10,AJ14,IF($AL$10=$AK$10,AK14,0))),0)</f>
        <v>24.5</v>
      </c>
      <c r="AM14" s="889" t="n">
        <f aca="false">+AL14*K14</f>
        <v>35.2706558331987</v>
      </c>
      <c r="AN14" s="890" t="n">
        <f aca="false">IF((AL14*K14)&gt;(CP14+$BF$4),1,0)</f>
        <v>0</v>
      </c>
      <c r="AO14" s="891"/>
      <c r="AP14" s="894"/>
      <c r="AQ14" s="892" t="n">
        <f aca="false">IF(Tables!$E$30="New York",INDEX('NY Curve'!$A$4:$L$256,MATCH('Monthly Table'!B14,'NY Curve'!$A$4:$A$256,0),MATCH("New York Shoulder Hour Curve Mon-Fri",'NY Curve'!$A$4:$L$4,0)),IF(Tables!$E$30="Michigan",INDEX('Michigan Curve'!$A$4:$K$256,MATCH('Monthly Table'!B14,'Michigan Curve'!$A$4:$A$256,0),MATCH("Michigan Shoulder Hour Curve Mon-Fri",'Michigan Curve'!$A$4:$K$4,0))))</f>
        <v>24.5</v>
      </c>
      <c r="AR14" s="889" t="n">
        <f aca="false">AQ14*K14</f>
        <v>35.2706558331987</v>
      </c>
      <c r="AS14" s="893" t="n">
        <f aca="false">IF(AR14&gt;($CP14+$BF$4),1,0)</f>
        <v>0</v>
      </c>
      <c r="AT14" s="188"/>
      <c r="AU14" s="892" t="n">
        <f aca="false">IF(Tables!$E$30="New York",INDEX('NY Curve'!$A$4:$L$256,MATCH('Monthly Table'!$B14,'NY Curve'!$A$4:$A$256,0),MATCH("New York Saturday Super Peak",'NY Curve'!$A$4:$L$4,0)),IF(Tables!$E$30="Michigan",INDEX('Michigan Curve'!$A$4:$K$256,MATCH('Monthly Table'!$B14,'Michigan Curve'!$A$4:$A$256,0),MATCH("Michigan Saturday Super Peak",'Michigan Curve'!$A$4:$K$4,0))))</f>
        <v>20</v>
      </c>
      <c r="AV14" s="894" t="n">
        <f aca="false">AU14*K14</f>
        <v>28.7923721087336</v>
      </c>
      <c r="AW14" s="893" t="n">
        <f aca="false">IF(AV14&gt;($CP14+$BF$4),1,0)</f>
        <v>0</v>
      </c>
      <c r="AX14" s="892" t="n">
        <f aca="false">IF(Tables!$E$30="New York",INDEX('NY Curve'!$A$4:$L$256,MATCH('Monthly Table'!$B14,'NY Curve'!$A$4:$A$256,0),MATCH("New York Saturday Shoulder Peak",'NY Curve'!$A$4:$L$4,0)),IF(Tables!$E$30="Michigan",INDEX('Michigan Curve'!$A$4:$K$256,MATCH('Monthly Table'!$B14,'Michigan Curve'!$A$4:$A$256,0),MATCH("Michigan Saturday Shoulder Peak",'Michigan Curve'!$A$4:$K$4,0))))</f>
        <v>20</v>
      </c>
      <c r="AY14" s="895" t="n">
        <f aca="false">AX14*K14</f>
        <v>28.7923721087336</v>
      </c>
      <c r="AZ14" s="893" t="n">
        <f aca="false">IF(AY14&gt;($CP14+$BF$4),1,0)</f>
        <v>0</v>
      </c>
      <c r="BA14" s="188"/>
      <c r="BB14" s="892" t="n">
        <f aca="false">IF(Tables!$E$30="New York",INDEX('NY Curve'!$A$4:$M$256,MATCH('Monthly Table'!$B14,'NY Curve'!$A$4:$A$256,0),MATCH("NY Sunday Super Peak",'NY Curve'!$A$4:$M$4,0)),IF(Tables!$E$30="Michigan",INDEX('Michigan Curve'!$A$4:$L$256,MATCH('Monthly Table'!$B14,'Michigan Curve'!$A$4:$A$256,0),MATCH("Michigan Sunday Super Peak",'Michigan Curve'!$A$4:$L$4,0))))</f>
        <v>18.9950008392334</v>
      </c>
      <c r="BC14" s="894" t="n">
        <f aca="false">BB14*K14</f>
        <v>27.3455566184458</v>
      </c>
      <c r="BD14" s="893" t="n">
        <f aca="false">IF(BC14&gt;($CP14+$BF$4),1,0)</f>
        <v>0</v>
      </c>
      <c r="BE14" s="188"/>
      <c r="BF14" s="896" t="n">
        <f aca="false">B14</f>
        <v>36982</v>
      </c>
      <c r="BG14" s="897" t="n">
        <f aca="false">IF($AN14=1,$E14*$BF$5,0)</f>
        <v>0</v>
      </c>
      <c r="BH14" s="897" t="n">
        <f aca="false">BG14</f>
        <v>0</v>
      </c>
      <c r="BI14" s="714" t="n">
        <f aca="false">IF($AN14=1,$E14*$BF$5,0)</f>
        <v>0</v>
      </c>
      <c r="BJ14" s="898" t="n">
        <f aca="false">IF('Monthly Table'!D14&lt;=Tables!$B$21,IF($BJ$10=$BG$10,BG14,IF($BJ$10=$BH$10,BH14,IF($BJ$10=$BI$10,BI14,0))),0)</f>
        <v>0</v>
      </c>
      <c r="BK14" s="288"/>
      <c r="BL14" s="898" t="n">
        <f aca="false">IF($AW14=1,$F14*$BF$5,0)</f>
        <v>0</v>
      </c>
      <c r="BM14" s="898" t="n">
        <f aca="false">IF($BD14=1,($G14+H14)*$BF$5,0)</f>
        <v>0</v>
      </c>
      <c r="BO14" s="898" t="n">
        <f aca="false">IF(AS14=1,BJ14,0)</f>
        <v>0</v>
      </c>
      <c r="BP14" s="898" t="n">
        <f aca="false">IF(AZ14=1,F14*$BF$5,0)</f>
        <v>0</v>
      </c>
      <c r="BR14" s="899" t="n">
        <f aca="false">IF(BJ14&gt;0,INDEX(OperationalDetail,MATCH("Capacity Degradation",ODColumn,0),MATCH('Monthly Table'!C14,ODRow,0)),0)</f>
        <v>0</v>
      </c>
      <c r="BS14" s="900" t="n">
        <f aca="false">BJ14*(1-BR14)*Tables!$C$10</f>
        <v>0</v>
      </c>
      <c r="BT14" s="883" t="n">
        <f aca="false">BS14*AL14/1000</f>
        <v>0</v>
      </c>
      <c r="BU14" s="883" t="n">
        <f aca="false">BT14*K14</f>
        <v>0</v>
      </c>
      <c r="BV14" s="188"/>
      <c r="BW14" s="901" t="n">
        <f aca="false">$BO14*(1-$BR14)*Tables!$C$36</f>
        <v>0</v>
      </c>
      <c r="BX14" s="902" t="n">
        <f aca="false">(BW14*AQ14)/1000</f>
        <v>0</v>
      </c>
      <c r="BY14" s="883" t="n">
        <f aca="false">BX14*K14</f>
        <v>0</v>
      </c>
      <c r="BZ14" s="188"/>
      <c r="CA14" s="901" t="n">
        <f aca="false">$BL14*(1-$BR14)*Tables!$C$36</f>
        <v>0</v>
      </c>
      <c r="CB14" s="902" t="n">
        <f aca="false">(CA14*AU14)/1000</f>
        <v>0</v>
      </c>
      <c r="CC14" s="883" t="n">
        <f aca="false">CB14*K14</f>
        <v>0</v>
      </c>
      <c r="CD14" s="901" t="n">
        <f aca="false">$BP14*(1-$BR14)*Tables!$C$36</f>
        <v>0</v>
      </c>
      <c r="CE14" s="902" t="n">
        <f aca="false">(CD14*AX14)/1000</f>
        <v>0</v>
      </c>
      <c r="CF14" s="883" t="n">
        <f aca="false">CE14*K14</f>
        <v>0</v>
      </c>
      <c r="CH14" s="901" t="n">
        <f aca="false">$BM14*(1-$BR14)*Tables!$C$36</f>
        <v>0</v>
      </c>
      <c r="CI14" s="902" t="n">
        <f aca="false">(CH14*BB14)/1000</f>
        <v>0</v>
      </c>
      <c r="CJ14" s="883" t="n">
        <f aca="false">CI14*K14</f>
        <v>0</v>
      </c>
      <c r="CK14" s="292"/>
      <c r="CL14" s="292" t="n">
        <f aca="false">C14-1</f>
        <v>2000</v>
      </c>
      <c r="CM14" s="903" t="n">
        <f aca="false">INDEX(OperationalDetail,MATCH("Degraded Heat Rate",ODColumn,0),MATCH('Monthly Table'!CL14,ODRow,0))/1000</f>
        <v>12.03475</v>
      </c>
      <c r="CN14" s="904" t="n">
        <f aca="false">S14*CM14</f>
        <v>54.0907969384182</v>
      </c>
      <c r="CO14" s="905" t="n">
        <f aca="false">IF(A14="January",(CO13*(1+Assumptions!$E$32)),CO13)</f>
        <v>6.735625</v>
      </c>
      <c r="CP14" s="906" t="n">
        <f aca="false">CN14+CO14</f>
        <v>60.8264219384182</v>
      </c>
      <c r="CQ14" s="292"/>
      <c r="CR14" s="856" t="str">
        <f aca="false">IF(BJ14=0,"",C14)</f>
        <v/>
      </c>
      <c r="CS14" s="856" t="str">
        <f aca="false">IF(BO14=0,"",$C14)</f>
        <v/>
      </c>
      <c r="CT14" s="856" t="str">
        <f aca="false">IF(BL14=0,"",$C14)</f>
        <v/>
      </c>
      <c r="CU14" s="856" t="str">
        <f aca="false">IF(BP14=0,"",$C14)</f>
        <v/>
      </c>
      <c r="CV14" s="856" t="str">
        <f aca="false">IF(BD14=0,"",$C14)</f>
        <v/>
      </c>
      <c r="CW14" s="907" t="n">
        <f aca="false">YEAR(BF14)</f>
        <v>2001</v>
      </c>
      <c r="CX14" s="908" t="n">
        <f aca="false">INDEX('NY Curve'!$A$4:$G$256,MATCH('Monthly Table'!B14,'NY Curve'!$A$4:$A$256,0),MATCH("New York 5 X 16",'NY Curve'!$A$4:$G$4,0))</f>
        <v>26.25</v>
      </c>
      <c r="CY14" s="909" t="n">
        <f aca="false">K14</f>
        <v>1.43961860543668</v>
      </c>
      <c r="CZ14" s="910" t="n">
        <f aca="false">CX14*CY14</f>
        <v>37.7899883927129</v>
      </c>
      <c r="DB14" s="911"/>
      <c r="DC14" s="911"/>
      <c r="DD14" s="95"/>
      <c r="DE14" s="912"/>
      <c r="DF14" s="913"/>
      <c r="DG14" s="292"/>
      <c r="DH14" s="292"/>
    </row>
    <row r="15" customFormat="false" ht="18.75" hidden="false" customHeight="true" outlineLevel="0" collapsed="false">
      <c r="A15" s="49" t="s">
        <v>814</v>
      </c>
      <c r="B15" s="863" t="n">
        <v>37012</v>
      </c>
      <c r="C15" s="288" t="n">
        <f aca="false">YEAR(B15)</f>
        <v>2001</v>
      </c>
      <c r="D15" s="864" t="n">
        <v>1</v>
      </c>
      <c r="E15" s="865" t="n">
        <v>22</v>
      </c>
      <c r="F15" s="866" t="n">
        <v>4</v>
      </c>
      <c r="G15" s="866" t="n">
        <v>4</v>
      </c>
      <c r="H15" s="866" t="n">
        <v>1</v>
      </c>
      <c r="I15" s="867" t="n">
        <f aca="false">SUM(E15:H15)</f>
        <v>31</v>
      </c>
      <c r="J15" s="868"/>
      <c r="K15" s="869" t="n">
        <f aca="false">INDEX(FX!$A$3:$C$362,MATCH(B15,FX!$A$3:$A$362,0),MATCH("Monthly Curve",FX!$A$2:$C$2,0))</f>
        <v>1.43854335370451</v>
      </c>
      <c r="L15" s="869"/>
      <c r="M15" s="914" t="n">
        <v>2.68</v>
      </c>
      <c r="N15" s="915" t="n">
        <v>0.15</v>
      </c>
      <c r="O15" s="714" t="n">
        <v>0.02</v>
      </c>
      <c r="P15" s="872" t="n">
        <f aca="false">N15+O15</f>
        <v>0.17</v>
      </c>
      <c r="Q15" s="873" t="n">
        <f aca="false">SUM(M15:O15)</f>
        <v>2.85</v>
      </c>
      <c r="R15" s="874" t="n">
        <f aca="false">Assumptions!$B$34</f>
        <v>0.312458892307692</v>
      </c>
      <c r="S15" s="875" t="n">
        <f aca="false">(Q15*K15)+R15</f>
        <v>4.41230745036555</v>
      </c>
      <c r="T15" s="869"/>
      <c r="V15" s="876" t="n">
        <f aca="false">Assumptions!$B$42</f>
        <v>0</v>
      </c>
      <c r="W15" s="876" t="n">
        <v>6.5</v>
      </c>
      <c r="X15" s="877" t="n">
        <v>1</v>
      </c>
      <c r="Y15" s="878" t="n">
        <f aca="false">Assumptions!$B$7</f>
        <v>312</v>
      </c>
      <c r="Z15" s="879" t="n">
        <f aca="false">IF($Z$10=$V$10,V15,IF($Z$10=$W$10,W15,IF($Z$10=$X$10,X15,0)))</f>
        <v>0</v>
      </c>
      <c r="AA15" s="880" t="n">
        <f aca="false">Y15*Z15</f>
        <v>0</v>
      </c>
      <c r="AB15" s="881" t="n">
        <f aca="false">AA15*K15</f>
        <v>0</v>
      </c>
      <c r="AC15" s="188"/>
      <c r="AD15" s="882" t="n">
        <f aca="false">IF(Tables!$E$30="Michigan",INDEX('Michigan Curve'!$A$4:$S$256,MATCH('Monthly Table'!B15,'Michigan Curve'!$A$4:$A$256,0),MATCH("Michigan Selected Option Value US$/month",'Michigan Curve'!$A$4:$S$4,0)),INDEX('NY Curve'!$A$4:$T$256,MATCH('Monthly Table'!B15,'NY Curve'!$A$4:$A$256,0),MATCH("New York Selected Option Value US$/month",'NY Curve'!$A$4:$T$4,0)))</f>
        <v>145242.984919233</v>
      </c>
      <c r="AE15" s="883" t="n">
        <f aca="false">AD15*K15</f>
        <v>208938.330627767</v>
      </c>
      <c r="AF15" s="188"/>
      <c r="AG15" s="884"/>
      <c r="AI15" s="885" t="n">
        <f aca="false">Assumptions!$B$50</f>
        <v>65</v>
      </c>
      <c r="AJ15" s="916"/>
      <c r="AK15" s="887" t="n">
        <f aca="false">IF(Tables!$E$30="Custom",'Monthly Table'!AI15,IF(Tables!$E$30="New York",INDEX('NY Curve'!$A$4:$G$256,MATCH('Monthly Table'!B15,'NY Curve'!$A$4:$A$256,0),MATCH("Super Peak Curve",'NY Curve'!$A$4:$G$4,0)),IF(Tables!$E$30="New York Flat",INDEX('NY Curve'!$A$4:$G$256,MATCH('Monthly Table'!B15,'NY Curve'!$A$4:$A$256,0),MATCH("Flat NY West",'NY Curve'!$A$4:$G$4,0)),INDEX('Michigan Curve'!$A$4:$F$256,MATCH('Monthly Table'!B15,'Michigan Curve'!$A$4:$A$256,0),MATCH("Michigan Super Peak Curve US$/MWhr",'Michigan Curve'!$A$4:$F$4,0)))))</f>
        <v>31.4803125523031</v>
      </c>
      <c r="AL15" s="888" t="n">
        <f aca="false">IF(D15&lt;=Tables!$B$21,IF($AL$10=$AI$10,AI15,IF($AL$10=$AJ$10,AJ15,IF($AL$10=$AK$10,AK15,0))),0)</f>
        <v>31.4803125523031</v>
      </c>
      <c r="AM15" s="889" t="n">
        <f aca="false">+AL15*K15</f>
        <v>45.2857943946563</v>
      </c>
      <c r="AN15" s="890" t="n">
        <f aca="false">IF((AL15*K15)&gt;(CP15+$BF$4),1,0)</f>
        <v>0</v>
      </c>
      <c r="AO15" s="891"/>
      <c r="AP15" s="894"/>
      <c r="AQ15" s="892" t="n">
        <f aca="false">IF(Tables!$E$30="New York",INDEX('NY Curve'!$A$4:$L$256,MATCH('Monthly Table'!B15,'NY Curve'!$A$4:$A$256,0),MATCH("New York Shoulder Hour Curve Mon-Fri",'NY Curve'!$A$4:$L$4,0)),IF(Tables!$E$30="Michigan",INDEX('Michigan Curve'!$A$4:$K$256,MATCH('Monthly Table'!B15,'Michigan Curve'!$A$4:$A$256,0),MATCH("Michigan Shoulder Hour Curve Mon-Fri",'Michigan Curve'!$A$4:$K$4,0))))</f>
        <v>27.0196874476969</v>
      </c>
      <c r="AR15" s="889" t="n">
        <f aca="false">AQ15*K15</f>
        <v>38.8689917970576</v>
      </c>
      <c r="AS15" s="893" t="n">
        <f aca="false">IF(AR15&gt;($CP15+$BF$4),1,0)</f>
        <v>0</v>
      </c>
      <c r="AT15" s="188"/>
      <c r="AU15" s="892" t="n">
        <f aca="false">IF(Tables!$E$30="New York",INDEX('NY Curve'!$A$4:$L$256,MATCH('Monthly Table'!$B15,'NY Curve'!$A$4:$A$256,0),MATCH("New York Saturday Super Peak",'NY Curve'!$A$4:$L$4,0)),IF(Tables!$E$30="Michigan",INDEX('Michigan Curve'!$A$4:$K$256,MATCH('Monthly Table'!$B15,'Michigan Curve'!$A$4:$A$256,0),MATCH("Michigan Saturday Super Peak",'Michigan Curve'!$A$4:$K$4,0))))</f>
        <v>22.6012500375509</v>
      </c>
      <c r="AV15" s="894" t="n">
        <f aca="false">AU15*K15</f>
        <v>32.5128780269327</v>
      </c>
      <c r="AW15" s="893" t="n">
        <f aca="false">IF(AV15&gt;($CP15+$BF$4),1,0)</f>
        <v>0</v>
      </c>
      <c r="AX15" s="892" t="n">
        <f aca="false">IF(Tables!$E$30="New York",INDEX('NY Curve'!$A$4:$L$256,MATCH('Monthly Table'!$B15,'NY Curve'!$A$4:$A$256,0),MATCH("New York Saturday Shoulder Peak",'NY Curve'!$A$4:$L$4,0)),IF(Tables!$E$30="Michigan",INDEX('Michigan Curve'!$A$4:$K$256,MATCH('Monthly Table'!$B15,'Michigan Curve'!$A$4:$A$256,0),MATCH("Michigan Saturday Shoulder Peak",'Michigan Curve'!$A$4:$K$4,0))))</f>
        <v>19.3987499624491</v>
      </c>
      <c r="AY15" s="895" t="n">
        <f aca="false">AX15*K15</f>
        <v>27.9059428286567</v>
      </c>
      <c r="AZ15" s="893" t="n">
        <f aca="false">IF(AY15&gt;($CP15+$BF$4),1,0)</f>
        <v>0</v>
      </c>
      <c r="BA15" s="188"/>
      <c r="BB15" s="892" t="n">
        <f aca="false">IF(Tables!$E$30="New York",INDEX('NY Curve'!$A$4:$M$256,MATCH('Monthly Table'!$B15,'NY Curve'!$A$4:$A$256,0),MATCH("NY Sunday Super Peak",'NY Curve'!$A$4:$M$4,0)),IF(Tables!$E$30="Michigan",INDEX('Michigan Curve'!$A$4:$L$256,MATCH('Monthly Table'!$B15,'Michigan Curve'!$A$4:$A$256,0),MATCH("Michigan Sunday Super Peak",'Michigan Curve'!$A$4:$L$4,0))))</f>
        <v>21.5303803825468</v>
      </c>
      <c r="BC15" s="894" t="n">
        <f aca="false">BB15*K15</f>
        <v>30.9723856020426</v>
      </c>
      <c r="BD15" s="893" t="n">
        <f aca="false">IF(BC15&gt;($CP15+$BF$4),1,0)</f>
        <v>0</v>
      </c>
      <c r="BE15" s="188"/>
      <c r="BF15" s="896" t="n">
        <f aca="false">B15</f>
        <v>37012</v>
      </c>
      <c r="BG15" s="897" t="n">
        <f aca="false">IF($AN15=1,$E15*$BF$5,0)</f>
        <v>0</v>
      </c>
      <c r="BH15" s="897" t="n">
        <f aca="false">BG15</f>
        <v>0</v>
      </c>
      <c r="BI15" s="714" t="n">
        <f aca="false">IF($AN15=1,$E15*$BF$5,0)</f>
        <v>0</v>
      </c>
      <c r="BJ15" s="898" t="n">
        <f aca="false">IF('Monthly Table'!D15&lt;=Tables!$B$21,IF($BJ$10=$BG$10,BG15,IF($BJ$10=$BH$10,BH15,IF($BJ$10=$BI$10,BI15,0))),0)</f>
        <v>0</v>
      </c>
      <c r="BK15" s="288"/>
      <c r="BL15" s="898" t="n">
        <f aca="false">IF($AW15=1,$F15*$BF$5,0)</f>
        <v>0</v>
      </c>
      <c r="BM15" s="898" t="n">
        <f aca="false">IF($BD15=1,($G15+H15)*$BF$5,0)</f>
        <v>0</v>
      </c>
      <c r="BO15" s="898" t="n">
        <f aca="false">IF(AS15=1,BJ15,0)</f>
        <v>0</v>
      </c>
      <c r="BP15" s="898" t="n">
        <f aca="false">IF(AZ15=1,F15*$BF$5,0)</f>
        <v>0</v>
      </c>
      <c r="BR15" s="899" t="n">
        <f aca="false">IF(BJ15&gt;0,INDEX(OperationalDetail,MATCH("Capacity Degradation",ODColumn,0),MATCH('Monthly Table'!C15,ODRow,0)),0)</f>
        <v>0</v>
      </c>
      <c r="BS15" s="900" t="n">
        <f aca="false">BJ15*(1-BR15)*Tables!$C$10</f>
        <v>0</v>
      </c>
      <c r="BT15" s="883" t="n">
        <f aca="false">BS15*AL15/1000</f>
        <v>0</v>
      </c>
      <c r="BU15" s="883" t="n">
        <f aca="false">BT15*K15</f>
        <v>0</v>
      </c>
      <c r="BV15" s="188"/>
      <c r="BW15" s="901" t="n">
        <f aca="false">$BO15*(1-$BR15)*Tables!$C$36</f>
        <v>0</v>
      </c>
      <c r="BX15" s="902" t="n">
        <f aca="false">(BW15*AQ15)/1000</f>
        <v>0</v>
      </c>
      <c r="BY15" s="883" t="n">
        <f aca="false">BX15*K15</f>
        <v>0</v>
      </c>
      <c r="BZ15" s="188"/>
      <c r="CA15" s="901" t="n">
        <f aca="false">$BL15*(1-$BR15)*Tables!$C$36</f>
        <v>0</v>
      </c>
      <c r="CB15" s="902" t="n">
        <f aca="false">(CA15*AU15)/1000</f>
        <v>0</v>
      </c>
      <c r="CC15" s="883" t="n">
        <f aca="false">CB15*K15</f>
        <v>0</v>
      </c>
      <c r="CD15" s="901" t="n">
        <f aca="false">$BP15*(1-$BR15)*Tables!$C$36</f>
        <v>0</v>
      </c>
      <c r="CE15" s="902" t="n">
        <f aca="false">(CD15*AX15)/1000</f>
        <v>0</v>
      </c>
      <c r="CF15" s="883" t="n">
        <f aca="false">CE15*K15</f>
        <v>0</v>
      </c>
      <c r="CH15" s="901" t="n">
        <f aca="false">$BM15*(1-$BR15)*Tables!$C$36</f>
        <v>0</v>
      </c>
      <c r="CI15" s="902" t="n">
        <f aca="false">(CH15*BB15)/1000</f>
        <v>0</v>
      </c>
      <c r="CJ15" s="883" t="n">
        <f aca="false">CI15*K15</f>
        <v>0</v>
      </c>
      <c r="CK15" s="292"/>
      <c r="CL15" s="292" t="n">
        <f aca="false">C15-1</f>
        <v>2000</v>
      </c>
      <c r="CM15" s="903" t="n">
        <f aca="false">INDEX(OperationalDetail,MATCH("Degraded Heat Rate",ODColumn,0),MATCH('Monthly Table'!CL15,ODRow,0))/1000</f>
        <v>12.03475</v>
      </c>
      <c r="CN15" s="904" t="n">
        <f aca="false">S15*CM15</f>
        <v>53.1010170882868</v>
      </c>
      <c r="CO15" s="905" t="n">
        <f aca="false">IF(A15="January",(CO14*(1+Assumptions!$E$32)),CO14)</f>
        <v>6.735625</v>
      </c>
      <c r="CP15" s="906" t="n">
        <f aca="false">CN15+CO15</f>
        <v>59.8366420882868</v>
      </c>
      <c r="CQ15" s="292"/>
      <c r="CR15" s="856" t="str">
        <f aca="false">IF(BJ15=0,"",C15)</f>
        <v/>
      </c>
      <c r="CS15" s="856" t="str">
        <f aca="false">IF(BO15=0,"",$C15)</f>
        <v/>
      </c>
      <c r="CT15" s="856" t="str">
        <f aca="false">IF(BL15=0,"",$C15)</f>
        <v/>
      </c>
      <c r="CU15" s="856" t="str">
        <f aca="false">IF(BP15=0,"",$C15)</f>
        <v/>
      </c>
      <c r="CV15" s="856" t="str">
        <f aca="false">IF(BD15=0,"",$C15)</f>
        <v/>
      </c>
      <c r="CW15" s="907" t="n">
        <f aca="false">YEAR(BF15)</f>
        <v>2001</v>
      </c>
      <c r="CX15" s="908" t="n">
        <f aca="false">INDEX('NY Curve'!$A$4:$G$256,MATCH('Monthly Table'!B15,'NY Curve'!$A$4:$A$256,0),MATCH("New York 5 X 16",'NY Curve'!$A$4:$G$4,0))</f>
        <v>30.5</v>
      </c>
      <c r="CY15" s="909" t="n">
        <f aca="false">K15</f>
        <v>1.43854335370451</v>
      </c>
      <c r="CZ15" s="910" t="n">
        <f aca="false">CX15*CY15</f>
        <v>43.8755722879876</v>
      </c>
      <c r="DB15" s="911"/>
      <c r="DC15" s="911"/>
      <c r="DD15" s="95"/>
      <c r="DE15" s="912"/>
      <c r="DF15" s="913"/>
      <c r="DG15" s="292"/>
      <c r="DH15" s="292"/>
    </row>
    <row r="16" customFormat="false" ht="18.75" hidden="false" customHeight="true" outlineLevel="0" collapsed="false">
      <c r="A16" s="49" t="s">
        <v>815</v>
      </c>
      <c r="B16" s="863" t="n">
        <v>37043</v>
      </c>
      <c r="C16" s="288" t="n">
        <f aca="false">YEAR(B16)</f>
        <v>2001</v>
      </c>
      <c r="D16" s="864" t="n">
        <v>1</v>
      </c>
      <c r="E16" s="865" t="n">
        <v>21</v>
      </c>
      <c r="F16" s="866" t="n">
        <v>5</v>
      </c>
      <c r="G16" s="866" t="n">
        <v>4</v>
      </c>
      <c r="H16" s="866" t="n">
        <v>0</v>
      </c>
      <c r="I16" s="867" t="n">
        <f aca="false">SUM(E16:H16)</f>
        <v>30</v>
      </c>
      <c r="J16" s="868"/>
      <c r="K16" s="869" t="n">
        <f aca="false">INDEX(FX!$A$3:$C$362,MATCH(B16,FX!$A$3:$A$362,0),MATCH("Monthly Curve",FX!$A$2:$C$2,0))</f>
        <v>1.43743235552266</v>
      </c>
      <c r="L16" s="869"/>
      <c r="M16" s="914" t="n">
        <v>2.681</v>
      </c>
      <c r="N16" s="915" t="n">
        <v>0.15</v>
      </c>
      <c r="O16" s="714" t="n">
        <v>0.02</v>
      </c>
      <c r="P16" s="872" t="n">
        <f aca="false">N16+O16</f>
        <v>0.17</v>
      </c>
      <c r="Q16" s="873" t="n">
        <f aca="false">SUM(M16:O16)</f>
        <v>2.851</v>
      </c>
      <c r="R16" s="874" t="n">
        <f aca="false">Assumptions!$B$34</f>
        <v>0.312458892307692</v>
      </c>
      <c r="S16" s="875" t="n">
        <f aca="false">(Q16*K16)+R16</f>
        <v>4.4105785379028</v>
      </c>
      <c r="T16" s="869"/>
      <c r="U16" s="917"/>
      <c r="V16" s="876" t="n">
        <f aca="false">Assumptions!$B$42</f>
        <v>0</v>
      </c>
      <c r="W16" s="876" t="n">
        <v>14</v>
      </c>
      <c r="X16" s="877" t="n">
        <v>24</v>
      </c>
      <c r="Y16" s="878" t="n">
        <f aca="false">Assumptions!$B$7</f>
        <v>312</v>
      </c>
      <c r="Z16" s="879" t="n">
        <f aca="false">IF($Z$10=$V$10,V16,IF($Z$10=$W$10,W16,IF($Z$10=$X$10,X16,0)))</f>
        <v>0</v>
      </c>
      <c r="AA16" s="880" t="n">
        <f aca="false">Y16*Z16</f>
        <v>0</v>
      </c>
      <c r="AB16" s="881" t="n">
        <f aca="false">AA16*K16</f>
        <v>0</v>
      </c>
      <c r="AC16" s="188"/>
      <c r="AD16" s="882" t="n">
        <f aca="false">IF(Tables!$E$30="Michigan",INDEX('Michigan Curve'!$A$4:$S$256,MATCH('Monthly Table'!B16,'Michigan Curve'!$A$4:$A$256,0),MATCH("Michigan Selected Option Value US$/month",'Michigan Curve'!$A$4:$S$4,0)),INDEX('NY Curve'!$A$4:$T$256,MATCH('Monthly Table'!B16,'NY Curve'!$A$4:$A$256,0),MATCH("New York Selected Option Value US$/month",'NY Curve'!$A$4:$T$4,0)))</f>
        <v>647465.347372316</v>
      </c>
      <c r="AE16" s="883" t="n">
        <f aca="false">AD16*K16</f>
        <v>930687.639392685</v>
      </c>
      <c r="AF16" s="188"/>
      <c r="AG16" s="884"/>
      <c r="AI16" s="885" t="n">
        <f aca="false">Assumptions!$B$50</f>
        <v>65</v>
      </c>
      <c r="AJ16" s="916"/>
      <c r="AK16" s="887" t="n">
        <f aca="false">IF(Tables!$E$30="Custom",'Monthly Table'!AI16,IF(Tables!$E$30="New York",INDEX('NY Curve'!$A$4:$G$256,MATCH('Monthly Table'!B16,'NY Curve'!$A$4:$A$256,0),MATCH("Super Peak Curve",'NY Curve'!$A$4:$G$4,0)),IF(Tables!$E$30="New York Flat",INDEX('NY Curve'!$A$4:$G$256,MATCH('Monthly Table'!B16,'NY Curve'!$A$4:$A$256,0),MATCH("Flat NY West",'NY Curve'!$A$4:$G$4,0)),INDEX('Michigan Curve'!$A$4:$F$256,MATCH('Monthly Table'!B16,'Michigan Curve'!$A$4:$A$256,0),MATCH("Michigan Super Peak Curve US$/MWhr",'Michigan Curve'!$A$4:$F$4,0)))))</f>
        <v>96.081281099177</v>
      </c>
      <c r="AL16" s="888" t="n">
        <f aca="false">IF(D16&lt;=Tables!$B$21,IF($AL$10=$AI$10,AI16,IF($AL$10=$AJ$10,AJ16,IF($AL$10=$AK$10,AK16,0))),0)</f>
        <v>96.081281099177</v>
      </c>
      <c r="AM16" s="889" t="n">
        <f aca="false">+AL16*K16</f>
        <v>138.110342212025</v>
      </c>
      <c r="AN16" s="890" t="n">
        <f aca="false">IF((AL16*K16)&gt;(CP16+$BF$4),1,0)</f>
        <v>1</v>
      </c>
      <c r="AO16" s="891"/>
      <c r="AP16" s="894"/>
      <c r="AQ16" s="892" t="n">
        <f aca="false">IF(Tables!$E$30="New York",INDEX('NY Curve'!$A$4:$L$256,MATCH('Monthly Table'!B16,'NY Curve'!$A$4:$A$256,0),MATCH("New York Shoulder Hour Curve Mon-Fri",'NY Curve'!$A$4:$L$4,0)),IF(Tables!$E$30="Michigan",INDEX('Michigan Curve'!$A$4:$K$256,MATCH('Monthly Table'!B16,'Michigan Curve'!$A$4:$A$256,0),MATCH("Michigan Shoulder Hour Curve Mon-Fri",'Michigan Curve'!$A$4:$K$4,0))))</f>
        <v>24.418718900823</v>
      </c>
      <c r="AR16" s="889" t="n">
        <f aca="false">AQ16*K16</f>
        <v>35.1002566284557</v>
      </c>
      <c r="AS16" s="893" t="n">
        <f aca="false">IF(AR16&gt;($CP16+$BF$4),1,0)</f>
        <v>0</v>
      </c>
      <c r="AT16" s="188"/>
      <c r="AU16" s="892" t="n">
        <f aca="false">IF(Tables!$E$30="New York",INDEX('NY Curve'!$A$4:$L$256,MATCH('Monthly Table'!$B16,'NY Curve'!$A$4:$A$256,0),MATCH("New York Saturday Super Peak",'NY Curve'!$A$4:$L$4,0)),IF(Tables!$E$30="Michigan",INDEX('Michigan Curve'!$A$4:$K$256,MATCH('Monthly Table'!$B16,'Michigan Curve'!$A$4:$A$256,0),MATCH("Michigan Saturday Super Peak",'Michigan Curve'!$A$4:$K$4,0))))</f>
        <v>41.4624615531718</v>
      </c>
      <c r="AV16" s="894" t="n">
        <f aca="false">AU16*K16</f>
        <v>59.5994837761435</v>
      </c>
      <c r="AW16" s="893" t="n">
        <f aca="false">IF(AV16&gt;($CP16+$BF$4),1,0)</f>
        <v>0</v>
      </c>
      <c r="AX16" s="892" t="n">
        <f aca="false">IF(Tables!$E$30="New York",INDEX('NY Curve'!$A$4:$L$256,MATCH('Monthly Table'!$B16,'NY Curve'!$A$4:$A$256,0),MATCH("New York Saturday Shoulder Peak",'NY Curve'!$A$4:$L$4,0)),IF(Tables!$E$30="Michigan",INDEX('Michigan Curve'!$A$4:$K$256,MATCH('Monthly Table'!$B16,'Michigan Curve'!$A$4:$A$256,0),MATCH("Michigan Saturday Shoulder Peak",'Michigan Curve'!$A$4:$K$4,0))))</f>
        <v>10.5375384468282</v>
      </c>
      <c r="AY16" s="895" t="n">
        <f aca="false">AX16*K16</f>
        <v>15.1469987110348</v>
      </c>
      <c r="AZ16" s="893" t="n">
        <f aca="false">IF(AY16&gt;($CP16+$BF$4),1,0)</f>
        <v>0</v>
      </c>
      <c r="BA16" s="188"/>
      <c r="BB16" s="892" t="n">
        <f aca="false">IF(Tables!$E$30="New York",INDEX('NY Curve'!$A$4:$M$256,MATCH('Monthly Table'!$B16,'NY Curve'!$A$4:$A$256,0),MATCH("NY Sunday Super Peak",'NY Curve'!$A$4:$M$4,0)),IF(Tables!$E$30="Michigan",INDEX('Michigan Curve'!$A$4:$L$256,MATCH('Monthly Table'!$B16,'Michigan Curve'!$A$4:$A$256,0),MATCH("Michigan Sunday Super Peak",'Michigan Curve'!$A$4:$L$4,0))))</f>
        <v>38.2730414336971</v>
      </c>
      <c r="BC16" s="894" t="n">
        <f aca="false">BB16*K16</f>
        <v>55.0149081010555</v>
      </c>
      <c r="BD16" s="893" t="n">
        <f aca="false">IF(BC16&gt;($CP16+$BF$4),1,0)</f>
        <v>0</v>
      </c>
      <c r="BE16" s="188"/>
      <c r="BF16" s="896" t="n">
        <f aca="false">B16</f>
        <v>37043</v>
      </c>
      <c r="BG16" s="897" t="n">
        <f aca="false">IF($AN16=1,$E16*$BF$5,0)</f>
        <v>168</v>
      </c>
      <c r="BH16" s="897" t="n">
        <f aca="false">BG16</f>
        <v>168</v>
      </c>
      <c r="BI16" s="714" t="n">
        <f aca="false">IF($AN16=1,$E16*$BF$5,0)</f>
        <v>168</v>
      </c>
      <c r="BJ16" s="898" t="n">
        <f aca="false">IF('Monthly Table'!D16&lt;=Tables!$B$21,IF($BJ$10=$BG$10,BG16,IF($BJ$10=$BH$10,BH16,IF($BJ$10=$BI$10,BI16,0))),0)</f>
        <v>168</v>
      </c>
      <c r="BK16" s="288"/>
      <c r="BL16" s="898" t="n">
        <f aca="false">IF($AW16=1,$F16*$BF$5,0)</f>
        <v>0</v>
      </c>
      <c r="BM16" s="898" t="n">
        <f aca="false">IF($BD16=1,($G16+H16)*$BF$5,0)</f>
        <v>0</v>
      </c>
      <c r="BO16" s="898" t="n">
        <f aca="false">IF(AS16=1,BJ16,0)</f>
        <v>0</v>
      </c>
      <c r="BP16" s="898" t="n">
        <f aca="false">IF(AZ16=1,F16*$BF$5,0)</f>
        <v>0</v>
      </c>
      <c r="BR16" s="899" t="n">
        <f aca="false">IF(BJ16&gt;0,INDEX(OperationalDetail,MATCH("Capacity Degradation",ODColumn,0),MATCH('Monthly Table'!C16,ODRow,0)),0)</f>
        <v>0.00883</v>
      </c>
      <c r="BS16" s="900" t="n">
        <f aca="false">BJ16*(1-BR16)*Tables!$C$10</f>
        <v>53951.36544</v>
      </c>
      <c r="BT16" s="883" t="n">
        <f aca="false">BS16*AL16/1000</f>
        <v>5183.71630852506</v>
      </c>
      <c r="BU16" s="883" t="n">
        <f aca="false">BT16*K16</f>
        <v>7451.24154372441</v>
      </c>
      <c r="BV16" s="188"/>
      <c r="BW16" s="901" t="n">
        <f aca="false">$BO16*(1-$BR16)*Tables!$C$36</f>
        <v>0</v>
      </c>
      <c r="BX16" s="902" t="n">
        <f aca="false">(BW16*AQ16)/1000</f>
        <v>0</v>
      </c>
      <c r="BY16" s="883" t="n">
        <f aca="false">BX16*K16</f>
        <v>0</v>
      </c>
      <c r="BZ16" s="188"/>
      <c r="CA16" s="901" t="n">
        <f aca="false">$BL16*(1-$BR16)*Tables!$C$36</f>
        <v>0</v>
      </c>
      <c r="CB16" s="902" t="n">
        <f aca="false">(CA16*AU16)/1000</f>
        <v>0</v>
      </c>
      <c r="CC16" s="883" t="n">
        <f aca="false">CB16*K16</f>
        <v>0</v>
      </c>
      <c r="CD16" s="901" t="n">
        <f aca="false">$BP16*(1-$BR16)*Tables!$C$36</f>
        <v>0</v>
      </c>
      <c r="CE16" s="902" t="n">
        <f aca="false">(CD16*AX16)/1000</f>
        <v>0</v>
      </c>
      <c r="CF16" s="883" t="n">
        <f aca="false">CE16*K16</f>
        <v>0</v>
      </c>
      <c r="CH16" s="901" t="n">
        <f aca="false">$BM16*(1-$BR16)*Tables!$C$36</f>
        <v>0</v>
      </c>
      <c r="CI16" s="902" t="n">
        <f aca="false">(CH16*BB16)/1000</f>
        <v>0</v>
      </c>
      <c r="CJ16" s="883" t="n">
        <f aca="false">CI16*K16</f>
        <v>0</v>
      </c>
      <c r="CK16" s="292"/>
      <c r="CL16" s="292" t="n">
        <f aca="false">C16-1</f>
        <v>2000</v>
      </c>
      <c r="CM16" s="903" t="n">
        <f aca="false">INDEX(OperationalDetail,MATCH("Degraded Heat Rate",ODColumn,0),MATCH('Monthly Table'!CL16,ODRow,0))/1000</f>
        <v>12.03475</v>
      </c>
      <c r="CN16" s="904" t="n">
        <f aca="false">S16*CM16</f>
        <v>53.0802100590257</v>
      </c>
      <c r="CO16" s="905" t="n">
        <f aca="false">IF(A16="January",(CO15*(1+Assumptions!$E$32)),CO15)</f>
        <v>6.735625</v>
      </c>
      <c r="CP16" s="906" t="n">
        <f aca="false">CN16+CO16</f>
        <v>59.8158350590257</v>
      </c>
      <c r="CQ16" s="292"/>
      <c r="CR16" s="856" t="n">
        <f aca="false">IF(BJ16=0,"",C16)</f>
        <v>2001</v>
      </c>
      <c r="CS16" s="856" t="str">
        <f aca="false">IF(BO16=0,"",$C16)</f>
        <v/>
      </c>
      <c r="CT16" s="856" t="str">
        <f aca="false">IF(BL16=0,"",$C16)</f>
        <v/>
      </c>
      <c r="CU16" s="856" t="str">
        <f aca="false">IF(BP16=0,"",$C16)</f>
        <v/>
      </c>
      <c r="CV16" s="856" t="str">
        <f aca="false">IF(BD16=0,"",$C16)</f>
        <v/>
      </c>
      <c r="CW16" s="907" t="n">
        <f aca="false">YEAR(BF16)</f>
        <v>2001</v>
      </c>
      <c r="CX16" s="908" t="n">
        <f aca="false">INDEX('NY Curve'!$A$4:$G$256,MATCH('Monthly Table'!B16,'NY Curve'!$A$4:$A$256,0),MATCH("New York 5 X 16",'NY Curve'!$A$4:$G$4,0))</f>
        <v>50</v>
      </c>
      <c r="CY16" s="909" t="n">
        <f aca="false">K16</f>
        <v>1.43743235552266</v>
      </c>
      <c r="CZ16" s="910" t="n">
        <f aca="false">CX16*CY16</f>
        <v>71.871617776133</v>
      </c>
      <c r="DB16" s="911"/>
      <c r="DC16" s="911"/>
      <c r="DD16" s="95"/>
      <c r="DE16" s="912"/>
      <c r="DF16" s="913"/>
      <c r="DG16" s="292"/>
      <c r="DH16" s="292"/>
    </row>
    <row r="17" customFormat="false" ht="18.75" hidden="false" customHeight="true" outlineLevel="0" collapsed="false">
      <c r="A17" s="49" t="s">
        <v>816</v>
      </c>
      <c r="B17" s="863" t="n">
        <v>37073</v>
      </c>
      <c r="C17" s="288" t="n">
        <f aca="false">YEAR(B17)</f>
        <v>2001</v>
      </c>
      <c r="D17" s="864" t="n">
        <f aca="false">IF(A17="January",D16+1,D16)</f>
        <v>1</v>
      </c>
      <c r="E17" s="865" t="n">
        <v>21</v>
      </c>
      <c r="F17" s="866" t="n">
        <v>4</v>
      </c>
      <c r="G17" s="866" t="n">
        <v>5</v>
      </c>
      <c r="H17" s="866" t="n">
        <v>1</v>
      </c>
      <c r="I17" s="867" t="n">
        <f aca="false">SUM(E17:H17)</f>
        <v>31</v>
      </c>
      <c r="J17" s="868"/>
      <c r="K17" s="869" t="n">
        <f aca="false">INDEX(FX!$A$3:$C$362,MATCH(B17,FX!$A$3:$A$362,0),MATCH("Monthly Curve",FX!$A$2:$C$2,0))</f>
        <v>1.43639367790867</v>
      </c>
      <c r="L17" s="869"/>
      <c r="M17" s="914" t="n">
        <v>2.696</v>
      </c>
      <c r="N17" s="915" t="n">
        <v>0.15</v>
      </c>
      <c r="O17" s="714" t="n">
        <v>0.02</v>
      </c>
      <c r="P17" s="872" t="n">
        <f aca="false">N17+O17</f>
        <v>0.17</v>
      </c>
      <c r="Q17" s="873" t="n">
        <f aca="false">SUM(M17:O17)</f>
        <v>2.866</v>
      </c>
      <c r="R17" s="874" t="n">
        <f aca="false">Assumptions!$B$34</f>
        <v>0.312458892307692</v>
      </c>
      <c r="S17" s="875" t="n">
        <f aca="false">(Q17*K17)+R17</f>
        <v>4.42916317319394</v>
      </c>
      <c r="T17" s="869"/>
      <c r="V17" s="876" t="n">
        <f aca="false">Assumptions!$B$42</f>
        <v>0</v>
      </c>
      <c r="W17" s="876" t="n">
        <v>14</v>
      </c>
      <c r="X17" s="877" t="n">
        <v>24</v>
      </c>
      <c r="Y17" s="878" t="n">
        <f aca="false">Assumptions!$B$7</f>
        <v>312</v>
      </c>
      <c r="Z17" s="879" t="n">
        <f aca="false">IF($Z$10=$V$10,V17,IF($Z$10=$W$10,W17,IF($Z$10=$X$10,X17,0)))</f>
        <v>0</v>
      </c>
      <c r="AA17" s="880" t="n">
        <f aca="false">Y17*Z17</f>
        <v>0</v>
      </c>
      <c r="AB17" s="881" t="n">
        <f aca="false">AA17*K17</f>
        <v>0</v>
      </c>
      <c r="AC17" s="188"/>
      <c r="AD17" s="882" t="n">
        <f aca="false">IF(Tables!$E$30="Michigan",INDEX('Michigan Curve'!$A$4:$S$256,MATCH('Monthly Table'!B17,'Michigan Curve'!$A$4:$A$256,0),MATCH("Michigan Selected Option Value US$/month",'Michigan Curve'!$A$4:$S$4,0)),INDEX('NY Curve'!$A$4:$T$256,MATCH('Monthly Table'!B17,'NY Curve'!$A$4:$A$256,0),MATCH("New York Selected Option Value US$/month",'NY Curve'!$A$4:$T$4,0)))</f>
        <v>1053441.02327405</v>
      </c>
      <c r="AE17" s="883" t="n">
        <f aca="false">AD17*K17</f>
        <v>1513156.02588049</v>
      </c>
      <c r="AF17" s="188"/>
      <c r="AG17" s="884"/>
      <c r="AH17" s="188"/>
      <c r="AI17" s="885" t="n">
        <f aca="false">Assumptions!$B$50</f>
        <v>65</v>
      </c>
      <c r="AJ17" s="916"/>
      <c r="AK17" s="887" t="n">
        <f aca="false">IF(Tables!$E$30="Custom",'Monthly Table'!AI17,IF(Tables!$E$30="New York",INDEX('NY Curve'!$A$4:$G$256,MATCH('Monthly Table'!B17,'NY Curve'!$A$4:$A$256,0),MATCH("Super Peak Curve",'NY Curve'!$A$4:$G$4,0)),IF(Tables!$E$30="New York Flat",INDEX('NY Curve'!$A$4:$G$256,MATCH('Monthly Table'!B17,'NY Curve'!$A$4:$A$256,0),MATCH("Flat NY West",'NY Curve'!$A$4:$G$4,0)),INDEX('Michigan Curve'!$A$4:$F$256,MATCH('Monthly Table'!B17,'Michigan Curve'!$A$4:$A$256,0),MATCH("Michigan Super Peak Curve US$/MWhr",'Michigan Curve'!$A$4:$F$4,0)))))</f>
        <v>207.928050864621</v>
      </c>
      <c r="AL17" s="888" t="n">
        <f aca="false">IF(D17&lt;=Tables!$B$21,IF($AL$10=$AI$10,AI17,IF($AL$10=$AJ$10,AJ17,IF($AL$10=$AK$10,AK17,0))),0)</f>
        <v>207.928050864621</v>
      </c>
      <c r="AM17" s="889" t="n">
        <f aca="false">+AL17*K17</f>
        <v>298.666537721813</v>
      </c>
      <c r="AN17" s="890" t="n">
        <f aca="false">IF((AL17*K17)&gt;(CP17+$BF$4),1,0)</f>
        <v>1</v>
      </c>
      <c r="AO17" s="891"/>
      <c r="AP17" s="894"/>
      <c r="AQ17" s="892" t="n">
        <f aca="false">IF(Tables!$E$30="New York",INDEX('NY Curve'!$A$4:$L$256,MATCH('Monthly Table'!B17,'NY Curve'!$A$4:$A$256,0),MATCH("New York Shoulder Hour Curve Mon-Fri",'NY Curve'!$A$4:$L$4,0)),IF(Tables!$E$30="Michigan",INDEX('Michigan Curve'!$A$4:$K$256,MATCH('Monthly Table'!B17,'Michigan Curve'!$A$4:$A$256,0),MATCH("Michigan Shoulder Hour Curve Mon-Fri",'Michigan Curve'!$A$4:$K$4,0))))</f>
        <v>32.0719491353795</v>
      </c>
      <c r="AR17" s="889" t="n">
        <f aca="false">AQ17*K17</f>
        <v>46.0679449762675</v>
      </c>
      <c r="AS17" s="893" t="n">
        <f aca="false">IF(AR17&gt;($CP17+$BF$4),1,0)</f>
        <v>0</v>
      </c>
      <c r="AT17" s="188"/>
      <c r="AU17" s="892" t="n">
        <f aca="false">IF(Tables!$E$30="New York",INDEX('NY Curve'!$A$4:$L$256,MATCH('Monthly Table'!$B17,'NY Curve'!$A$4:$A$256,0),MATCH("New York Saturday Super Peak",'NY Curve'!$A$4:$L$4,0)),IF(Tables!$E$30="Michigan",INDEX('Michigan Curve'!$A$4:$K$256,MATCH('Monthly Table'!$B17,'Michigan Curve'!$A$4:$A$256,0),MATCH("Michigan Saturday Super Peak",'Michigan Curve'!$A$4:$K$4,0))))</f>
        <v>60.645681502181</v>
      </c>
      <c r="AV17" s="894" t="n">
        <f aca="false">AU17*K17</f>
        <v>87.1110735021955</v>
      </c>
      <c r="AW17" s="893" t="n">
        <f aca="false">IF(AV17&gt;($CP17+$BF$4),1,0)</f>
        <v>1</v>
      </c>
      <c r="AX17" s="892" t="n">
        <f aca="false">IF(Tables!$E$30="New York",INDEX('NY Curve'!$A$4:$L$256,MATCH('Monthly Table'!$B17,'NY Curve'!$A$4:$A$256,0),MATCH("New York Saturday Shoulder Peak",'NY Curve'!$A$4:$L$4,0)),IF(Tables!$E$30="Michigan",INDEX('Michigan Curve'!$A$4:$K$256,MATCH('Monthly Table'!$B17,'Michigan Curve'!$A$4:$A$256,0),MATCH("Michigan Saturday Shoulder Peak",'Michigan Curve'!$A$4:$K$4,0))))</f>
        <v>9.35431849781902</v>
      </c>
      <c r="AY17" s="895" t="n">
        <f aca="false">AX17*K17</f>
        <v>13.4364839514114</v>
      </c>
      <c r="AZ17" s="893" t="n">
        <f aca="false">IF(AY17&gt;($CP17+$BF$4),1,0)</f>
        <v>0</v>
      </c>
      <c r="BA17" s="188"/>
      <c r="BB17" s="892" t="n">
        <f aca="false">IF(Tables!$E$30="New York",INDEX('NY Curve'!$A$4:$M$256,MATCH('Monthly Table'!$B17,'NY Curve'!$A$4:$A$256,0),MATCH("NY Sunday Super Peak",'NY Curve'!$A$4:$M$4,0)),IF(Tables!$E$30="Michigan",INDEX('Michigan Curve'!$A$4:$L$256,MATCH('Monthly Table'!$B17,'Michigan Curve'!$A$4:$A$256,0),MATCH("Michigan Sunday Super Peak",'Michigan Curve'!$A$4:$L$4,0))))</f>
        <v>53.7147431684329</v>
      </c>
      <c r="BC17" s="894" t="n">
        <f aca="false">BB17*K17</f>
        <v>77.155517497625</v>
      </c>
      <c r="BD17" s="893" t="n">
        <f aca="false">IF(BC17&gt;($CP17+$BF$4),1,0)</f>
        <v>1</v>
      </c>
      <c r="BE17" s="188"/>
      <c r="BF17" s="896" t="n">
        <f aca="false">B17</f>
        <v>37073</v>
      </c>
      <c r="BG17" s="897" t="n">
        <f aca="false">IF($AN17=1,$E17*$BF$5,0)</f>
        <v>168</v>
      </c>
      <c r="BH17" s="897" t="n">
        <f aca="false">BG17</f>
        <v>168</v>
      </c>
      <c r="BI17" s="714" t="n">
        <f aca="false">IF($AN17=1,$E17*$BF$5,0)</f>
        <v>168</v>
      </c>
      <c r="BJ17" s="898" t="n">
        <f aca="false">IF('Monthly Table'!D17&lt;=Tables!$B$21,IF($BJ$10=$BG$10,BG17,IF($BJ$10=$BH$10,BH17,IF($BJ$10=$BI$10,BI17,0))),0)</f>
        <v>168</v>
      </c>
      <c r="BK17" s="288"/>
      <c r="BL17" s="898" t="n">
        <f aca="false">IF($AW17=1,$F17*$BF$5,0)</f>
        <v>32</v>
      </c>
      <c r="BM17" s="898" t="n">
        <f aca="false">IF($BD17=1,($G17+H17)*$BF$5,0)</f>
        <v>48</v>
      </c>
      <c r="BO17" s="898" t="n">
        <f aca="false">IF(AS17=1,BJ17,0)</f>
        <v>0</v>
      </c>
      <c r="BP17" s="898" t="n">
        <f aca="false">IF(AZ17=1,F17*$BF$5,0)</f>
        <v>0</v>
      </c>
      <c r="BR17" s="899" t="n">
        <f aca="false">IF(BJ17&gt;0,INDEX(OperationalDetail,MATCH("Capacity Degradation",ODColumn,0),MATCH('Monthly Table'!C17,ODRow,0)),0)</f>
        <v>0.00883</v>
      </c>
      <c r="BS17" s="900" t="n">
        <f aca="false">BJ17*(1-BR17)*Tables!$C$10</f>
        <v>53951.36544</v>
      </c>
      <c r="BT17" s="883" t="n">
        <f aca="false">BS17*AL17/1000</f>
        <v>11218.002257424</v>
      </c>
      <c r="BU17" s="883" t="n">
        <f aca="false">BT17*K17</f>
        <v>16113.4675213291</v>
      </c>
      <c r="BV17" s="188"/>
      <c r="BW17" s="901" t="n">
        <f aca="false">$BO17*(1-$BR17)*Tables!$C$36</f>
        <v>0</v>
      </c>
      <c r="BX17" s="902" t="n">
        <f aca="false">(BW17*AQ17)/1000</f>
        <v>0</v>
      </c>
      <c r="BY17" s="883" t="n">
        <f aca="false">BX17*K17</f>
        <v>0</v>
      </c>
      <c r="BZ17" s="188"/>
      <c r="CA17" s="901" t="n">
        <f aca="false">$BL17*(1-$BR17)*Tables!$C$36</f>
        <v>10276.45056</v>
      </c>
      <c r="CB17" s="902" t="n">
        <f aca="false">(CA17*AU17)/1000</f>
        <v>623.222347634669</v>
      </c>
      <c r="CC17" s="883" t="n">
        <f aca="false">CB17*K17</f>
        <v>895.192640073838</v>
      </c>
      <c r="CD17" s="901" t="n">
        <f aca="false">$BP17*(1-$BR17)*Tables!$C$36</f>
        <v>0</v>
      </c>
      <c r="CE17" s="902" t="n">
        <f aca="false">(CD17*AX17)/1000</f>
        <v>0</v>
      </c>
      <c r="CF17" s="883" t="n">
        <f aca="false">CE17*K17</f>
        <v>0</v>
      </c>
      <c r="CH17" s="901" t="n">
        <f aca="false">$BM17*(1-$BR17)*Tables!$C$36</f>
        <v>15414.67584</v>
      </c>
      <c r="CI17" s="902" t="n">
        <f aca="false">(CH17*BB17)/1000</f>
        <v>827.995353770248</v>
      </c>
      <c r="CJ17" s="883" t="n">
        <f aca="false">CI17*K17</f>
        <v>1189.32729149334</v>
      </c>
      <c r="CK17" s="292"/>
      <c r="CL17" s="292" t="n">
        <f aca="false">C17-1</f>
        <v>2000</v>
      </c>
      <c r="CM17" s="903" t="n">
        <f aca="false">INDEX(OperationalDetail,MATCH("Degraded Heat Rate",ODColumn,0),MATCH('Monthly Table'!CL17,ODRow,0))/1000</f>
        <v>12.03475</v>
      </c>
      <c r="CN17" s="904" t="n">
        <f aca="false">S17*CM17</f>
        <v>53.3038714985958</v>
      </c>
      <c r="CO17" s="905" t="n">
        <f aca="false">IF(A17="January",(CO16*(1+Assumptions!$E$32)),CO16)</f>
        <v>6.735625</v>
      </c>
      <c r="CP17" s="906" t="n">
        <f aca="false">CN17+CO17</f>
        <v>60.0394964985958</v>
      </c>
      <c r="CQ17" s="292"/>
      <c r="CR17" s="856" t="n">
        <f aca="false">IF(BJ17=0,"",C17)</f>
        <v>2001</v>
      </c>
      <c r="CS17" s="856" t="str">
        <f aca="false">IF(BO17=0,"",$C17)</f>
        <v/>
      </c>
      <c r="CT17" s="856" t="n">
        <f aca="false">IF(BL17=0,"",$C17)</f>
        <v>2001</v>
      </c>
      <c r="CU17" s="856" t="str">
        <f aca="false">IF(BP17=0,"",$C17)</f>
        <v/>
      </c>
      <c r="CV17" s="856" t="n">
        <f aca="false">IF(BD17=0,"",$C17)</f>
        <v>2001</v>
      </c>
      <c r="CW17" s="907" t="n">
        <f aca="false">YEAR(BF17)</f>
        <v>2001</v>
      </c>
      <c r="CX17" s="908" t="n">
        <f aca="false">INDEX('NY Curve'!$A$4:$G$256,MATCH('Monthly Table'!B17,'NY Curve'!$A$4:$A$256,0),MATCH("New York 5 X 16",'NY Curve'!$A$4:$G$4,0))</f>
        <v>76.5</v>
      </c>
      <c r="CY17" s="909" t="n">
        <f aca="false">K17</f>
        <v>1.43639367790867</v>
      </c>
      <c r="CZ17" s="910" t="n">
        <f aca="false">CX17*CY17</f>
        <v>109.884116360013</v>
      </c>
      <c r="DB17" s="911"/>
      <c r="DC17" s="911"/>
      <c r="DD17" s="95"/>
      <c r="DE17" s="912"/>
      <c r="DF17" s="913"/>
      <c r="DG17" s="292"/>
      <c r="DH17" s="292"/>
    </row>
    <row r="18" customFormat="false" ht="18.75" hidden="false" customHeight="true" outlineLevel="0" collapsed="false">
      <c r="A18" s="49" t="s">
        <v>817</v>
      </c>
      <c r="B18" s="863" t="n">
        <v>37104</v>
      </c>
      <c r="C18" s="288" t="n">
        <f aca="false">YEAR(B18)</f>
        <v>2001</v>
      </c>
      <c r="D18" s="864" t="n">
        <f aca="false">IF(A18="January",D17+1,D17)</f>
        <v>1</v>
      </c>
      <c r="E18" s="865" t="n">
        <v>23</v>
      </c>
      <c r="F18" s="866" t="n">
        <v>4</v>
      </c>
      <c r="G18" s="866" t="n">
        <v>4</v>
      </c>
      <c r="H18" s="866" t="n">
        <v>0</v>
      </c>
      <c r="I18" s="867" t="n">
        <f aca="false">SUM(E18:H18)</f>
        <v>31</v>
      </c>
      <c r="J18" s="868"/>
      <c r="K18" s="869" t="n">
        <f aca="false">INDEX(FX!$A$3:$C$362,MATCH(B18,FX!$A$3:$A$362,0),MATCH("Monthly Curve",FX!$A$2:$C$2,0))</f>
        <v>1.43539608888184</v>
      </c>
      <c r="L18" s="869"/>
      <c r="M18" s="914" t="n">
        <v>2.705</v>
      </c>
      <c r="N18" s="915" t="n">
        <v>0.15</v>
      </c>
      <c r="O18" s="714" t="n">
        <v>0.02</v>
      </c>
      <c r="P18" s="872" t="n">
        <f aca="false">N18+O18</f>
        <v>0.17</v>
      </c>
      <c r="Q18" s="873" t="n">
        <f aca="false">SUM(M18:O18)</f>
        <v>2.875</v>
      </c>
      <c r="R18" s="874" t="n">
        <f aca="false">Assumptions!$B$34</f>
        <v>0.312458892307692</v>
      </c>
      <c r="S18" s="875" t="n">
        <f aca="false">(Q18*K18)+R18</f>
        <v>4.43922264784298</v>
      </c>
      <c r="T18" s="869"/>
      <c r="V18" s="876" t="n">
        <f aca="false">Assumptions!$B$42</f>
        <v>0</v>
      </c>
      <c r="W18" s="876" t="n">
        <v>14</v>
      </c>
      <c r="X18" s="877" t="n">
        <v>24</v>
      </c>
      <c r="Y18" s="878" t="n">
        <f aca="false">Assumptions!$B$7</f>
        <v>312</v>
      </c>
      <c r="Z18" s="879" t="n">
        <f aca="false">IF($Z$10=$V$10,V18,IF($Z$10=$W$10,W18,IF($Z$10=$X$10,X18,0)))</f>
        <v>0</v>
      </c>
      <c r="AA18" s="880" t="n">
        <f aca="false">Y18*Z18</f>
        <v>0</v>
      </c>
      <c r="AB18" s="881" t="n">
        <f aca="false">AA18*K18</f>
        <v>0</v>
      </c>
      <c r="AC18" s="188"/>
      <c r="AD18" s="882" t="n">
        <f aca="false">IF(Tables!$E$30="Michigan",INDEX('Michigan Curve'!$A$4:$S$256,MATCH('Monthly Table'!B18,'Michigan Curve'!$A$4:$A$256,0),MATCH("Michigan Selected Option Value US$/month",'Michigan Curve'!$A$4:$S$4,0)),INDEX('NY Curve'!$A$4:$T$256,MATCH('Monthly Table'!B18,'NY Curve'!$A$4:$A$256,0),MATCH("New York Selected Option Value US$/month",'NY Curve'!$A$4:$T$4,0)))</f>
        <v>1041772.95533125</v>
      </c>
      <c r="AE18" s="883" t="n">
        <f aca="false">AD18*K18</f>
        <v>1495356.82558536</v>
      </c>
      <c r="AF18" s="188"/>
      <c r="AG18" s="884"/>
      <c r="AH18" s="188"/>
      <c r="AI18" s="885" t="n">
        <f aca="false">Assumptions!$B$50</f>
        <v>65</v>
      </c>
      <c r="AJ18" s="916"/>
      <c r="AK18" s="887" t="n">
        <f aca="false">IF(Tables!$E$30="Custom",'Monthly Table'!AI18,IF(Tables!$E$30="New York",INDEX('NY Curve'!$A$4:$G$256,MATCH('Monthly Table'!B18,'NY Curve'!$A$4:$A$256,0),MATCH("Super Peak Curve",'NY Curve'!$A$4:$G$4,0)),IF(Tables!$E$30="New York Flat",INDEX('NY Curve'!$A$4:$G$256,MATCH('Monthly Table'!B18,'NY Curve'!$A$4:$A$256,0),MATCH("Flat NY West",'NY Curve'!$A$4:$G$4,0)),INDEX('Michigan Curve'!$A$4:$F$256,MATCH('Monthly Table'!B18,'Michigan Curve'!$A$4:$A$256,0),MATCH("Michigan Super Peak Curve US$/MWhr",'Michigan Curve'!$A$4:$F$4,0)))))</f>
        <v>207.928050864621</v>
      </c>
      <c r="AL18" s="888" t="n">
        <f aca="false">IF(D18&lt;=Tables!$B$21,IF($AL$10=$AI$10,AI18,IF($AL$10=$AJ$10,AJ18,IF($AL$10=$AK$10,AK18,0))),0)</f>
        <v>207.928050864621</v>
      </c>
      <c r="AM18" s="889" t="n">
        <f aca="false">+AL18*K18</f>
        <v>298.459110979901</v>
      </c>
      <c r="AN18" s="890" t="n">
        <f aca="false">IF((AL18*K18)&gt;(CP18+$BF$4),1,0)</f>
        <v>1</v>
      </c>
      <c r="AO18" s="891"/>
      <c r="AP18" s="894"/>
      <c r="AQ18" s="892" t="n">
        <f aca="false">IF(Tables!$E$30="New York",INDEX('NY Curve'!$A$4:$L$256,MATCH('Monthly Table'!B18,'NY Curve'!$A$4:$A$256,0),MATCH("New York Shoulder Hour Curve Mon-Fri",'NY Curve'!$A$4:$L$4,0)),IF(Tables!$E$30="Michigan",INDEX('Michigan Curve'!$A$4:$K$256,MATCH('Monthly Table'!B18,'Michigan Curve'!$A$4:$A$256,0),MATCH("Michigan Shoulder Hour Curve Mon-Fri",'Michigan Curve'!$A$4:$K$4,0))))</f>
        <v>32.0719491353795</v>
      </c>
      <c r="AR18" s="889" t="n">
        <f aca="false">AQ18*K18</f>
        <v>46.035950351741</v>
      </c>
      <c r="AS18" s="893" t="n">
        <f aca="false">IF(AR18&gt;($CP18+$BF$4),1,0)</f>
        <v>0</v>
      </c>
      <c r="AT18" s="188"/>
      <c r="AU18" s="892" t="n">
        <f aca="false">IF(Tables!$E$30="New York",INDEX('NY Curve'!$A$4:$L$256,MATCH('Monthly Table'!$B18,'NY Curve'!$A$4:$A$256,0),MATCH("New York Saturday Super Peak",'NY Curve'!$A$4:$L$4,0)),IF(Tables!$E$30="Michigan",INDEX('Michigan Curve'!$A$4:$K$256,MATCH('Monthly Table'!$B18,'Michigan Curve'!$A$4:$A$256,0),MATCH("Michigan Saturday Super Peak",'Michigan Curve'!$A$4:$K$4,0))))</f>
        <v>60.6456881120357</v>
      </c>
      <c r="AV18" s="894" t="n">
        <f aca="false">AU18*K18</f>
        <v>87.050583523564</v>
      </c>
      <c r="AW18" s="893" t="n">
        <f aca="false">IF(AV18&gt;($CP18+$BF$4),1,0)</f>
        <v>1</v>
      </c>
      <c r="AX18" s="892" t="n">
        <f aca="false">IF(Tables!$E$30="New York",INDEX('NY Curve'!$A$4:$L$256,MATCH('Monthly Table'!$B18,'NY Curve'!$A$4:$A$256,0),MATCH("New York Saturday Shoulder Peak",'NY Curve'!$A$4:$L$4,0)),IF(Tables!$E$30="Michigan",INDEX('Michigan Curve'!$A$4:$K$256,MATCH('Monthly Table'!$B18,'Michigan Curve'!$A$4:$A$256,0),MATCH("Michigan Saturday Shoulder Peak",'Michigan Curve'!$A$4:$K$4,0))))</f>
        <v>9.35431951735882</v>
      </c>
      <c r="AY18" s="895" t="n">
        <f aca="false">AX18*K18</f>
        <v>13.4271536493679</v>
      </c>
      <c r="AZ18" s="893" t="n">
        <f aca="false">IF(AY18&gt;($CP18+$BF$4),1,0)</f>
        <v>0</v>
      </c>
      <c r="BA18" s="188"/>
      <c r="BB18" s="892" t="n">
        <f aca="false">IF(Tables!$E$30="New York",INDEX('NY Curve'!$A$4:$M$256,MATCH('Monthly Table'!$B18,'NY Curve'!$A$4:$A$256,0),MATCH("NY Sunday Super Peak",'NY Curve'!$A$4:$M$4,0)),IF(Tables!$E$30="Michigan",INDEX('Michigan Curve'!$A$4:$L$256,MATCH('Monthly Table'!$B18,'Michigan Curve'!$A$4:$A$256,0),MATCH("Michigan Sunday Super Peak",'Michigan Curve'!$A$4:$L$4,0))))</f>
        <v>53.7147464733603</v>
      </c>
      <c r="BC18" s="894" t="n">
        <f aca="false">BB18*K18</f>
        <v>77.101937003141</v>
      </c>
      <c r="BD18" s="893" t="n">
        <f aca="false">IF(BC18&gt;($CP18+$BF$4),1,0)</f>
        <v>1</v>
      </c>
      <c r="BE18" s="188"/>
      <c r="BF18" s="896" t="n">
        <f aca="false">B18</f>
        <v>37104</v>
      </c>
      <c r="BG18" s="897" t="n">
        <f aca="false">IF($AN18=1,$E18*$BF$5,0)</f>
        <v>184</v>
      </c>
      <c r="BH18" s="897" t="n">
        <f aca="false">BG18</f>
        <v>184</v>
      </c>
      <c r="BI18" s="714" t="n">
        <f aca="false">IF($AN18=1,$E18*$BF$5,0)</f>
        <v>184</v>
      </c>
      <c r="BJ18" s="898" t="n">
        <f aca="false">IF('Monthly Table'!D18&lt;=Tables!$B$21,IF($BJ$10=$BG$10,BG18,IF($BJ$10=$BH$10,BH18,IF($BJ$10=$BI$10,BI18,0))),0)</f>
        <v>184</v>
      </c>
      <c r="BK18" s="288"/>
      <c r="BL18" s="898" t="n">
        <f aca="false">IF($AW18=1,$F18*$BF$5,0)</f>
        <v>32</v>
      </c>
      <c r="BM18" s="898" t="n">
        <f aca="false">IF($BD18=1,($G18+H18)*$BF$5,0)</f>
        <v>32</v>
      </c>
      <c r="BO18" s="898" t="n">
        <f aca="false">IF(AS18=1,BJ18,0)</f>
        <v>0</v>
      </c>
      <c r="BP18" s="898" t="n">
        <f aca="false">IF(AZ18=1,F18*$BF$5,0)</f>
        <v>0</v>
      </c>
      <c r="BR18" s="899" t="n">
        <f aca="false">IF(BJ18&gt;0,INDEX(OperationalDetail,MATCH("Capacity Degradation",ODColumn,0),MATCH('Monthly Table'!C18,ODRow,0)),0)</f>
        <v>0.00883</v>
      </c>
      <c r="BS18" s="900" t="n">
        <f aca="false">BJ18*(1-BR18)*Tables!$C$10</f>
        <v>59089.59072</v>
      </c>
      <c r="BT18" s="883" t="n">
        <f aca="false">BS18*AL18/1000</f>
        <v>12286.3834247978</v>
      </c>
      <c r="BU18" s="883" t="n">
        <f aca="false">BT18*K18</f>
        <v>17635.8267144574</v>
      </c>
      <c r="BV18" s="188"/>
      <c r="BW18" s="901" t="n">
        <f aca="false">$BO18*(1-$BR18)*Tables!$C$36</f>
        <v>0</v>
      </c>
      <c r="BX18" s="902" t="n">
        <f aca="false">(BW18*AQ18)/1000</f>
        <v>0</v>
      </c>
      <c r="BY18" s="883" t="n">
        <f aca="false">BX18*K18</f>
        <v>0</v>
      </c>
      <c r="BZ18" s="188"/>
      <c r="CA18" s="901" t="n">
        <f aca="false">$BL18*(1-$BR18)*Tables!$C$36</f>
        <v>10276.45056</v>
      </c>
      <c r="CB18" s="902" t="n">
        <f aca="false">(CA18*AU18)/1000</f>
        <v>623.222415560515</v>
      </c>
      <c r="CC18" s="883" t="n">
        <f aca="false">CB18*K18</f>
        <v>894.571017799056</v>
      </c>
      <c r="CD18" s="901" t="n">
        <f aca="false">$BP18*(1-$BR18)*Tables!$C$36</f>
        <v>0</v>
      </c>
      <c r="CE18" s="902" t="n">
        <f aca="false">(CD18*AX18)/1000</f>
        <v>0</v>
      </c>
      <c r="CF18" s="883" t="n">
        <f aca="false">CE18*K18</f>
        <v>0</v>
      </c>
      <c r="CH18" s="901" t="n">
        <f aca="false">$BM18*(1-$BR18)*Tables!$C$36</f>
        <v>10276.45056</v>
      </c>
      <c r="CI18" s="902" t="n">
        <f aca="false">(CH18*BB18)/1000</f>
        <v>551.996936476421</v>
      </c>
      <c r="CJ18" s="883" t="n">
        <f aca="false">CI18*K18</f>
        <v>792.334243693013</v>
      </c>
      <c r="CK18" s="292"/>
      <c r="CL18" s="292" t="n">
        <f aca="false">C18-1</f>
        <v>2000</v>
      </c>
      <c r="CM18" s="903" t="n">
        <f aca="false">INDEX(OperationalDetail,MATCH("Degraded Heat Rate",ODColumn,0),MATCH('Monthly Table'!CL18,ODRow,0))/1000</f>
        <v>12.03475</v>
      </c>
      <c r="CN18" s="904" t="n">
        <f aca="false">S18*CM18</f>
        <v>53.4249347611283</v>
      </c>
      <c r="CO18" s="905" t="n">
        <f aca="false">IF(A18="January",(CO17*(1+Assumptions!$E$32)),CO17)</f>
        <v>6.735625</v>
      </c>
      <c r="CP18" s="906" t="n">
        <f aca="false">CN18+CO18</f>
        <v>60.1605597611283</v>
      </c>
      <c r="CQ18" s="292"/>
      <c r="CR18" s="856" t="n">
        <f aca="false">IF(BJ18=0,"",C18)</f>
        <v>2001</v>
      </c>
      <c r="CS18" s="856" t="str">
        <f aca="false">IF(BO18=0,"",$C18)</f>
        <v/>
      </c>
      <c r="CT18" s="856" t="n">
        <f aca="false">IF(BL18=0,"",$C18)</f>
        <v>2001</v>
      </c>
      <c r="CU18" s="856" t="str">
        <f aca="false">IF(BP18=0,"",$C18)</f>
        <v/>
      </c>
      <c r="CV18" s="856" t="n">
        <f aca="false">IF(BD18=0,"",$C18)</f>
        <v>2001</v>
      </c>
      <c r="CW18" s="907" t="n">
        <f aca="false">YEAR(BF18)</f>
        <v>2001</v>
      </c>
      <c r="CX18" s="908" t="n">
        <f aca="false">INDEX('NY Curve'!$A$4:$G$256,MATCH('Monthly Table'!B18,'NY Curve'!$A$4:$A$256,0),MATCH("New York 5 X 16",'NY Curve'!$A$4:$G$4,0))</f>
        <v>69</v>
      </c>
      <c r="CY18" s="909" t="n">
        <f aca="false">K18</f>
        <v>1.43539608888184</v>
      </c>
      <c r="CZ18" s="910" t="n">
        <f aca="false">CX18*CY18</f>
        <v>99.042330132847</v>
      </c>
      <c r="DB18" s="911"/>
      <c r="DC18" s="911"/>
      <c r="DD18" s="95"/>
      <c r="DE18" s="912"/>
      <c r="DF18" s="913"/>
      <c r="DG18" s="292"/>
      <c r="DH18" s="292"/>
    </row>
    <row r="19" customFormat="false" ht="18.75" hidden="false" customHeight="true" outlineLevel="0" collapsed="false">
      <c r="A19" s="49" t="s">
        <v>818</v>
      </c>
      <c r="B19" s="863" t="n">
        <v>37135</v>
      </c>
      <c r="C19" s="288" t="n">
        <f aca="false">YEAR(B19)</f>
        <v>2001</v>
      </c>
      <c r="D19" s="864" t="n">
        <f aca="false">IF(A19="January",D18+1,D18)</f>
        <v>1</v>
      </c>
      <c r="E19" s="865" t="n">
        <v>19</v>
      </c>
      <c r="F19" s="866" t="n">
        <v>5</v>
      </c>
      <c r="G19" s="866" t="n">
        <v>5</v>
      </c>
      <c r="H19" s="866" t="n">
        <v>1</v>
      </c>
      <c r="I19" s="867" t="n">
        <f aca="false">SUM(E19:H19)</f>
        <v>30</v>
      </c>
      <c r="J19" s="868"/>
      <c r="K19" s="869" t="n">
        <f aca="false">INDEX(FX!$A$3:$C$362,MATCH(B19,FX!$A$3:$A$362,0),MATCH("Monthly Curve",FX!$A$2:$C$2,0))</f>
        <v>1.43441258785536</v>
      </c>
      <c r="L19" s="869"/>
      <c r="M19" s="914" t="n">
        <v>2.71</v>
      </c>
      <c r="N19" s="915" t="n">
        <v>0.15</v>
      </c>
      <c r="O19" s="714" t="n">
        <v>0.02</v>
      </c>
      <c r="P19" s="872" t="n">
        <f aca="false">N19+O19</f>
        <v>0.17</v>
      </c>
      <c r="Q19" s="873" t="n">
        <f aca="false">SUM(M19:O19)</f>
        <v>2.88</v>
      </c>
      <c r="R19" s="874" t="n">
        <f aca="false">Assumptions!$B$34</f>
        <v>0.312458892307692</v>
      </c>
      <c r="S19" s="875" t="n">
        <f aca="false">(Q19*K19)+R19</f>
        <v>4.44356714533113</v>
      </c>
      <c r="T19" s="869"/>
      <c r="V19" s="876" t="n">
        <f aca="false">Assumptions!$B$42</f>
        <v>0</v>
      </c>
      <c r="W19" s="876" t="n">
        <v>14</v>
      </c>
      <c r="X19" s="877" t="n">
        <v>2</v>
      </c>
      <c r="Y19" s="878" t="n">
        <f aca="false">Assumptions!$B$7</f>
        <v>312</v>
      </c>
      <c r="Z19" s="879" t="n">
        <f aca="false">IF($Z$10=$V$10,V19,IF($Z$10=$W$10,W19,IF($Z$10=$X$10,X19,0)))</f>
        <v>0</v>
      </c>
      <c r="AA19" s="880" t="n">
        <f aca="false">Y19*Z19</f>
        <v>0</v>
      </c>
      <c r="AB19" s="881" t="n">
        <f aca="false">AA19*K19</f>
        <v>0</v>
      </c>
      <c r="AC19" s="188"/>
      <c r="AD19" s="882" t="n">
        <f aca="false">IF(Tables!$E$30="Michigan",INDEX('Michigan Curve'!$A$4:$S$256,MATCH('Monthly Table'!B19,'Michigan Curve'!$A$4:$A$256,0),MATCH("Michigan Selected Option Value US$/month",'Michigan Curve'!$A$4:$S$4,0)),INDEX('NY Curve'!$A$4:$T$256,MATCH('Monthly Table'!B19,'NY Curve'!$A$4:$A$256,0),MATCH("New York Selected Option Value US$/month",'NY Curve'!$A$4:$T$4,0)))</f>
        <v>360911.780146392</v>
      </c>
      <c r="AE19" s="883" t="n">
        <f aca="false">AD19*K19</f>
        <v>517696.400547271</v>
      </c>
      <c r="AF19" s="188"/>
      <c r="AG19" s="884"/>
      <c r="AH19" s="188"/>
      <c r="AI19" s="885" t="n">
        <f aca="false">Assumptions!$B$50</f>
        <v>65</v>
      </c>
      <c r="AJ19" s="916"/>
      <c r="AK19" s="887" t="n">
        <f aca="false">IF(Tables!$E$30="Custom",'Monthly Table'!AI19,IF(Tables!$E$30="New York",INDEX('NY Curve'!$A$4:$G$256,MATCH('Monthly Table'!B19,'NY Curve'!$A$4:$A$256,0),MATCH("Super Peak Curve",'NY Curve'!$A$4:$G$4,0)),IF(Tables!$E$30="New York Flat",INDEX('NY Curve'!$A$4:$G$256,MATCH('Monthly Table'!B19,'NY Curve'!$A$4:$A$256,0),MATCH("Flat NY West",'NY Curve'!$A$4:$G$4,0)),INDEX('Michigan Curve'!$A$4:$F$256,MATCH('Monthly Table'!B19,'Michigan Curve'!$A$4:$A$256,0),MATCH("Michigan Super Peak Curve US$/MWhr",'Michigan Curve'!$A$4:$F$4,0)))))</f>
        <v>41.8887497782707</v>
      </c>
      <c r="AL19" s="888" t="n">
        <f aca="false">IF(D19&lt;=Tables!$B$21,IF($AL$10=$AI$10,AI19,IF($AL$10=$AJ$10,AJ19,IF($AL$10=$AK$10,AK19,0))),0)</f>
        <v>41.8887497782707</v>
      </c>
      <c r="AM19" s="889" t="n">
        <f aca="false">+AL19*K19</f>
        <v>60.0857499714749</v>
      </c>
      <c r="AN19" s="890" t="n">
        <f aca="false">IF((AL19*K19)&gt;(CP19+$BF$4),1,0)</f>
        <v>0</v>
      </c>
      <c r="AO19" s="891"/>
      <c r="AP19" s="894"/>
      <c r="AQ19" s="892" t="n">
        <f aca="false">IF(Tables!$E$30="New York",INDEX('NY Curve'!$A$4:$L$256,MATCH('Monthly Table'!B19,'NY Curve'!$A$4:$A$256,0),MATCH("New York Shoulder Hour Curve Mon-Fri",'NY Curve'!$A$4:$L$4,0)),IF(Tables!$E$30="Michigan",INDEX('Michigan Curve'!$A$4:$K$256,MATCH('Monthly Table'!B19,'Michigan Curve'!$A$4:$A$256,0),MATCH("Michigan Shoulder Hour Curve Mon-Fri",'Michigan Curve'!$A$4:$K$4,0))))</f>
        <v>20.1112502217293</v>
      </c>
      <c r="AR19" s="889" t="n">
        <f aca="false">AQ19*K19</f>
        <v>28.8478304755574</v>
      </c>
      <c r="AS19" s="893" t="n">
        <f aca="false">IF(AR19&gt;($CP19+$BF$4),1,0)</f>
        <v>0</v>
      </c>
      <c r="AT19" s="188"/>
      <c r="AU19" s="892" t="n">
        <f aca="false">IF(Tables!$E$30="New York",INDEX('NY Curve'!$A$4:$L$256,MATCH('Monthly Table'!$B19,'NY Curve'!$A$4:$A$256,0),MATCH("New York Saturday Super Peak",'NY Curve'!$A$4:$L$4,0)),IF(Tables!$E$30="Michigan",INDEX('Michigan Curve'!$A$4:$K$256,MATCH('Monthly Table'!$B19,'Michigan Curve'!$A$4:$A$256,0),MATCH("Michigan Saturday Super Peak",'Michigan Curve'!$A$4:$K$4,0))))</f>
        <v>33.7812498211861</v>
      </c>
      <c r="AV19" s="894" t="n">
        <f aca="false">AU19*K19</f>
        <v>48.4562499769959</v>
      </c>
      <c r="AW19" s="893" t="n">
        <f aca="false">IF(AV19&gt;($CP19+$BF$4),1,0)</f>
        <v>0</v>
      </c>
      <c r="AX19" s="892" t="n">
        <f aca="false">IF(Tables!$E$30="New York",INDEX('NY Curve'!$A$4:$L$256,MATCH('Monthly Table'!$B19,'NY Curve'!$A$4:$A$256,0),MATCH("New York Saturday Shoulder Peak",'NY Curve'!$A$4:$L$4,0)),IF(Tables!$E$30="Michigan",INDEX('Michigan Curve'!$A$4:$K$256,MATCH('Monthly Table'!$B19,'Michigan Curve'!$A$4:$A$256,0),MATCH("Michigan Saturday Shoulder Peak",'Michigan Curve'!$A$4:$K$4,0))))</f>
        <v>16.2187501788139</v>
      </c>
      <c r="AY19" s="895" t="n">
        <f aca="false">AX19*K19</f>
        <v>23.2643794157721</v>
      </c>
      <c r="AZ19" s="893" t="n">
        <f aca="false">IF(AY19&gt;($CP19+$BF$4),1,0)</f>
        <v>0</v>
      </c>
      <c r="BA19" s="188"/>
      <c r="BB19" s="892" t="n">
        <f aca="false">IF(Tables!$E$30="New York",INDEX('NY Curve'!$A$4:$M$256,MATCH('Monthly Table'!$B19,'NY Curve'!$A$4:$A$256,0),MATCH("NY Sunday Super Peak",'NY Curve'!$A$4:$M$4,0)),IF(Tables!$E$30="Michigan",INDEX('Michigan Curve'!$A$4:$L$256,MATCH('Monthly Table'!$B19,'Michigan Curve'!$A$4:$A$256,0),MATCH("Michigan Sunday Super Peak",'Michigan Curve'!$A$4:$L$4,0))))</f>
        <v>32.4299998283386</v>
      </c>
      <c r="BC19" s="894" t="n">
        <f aca="false">BB19*K19</f>
        <v>46.5179999779161</v>
      </c>
      <c r="BD19" s="893" t="n">
        <f aca="false">IF(BC19&gt;($CP19+$BF$4),1,0)</f>
        <v>0</v>
      </c>
      <c r="BE19" s="188"/>
      <c r="BF19" s="896" t="n">
        <f aca="false">B19</f>
        <v>37135</v>
      </c>
      <c r="BG19" s="897" t="n">
        <f aca="false">IF($AN19=1,$E19*$BF$5,0)</f>
        <v>0</v>
      </c>
      <c r="BH19" s="897" t="n">
        <f aca="false">BG19</f>
        <v>0</v>
      </c>
      <c r="BI19" s="714" t="n">
        <f aca="false">IF($AN19=1,$E19*$BF$5,0)</f>
        <v>0</v>
      </c>
      <c r="BJ19" s="898" t="n">
        <f aca="false">IF('Monthly Table'!D19&lt;=Tables!$B$21,IF($BJ$10=$BG$10,BG19,IF($BJ$10=$BH$10,BH19,IF($BJ$10=$BI$10,BI19,0))),0)</f>
        <v>0</v>
      </c>
      <c r="BK19" s="288"/>
      <c r="BL19" s="898" t="n">
        <f aca="false">IF($AW19=1,$F19*$BF$5,0)</f>
        <v>0</v>
      </c>
      <c r="BM19" s="898" t="n">
        <f aca="false">IF($BD19=1,($G19+H19)*$BF$5,0)</f>
        <v>0</v>
      </c>
      <c r="BO19" s="898" t="n">
        <f aca="false">IF(AS19=1,BJ19,0)</f>
        <v>0</v>
      </c>
      <c r="BP19" s="898" t="n">
        <f aca="false">IF(AZ19=1,F19*$BF$5,0)</f>
        <v>0</v>
      </c>
      <c r="BR19" s="899" t="n">
        <f aca="false">IF(BJ19&gt;0,INDEX(OperationalDetail,MATCH("Capacity Degradation",ODColumn,0),MATCH('Monthly Table'!C19,ODRow,0)),0)</f>
        <v>0</v>
      </c>
      <c r="BS19" s="900" t="n">
        <f aca="false">BJ19*(1-BR19)*Tables!$C$10</f>
        <v>0</v>
      </c>
      <c r="BT19" s="883" t="n">
        <f aca="false">BS19*AL19/1000</f>
        <v>0</v>
      </c>
      <c r="BU19" s="883" t="n">
        <f aca="false">BT19*K19</f>
        <v>0</v>
      </c>
      <c r="BV19" s="188"/>
      <c r="BW19" s="901" t="n">
        <f aca="false">$BO19*(1-$BR19)*Tables!$C$36</f>
        <v>0</v>
      </c>
      <c r="BX19" s="902" t="n">
        <f aca="false">(BW19*AQ19)/1000</f>
        <v>0</v>
      </c>
      <c r="BY19" s="883" t="n">
        <f aca="false">BX19*K19</f>
        <v>0</v>
      </c>
      <c r="BZ19" s="188"/>
      <c r="CA19" s="901" t="n">
        <f aca="false">$BL19*(1-$BR19)*Tables!$C$36</f>
        <v>0</v>
      </c>
      <c r="CB19" s="902" t="n">
        <f aca="false">(CA19*AU19)/1000</f>
        <v>0</v>
      </c>
      <c r="CC19" s="883" t="n">
        <f aca="false">CB19*K19</f>
        <v>0</v>
      </c>
      <c r="CD19" s="901" t="n">
        <f aca="false">$BP19*(1-$BR19)*Tables!$C$36</f>
        <v>0</v>
      </c>
      <c r="CE19" s="902" t="n">
        <f aca="false">(CD19*AX19)/1000</f>
        <v>0</v>
      </c>
      <c r="CF19" s="883" t="n">
        <f aca="false">CE19*K19</f>
        <v>0</v>
      </c>
      <c r="CH19" s="901" t="n">
        <f aca="false">$BM19*(1-$BR19)*Tables!$C$36</f>
        <v>0</v>
      </c>
      <c r="CI19" s="902" t="n">
        <f aca="false">(CH19*BB19)/1000</f>
        <v>0</v>
      </c>
      <c r="CJ19" s="883" t="n">
        <f aca="false">CI19*K19</f>
        <v>0</v>
      </c>
      <c r="CK19" s="292"/>
      <c r="CL19" s="292" t="n">
        <f aca="false">C19-1</f>
        <v>2000</v>
      </c>
      <c r="CM19" s="903" t="n">
        <f aca="false">INDEX(OperationalDetail,MATCH("Degraded Heat Rate",ODColumn,0),MATCH('Monthly Table'!CL19,ODRow,0))/1000</f>
        <v>12.03475</v>
      </c>
      <c r="CN19" s="904" t="n">
        <f aca="false">S19*CM19</f>
        <v>53.4772197022738</v>
      </c>
      <c r="CO19" s="905" t="n">
        <f aca="false">IF(A19="January",(CO18*(1+Assumptions!$E$32)),CO18)</f>
        <v>6.735625</v>
      </c>
      <c r="CP19" s="906" t="n">
        <f aca="false">CN19+CO19</f>
        <v>60.2128447022738</v>
      </c>
      <c r="CQ19" s="292"/>
      <c r="CR19" s="856" t="str">
        <f aca="false">IF(BJ19=0,"",C19)</f>
        <v/>
      </c>
      <c r="CS19" s="856" t="str">
        <f aca="false">IF(BO19=0,"",$C19)</f>
        <v/>
      </c>
      <c r="CT19" s="856" t="str">
        <f aca="false">IF(BL19=0,"",$C19)</f>
        <v/>
      </c>
      <c r="CU19" s="856" t="str">
        <f aca="false">IF(BP19=0,"",$C19)</f>
        <v/>
      </c>
      <c r="CV19" s="856" t="str">
        <f aca="false">IF(BD19=0,"",$C19)</f>
        <v/>
      </c>
      <c r="CW19" s="907" t="n">
        <f aca="false">YEAR(BF19)</f>
        <v>2001</v>
      </c>
      <c r="CX19" s="908" t="n">
        <f aca="false">INDEX('NY Curve'!$A$4:$G$256,MATCH('Monthly Table'!B19,'NY Curve'!$A$4:$A$256,0),MATCH("New York 5 X 16",'NY Curve'!$A$4:$G$4,0))</f>
        <v>30.5</v>
      </c>
      <c r="CY19" s="909" t="n">
        <f aca="false">K19</f>
        <v>1.43441258785536</v>
      </c>
      <c r="CZ19" s="910" t="n">
        <f aca="false">CX19*CY19</f>
        <v>43.7495839295885</v>
      </c>
      <c r="DB19" s="911"/>
      <c r="DC19" s="911"/>
      <c r="DD19" s="95"/>
      <c r="DE19" s="912"/>
      <c r="DF19" s="913"/>
      <c r="DG19" s="292"/>
      <c r="DH19" s="292"/>
    </row>
    <row r="20" customFormat="false" ht="18.75" hidden="false" customHeight="true" outlineLevel="0" collapsed="false">
      <c r="A20" s="49" t="s">
        <v>819</v>
      </c>
      <c r="B20" s="863" t="n">
        <v>37165</v>
      </c>
      <c r="C20" s="288" t="n">
        <f aca="false">YEAR(B20)</f>
        <v>2001</v>
      </c>
      <c r="D20" s="864" t="n">
        <f aca="false">IF(A20="January",D19+1,D19)</f>
        <v>1</v>
      </c>
      <c r="E20" s="865" t="n">
        <v>23</v>
      </c>
      <c r="F20" s="866" t="n">
        <v>4</v>
      </c>
      <c r="G20" s="866" t="n">
        <v>4</v>
      </c>
      <c r="H20" s="866" t="n">
        <v>0</v>
      </c>
      <c r="I20" s="867" t="n">
        <f aca="false">SUM(E20:H20)</f>
        <v>31</v>
      </c>
      <c r="J20" s="868"/>
      <c r="K20" s="869" t="n">
        <f aca="false">INDEX(FX!$A$3:$C$362,MATCH(B20,FX!$A$3:$A$362,0),MATCH("Monthly Curve",FX!$A$2:$C$2,0))</f>
        <v>1.43351132548441</v>
      </c>
      <c r="L20" s="869"/>
      <c r="M20" s="914" t="n">
        <v>2.733</v>
      </c>
      <c r="N20" s="915" t="n">
        <v>0.15</v>
      </c>
      <c r="O20" s="714" t="n">
        <v>0.02</v>
      </c>
      <c r="P20" s="872" t="n">
        <f aca="false">N20+O20</f>
        <v>0.17</v>
      </c>
      <c r="Q20" s="873" t="n">
        <f aca="false">SUM(M20:O20)</f>
        <v>2.903</v>
      </c>
      <c r="R20" s="874" t="n">
        <f aca="false">Assumptions!$B$34</f>
        <v>0.312458892307692</v>
      </c>
      <c r="S20" s="875" t="n">
        <f aca="false">(Q20*K20)+R20</f>
        <v>4.47394227018893</v>
      </c>
      <c r="T20" s="869"/>
      <c r="V20" s="876" t="n">
        <f aca="false">Assumptions!$B$42</f>
        <v>0</v>
      </c>
      <c r="W20" s="876" t="n">
        <v>6.5</v>
      </c>
      <c r="X20" s="877" t="n">
        <v>1</v>
      </c>
      <c r="Y20" s="878" t="n">
        <f aca="false">Assumptions!$B$7</f>
        <v>312</v>
      </c>
      <c r="Z20" s="879" t="n">
        <f aca="false">IF($Z$10=$V$10,V20,IF($Z$10=$W$10,W20,IF($Z$10=$X$10,X20,0)))</f>
        <v>0</v>
      </c>
      <c r="AA20" s="880" t="n">
        <f aca="false">Y20*Z20</f>
        <v>0</v>
      </c>
      <c r="AB20" s="881" t="n">
        <f aca="false">AA20*K20</f>
        <v>0</v>
      </c>
      <c r="AC20" s="188"/>
      <c r="AD20" s="882" t="n">
        <f aca="false">IF(Tables!$E$30="Michigan",INDEX('Michigan Curve'!$A$4:$S$256,MATCH('Monthly Table'!B20,'Michigan Curve'!$A$4:$A$256,0),MATCH("Michigan Selected Option Value US$/month",'Michigan Curve'!$A$4:$S$4,0)),INDEX('NY Curve'!$A$4:$T$256,MATCH('Monthly Table'!B20,'NY Curve'!$A$4:$A$256,0),MATCH("New York Selected Option Value US$/month",'NY Curve'!$A$4:$T$4,0)))</f>
        <v>9108.07299037002</v>
      </c>
      <c r="AE20" s="883" t="n">
        <f aca="false">AD20*K20</f>
        <v>13056.5257850341</v>
      </c>
      <c r="AF20" s="188"/>
      <c r="AG20" s="884"/>
      <c r="AH20" s="188"/>
      <c r="AI20" s="885" t="n">
        <f aca="false">Assumptions!$B$50</f>
        <v>65</v>
      </c>
      <c r="AJ20" s="916"/>
      <c r="AK20" s="887" t="n">
        <f aca="false">IF(Tables!$E$30="Custom",'Monthly Table'!AI20,IF(Tables!$E$30="New York",INDEX('NY Curve'!$A$4:$G$256,MATCH('Monthly Table'!B20,'NY Curve'!$A$4:$A$256,0),MATCH("Super Peak Curve",'NY Curve'!$A$4:$G$4,0)),IF(Tables!$E$30="New York Flat",INDEX('NY Curve'!$A$4:$G$256,MATCH('Monthly Table'!B20,'NY Curve'!$A$4:$A$256,0),MATCH("Flat NY West",'NY Curve'!$A$4:$G$4,0)),INDEX('Michigan Curve'!$A$4:$F$256,MATCH('Monthly Table'!B20,'Michigan Curve'!$A$4:$A$256,0),MATCH("Michigan Super Peak Curve US$/MWhr",'Michigan Curve'!$A$4:$F$4,0)))))</f>
        <v>24.0999946594238</v>
      </c>
      <c r="AL20" s="888" t="n">
        <f aca="false">IF(D20&lt;=Tables!$B$21,IF($AL$10=$AI$10,AI20,IF($AL$10=$AJ$10,AJ20,IF($AL$10=$AK$10,AK20,0))),0)</f>
        <v>24.0999946594238</v>
      </c>
      <c r="AM20" s="889" t="n">
        <f aca="false">+AL20*K20</f>
        <v>34.5476152883979</v>
      </c>
      <c r="AN20" s="890" t="n">
        <f aca="false">IF((AL20*K20)&gt;(CP20+$BF$4),1,0)</f>
        <v>0</v>
      </c>
      <c r="AO20" s="891"/>
      <c r="AP20" s="894"/>
      <c r="AQ20" s="892" t="n">
        <f aca="false">IF(Tables!$E$30="New York",INDEX('NY Curve'!$A$4:$L$256,MATCH('Monthly Table'!B20,'NY Curve'!$A$4:$A$256,0),MATCH("New York Shoulder Hour Curve Mon-Fri",'NY Curve'!$A$4:$L$4,0)),IF(Tables!$E$30="Michigan",INDEX('Michigan Curve'!$A$4:$K$256,MATCH('Monthly Table'!B20,'Michigan Curve'!$A$4:$A$256,0),MATCH("Michigan Shoulder Hour Curve Mon-Fri",'Michigan Curve'!$A$4:$K$4,0))))</f>
        <v>24.0999946594238</v>
      </c>
      <c r="AR20" s="889" t="n">
        <f aca="false">AQ20*K20</f>
        <v>34.5476152883979</v>
      </c>
      <c r="AS20" s="893" t="n">
        <f aca="false">IF(AR20&gt;($CP20+$BF$4),1,0)</f>
        <v>0</v>
      </c>
      <c r="AT20" s="188"/>
      <c r="AU20" s="892" t="n">
        <f aca="false">IF(Tables!$E$30="New York",INDEX('NY Curve'!$A$4:$L$256,MATCH('Monthly Table'!$B20,'NY Curve'!$A$4:$A$256,0),MATCH("New York Saturday Super Peak",'NY Curve'!$A$4:$L$4,0)),IF(Tables!$E$30="Michigan",INDEX('Michigan Curve'!$A$4:$K$256,MATCH('Monthly Table'!$B20,'Michigan Curve'!$A$4:$A$256,0),MATCH("Michigan Saturday Super Peak",'Michigan Curve'!$A$4:$K$4,0))))</f>
        <v>19.996000289917</v>
      </c>
      <c r="AV20" s="894" t="n">
        <f aca="false">AU20*K20</f>
        <v>28.6644928799856</v>
      </c>
      <c r="AW20" s="893" t="n">
        <f aca="false">IF(AV20&gt;($CP20+$BF$4),1,0)</f>
        <v>0</v>
      </c>
      <c r="AX20" s="892" t="n">
        <f aca="false">IF(Tables!$E$30="New York",INDEX('NY Curve'!$A$4:$L$256,MATCH('Monthly Table'!$B20,'NY Curve'!$A$4:$A$256,0),MATCH("New York Saturday Shoulder Peak",'NY Curve'!$A$4:$L$4,0)),IF(Tables!$E$30="Michigan",INDEX('Michigan Curve'!$A$4:$K$256,MATCH('Monthly Table'!$B20,'Michigan Curve'!$A$4:$A$256,0),MATCH("Michigan Saturday Shoulder Peak",'Michigan Curve'!$A$4:$K$4,0))))</f>
        <v>19.996000289917</v>
      </c>
      <c r="AY20" s="895" t="n">
        <f aca="false">AX20*K20</f>
        <v>28.6644928799856</v>
      </c>
      <c r="AZ20" s="893" t="n">
        <f aca="false">IF(AY20&gt;($CP20+$BF$4),1,0)</f>
        <v>0</v>
      </c>
      <c r="BA20" s="188"/>
      <c r="BB20" s="892" t="n">
        <f aca="false">IF(Tables!$E$30="New York",INDEX('NY Curve'!$A$4:$M$256,MATCH('Monthly Table'!$B20,'NY Curve'!$A$4:$A$256,0),MATCH("NY Sunday Super Peak",'NY Curve'!$A$4:$M$4,0)),IF(Tables!$E$30="Michigan",INDEX('Michigan Curve'!$A$4:$L$256,MATCH('Monthly Table'!$B20,'Michigan Curve'!$A$4:$A$256,0),MATCH("Michigan Sunday Super Peak",'Michigan Curve'!$A$4:$L$4,0))))</f>
        <v>18.9965000152588</v>
      </c>
      <c r="BC20" s="894" t="n">
        <f aca="false">BB20*K20</f>
        <v>27.2316979164382</v>
      </c>
      <c r="BD20" s="893" t="n">
        <f aca="false">IF(BC20&gt;($CP20+$BF$4),1,0)</f>
        <v>0</v>
      </c>
      <c r="BE20" s="188"/>
      <c r="BF20" s="896" t="n">
        <f aca="false">B20</f>
        <v>37165</v>
      </c>
      <c r="BG20" s="897" t="n">
        <f aca="false">IF($AN20=1,$E20*$BF$5,0)</f>
        <v>0</v>
      </c>
      <c r="BH20" s="897" t="n">
        <f aca="false">BG20</f>
        <v>0</v>
      </c>
      <c r="BI20" s="714" t="n">
        <f aca="false">IF($AN20=1,$E20*$BF$5,0)</f>
        <v>0</v>
      </c>
      <c r="BJ20" s="898" t="n">
        <f aca="false">IF('Monthly Table'!D20&lt;=Tables!$B$21,IF($BJ$10=$BG$10,BG20,IF($BJ$10=$BH$10,BH20,IF($BJ$10=$BI$10,BI20,0))),0)</f>
        <v>0</v>
      </c>
      <c r="BK20" s="288"/>
      <c r="BL20" s="898" t="n">
        <f aca="false">IF($AW20=1,$F20*$BF$5,0)</f>
        <v>0</v>
      </c>
      <c r="BM20" s="898" t="n">
        <f aca="false">IF($BD20=1,($G20+H20)*$BF$5,0)</f>
        <v>0</v>
      </c>
      <c r="BO20" s="898" t="n">
        <f aca="false">IF(AS20=1,BJ20,0)</f>
        <v>0</v>
      </c>
      <c r="BP20" s="898" t="n">
        <f aca="false">IF(AZ20=1,F20*$BF$5,0)</f>
        <v>0</v>
      </c>
      <c r="BR20" s="899" t="n">
        <f aca="false">IF(BJ20&gt;0,INDEX(OperationalDetail,MATCH("Capacity Degradation",ODColumn,0),MATCH('Monthly Table'!C20,ODRow,0)),0)</f>
        <v>0</v>
      </c>
      <c r="BS20" s="900" t="n">
        <f aca="false">BJ20*(1-BR20)*Tables!$C$10</f>
        <v>0</v>
      </c>
      <c r="BT20" s="883" t="n">
        <f aca="false">BS20*AL20/1000</f>
        <v>0</v>
      </c>
      <c r="BU20" s="883" t="n">
        <f aca="false">BT20*K20</f>
        <v>0</v>
      </c>
      <c r="BV20" s="188"/>
      <c r="BW20" s="901" t="n">
        <f aca="false">$BO20*(1-$BR20)*Tables!$C$36</f>
        <v>0</v>
      </c>
      <c r="BX20" s="902" t="n">
        <f aca="false">(BW20*AQ20)/1000</f>
        <v>0</v>
      </c>
      <c r="BY20" s="883" t="n">
        <f aca="false">BX20*K20</f>
        <v>0</v>
      </c>
      <c r="BZ20" s="188"/>
      <c r="CA20" s="901" t="n">
        <f aca="false">$BL20*(1-$BR20)*Tables!$C$36</f>
        <v>0</v>
      </c>
      <c r="CB20" s="902" t="n">
        <f aca="false">(CA20*AU20)/1000</f>
        <v>0</v>
      </c>
      <c r="CC20" s="883" t="n">
        <f aca="false">CB20*K20</f>
        <v>0</v>
      </c>
      <c r="CD20" s="901" t="n">
        <f aca="false">$BP20*(1-$BR20)*Tables!$C$36</f>
        <v>0</v>
      </c>
      <c r="CE20" s="902" t="n">
        <f aca="false">(CD20*AX20)/1000</f>
        <v>0</v>
      </c>
      <c r="CF20" s="883" t="n">
        <f aca="false">CE20*K20</f>
        <v>0</v>
      </c>
      <c r="CH20" s="901" t="n">
        <f aca="false">$BM20*(1-$BR20)*Tables!$C$36</f>
        <v>0</v>
      </c>
      <c r="CI20" s="902" t="n">
        <f aca="false">(CH20*BB20)/1000</f>
        <v>0</v>
      </c>
      <c r="CJ20" s="883" t="n">
        <f aca="false">CI20*K20</f>
        <v>0</v>
      </c>
      <c r="CK20" s="292"/>
      <c r="CL20" s="292" t="n">
        <f aca="false">C20-1</f>
        <v>2000</v>
      </c>
      <c r="CM20" s="903" t="n">
        <f aca="false">INDEX(OperationalDetail,MATCH("Degraded Heat Rate",ODColumn,0),MATCH('Monthly Table'!CL20,ODRow,0))/1000</f>
        <v>12.03475</v>
      </c>
      <c r="CN20" s="904" t="n">
        <f aca="false">S20*CM20</f>
        <v>53.8427767361563</v>
      </c>
      <c r="CO20" s="905" t="n">
        <f aca="false">IF(A20="January",(CO19*(1+Assumptions!$E$32)),CO19)</f>
        <v>6.735625</v>
      </c>
      <c r="CP20" s="906" t="n">
        <f aca="false">CN20+CO20</f>
        <v>60.5784017361563</v>
      </c>
      <c r="CQ20" s="292"/>
      <c r="CR20" s="856" t="str">
        <f aca="false">IF(BJ20=0,"",C20)</f>
        <v/>
      </c>
      <c r="CS20" s="856" t="str">
        <f aca="false">IF(BO20=0,"",$C20)</f>
        <v/>
      </c>
      <c r="CT20" s="856" t="str">
        <f aca="false">IF(BL20=0,"",$C20)</f>
        <v/>
      </c>
      <c r="CU20" s="856" t="str">
        <f aca="false">IF(BP20=0,"",$C20)</f>
        <v/>
      </c>
      <c r="CV20" s="856" t="str">
        <f aca="false">IF(BD20=0,"",$C20)</f>
        <v/>
      </c>
      <c r="CW20" s="907" t="n">
        <f aca="false">YEAR(BF20)</f>
        <v>2001</v>
      </c>
      <c r="CX20" s="908" t="n">
        <f aca="false">INDEX('NY Curve'!$A$4:$G$256,MATCH('Monthly Table'!B20,'NY Curve'!$A$4:$A$256,0),MATCH("New York 5 X 16",'NY Curve'!$A$4:$G$4,0))</f>
        <v>26.25</v>
      </c>
      <c r="CY20" s="909" t="n">
        <f aca="false">K20</f>
        <v>1.43351132548441</v>
      </c>
      <c r="CZ20" s="910" t="n">
        <f aca="false">CX20*CY20</f>
        <v>37.6296722939658</v>
      </c>
      <c r="DB20" s="911"/>
      <c r="DC20" s="911"/>
      <c r="DD20" s="95"/>
      <c r="DE20" s="912"/>
      <c r="DF20" s="913"/>
      <c r="DG20" s="292"/>
      <c r="DH20" s="292"/>
    </row>
    <row r="21" customFormat="false" ht="18.75" hidden="false" customHeight="true" outlineLevel="0" collapsed="false">
      <c r="A21" s="49" t="s">
        <v>820</v>
      </c>
      <c r="B21" s="863" t="n">
        <v>37196</v>
      </c>
      <c r="C21" s="288" t="n">
        <f aca="false">YEAR(B21)</f>
        <v>2001</v>
      </c>
      <c r="D21" s="864" t="n">
        <f aca="false">IF(A21="January",D20+1,D20)</f>
        <v>1</v>
      </c>
      <c r="E21" s="865" t="n">
        <v>21</v>
      </c>
      <c r="F21" s="866" t="n">
        <v>4</v>
      </c>
      <c r="G21" s="866" t="n">
        <v>4</v>
      </c>
      <c r="H21" s="866" t="n">
        <v>1</v>
      </c>
      <c r="I21" s="867" t="n">
        <f aca="false">SUM(E21:H21)</f>
        <v>30</v>
      </c>
      <c r="J21" s="868"/>
      <c r="K21" s="869" t="n">
        <f aca="false">INDEX(FX!$A$3:$C$362,MATCH(B21,FX!$A$3:$A$362,0),MATCH("Monthly Curve",FX!$A$2:$C$2,0))</f>
        <v>1.43266246931427</v>
      </c>
      <c r="L21" s="869"/>
      <c r="M21" s="914" t="n">
        <v>2.845</v>
      </c>
      <c r="N21" s="915" t="n">
        <v>0.22</v>
      </c>
      <c r="O21" s="714" t="n">
        <v>0.02</v>
      </c>
      <c r="P21" s="872" t="n">
        <f aca="false">N21+O21</f>
        <v>0.24</v>
      </c>
      <c r="Q21" s="873" t="n">
        <f aca="false">SUM(M21:O21)</f>
        <v>3.085</v>
      </c>
      <c r="R21" s="874" t="n">
        <f aca="false">Assumptions!$B$34</f>
        <v>0.312458892307692</v>
      </c>
      <c r="S21" s="875" t="n">
        <f aca="false">(Q21*K21)+R21</f>
        <v>4.73222261014222</v>
      </c>
      <c r="T21" s="869"/>
      <c r="V21" s="876" t="n">
        <f aca="false">Assumptions!$B$42</f>
        <v>0</v>
      </c>
      <c r="W21" s="876" t="n">
        <v>6.5</v>
      </c>
      <c r="X21" s="877" t="n">
        <v>1</v>
      </c>
      <c r="Y21" s="878" t="n">
        <f aca="false">Assumptions!$B$7</f>
        <v>312</v>
      </c>
      <c r="Z21" s="879" t="n">
        <f aca="false">IF($Z$10=$V$10,V21,IF($Z$10=$W$10,W21,IF($Z$10=$X$10,X21,0)))</f>
        <v>0</v>
      </c>
      <c r="AA21" s="880" t="n">
        <f aca="false">Y21*Z21</f>
        <v>0</v>
      </c>
      <c r="AB21" s="881" t="n">
        <f aca="false">AA21*K21</f>
        <v>0</v>
      </c>
      <c r="AC21" s="188"/>
      <c r="AD21" s="882" t="n">
        <f aca="false">IF(Tables!$E$30="Michigan",INDEX('Michigan Curve'!$A$4:$S$256,MATCH('Monthly Table'!B21,'Michigan Curve'!$A$4:$A$256,0),MATCH("Michigan Selected Option Value US$/month",'Michigan Curve'!$A$4:$S$4,0)),INDEX('NY Curve'!$A$4:$T$256,MATCH('Monthly Table'!B21,'NY Curve'!$A$4:$A$256,0),MATCH("New York Selected Option Value US$/month",'NY Curve'!$A$4:$T$4,0)))</f>
        <v>16395.9470011223</v>
      </c>
      <c r="AE21" s="883" t="n">
        <f aca="false">AD21*K21</f>
        <v>23489.8579173738</v>
      </c>
      <c r="AF21" s="188"/>
      <c r="AG21" s="884"/>
      <c r="AH21" s="188"/>
      <c r="AI21" s="885" t="n">
        <f aca="false">Assumptions!$B$50</f>
        <v>65</v>
      </c>
      <c r="AJ21" s="916"/>
      <c r="AK21" s="887" t="n">
        <f aca="false">IF(Tables!$E$30="Custom",'Monthly Table'!AI21,IF(Tables!$E$30="New York",INDEX('NY Curve'!$A$4:$G$256,MATCH('Monthly Table'!B21,'NY Curve'!$A$4:$A$256,0),MATCH("Super Peak Curve",'NY Curve'!$A$4:$G$4,0)),IF(Tables!$E$30="New York Flat",INDEX('NY Curve'!$A$4:$G$256,MATCH('Monthly Table'!B21,'NY Curve'!$A$4:$A$256,0),MATCH("Flat NY West",'NY Curve'!$A$4:$G$4,0)),INDEX('Michigan Curve'!$A$4:$F$256,MATCH('Monthly Table'!B21,'Michigan Curve'!$A$4:$A$256,0),MATCH("Michigan Super Peak Curve US$/MWhr",'Michigan Curve'!$A$4:$F$4,0)))))</f>
        <v>25.8983953857422</v>
      </c>
      <c r="AL21" s="888" t="n">
        <f aca="false">IF(D21&lt;=Tables!$B$21,IF($AL$10=$AI$10,AI21,IF($AL$10=$AJ$10,AJ21,IF($AL$10=$AK$10,AK21,0))),0)</f>
        <v>25.8983953857422</v>
      </c>
      <c r="AM21" s="889" t="n">
        <f aca="false">+AL21*K21</f>
        <v>37.1036590846147</v>
      </c>
      <c r="AN21" s="890" t="n">
        <f aca="false">IF((AL21*K21)&gt;(CP21+$BF$4),1,0)</f>
        <v>0</v>
      </c>
      <c r="AO21" s="891"/>
      <c r="AP21" s="894"/>
      <c r="AQ21" s="892" t="n">
        <f aca="false">IF(Tables!$E$30="New York",INDEX('NY Curve'!$A$4:$L$256,MATCH('Monthly Table'!B21,'NY Curve'!$A$4:$A$256,0),MATCH("New York Shoulder Hour Curve Mon-Fri",'NY Curve'!$A$4:$L$4,0)),IF(Tables!$E$30="Michigan",INDEX('Michigan Curve'!$A$4:$K$256,MATCH('Monthly Table'!B21,'Michigan Curve'!$A$4:$A$256,0),MATCH("Michigan Shoulder Hour Curve Mon-Fri",'Michigan Curve'!$A$4:$K$4,0))))</f>
        <v>22.0615960693359</v>
      </c>
      <c r="AR21" s="889" t="n">
        <f aca="false">AQ21*K21</f>
        <v>31.6068207017088</v>
      </c>
      <c r="AS21" s="893" t="n">
        <f aca="false">IF(AR21&gt;($CP21+$BF$4),1,0)</f>
        <v>0</v>
      </c>
      <c r="AT21" s="188"/>
      <c r="AU21" s="892" t="n">
        <f aca="false">IF(Tables!$E$30="New York",INDEX('NY Curve'!$A$4:$L$256,MATCH('Monthly Table'!$B21,'NY Curve'!$A$4:$A$256,0),MATCH("New York Saturday Super Peak",'NY Curve'!$A$4:$L$4,0)),IF(Tables!$E$30="Michigan",INDEX('Michigan Curve'!$A$4:$K$256,MATCH('Monthly Table'!$B21,'Michigan Curve'!$A$4:$A$256,0),MATCH("Michigan Saturday Super Peak",'Michigan Curve'!$A$4:$K$4,0))))</f>
        <v>21.6</v>
      </c>
      <c r="AV21" s="894" t="n">
        <f aca="false">AU21*K21</f>
        <v>30.9455093371882</v>
      </c>
      <c r="AW21" s="893" t="n">
        <f aca="false">IF(AV21&gt;($CP21+$BF$4),1,0)</f>
        <v>0</v>
      </c>
      <c r="AX21" s="892" t="n">
        <f aca="false">IF(Tables!$E$30="New York",INDEX('NY Curve'!$A$4:$L$256,MATCH('Monthly Table'!$B21,'NY Curve'!$A$4:$A$256,0),MATCH("New York Saturday Shoulder Peak",'NY Curve'!$A$4:$L$4,0)),IF(Tables!$E$30="Michigan",INDEX('Michigan Curve'!$A$4:$K$256,MATCH('Monthly Table'!$B21,'Michigan Curve'!$A$4:$A$256,0),MATCH("Michigan Saturday Shoulder Peak",'Michigan Curve'!$A$4:$K$4,0))))</f>
        <v>18.4</v>
      </c>
      <c r="AY21" s="895" t="n">
        <f aca="false">AX21*K21</f>
        <v>26.3609894353826</v>
      </c>
      <c r="AZ21" s="893" t="n">
        <f aca="false">IF(AY21&gt;($CP21+$BF$4),1,0)</f>
        <v>0</v>
      </c>
      <c r="BA21" s="188"/>
      <c r="BB21" s="892" t="n">
        <f aca="false">IF(Tables!$E$30="New York",INDEX('NY Curve'!$A$4:$M$256,MATCH('Monthly Table'!$B21,'NY Curve'!$A$4:$A$256,0),MATCH("NY Sunday Super Peak",'NY Curve'!$A$4:$M$4,0)),IF(Tables!$E$30="Michigan",INDEX('Michigan Curve'!$A$4:$L$256,MATCH('Monthly Table'!$B21,'Michigan Curve'!$A$4:$A$256,0),MATCH("Michigan Sunday Super Peak",'Michigan Curve'!$A$4:$L$4,0))))</f>
        <v>20.52</v>
      </c>
      <c r="BC21" s="894" t="n">
        <f aca="false">BB21*K21</f>
        <v>29.3982338703288</v>
      </c>
      <c r="BD21" s="893" t="n">
        <f aca="false">IF(BC21&gt;($CP21+$BF$4),1,0)</f>
        <v>0</v>
      </c>
      <c r="BE21" s="188"/>
      <c r="BF21" s="896" t="n">
        <f aca="false">B21</f>
        <v>37196</v>
      </c>
      <c r="BG21" s="897" t="n">
        <f aca="false">IF($AN21=1,$E21*$BF$5,0)</f>
        <v>0</v>
      </c>
      <c r="BH21" s="897" t="n">
        <f aca="false">BG21</f>
        <v>0</v>
      </c>
      <c r="BI21" s="714" t="n">
        <f aca="false">IF($AN21=1,$E21*$BF$5,0)</f>
        <v>0</v>
      </c>
      <c r="BJ21" s="898" t="n">
        <f aca="false">IF('Monthly Table'!D21&lt;=Tables!$B$21,IF($BJ$10=$BG$10,BG21,IF($BJ$10=$BH$10,BH21,IF($BJ$10=$BI$10,BI21,0))),0)</f>
        <v>0</v>
      </c>
      <c r="BK21" s="288"/>
      <c r="BL21" s="898" t="n">
        <f aca="false">IF($AW21=1,$F21*$BF$5,0)</f>
        <v>0</v>
      </c>
      <c r="BM21" s="898" t="n">
        <f aca="false">IF($BD21=1,($G21+H21)*$BF$5,0)</f>
        <v>0</v>
      </c>
      <c r="BO21" s="898" t="n">
        <f aca="false">IF(AS21=1,BJ21,0)</f>
        <v>0</v>
      </c>
      <c r="BP21" s="898" t="n">
        <f aca="false">IF(AZ21=1,F21*$BF$5,0)</f>
        <v>0</v>
      </c>
      <c r="BR21" s="899" t="n">
        <f aca="false">IF(BJ21&gt;0,INDEX(OperationalDetail,MATCH("Capacity Degradation",ODColumn,0),MATCH('Monthly Table'!C21,ODRow,0)),0)</f>
        <v>0</v>
      </c>
      <c r="BS21" s="900" t="n">
        <f aca="false">BJ21*(1-BR21)*Tables!$C$10</f>
        <v>0</v>
      </c>
      <c r="BT21" s="883" t="n">
        <f aca="false">BS21*AL21/1000</f>
        <v>0</v>
      </c>
      <c r="BU21" s="883" t="n">
        <f aca="false">BT21*K21</f>
        <v>0</v>
      </c>
      <c r="BV21" s="188"/>
      <c r="BW21" s="901" t="n">
        <f aca="false">$BO21*(1-$BR21)*Tables!$C$36</f>
        <v>0</v>
      </c>
      <c r="BX21" s="902" t="n">
        <f aca="false">(BW21*AQ21)/1000</f>
        <v>0</v>
      </c>
      <c r="BY21" s="883" t="n">
        <f aca="false">BX21*K21</f>
        <v>0</v>
      </c>
      <c r="BZ21" s="188"/>
      <c r="CA21" s="901" t="n">
        <f aca="false">$BL21*(1-$BR21)*Tables!$C$36</f>
        <v>0</v>
      </c>
      <c r="CB21" s="902" t="n">
        <f aca="false">(CA21*AU21)/1000</f>
        <v>0</v>
      </c>
      <c r="CC21" s="883" t="n">
        <f aca="false">CB21*K21</f>
        <v>0</v>
      </c>
      <c r="CD21" s="901" t="n">
        <f aca="false">$BP21*(1-$BR21)*Tables!$C$36</f>
        <v>0</v>
      </c>
      <c r="CE21" s="902" t="n">
        <f aca="false">(CD21*AX21)/1000</f>
        <v>0</v>
      </c>
      <c r="CF21" s="883" t="n">
        <f aca="false">CE21*K21</f>
        <v>0</v>
      </c>
      <c r="CH21" s="901" t="n">
        <f aca="false">$BM21*(1-$BR21)*Tables!$C$36</f>
        <v>0</v>
      </c>
      <c r="CI21" s="902" t="n">
        <f aca="false">(CH21*BB21)/1000</f>
        <v>0</v>
      </c>
      <c r="CJ21" s="883" t="n">
        <f aca="false">CI21*K21</f>
        <v>0</v>
      </c>
      <c r="CK21" s="292"/>
      <c r="CL21" s="292" t="n">
        <f aca="false">C21-1</f>
        <v>2000</v>
      </c>
      <c r="CM21" s="903" t="n">
        <f aca="false">INDEX(OperationalDetail,MATCH("Degraded Heat Rate",ODColumn,0),MATCH('Monthly Table'!CL21,ODRow,0))/1000</f>
        <v>12.03475</v>
      </c>
      <c r="CN21" s="904" t="n">
        <f aca="false">S21*CM21</f>
        <v>56.951116057409</v>
      </c>
      <c r="CO21" s="905" t="n">
        <f aca="false">IF(A21="January",(CO20*(1+Assumptions!$E$32)),CO20)</f>
        <v>6.735625</v>
      </c>
      <c r="CP21" s="906" t="n">
        <f aca="false">CN21+CO21</f>
        <v>63.686741057409</v>
      </c>
      <c r="CQ21" s="292"/>
      <c r="CR21" s="856" t="str">
        <f aca="false">IF(BJ21=0,"",C21)</f>
        <v/>
      </c>
      <c r="CS21" s="856" t="str">
        <f aca="false">IF(BO21=0,"",$C21)</f>
        <v/>
      </c>
      <c r="CT21" s="856" t="str">
        <f aca="false">IF(BL21=0,"",$C21)</f>
        <v/>
      </c>
      <c r="CU21" s="856" t="str">
        <f aca="false">IF(BP21=0,"",$C21)</f>
        <v/>
      </c>
      <c r="CV21" s="856" t="str">
        <f aca="false">IF(BD21=0,"",$C21)</f>
        <v/>
      </c>
      <c r="CW21" s="907" t="n">
        <f aca="false">YEAR(BF21)</f>
        <v>2001</v>
      </c>
      <c r="CX21" s="908" t="n">
        <f aca="false">INDEX('NY Curve'!$A$4:$G$256,MATCH('Monthly Table'!B21,'NY Curve'!$A$4:$A$256,0),MATCH("New York 5 X 16",'NY Curve'!$A$4:$G$4,0))</f>
        <v>26.75</v>
      </c>
      <c r="CY21" s="909" t="n">
        <f aca="false">K21</f>
        <v>1.43266246931427</v>
      </c>
      <c r="CZ21" s="910" t="n">
        <f aca="false">CX21*CY21</f>
        <v>38.3237210541567</v>
      </c>
      <c r="DB21" s="911"/>
      <c r="DC21" s="911"/>
      <c r="DD21" s="95"/>
      <c r="DE21" s="912"/>
      <c r="DF21" s="913"/>
      <c r="DG21" s="292"/>
      <c r="DH21" s="292"/>
    </row>
    <row r="22" customFormat="false" ht="18.75" hidden="false" customHeight="true" outlineLevel="0" collapsed="false">
      <c r="A22" s="110" t="s">
        <v>821</v>
      </c>
      <c r="B22" s="918" t="n">
        <v>37226</v>
      </c>
      <c r="C22" s="917" t="n">
        <f aca="false">YEAR(B22)</f>
        <v>2001</v>
      </c>
      <c r="D22" s="919" t="n">
        <f aca="false">IF(A22="January",D21+1,D21)</f>
        <v>1</v>
      </c>
      <c r="E22" s="920" t="n">
        <v>20</v>
      </c>
      <c r="F22" s="921" t="n">
        <v>5</v>
      </c>
      <c r="G22" s="921" t="n">
        <v>5</v>
      </c>
      <c r="H22" s="921" t="n">
        <v>1</v>
      </c>
      <c r="I22" s="922" t="n">
        <f aca="false">SUM(E22:H22)</f>
        <v>31</v>
      </c>
      <c r="J22" s="923"/>
      <c r="K22" s="924" t="n">
        <f aca="false">INDEX(FX!$A$3:$C$362,MATCH(B22,FX!$A$3:$A$362,0),MATCH("Monthly Curve",FX!$A$2:$C$2,0))</f>
        <v>1.43186492527345</v>
      </c>
      <c r="L22" s="924"/>
      <c r="M22" s="925" t="n">
        <v>2.962</v>
      </c>
      <c r="N22" s="926" t="n">
        <v>0.26</v>
      </c>
      <c r="O22" s="927" t="n">
        <v>0.02</v>
      </c>
      <c r="P22" s="928" t="n">
        <f aca="false">N22+O22</f>
        <v>0.28</v>
      </c>
      <c r="Q22" s="929" t="n">
        <f aca="false">SUM(M22:O22)</f>
        <v>3.242</v>
      </c>
      <c r="R22" s="930" t="n">
        <f aca="false">Assumptions!$B$34</f>
        <v>0.312458892307692</v>
      </c>
      <c r="S22" s="931" t="n">
        <f aca="false">(Q22*K22)+R22</f>
        <v>4.95456498004422</v>
      </c>
      <c r="T22" s="924"/>
      <c r="U22" s="917"/>
      <c r="V22" s="932" t="n">
        <f aca="false">Assumptions!$B$42</f>
        <v>0</v>
      </c>
      <c r="W22" s="932" t="n">
        <v>6.5</v>
      </c>
      <c r="X22" s="933" t="n">
        <v>1</v>
      </c>
      <c r="Y22" s="934" t="n">
        <f aca="false">Assumptions!$B$7</f>
        <v>312</v>
      </c>
      <c r="Z22" s="935" t="n">
        <f aca="false">IF($Z$10=$V$10,V22,IF($Z$10=$W$10,W22,IF($Z$10=$X$10,X22,0)))</f>
        <v>0</v>
      </c>
      <c r="AA22" s="936" t="n">
        <f aca="false">Y22*Z22</f>
        <v>0</v>
      </c>
      <c r="AB22" s="937" t="n">
        <f aca="false">AA22*K22</f>
        <v>0</v>
      </c>
      <c r="AC22" s="938"/>
      <c r="AD22" s="882" t="n">
        <f aca="false">IF(Tables!$E$30="Michigan",INDEX('Michigan Curve'!$A$4:$S$256,MATCH('Monthly Table'!B22,'Michigan Curve'!$A$4:$A$256,0),MATCH("Michigan Selected Option Value US$/month",'Michigan Curve'!$A$4:$S$4,0)),INDEX('NY Curve'!$A$4:$T$256,MATCH('Monthly Table'!B22,'NY Curve'!$A$4:$A$256,0),MATCH("New York Selected Option Value US$/month",'NY Curve'!$A$4:$T$4,0)))</f>
        <v>5723.35764430207</v>
      </c>
      <c r="AE22" s="883" t="n">
        <f aca="false">AD22*K22</f>
        <v>8195.07506567181</v>
      </c>
      <c r="AF22" s="938"/>
      <c r="AG22" s="939"/>
      <c r="AH22" s="938"/>
      <c r="AI22" s="885" t="n">
        <f aca="false">Assumptions!$B$50</f>
        <v>65</v>
      </c>
      <c r="AJ22" s="940"/>
      <c r="AK22" s="887" t="n">
        <f aca="false">IF(Tables!$E$30="Custom",'Monthly Table'!AI22,IF(Tables!$E$30="New York",INDEX('NY Curve'!$A$4:$G$256,MATCH('Monthly Table'!B22,'NY Curve'!$A$4:$A$256,0),MATCH("Super Peak Curve",'NY Curve'!$A$4:$G$4,0)),IF(Tables!$E$30="New York Flat",INDEX('NY Curve'!$A$4:$G$256,MATCH('Monthly Table'!B22,'NY Curve'!$A$4:$A$256,0),MATCH("Flat NY West",'NY Curve'!$A$4:$G$4,0)),INDEX('Michigan Curve'!$A$4:$F$256,MATCH('Monthly Table'!B22,'Michigan Curve'!$A$4:$A$256,0),MATCH("Michigan Super Peak Curve US$/MWhr",'Michigan Curve'!$A$4:$F$4,0)))))</f>
        <v>24.9389949417114</v>
      </c>
      <c r="AL22" s="941" t="n">
        <f aca="false">IF(D22&lt;=Tables!$B$21,IF($AL$10=$AI$10,AI22,IF($AL$10=$AJ$10,AJ22,IF($AL$10=$AK$10,AK22,0))),0)</f>
        <v>24.9389949417114</v>
      </c>
      <c r="AM22" s="942" t="n">
        <f aca="false">+AL22*K22</f>
        <v>35.7092721286086</v>
      </c>
      <c r="AN22" s="943" t="n">
        <f aca="false">IF((AL22*K22)&gt;(CP22+$BF$4),1,0)</f>
        <v>0</v>
      </c>
      <c r="AO22" s="944"/>
      <c r="AP22" s="945"/>
      <c r="AQ22" s="892" t="n">
        <f aca="false">IF(Tables!$E$30="New York",INDEX('NY Curve'!$A$4:$L$256,MATCH('Monthly Table'!B22,'NY Curve'!$A$4:$A$256,0),MATCH("New York Shoulder Hour Curve Mon-Fri",'NY Curve'!$A$4:$L$4,0)),IF(Tables!$E$30="Michigan",INDEX('Michigan Curve'!$A$4:$K$256,MATCH('Monthly Table'!B22,'Michigan Curve'!$A$4:$A$256,0),MATCH("Michigan Shoulder Hour Curve Mon-Fri",'Michigan Curve'!$A$4:$K$4,0))))</f>
        <v>23.9609951400757</v>
      </c>
      <c r="AR22" s="942" t="n">
        <f aca="false">AQ22*K22</f>
        <v>34.308908515722</v>
      </c>
      <c r="AS22" s="946" t="n">
        <f aca="false">IF(AR22&gt;($CP22+$BF$4),1,0)</f>
        <v>0</v>
      </c>
      <c r="AT22" s="938"/>
      <c r="AU22" s="892" t="n">
        <f aca="false">IF(Tables!$E$30="New York",INDEX('NY Curve'!$A$4:$L$256,MATCH('Monthly Table'!$B22,'NY Curve'!$A$4:$A$256,0),MATCH("New York Saturday Super Peak",'NY Curve'!$A$4:$L$4,0)),IF(Tables!$E$30="Michigan",INDEX('Michigan Curve'!$A$4:$K$256,MATCH('Monthly Table'!$B22,'Michigan Curve'!$A$4:$A$256,0),MATCH("Michigan Saturday Super Peak",'Michigan Curve'!$A$4:$K$4,0))))</f>
        <v>20.4</v>
      </c>
      <c r="AV22" s="945" t="n">
        <f aca="false">AU22*K22</f>
        <v>29.2100444755784</v>
      </c>
      <c r="AW22" s="946" t="n">
        <f aca="false">IF(AV22&gt;($CP22+$BF$4),1,0)</f>
        <v>0</v>
      </c>
      <c r="AX22" s="892" t="n">
        <f aca="false">IF(Tables!$E$30="New York",INDEX('NY Curve'!$A$4:$L$256,MATCH('Monthly Table'!$B22,'NY Curve'!$A$4:$A$256,0),MATCH("New York Saturday Shoulder Peak",'NY Curve'!$A$4:$L$4,0)),IF(Tables!$E$30="Michigan",INDEX('Michigan Curve'!$A$4:$K$256,MATCH('Monthly Table'!$B22,'Michigan Curve'!$A$4:$A$256,0),MATCH("Michigan Saturday Shoulder Peak",'Michigan Curve'!$A$4:$K$4,0))))</f>
        <v>19.6</v>
      </c>
      <c r="AY22" s="947" t="n">
        <f aca="false">AX22*K22</f>
        <v>28.0645525353596</v>
      </c>
      <c r="AZ22" s="946" t="n">
        <f aca="false">IF(AY22&gt;($CP22+$BF$4),1,0)</f>
        <v>0</v>
      </c>
      <c r="BA22" s="938"/>
      <c r="BB22" s="892" t="n">
        <f aca="false">IF(Tables!$E$30="New York",INDEX('NY Curve'!$A$4:$M$256,MATCH('Monthly Table'!$B22,'NY Curve'!$A$4:$A$256,0),MATCH("NY Sunday Super Peak",'NY Curve'!$A$4:$M$4,0)),IF(Tables!$E$30="Michigan",INDEX('Michigan Curve'!$A$4:$L$256,MATCH('Monthly Table'!$B22,'Michigan Curve'!$A$4:$A$256,0),MATCH("Michigan Sunday Super Peak",'Michigan Curve'!$A$4:$L$4,0))))</f>
        <v>19.38</v>
      </c>
      <c r="BC22" s="945" t="n">
        <f aca="false">BB22*K22</f>
        <v>27.7495422517995</v>
      </c>
      <c r="BD22" s="946" t="n">
        <f aca="false">IF(BC22&gt;($CP22+$BF$4),1,0)</f>
        <v>0</v>
      </c>
      <c r="BE22" s="938"/>
      <c r="BF22" s="948" t="n">
        <f aca="false">B22</f>
        <v>37226</v>
      </c>
      <c r="BG22" s="949" t="n">
        <f aca="false">IF($AN22=1,$E22*$BF$5,0)</f>
        <v>0</v>
      </c>
      <c r="BH22" s="949" t="n">
        <f aca="false">BG22</f>
        <v>0</v>
      </c>
      <c r="BI22" s="927" t="n">
        <f aca="false">IF($AN22=1,$E22*$BF$5,0)</f>
        <v>0</v>
      </c>
      <c r="BJ22" s="950" t="n">
        <f aca="false">IF('Monthly Table'!D22&lt;=Tables!$B$21,IF($BJ$10=$BG$10,BG22,IF($BJ$10=$BH$10,BH22,IF($BJ$10=$BI$10,BI22,0))),0)</f>
        <v>0</v>
      </c>
      <c r="BK22" s="917"/>
      <c r="BL22" s="950" t="n">
        <f aca="false">IF($AW22=1,$F22*$BF$5,0)</f>
        <v>0</v>
      </c>
      <c r="BM22" s="898" t="n">
        <f aca="false">IF($BD22=1,($G22+H22)*$BF$5,0)</f>
        <v>0</v>
      </c>
      <c r="BN22" s="917"/>
      <c r="BO22" s="950" t="n">
        <f aca="false">IF(AS22=1,BJ22,0)</f>
        <v>0</v>
      </c>
      <c r="BP22" s="950" t="n">
        <f aca="false">IF(AZ22=1,F22*$BF$5,0)</f>
        <v>0</v>
      </c>
      <c r="BQ22" s="917"/>
      <c r="BR22" s="951" t="n">
        <f aca="false">IF(BJ22&gt;0,INDEX(OperationalDetail,MATCH("Capacity Degradation",ODColumn,0),MATCH('Monthly Table'!C22,ODRow,0)),0)</f>
        <v>0</v>
      </c>
      <c r="BS22" s="952" t="n">
        <f aca="false">BJ22*(1-BR22)*Tables!$C$10</f>
        <v>0</v>
      </c>
      <c r="BT22" s="953" t="n">
        <f aca="false">BS22*AL22/1000</f>
        <v>0</v>
      </c>
      <c r="BU22" s="953" t="n">
        <f aca="false">BT22*K22</f>
        <v>0</v>
      </c>
      <c r="BV22" s="938"/>
      <c r="BW22" s="954" t="n">
        <f aca="false">$BO22*(1-$BR22)*Tables!$C$36</f>
        <v>0</v>
      </c>
      <c r="BX22" s="955" t="n">
        <f aca="false">(BW22*AQ22)/1000</f>
        <v>0</v>
      </c>
      <c r="BY22" s="953" t="n">
        <f aca="false">BX22*K22</f>
        <v>0</v>
      </c>
      <c r="BZ22" s="938"/>
      <c r="CA22" s="954" t="n">
        <f aca="false">$BL22*(1-$BR22)*Tables!$C$36</f>
        <v>0</v>
      </c>
      <c r="CB22" s="955" t="n">
        <f aca="false">(CA22*AU22)/1000</f>
        <v>0</v>
      </c>
      <c r="CC22" s="953" t="n">
        <f aca="false">CB22*K22</f>
        <v>0</v>
      </c>
      <c r="CD22" s="954" t="n">
        <f aca="false">$BP22*(1-$BR22)*Tables!$C$36</f>
        <v>0</v>
      </c>
      <c r="CE22" s="955" t="n">
        <f aca="false">(CD22*AX22)/1000</f>
        <v>0</v>
      </c>
      <c r="CF22" s="953" t="n">
        <f aca="false">CE22*K22</f>
        <v>0</v>
      </c>
      <c r="CG22" s="110"/>
      <c r="CH22" s="954" t="n">
        <f aca="false">$BM22*(1-$BR22)*Tables!$C$36</f>
        <v>0</v>
      </c>
      <c r="CI22" s="955" t="n">
        <f aca="false">(CH22*BB22)/1000</f>
        <v>0</v>
      </c>
      <c r="CJ22" s="953" t="n">
        <f aca="false">CI22*K22</f>
        <v>0</v>
      </c>
      <c r="CK22" s="956"/>
      <c r="CL22" s="956" t="n">
        <f aca="false">C22-1</f>
        <v>2000</v>
      </c>
      <c r="CM22" s="957" t="n">
        <f aca="false">INDEX(OperationalDetail,MATCH("Degraded Heat Rate",ODColumn,0),MATCH('Monthly Table'!CL22,ODRow,0))/1000</f>
        <v>12.03475</v>
      </c>
      <c r="CN22" s="958" t="n">
        <f aca="false">S22*CM22</f>
        <v>59.6269508935872</v>
      </c>
      <c r="CO22" s="959" t="n">
        <f aca="false">IF(A22="January",(CO21*(1+Assumptions!$E$32)),CO21)</f>
        <v>6.735625</v>
      </c>
      <c r="CP22" s="960" t="n">
        <f aca="false">CN22+CO22</f>
        <v>66.3625758935872</v>
      </c>
      <c r="CQ22" s="956"/>
      <c r="CR22" s="961" t="str">
        <f aca="false">IF(BJ22=0,"",C22)</f>
        <v/>
      </c>
      <c r="CS22" s="961" t="str">
        <f aca="false">IF(BO22=0,"",$C22)</f>
        <v/>
      </c>
      <c r="CT22" s="961" t="str">
        <f aca="false">IF(BL22=0,"",$C22)</f>
        <v/>
      </c>
      <c r="CU22" s="961" t="str">
        <f aca="false">IF(BP22=0,"",$C22)</f>
        <v/>
      </c>
      <c r="CV22" s="961" t="str">
        <f aca="false">IF(BD22=0,"",$C22)</f>
        <v/>
      </c>
      <c r="CW22" s="962" t="n">
        <f aca="false">YEAR(BF22)</f>
        <v>2001</v>
      </c>
      <c r="CX22" s="963" t="n">
        <f aca="false">INDEX('NY Curve'!$A$4:$G$256,MATCH('Monthly Table'!B22,'NY Curve'!$A$4:$A$256,0),MATCH("New York 5 X 16",'NY Curve'!$A$4:$G$4,0))</f>
        <v>27.25</v>
      </c>
      <c r="CY22" s="964" t="n">
        <f aca="false">K22</f>
        <v>1.43186492527345</v>
      </c>
      <c r="CZ22" s="965" t="n">
        <f aca="false">CX22*CY22</f>
        <v>39.0183192137015</v>
      </c>
      <c r="DA22" s="110"/>
      <c r="DB22" s="966"/>
      <c r="DC22" s="966"/>
      <c r="DD22" s="967"/>
      <c r="DE22" s="968"/>
      <c r="DF22" s="969"/>
      <c r="DG22" s="956"/>
      <c r="DH22" s="956"/>
    </row>
    <row r="23" customFormat="false" ht="18.75" hidden="false" customHeight="true" outlineLevel="0" collapsed="false">
      <c r="A23" s="49" t="s">
        <v>810</v>
      </c>
      <c r="B23" s="863" t="n">
        <v>37257</v>
      </c>
      <c r="C23" s="288" t="n">
        <f aca="false">YEAR(B23)</f>
        <v>2002</v>
      </c>
      <c r="D23" s="864" t="n">
        <f aca="false">IF(A23="January",D22+1,D22)</f>
        <v>2</v>
      </c>
      <c r="E23" s="865" t="n">
        <v>22</v>
      </c>
      <c r="F23" s="866" t="n">
        <v>4</v>
      </c>
      <c r="G23" s="866" t="n">
        <v>4</v>
      </c>
      <c r="H23" s="866" t="n">
        <v>1</v>
      </c>
      <c r="I23" s="867" t="n">
        <f aca="false">SUM(E23:H23)</f>
        <v>31</v>
      </c>
      <c r="J23" s="868"/>
      <c r="K23" s="869" t="n">
        <f aca="false">INDEX(FX!$A$3:$C$362,MATCH(B23,FX!$A$3:$A$362,0),MATCH("Monthly Curve",FX!$A$2:$C$2,0))</f>
        <v>1.43108656847082</v>
      </c>
      <c r="L23" s="869"/>
      <c r="M23" s="914" t="n">
        <v>2.985</v>
      </c>
      <c r="N23" s="915" t="n">
        <v>0.27</v>
      </c>
      <c r="O23" s="714" t="n">
        <v>0.02</v>
      </c>
      <c r="P23" s="872" t="n">
        <f aca="false">N23+O23</f>
        <v>0.29</v>
      </c>
      <c r="Q23" s="873" t="n">
        <f aca="false">SUM(M23:O23)</f>
        <v>3.275</v>
      </c>
      <c r="R23" s="874" t="n">
        <f aca="false">Assumptions!$B$34</f>
        <v>0.312458892307692</v>
      </c>
      <c r="S23" s="875" t="n">
        <f aca="false">(Q23*K23)+R23</f>
        <v>4.99926740404963</v>
      </c>
      <c r="T23" s="869"/>
      <c r="V23" s="876" t="n">
        <f aca="false">Assumptions!$B$42</f>
        <v>0</v>
      </c>
      <c r="W23" s="876" t="n">
        <v>6.5</v>
      </c>
      <c r="X23" s="877" t="n">
        <v>1</v>
      </c>
      <c r="Y23" s="878" t="n">
        <f aca="false">Assumptions!$B$7</f>
        <v>312</v>
      </c>
      <c r="Z23" s="879" t="n">
        <f aca="false">IF($Z$10=$V$10,V23,IF($Z$10=$W$10,W23,IF($Z$10=$X$10,X23,0)))</f>
        <v>0</v>
      </c>
      <c r="AA23" s="880" t="n">
        <f aca="false">Y23*Z23</f>
        <v>0</v>
      </c>
      <c r="AB23" s="881" t="n">
        <f aca="false">AA23*K23</f>
        <v>0</v>
      </c>
      <c r="AC23" s="188"/>
      <c r="AD23" s="882" t="n">
        <f aca="false">IF(Tables!$E$30="Michigan",INDEX('Michigan Curve'!$A$4:$S$256,MATCH('Monthly Table'!B23,'Michigan Curve'!$A$4:$A$256,0),MATCH("Michigan Selected Option Value US$/month",'Michigan Curve'!$A$4:$S$4,0)),INDEX('NY Curve'!$A$4:$T$256,MATCH('Monthly Table'!B23,'NY Curve'!$A$4:$A$256,0),MATCH("New York Selected Option Value US$/month",'NY Curve'!$A$4:$T$4,0)))</f>
        <v>93399.6020133013</v>
      </c>
      <c r="AE23" s="883" t="n">
        <f aca="false">AD23*K23</f>
        <v>133662.915941756</v>
      </c>
      <c r="AF23" s="188"/>
      <c r="AG23" s="884"/>
      <c r="AH23" s="188"/>
      <c r="AI23" s="885" t="n">
        <f aca="false">Assumptions!$B$50</f>
        <v>65</v>
      </c>
      <c r="AJ23" s="916"/>
      <c r="AK23" s="887" t="n">
        <f aca="false">IF(Tables!$E$30="Custom",'Monthly Table'!AI23,IF(Tables!$E$30="New York",INDEX('NY Curve'!$A$4:$G$256,MATCH('Monthly Table'!B23,'NY Curve'!$A$4:$A$256,0),MATCH("Super Peak Curve",'NY Curve'!$A$4:$G$4,0)),IF(Tables!$E$30="New York Flat",INDEX('NY Curve'!$A$4:$G$256,MATCH('Monthly Table'!B23,'NY Curve'!$A$4:$A$256,0),MATCH("Flat NY West",'NY Curve'!$A$4:$G$4,0)),INDEX('Michigan Curve'!$A$4:$F$256,MATCH('Monthly Table'!B23,'Michigan Curve'!$A$4:$A$256,0),MATCH("Michigan Super Peak Curve US$/MWhr",'Michigan Curve'!$A$4:$F$4,0)))))</f>
        <v>30.2940003890991</v>
      </c>
      <c r="AL23" s="888" t="n">
        <f aca="false">IF(D23&lt;=Tables!$B$21,IF($AL$10=$AI$10,AI23,IF($AL$10=$AJ$10,AJ23,IF($AL$10=$AK$10,AK23,0))),0)</f>
        <v>30.2940003890991</v>
      </c>
      <c r="AM23" s="889" t="n">
        <f aca="false">+AL23*K23</f>
        <v>43.3533370620896</v>
      </c>
      <c r="AN23" s="890" t="n">
        <f aca="false">IF((AL23*K23)&gt;(CP23+$BF$4),1,0)</f>
        <v>0</v>
      </c>
      <c r="AO23" s="891"/>
      <c r="AP23" s="894"/>
      <c r="AQ23" s="892" t="n">
        <f aca="false">IF(Tables!$E$30="New York",INDEX('NY Curve'!$A$4:$L$256,MATCH('Monthly Table'!B23,'NY Curve'!$A$4:$A$256,0),MATCH("New York Shoulder Hour Curve Mon-Fri",'NY Curve'!$A$4:$L$4,0)),IF(Tables!$E$30="Michigan",INDEX('Michigan Curve'!$A$4:$K$256,MATCH('Monthly Table'!B23,'Michigan Curve'!$A$4:$A$256,0),MATCH("Michigan Shoulder Hour Curve Mon-Fri",'Michigan Curve'!$A$4:$K$4,0))))</f>
        <v>29.1060003738403</v>
      </c>
      <c r="AR23" s="889" t="n">
        <f aca="false">AQ23*K23</f>
        <v>41.6532061969096</v>
      </c>
      <c r="AS23" s="893" t="n">
        <f aca="false">IF(AR23&gt;($CP23+$BF$4),1,0)</f>
        <v>0</v>
      </c>
      <c r="AT23" s="188"/>
      <c r="AU23" s="892" t="n">
        <f aca="false">IF(Tables!$E$30="New York",INDEX('NY Curve'!$A$4:$L$256,MATCH('Monthly Table'!$B23,'NY Curve'!$A$4:$A$256,0),MATCH("New York Saturday Super Peak",'NY Curve'!$A$4:$L$4,0)),IF(Tables!$E$30="Michigan",INDEX('Michigan Curve'!$A$4:$K$256,MATCH('Monthly Table'!$B23,'Michigan Curve'!$A$4:$A$256,0),MATCH("Michigan Saturday Super Peak",'Michigan Curve'!$A$4:$K$4,0))))</f>
        <v>22.44</v>
      </c>
      <c r="AV23" s="894" t="n">
        <f aca="false">AU23*K23</f>
        <v>32.1135825964852</v>
      </c>
      <c r="AW23" s="893" t="n">
        <f aca="false">IF(AV23&gt;($CP23+$BF$4),1,0)</f>
        <v>0</v>
      </c>
      <c r="AX23" s="892" t="n">
        <f aca="false">IF(Tables!$E$30="New York",INDEX('NY Curve'!$A$4:$L$256,MATCH('Monthly Table'!$B23,'NY Curve'!$A$4:$A$256,0),MATCH("New York Saturday Shoulder Peak",'NY Curve'!$A$4:$L$4,0)),IF(Tables!$E$30="Michigan",INDEX('Michigan Curve'!$A$4:$K$256,MATCH('Monthly Table'!$B23,'Michigan Curve'!$A$4:$A$256,0),MATCH("Michigan Saturday Shoulder Peak",'Michigan Curve'!$A$4:$K$4,0))))</f>
        <v>21.56</v>
      </c>
      <c r="AY23" s="895" t="n">
        <f aca="false">AX23*K23</f>
        <v>30.8542264162309</v>
      </c>
      <c r="AZ23" s="893" t="n">
        <f aca="false">IF(AY23&gt;($CP23+$BF$4),1,0)</f>
        <v>0</v>
      </c>
      <c r="BA23" s="188"/>
      <c r="BB23" s="892" t="n">
        <f aca="false">IF(Tables!$E$30="New York",INDEX('NY Curve'!$A$4:$M$256,MATCH('Monthly Table'!$B23,'NY Curve'!$A$4:$A$256,0),MATCH("NY Sunday Super Peak",'NY Curve'!$A$4:$M$4,0)),IF(Tables!$E$30="Michigan",INDEX('Michigan Curve'!$A$4:$L$256,MATCH('Monthly Table'!$B23,'Michigan Curve'!$A$4:$A$256,0),MATCH("Michigan Sunday Super Peak",'Michigan Curve'!$A$4:$L$4,0))))</f>
        <v>21.42</v>
      </c>
      <c r="BC23" s="894" t="n">
        <f aca="false">BB23*K23</f>
        <v>30.653874296645</v>
      </c>
      <c r="BD23" s="893" t="n">
        <f aca="false">IF(BC23&gt;($CP23+$BF$4),1,0)</f>
        <v>0</v>
      </c>
      <c r="BE23" s="188"/>
      <c r="BF23" s="896" t="n">
        <f aca="false">B23</f>
        <v>37257</v>
      </c>
      <c r="BG23" s="897" t="n">
        <f aca="false">IF($AN23=1,$E23*$BF$5,0)</f>
        <v>0</v>
      </c>
      <c r="BH23" s="897" t="n">
        <f aca="false">BG23</f>
        <v>0</v>
      </c>
      <c r="BI23" s="714" t="n">
        <f aca="false">IF($AN23=1,$E23*$BF$5,0)</f>
        <v>0</v>
      </c>
      <c r="BJ23" s="898" t="n">
        <f aca="false">IF('Monthly Table'!D23&lt;=Tables!$B$21,IF($BJ$10=$BG$10,BG23,IF($BJ$10=$BH$10,BH23,IF($BJ$10=$BI$10,BI23,0))),0)</f>
        <v>0</v>
      </c>
      <c r="BK23" s="288"/>
      <c r="BL23" s="898" t="n">
        <f aca="false">IF($AW23=1,$F23*$BF$5,0)</f>
        <v>0</v>
      </c>
      <c r="BM23" s="898" t="n">
        <f aca="false">IF($BD23=1,($G23+H23)*$BF$5,0)</f>
        <v>0</v>
      </c>
      <c r="BO23" s="898" t="n">
        <f aca="false">IF(AS23=1,BJ23,0)</f>
        <v>0</v>
      </c>
      <c r="BP23" s="898" t="n">
        <f aca="false">IF(AZ23=1,F23*$BF$5,0)</f>
        <v>0</v>
      </c>
      <c r="BR23" s="899" t="n">
        <f aca="false">IF(BJ23&gt;0,INDEX(OperationalDetail,MATCH("Capacity Degradation",ODColumn,0),MATCH('Monthly Table'!C23,ODRow,0)),0)</f>
        <v>0</v>
      </c>
      <c r="BS23" s="900" t="n">
        <f aca="false">BJ23*(1-BR23)*Tables!$C$10</f>
        <v>0</v>
      </c>
      <c r="BT23" s="883" t="n">
        <f aca="false">BS23*AL23/1000</f>
        <v>0</v>
      </c>
      <c r="BU23" s="883" t="n">
        <f aca="false">BT23*K23</f>
        <v>0</v>
      </c>
      <c r="BV23" s="188"/>
      <c r="BW23" s="901" t="n">
        <f aca="false">$BO23*(1-$BR23)*Tables!$C$36</f>
        <v>0</v>
      </c>
      <c r="BX23" s="902" t="n">
        <f aca="false">(BW23*AQ23)/1000</f>
        <v>0</v>
      </c>
      <c r="BY23" s="883" t="n">
        <f aca="false">BX23*K23</f>
        <v>0</v>
      </c>
      <c r="BZ23" s="188"/>
      <c r="CA23" s="901" t="n">
        <f aca="false">$BL23*(1-$BR23)*Tables!$C$36</f>
        <v>0</v>
      </c>
      <c r="CB23" s="902" t="n">
        <f aca="false">(CA23*AU23)/1000</f>
        <v>0</v>
      </c>
      <c r="CC23" s="883" t="n">
        <f aca="false">CB23*K23</f>
        <v>0</v>
      </c>
      <c r="CD23" s="901" t="n">
        <f aca="false">$BP23*(1-$BR23)*Tables!$C$36</f>
        <v>0</v>
      </c>
      <c r="CE23" s="902" t="n">
        <f aca="false">(CD23*AX23)/1000</f>
        <v>0</v>
      </c>
      <c r="CF23" s="883" t="n">
        <f aca="false">CE23*K23</f>
        <v>0</v>
      </c>
      <c r="CH23" s="901" t="n">
        <f aca="false">$BM23*(1-$BR23)*Tables!$C$36</f>
        <v>0</v>
      </c>
      <c r="CI23" s="902" t="n">
        <f aca="false">(CH23*BB23)/1000</f>
        <v>0</v>
      </c>
      <c r="CJ23" s="883" t="n">
        <f aca="false">CI23*K23</f>
        <v>0</v>
      </c>
      <c r="CK23" s="292"/>
      <c r="CL23" s="292" t="n">
        <f aca="false">C23-1</f>
        <v>2001</v>
      </c>
      <c r="CM23" s="903" t="n">
        <f aca="false">INDEX(OperationalDetail,MATCH("Degraded Heat Rate",ODColumn,0),MATCH('Monthly Table'!CL23,ODRow,0))/1000</f>
        <v>12.0656068</v>
      </c>
      <c r="CN23" s="904" t="n">
        <f aca="false">S23*CM23</f>
        <v>60.3191947853195</v>
      </c>
      <c r="CO23" s="905" t="n">
        <f aca="false">IF(A23="January",(CO22*(1+Assumptions!$E$32)),CO22)</f>
        <v>6.8703375</v>
      </c>
      <c r="CP23" s="906" t="n">
        <f aca="false">CN23+CO23</f>
        <v>67.1895322853195</v>
      </c>
      <c r="CQ23" s="292"/>
      <c r="CR23" s="856" t="str">
        <f aca="false">IF(BJ23=0,"",C23)</f>
        <v/>
      </c>
      <c r="CS23" s="856" t="str">
        <f aca="false">IF(BO23=0,"",$C23)</f>
        <v/>
      </c>
      <c r="CT23" s="856" t="str">
        <f aca="false">IF(BL23=0,"",$C23)</f>
        <v/>
      </c>
      <c r="CU23" s="856" t="str">
        <f aca="false">IF(BP23=0,"",$C23)</f>
        <v/>
      </c>
      <c r="CV23" s="856" t="str">
        <f aca="false">IF(BD23=0,"",$C23)</f>
        <v/>
      </c>
      <c r="CW23" s="907" t="n">
        <f aca="false">YEAR(BF23)</f>
        <v>2002</v>
      </c>
      <c r="CX23" s="908" t="n">
        <f aca="false">INDEX('NY Curve'!$A$4:$G$256,MATCH('Monthly Table'!B23,'NY Curve'!$A$4:$A$256,0),MATCH("New York 5 X 16",'NY Curve'!$A$4:$G$4,0))</f>
        <v>32</v>
      </c>
      <c r="CY23" s="909" t="n">
        <f aca="false">K23</f>
        <v>1.43108656847082</v>
      </c>
      <c r="CZ23" s="910" t="n">
        <f aca="false">CX23*CY23</f>
        <v>45.7947701910662</v>
      </c>
      <c r="DB23" s="911"/>
      <c r="DC23" s="911"/>
      <c r="DD23" s="95"/>
      <c r="DE23" s="912"/>
      <c r="DF23" s="913"/>
      <c r="DG23" s="292"/>
      <c r="DH23" s="292"/>
    </row>
    <row r="24" customFormat="false" ht="18.75" hidden="false" customHeight="true" outlineLevel="0" collapsed="false">
      <c r="A24" s="49" t="s">
        <v>811</v>
      </c>
      <c r="B24" s="863" t="n">
        <v>37288</v>
      </c>
      <c r="C24" s="288" t="n">
        <f aca="false">YEAR(B24)</f>
        <v>2002</v>
      </c>
      <c r="D24" s="864" t="n">
        <f aca="false">IF(A24="January",D23+1,D23)</f>
        <v>2</v>
      </c>
      <c r="E24" s="865" t="n">
        <v>20</v>
      </c>
      <c r="F24" s="866" t="n">
        <v>4</v>
      </c>
      <c r="G24" s="866" t="n">
        <v>4</v>
      </c>
      <c r="H24" s="866" t="n">
        <v>0</v>
      </c>
      <c r="I24" s="867" t="n">
        <f aca="false">SUM(E24:H24)</f>
        <v>28</v>
      </c>
      <c r="J24" s="868"/>
      <c r="K24" s="869" t="n">
        <f aca="false">INDEX(FX!$A$3:$C$362,MATCH(B24,FX!$A$3:$A$362,0),MATCH("Monthly Curve",FX!$A$2:$C$2,0))</f>
        <v>1.43036588367405</v>
      </c>
      <c r="L24" s="869"/>
      <c r="M24" s="914" t="n">
        <v>2.859</v>
      </c>
      <c r="N24" s="915" t="n">
        <v>0.3</v>
      </c>
      <c r="O24" s="714" t="n">
        <v>0.02</v>
      </c>
      <c r="P24" s="872" t="n">
        <f aca="false">N24+O24</f>
        <v>0.32</v>
      </c>
      <c r="Q24" s="873" t="n">
        <f aca="false">SUM(M24:O24)</f>
        <v>3.179</v>
      </c>
      <c r="R24" s="874" t="n">
        <f aca="false">Assumptions!$B$34</f>
        <v>0.312458892307692</v>
      </c>
      <c r="S24" s="875" t="n">
        <f aca="false">(Q24*K24)+R24</f>
        <v>4.8595920365075</v>
      </c>
      <c r="T24" s="869"/>
      <c r="V24" s="876" t="n">
        <f aca="false">Assumptions!$B$42</f>
        <v>0</v>
      </c>
      <c r="W24" s="876" t="n">
        <v>6.5</v>
      </c>
      <c r="X24" s="877" t="n">
        <v>1</v>
      </c>
      <c r="Y24" s="878" t="n">
        <f aca="false">Assumptions!$B$7</f>
        <v>312</v>
      </c>
      <c r="Z24" s="879" t="n">
        <f aca="false">IF($Z$10=$V$10,V24,IF($Z$10=$W$10,W24,IF($Z$10=$X$10,X24,0)))</f>
        <v>0</v>
      </c>
      <c r="AA24" s="880" t="n">
        <f aca="false">Y24*Z24</f>
        <v>0</v>
      </c>
      <c r="AB24" s="881" t="n">
        <f aca="false">AA24*K24</f>
        <v>0</v>
      </c>
      <c r="AC24" s="188"/>
      <c r="AD24" s="882" t="n">
        <f aca="false">IF(Tables!$E$30="Michigan",INDEX('Michigan Curve'!$A$4:$S$256,MATCH('Monthly Table'!B24,'Michigan Curve'!$A$4:$A$256,0),MATCH("Michigan Selected Option Value US$/month",'Michigan Curve'!$A$4:$S$4,0)),INDEX('NY Curve'!$A$4:$T$256,MATCH('Monthly Table'!B24,'NY Curve'!$A$4:$A$256,0),MATCH("New York Selected Option Value US$/month",'NY Curve'!$A$4:$T$4,0)))</f>
        <v>91903.2410848643</v>
      </c>
      <c r="AE24" s="883" t="n">
        <f aca="false">AD24*K24</f>
        <v>131455.260646861</v>
      </c>
      <c r="AF24" s="188"/>
      <c r="AG24" s="884"/>
      <c r="AH24" s="188"/>
      <c r="AI24" s="885" t="n">
        <f aca="false">Assumptions!$B$50</f>
        <v>65</v>
      </c>
      <c r="AJ24" s="916"/>
      <c r="AK24" s="887" t="n">
        <f aca="false">IF(Tables!$E$30="Custom",'Monthly Table'!AI24,IF(Tables!$E$30="New York",INDEX('NY Curve'!$A$4:$G$256,MATCH('Monthly Table'!B24,'NY Curve'!$A$4:$A$256,0),MATCH("Super Peak Curve",'NY Curve'!$A$4:$G$4,0)),IF(Tables!$E$30="New York Flat",INDEX('NY Curve'!$A$4:$G$256,MATCH('Monthly Table'!B24,'NY Curve'!$A$4:$A$256,0),MATCH("Flat NY West",'NY Curve'!$A$4:$G$4,0)),INDEX('Michigan Curve'!$A$4:$F$256,MATCH('Monthly Table'!B24,'Michigan Curve'!$A$4:$A$256,0),MATCH("Michigan Super Peak Curve US$/MWhr",'Michigan Curve'!$A$4:$F$4,0)))))</f>
        <v>30.2939984436035</v>
      </c>
      <c r="AL24" s="888" t="n">
        <f aca="false">IF(D24&lt;=Tables!$B$21,IF($AL$10=$AI$10,AI24,IF($AL$10=$AJ$10,AJ24,IF($AL$10=$AK$10,AK24,0))),0)</f>
        <v>30.2939984436035</v>
      </c>
      <c r="AM24" s="889" t="n">
        <f aca="false">+AL24*K24</f>
        <v>43.3315018538052</v>
      </c>
      <c r="AN24" s="890" t="n">
        <f aca="false">IF((AL24*K24)&gt;(CP24+$BF$4),1,0)</f>
        <v>0</v>
      </c>
      <c r="AO24" s="891"/>
      <c r="AP24" s="894"/>
      <c r="AQ24" s="892" t="n">
        <f aca="false">IF(Tables!$E$30="New York",INDEX('NY Curve'!$A$4:$L$256,MATCH('Monthly Table'!B24,'NY Curve'!$A$4:$A$256,0),MATCH("New York Shoulder Hour Curve Mon-Fri",'NY Curve'!$A$4:$L$4,0)),IF(Tables!$E$30="Michigan",INDEX('Michigan Curve'!$A$4:$K$256,MATCH('Monthly Table'!B24,'Michigan Curve'!$A$4:$A$256,0),MATCH("Michigan Shoulder Hour Curve Mon-Fri",'Michigan Curve'!$A$4:$K$4,0))))</f>
        <v>29.1059985046387</v>
      </c>
      <c r="AR24" s="889" t="n">
        <f aca="false">AQ24*K24</f>
        <v>41.6322272713031</v>
      </c>
      <c r="AS24" s="893" t="n">
        <f aca="false">IF(AR24&gt;($CP24+$BF$4),1,0)</f>
        <v>0</v>
      </c>
      <c r="AT24" s="188"/>
      <c r="AU24" s="892" t="n">
        <f aca="false">IF(Tables!$E$30="New York",INDEX('NY Curve'!$A$4:$L$256,MATCH('Monthly Table'!$B24,'NY Curve'!$A$4:$A$256,0),MATCH("New York Saturday Super Peak",'NY Curve'!$A$4:$L$4,0)),IF(Tables!$E$30="Michigan",INDEX('Michigan Curve'!$A$4:$K$256,MATCH('Monthly Table'!$B24,'Michigan Curve'!$A$4:$A$256,0),MATCH("Michigan Saturday Super Peak",'Michigan Curve'!$A$4:$K$4,0))))</f>
        <v>22.4359202957153</v>
      </c>
      <c r="AV24" s="894" t="n">
        <f aca="false">AU24*K24</f>
        <v>32.0915749598214</v>
      </c>
      <c r="AW24" s="893" t="n">
        <f aca="false">IF(AV24&gt;($CP24+$BF$4),1,0)</f>
        <v>0</v>
      </c>
      <c r="AX24" s="892" t="n">
        <f aca="false">IF(Tables!$E$30="New York",INDEX('NY Curve'!$A$4:$L$256,MATCH('Monthly Table'!$B24,'NY Curve'!$A$4:$A$256,0),MATCH("New York Saturday Shoulder Peak",'NY Curve'!$A$4:$L$4,0)),IF(Tables!$E$30="Michigan",INDEX('Michigan Curve'!$A$4:$K$256,MATCH('Monthly Table'!$B24,'Michigan Curve'!$A$4:$A$256,0),MATCH("Michigan Saturday Shoulder Peak",'Michigan Curve'!$A$4:$K$4,0))))</f>
        <v>21.5560802841187</v>
      </c>
      <c r="AY24" s="895" t="n">
        <f aca="false">AX24*K24</f>
        <v>30.8330818241421</v>
      </c>
      <c r="AZ24" s="893" t="n">
        <f aca="false">IF(AY24&gt;($CP24+$BF$4),1,0)</f>
        <v>0</v>
      </c>
      <c r="BA24" s="188"/>
      <c r="BB24" s="892" t="n">
        <f aca="false">IF(Tables!$E$30="New York",INDEX('NY Curve'!$A$4:$M$256,MATCH('Monthly Table'!$B24,'NY Curve'!$A$4:$A$256,0),MATCH("NY Sunday Super Peak",'NY Curve'!$A$4:$M$4,0)),IF(Tables!$E$30="Michigan",INDEX('Michigan Curve'!$A$4:$L$256,MATCH('Monthly Table'!$B24,'Michigan Curve'!$A$4:$A$256,0),MATCH("Michigan Sunday Super Peak",'Michigan Curve'!$A$4:$L$4,0))))</f>
        <v>21.4164319610596</v>
      </c>
      <c r="BC24" s="894" t="n">
        <f aca="false">BB24*K24</f>
        <v>30.6333336271261</v>
      </c>
      <c r="BD24" s="893" t="n">
        <f aca="false">IF(BC24&gt;($CP24+$BF$4),1,0)</f>
        <v>0</v>
      </c>
      <c r="BE24" s="188"/>
      <c r="BF24" s="896" t="n">
        <f aca="false">B24</f>
        <v>37288</v>
      </c>
      <c r="BG24" s="897" t="n">
        <f aca="false">IF($AN24=1,$E24*$BF$5,0)</f>
        <v>0</v>
      </c>
      <c r="BH24" s="897" t="n">
        <f aca="false">BG24</f>
        <v>0</v>
      </c>
      <c r="BI24" s="714" t="n">
        <f aca="false">IF($AN24=1,$E24*$BF$5,0)</f>
        <v>0</v>
      </c>
      <c r="BJ24" s="898" t="n">
        <f aca="false">IF('Monthly Table'!D24&lt;=Tables!$B$21,IF($BJ$10=$BG$10,BG24,IF($BJ$10=$BH$10,BH24,IF($BJ$10=$BI$10,BI24,0))),0)</f>
        <v>0</v>
      </c>
      <c r="BK24" s="288"/>
      <c r="BL24" s="898" t="n">
        <f aca="false">IF($AW24=1,$F24*$BF$5,0)</f>
        <v>0</v>
      </c>
      <c r="BM24" s="898" t="n">
        <f aca="false">IF($BD24=1,($G24+H24)*$BF$5,0)</f>
        <v>0</v>
      </c>
      <c r="BO24" s="898" t="n">
        <f aca="false">IF(AS24=1,BJ24,0)</f>
        <v>0</v>
      </c>
      <c r="BP24" s="898" t="n">
        <f aca="false">IF(AZ24=1,F24*$BF$5,0)</f>
        <v>0</v>
      </c>
      <c r="BR24" s="899" t="n">
        <f aca="false">IF(BJ24&gt;0,INDEX(OperationalDetail,MATCH("Capacity Degradation",ODColumn,0),MATCH('Monthly Table'!C24,ODRow,0)),0)</f>
        <v>0</v>
      </c>
      <c r="BS24" s="900" t="n">
        <f aca="false">BJ24*(1-BR24)*Tables!$C$10</f>
        <v>0</v>
      </c>
      <c r="BT24" s="883" t="n">
        <f aca="false">BS24*AL24/1000</f>
        <v>0</v>
      </c>
      <c r="BU24" s="883" t="n">
        <f aca="false">BT24*K24</f>
        <v>0</v>
      </c>
      <c r="BV24" s="188"/>
      <c r="BW24" s="901" t="n">
        <f aca="false">$BO24*(1-$BR24)*Tables!$C$36</f>
        <v>0</v>
      </c>
      <c r="BX24" s="902" t="n">
        <f aca="false">(BW24*AQ24)/1000</f>
        <v>0</v>
      </c>
      <c r="BY24" s="883" t="n">
        <f aca="false">BX24*K24</f>
        <v>0</v>
      </c>
      <c r="BZ24" s="188"/>
      <c r="CA24" s="901" t="n">
        <f aca="false">$BL24*(1-$BR24)*Tables!$C$36</f>
        <v>0</v>
      </c>
      <c r="CB24" s="902" t="n">
        <f aca="false">(CA24*AU24)/1000</f>
        <v>0</v>
      </c>
      <c r="CC24" s="883" t="n">
        <f aca="false">CB24*K24</f>
        <v>0</v>
      </c>
      <c r="CD24" s="901" t="n">
        <f aca="false">$BP24*(1-$BR24)*Tables!$C$36</f>
        <v>0</v>
      </c>
      <c r="CE24" s="902" t="n">
        <f aca="false">(CD24*AX24)/1000</f>
        <v>0</v>
      </c>
      <c r="CF24" s="883" t="n">
        <f aca="false">CE24*K24</f>
        <v>0</v>
      </c>
      <c r="CH24" s="901" t="n">
        <f aca="false">$BM24*(1-$BR24)*Tables!$C$36</f>
        <v>0</v>
      </c>
      <c r="CI24" s="902" t="n">
        <f aca="false">(CH24*BB24)/1000</f>
        <v>0</v>
      </c>
      <c r="CJ24" s="883" t="n">
        <f aca="false">CI24*K24</f>
        <v>0</v>
      </c>
      <c r="CK24" s="292"/>
      <c r="CL24" s="292" t="n">
        <f aca="false">C24-1</f>
        <v>2001</v>
      </c>
      <c r="CM24" s="903" t="n">
        <f aca="false">INDEX(OperationalDetail,MATCH("Degraded Heat Rate",ODColumn,0),MATCH('Monthly Table'!CL24,ODRow,0))/1000</f>
        <v>12.0656068</v>
      </c>
      <c r="CN24" s="904" t="n">
        <f aca="false">S24*CM24</f>
        <v>58.6339267209107</v>
      </c>
      <c r="CO24" s="905" t="n">
        <f aca="false">IF(A24="January",(CO23*(1+Assumptions!$E$32)),CO23)</f>
        <v>6.8703375</v>
      </c>
      <c r="CP24" s="906" t="n">
        <f aca="false">CN24+CO24</f>
        <v>65.5042642209107</v>
      </c>
      <c r="CQ24" s="292"/>
      <c r="CR24" s="856" t="str">
        <f aca="false">IF(BJ24=0,"",C24)</f>
        <v/>
      </c>
      <c r="CS24" s="856" t="str">
        <f aca="false">IF(BO24=0,"",$C24)</f>
        <v/>
      </c>
      <c r="CT24" s="856" t="str">
        <f aca="false">IF(BL24=0,"",$C24)</f>
        <v/>
      </c>
      <c r="CU24" s="856" t="str">
        <f aca="false">IF(BP24=0,"",$C24)</f>
        <v/>
      </c>
      <c r="CV24" s="856" t="str">
        <f aca="false">IF(BD24=0,"",$C24)</f>
        <v/>
      </c>
      <c r="CW24" s="907" t="n">
        <f aca="false">YEAR(BF24)</f>
        <v>2002</v>
      </c>
      <c r="CX24" s="908" t="n">
        <f aca="false">INDEX('NY Curve'!$A$4:$G$256,MATCH('Monthly Table'!B24,'NY Curve'!$A$4:$A$256,0),MATCH("New York 5 X 16",'NY Curve'!$A$4:$G$4,0))</f>
        <v>32</v>
      </c>
      <c r="CY24" s="909" t="n">
        <f aca="false">K24</f>
        <v>1.43036588367405</v>
      </c>
      <c r="CZ24" s="910" t="n">
        <f aca="false">CX24*CY24</f>
        <v>45.7717082775696</v>
      </c>
      <c r="DB24" s="911"/>
      <c r="DC24" s="911"/>
      <c r="DD24" s="95"/>
      <c r="DE24" s="912"/>
      <c r="DF24" s="913"/>
      <c r="DG24" s="292"/>
      <c r="DH24" s="292"/>
    </row>
    <row r="25" customFormat="false" ht="18.75" hidden="false" customHeight="true" outlineLevel="0" collapsed="false">
      <c r="A25" s="49" t="s">
        <v>812</v>
      </c>
      <c r="B25" s="863" t="n">
        <v>37316</v>
      </c>
      <c r="C25" s="288" t="n">
        <f aca="false">YEAR(B25)</f>
        <v>2002</v>
      </c>
      <c r="D25" s="864" t="n">
        <f aca="false">IF(A25="January",D24+1,D24)</f>
        <v>2</v>
      </c>
      <c r="E25" s="865" t="n">
        <v>21</v>
      </c>
      <c r="F25" s="866" t="n">
        <v>5</v>
      </c>
      <c r="G25" s="866" t="n">
        <v>5</v>
      </c>
      <c r="H25" s="866" t="n">
        <v>0</v>
      </c>
      <c r="I25" s="867" t="n">
        <f aca="false">SUM(E25:H25)</f>
        <v>31</v>
      </c>
      <c r="J25" s="868"/>
      <c r="K25" s="869" t="n">
        <f aca="false">INDEX(FX!$A$3:$C$362,MATCH(B25,FX!$A$3:$A$362,0),MATCH("Monthly Curve",FX!$A$2:$C$2,0))</f>
        <v>1.42974057335624</v>
      </c>
      <c r="L25" s="869"/>
      <c r="M25" s="914" t="n">
        <v>2.726</v>
      </c>
      <c r="N25" s="915" t="n">
        <v>0.3</v>
      </c>
      <c r="O25" s="714" t="n">
        <v>0.02</v>
      </c>
      <c r="P25" s="872" t="n">
        <f aca="false">N25+O25</f>
        <v>0.32</v>
      </c>
      <c r="Q25" s="873" t="n">
        <f aca="false">SUM(M25:O25)</f>
        <v>3.046</v>
      </c>
      <c r="R25" s="874" t="n">
        <f aca="false">Assumptions!$B$34</f>
        <v>0.312458892307692</v>
      </c>
      <c r="S25" s="875" t="n">
        <f aca="false">(Q25*K25)+R25</f>
        <v>4.6674486787508</v>
      </c>
      <c r="T25" s="869"/>
      <c r="V25" s="876" t="n">
        <f aca="false">Assumptions!$B$42</f>
        <v>0</v>
      </c>
      <c r="W25" s="876" t="n">
        <v>6.5</v>
      </c>
      <c r="X25" s="877" t="n">
        <v>1</v>
      </c>
      <c r="Y25" s="878" t="n">
        <f aca="false">Assumptions!$B$7</f>
        <v>312</v>
      </c>
      <c r="Z25" s="879" t="n">
        <f aca="false">IF($Z$10=$V$10,V25,IF($Z$10=$W$10,W25,IF($Z$10=$X$10,X25,0)))</f>
        <v>0</v>
      </c>
      <c r="AA25" s="880" t="n">
        <f aca="false">Y25*Z25</f>
        <v>0</v>
      </c>
      <c r="AB25" s="881" t="n">
        <f aca="false">AA25*K25</f>
        <v>0</v>
      </c>
      <c r="AC25" s="188"/>
      <c r="AD25" s="882" t="n">
        <f aca="false">IF(Tables!$E$30="Michigan",INDEX('Michigan Curve'!$A$4:$S$256,MATCH('Monthly Table'!B25,'Michigan Curve'!$A$4:$A$256,0),MATCH("Michigan Selected Option Value US$/month",'Michigan Curve'!$A$4:$S$4,0)),INDEX('NY Curve'!$A$4:$T$256,MATCH('Monthly Table'!B25,'NY Curve'!$A$4:$A$256,0),MATCH("New York Selected Option Value US$/month",'NY Curve'!$A$4:$T$4,0)))</f>
        <v>11431.9946587647</v>
      </c>
      <c r="AE25" s="883" t="n">
        <f aca="false">AD25*K25</f>
        <v>16344.7865980277</v>
      </c>
      <c r="AF25" s="188"/>
      <c r="AG25" s="884"/>
      <c r="AH25" s="188"/>
      <c r="AI25" s="885" t="n">
        <f aca="false">Assumptions!$B$50</f>
        <v>65</v>
      </c>
      <c r="AJ25" s="916"/>
      <c r="AK25" s="887" t="n">
        <f aca="false">IF(Tables!$E$30="Custom",'Monthly Table'!AI25,IF(Tables!$E$30="New York",INDEX('NY Curve'!$A$4:$G$256,MATCH('Monthly Table'!B25,'NY Curve'!$A$4:$A$256,0),MATCH("Super Peak Curve",'NY Curve'!$A$4:$G$4,0)),IF(Tables!$E$30="New York Flat",INDEX('NY Curve'!$A$4:$G$256,MATCH('Monthly Table'!B25,'NY Curve'!$A$4:$A$256,0),MATCH("Flat NY West",'NY Curve'!$A$4:$G$4,0)),INDEX('Michigan Curve'!$A$4:$F$256,MATCH('Monthly Table'!B25,'Michigan Curve'!$A$4:$A$256,0),MATCH("Michigan Super Peak Curve US$/MWhr",'Michigan Curve'!$A$4:$F$4,0)))))</f>
        <v>24.99</v>
      </c>
      <c r="AL25" s="888" t="n">
        <f aca="false">IF(D25&lt;=Tables!$B$21,IF($AL$10=$AI$10,AI25,IF($AL$10=$AJ$10,AJ25,IF($AL$10=$AK$10,AK25,0))),0)</f>
        <v>24.99</v>
      </c>
      <c r="AM25" s="889" t="n">
        <f aca="false">+AL25*K25</f>
        <v>35.7292169281724</v>
      </c>
      <c r="AN25" s="890" t="n">
        <f aca="false">IF((AL25*K25)&gt;(CP25+$BF$4),1,0)</f>
        <v>0</v>
      </c>
      <c r="AO25" s="891"/>
      <c r="AP25" s="894"/>
      <c r="AQ25" s="892" t="n">
        <f aca="false">IF(Tables!$E$30="New York",INDEX('NY Curve'!$A$4:$L$256,MATCH('Monthly Table'!B25,'NY Curve'!$A$4:$A$256,0),MATCH("New York Shoulder Hour Curve Mon-Fri",'NY Curve'!$A$4:$L$4,0)),IF(Tables!$E$30="Michigan",INDEX('Michigan Curve'!$A$4:$K$256,MATCH('Monthly Table'!B25,'Michigan Curve'!$A$4:$A$256,0),MATCH("Michigan Shoulder Hour Curve Mon-Fri",'Michigan Curve'!$A$4:$K$4,0))))</f>
        <v>24.01</v>
      </c>
      <c r="AR25" s="889" t="n">
        <f aca="false">AQ25*K25</f>
        <v>34.3280711662833</v>
      </c>
      <c r="AS25" s="893" t="n">
        <f aca="false">IF(AR25&gt;($CP25+$BF$4),1,0)</f>
        <v>0</v>
      </c>
      <c r="AT25" s="188"/>
      <c r="AU25" s="892" t="n">
        <f aca="false">IF(Tables!$E$30="New York",INDEX('NY Curve'!$A$4:$L$256,MATCH('Monthly Table'!$B25,'NY Curve'!$A$4:$A$256,0),MATCH("New York Saturday Super Peak",'NY Curve'!$A$4:$L$4,0)),IF(Tables!$E$30="Michigan",INDEX('Michigan Curve'!$A$4:$K$256,MATCH('Monthly Table'!$B25,'Michigan Curve'!$A$4:$A$256,0),MATCH("Michigan Saturday Super Peak",'Michigan Curve'!$A$4:$K$4,0))))</f>
        <v>20.4</v>
      </c>
      <c r="AV25" s="894" t="n">
        <f aca="false">AU25*K25</f>
        <v>29.1667076964673</v>
      </c>
      <c r="AW25" s="893" t="n">
        <f aca="false">IF(AV25&gt;($CP25+$BF$4),1,0)</f>
        <v>0</v>
      </c>
      <c r="AX25" s="892" t="n">
        <f aca="false">IF(Tables!$E$30="New York",INDEX('NY Curve'!$A$4:$L$256,MATCH('Monthly Table'!$B25,'NY Curve'!$A$4:$A$256,0),MATCH("New York Saturday Shoulder Peak",'NY Curve'!$A$4:$L$4,0)),IF(Tables!$E$30="Michigan",INDEX('Michigan Curve'!$A$4:$K$256,MATCH('Monthly Table'!$B25,'Michigan Curve'!$A$4:$A$256,0),MATCH("Michigan Saturday Shoulder Peak",'Michigan Curve'!$A$4:$K$4,0))))</f>
        <v>19.6</v>
      </c>
      <c r="AY25" s="895" t="n">
        <f aca="false">AX25*K25</f>
        <v>28.0229152377823</v>
      </c>
      <c r="AZ25" s="893" t="n">
        <f aca="false">IF(AY25&gt;($CP25+$BF$4),1,0)</f>
        <v>0</v>
      </c>
      <c r="BA25" s="188"/>
      <c r="BB25" s="892" t="n">
        <f aca="false">IF(Tables!$E$30="New York",INDEX('NY Curve'!$A$4:$M$256,MATCH('Monthly Table'!$B25,'NY Curve'!$A$4:$A$256,0),MATCH("NY Sunday Super Peak",'NY Curve'!$A$4:$M$4,0)),IF(Tables!$E$30="Michigan",INDEX('Michigan Curve'!$A$4:$L$256,MATCH('Monthly Table'!$B25,'Michigan Curve'!$A$4:$A$256,0),MATCH("Michigan Sunday Super Peak",'Michigan Curve'!$A$4:$L$4,0))))</f>
        <v>19.38</v>
      </c>
      <c r="BC25" s="894" t="n">
        <f aca="false">BB25*K25</f>
        <v>27.7083723116439</v>
      </c>
      <c r="BD25" s="893" t="n">
        <f aca="false">IF(BC25&gt;($CP25+$BF$4),1,0)</f>
        <v>0</v>
      </c>
      <c r="BE25" s="188"/>
      <c r="BF25" s="896" t="n">
        <f aca="false">B25</f>
        <v>37316</v>
      </c>
      <c r="BG25" s="897" t="n">
        <f aca="false">IF($AN25=1,$E25*$BF$5,0)</f>
        <v>0</v>
      </c>
      <c r="BH25" s="897" t="n">
        <f aca="false">BG25</f>
        <v>0</v>
      </c>
      <c r="BI25" s="714" t="n">
        <f aca="false">IF($AN25=1,$E25*$BF$5,0)</f>
        <v>0</v>
      </c>
      <c r="BJ25" s="898" t="n">
        <f aca="false">IF('Monthly Table'!D25&lt;=Tables!$B$21,IF($BJ$10=$BG$10,BG25,IF($BJ$10=$BH$10,BH25,IF($BJ$10=$BI$10,BI25,0))),0)</f>
        <v>0</v>
      </c>
      <c r="BK25" s="288"/>
      <c r="BL25" s="898" t="n">
        <f aca="false">IF($AW25=1,$F25*$BF$5,0)</f>
        <v>0</v>
      </c>
      <c r="BM25" s="898" t="n">
        <f aca="false">IF($BD25=1,($G25+H25)*$BF$5,0)</f>
        <v>0</v>
      </c>
      <c r="BO25" s="898" t="n">
        <f aca="false">IF(AS25=1,BJ25,0)</f>
        <v>0</v>
      </c>
      <c r="BP25" s="898" t="n">
        <f aca="false">IF(AZ25=1,F25*$BF$5,0)</f>
        <v>0</v>
      </c>
      <c r="BR25" s="899" t="n">
        <f aca="false">IF(BJ25&gt;0,INDEX(OperationalDetail,MATCH("Capacity Degradation",ODColumn,0),MATCH('Monthly Table'!C25,ODRow,0)),0)</f>
        <v>0</v>
      </c>
      <c r="BS25" s="900" t="n">
        <f aca="false">BJ25*(1-BR25)*Tables!$C$10</f>
        <v>0</v>
      </c>
      <c r="BT25" s="883" t="n">
        <f aca="false">BS25*AL25/1000</f>
        <v>0</v>
      </c>
      <c r="BU25" s="883" t="n">
        <f aca="false">BT25*K25</f>
        <v>0</v>
      </c>
      <c r="BV25" s="188"/>
      <c r="BW25" s="901" t="n">
        <f aca="false">$BO25*(1-$BR25)*Tables!$C$36</f>
        <v>0</v>
      </c>
      <c r="BX25" s="902" t="n">
        <f aca="false">(BW25*AQ25)/1000</f>
        <v>0</v>
      </c>
      <c r="BY25" s="883" t="n">
        <f aca="false">BX25*K25</f>
        <v>0</v>
      </c>
      <c r="BZ25" s="188"/>
      <c r="CA25" s="901" t="n">
        <f aca="false">$BL25*(1-$BR25)*Tables!$C$36</f>
        <v>0</v>
      </c>
      <c r="CB25" s="902" t="n">
        <f aca="false">(CA25*AU25)/1000</f>
        <v>0</v>
      </c>
      <c r="CC25" s="883" t="n">
        <f aca="false">CB25*K25</f>
        <v>0</v>
      </c>
      <c r="CD25" s="901" t="n">
        <f aca="false">$BP25*(1-$BR25)*Tables!$C$36</f>
        <v>0</v>
      </c>
      <c r="CE25" s="902" t="n">
        <f aca="false">(CD25*AX25)/1000</f>
        <v>0</v>
      </c>
      <c r="CF25" s="883" t="n">
        <f aca="false">CE25*K25</f>
        <v>0</v>
      </c>
      <c r="CH25" s="901" t="n">
        <f aca="false">$BM25*(1-$BR25)*Tables!$C$36</f>
        <v>0</v>
      </c>
      <c r="CI25" s="902" t="n">
        <f aca="false">(CH25*BB25)/1000</f>
        <v>0</v>
      </c>
      <c r="CJ25" s="883" t="n">
        <f aca="false">CI25*K25</f>
        <v>0</v>
      </c>
      <c r="CK25" s="292"/>
      <c r="CL25" s="292" t="n">
        <f aca="false">C25-1</f>
        <v>2001</v>
      </c>
      <c r="CM25" s="903" t="n">
        <f aca="false">INDEX(OperationalDetail,MATCH("Degraded Heat Rate",ODColumn,0),MATCH('Monthly Table'!CL25,ODRow,0))/1000</f>
        <v>12.0656068</v>
      </c>
      <c r="CN25" s="904" t="n">
        <f aca="false">S25*CM25</f>
        <v>56.3156005169867</v>
      </c>
      <c r="CO25" s="905" t="n">
        <f aca="false">IF(A25="January",(CO24*(1+Assumptions!$E$32)),CO24)</f>
        <v>6.8703375</v>
      </c>
      <c r="CP25" s="906" t="n">
        <f aca="false">CN25+CO25</f>
        <v>63.1859380169867</v>
      </c>
      <c r="CQ25" s="292"/>
      <c r="CR25" s="856" t="str">
        <f aca="false">IF(BJ25=0,"",C25)</f>
        <v/>
      </c>
      <c r="CS25" s="856" t="str">
        <f aca="false">IF(BO25=0,"",$C25)</f>
        <v/>
      </c>
      <c r="CT25" s="856" t="str">
        <f aca="false">IF(BL25=0,"",$C25)</f>
        <v/>
      </c>
      <c r="CU25" s="856" t="str">
        <f aca="false">IF(BP25=0,"",$C25)</f>
        <v/>
      </c>
      <c r="CV25" s="856" t="str">
        <f aca="false">IF(BD25=0,"",$C25)</f>
        <v/>
      </c>
      <c r="CW25" s="907" t="n">
        <f aca="false">YEAR(BF25)</f>
        <v>2002</v>
      </c>
      <c r="CX25" s="908" t="n">
        <f aca="false">INDEX('NY Curve'!$A$4:$G$256,MATCH('Monthly Table'!B25,'NY Curve'!$A$4:$A$256,0),MATCH("New York 5 X 16",'NY Curve'!$A$4:$G$4,0))</f>
        <v>27</v>
      </c>
      <c r="CY25" s="909" t="n">
        <f aca="false">K25</f>
        <v>1.42974057335624</v>
      </c>
      <c r="CZ25" s="910" t="n">
        <f aca="false">CX25*CY25</f>
        <v>38.6029954806185</v>
      </c>
      <c r="DB25" s="911"/>
      <c r="DC25" s="911"/>
      <c r="DD25" s="95"/>
      <c r="DE25" s="912"/>
      <c r="DF25" s="970"/>
      <c r="DG25" s="292"/>
      <c r="DH25" s="292"/>
    </row>
    <row r="26" customFormat="false" ht="18.75" hidden="false" customHeight="true" outlineLevel="0" collapsed="false">
      <c r="A26" s="49" t="s">
        <v>813</v>
      </c>
      <c r="B26" s="863" t="n">
        <v>37347</v>
      </c>
      <c r="C26" s="288" t="n">
        <f aca="false">YEAR(B26)</f>
        <v>2002</v>
      </c>
      <c r="D26" s="864" t="n">
        <f aca="false">IF(A26="January",D25+1,D25)</f>
        <v>2</v>
      </c>
      <c r="E26" s="865" t="n">
        <v>22</v>
      </c>
      <c r="F26" s="866" t="n">
        <v>4</v>
      </c>
      <c r="G26" s="866" t="n">
        <v>4</v>
      </c>
      <c r="H26" s="866" t="n">
        <v>0</v>
      </c>
      <c r="I26" s="867" t="n">
        <f aca="false">SUM(E26:H26)</f>
        <v>30</v>
      </c>
      <c r="J26" s="868"/>
      <c r="K26" s="869" t="n">
        <f aca="false">INDEX(FX!$A$3:$C$362,MATCH(B26,FX!$A$3:$A$362,0),MATCH("Monthly Curve",FX!$A$2:$C$2,0))</f>
        <v>1.42913461091857</v>
      </c>
      <c r="L26" s="869"/>
      <c r="M26" s="914" t="n">
        <v>2.628</v>
      </c>
      <c r="N26" s="915" t="n">
        <v>0.135</v>
      </c>
      <c r="O26" s="714" t="n">
        <v>0.02</v>
      </c>
      <c r="P26" s="872" t="n">
        <f aca="false">N26+O26</f>
        <v>0.155</v>
      </c>
      <c r="Q26" s="873" t="n">
        <f aca="false">SUM(M26:O26)</f>
        <v>2.783</v>
      </c>
      <c r="R26" s="874" t="n">
        <f aca="false">Assumptions!$B$34</f>
        <v>0.312458892307692</v>
      </c>
      <c r="S26" s="875" t="n">
        <f aca="false">(Q26*K26)+R26</f>
        <v>4.28974051449407</v>
      </c>
      <c r="T26" s="869"/>
      <c r="V26" s="876" t="n">
        <f aca="false">Assumptions!$B$42</f>
        <v>0</v>
      </c>
      <c r="W26" s="876" t="n">
        <v>6.5</v>
      </c>
      <c r="X26" s="877" t="n">
        <v>1</v>
      </c>
      <c r="Y26" s="878" t="n">
        <f aca="false">Assumptions!$B$7</f>
        <v>312</v>
      </c>
      <c r="Z26" s="879" t="n">
        <f aca="false">IF($Z$10=$V$10,V26,IF($Z$10=$W$10,W26,IF($Z$10=$X$10,X26,0)))</f>
        <v>0</v>
      </c>
      <c r="AA26" s="880" t="n">
        <f aca="false">Y26*Z26</f>
        <v>0</v>
      </c>
      <c r="AB26" s="881" t="n">
        <f aca="false">AA26*K26</f>
        <v>0</v>
      </c>
      <c r="AC26" s="188"/>
      <c r="AD26" s="882" t="n">
        <f aca="false">IF(Tables!$E$30="Michigan",INDEX('Michigan Curve'!$A$4:$S$256,MATCH('Monthly Table'!B26,'Michigan Curve'!$A$4:$A$256,0),MATCH("Michigan Selected Option Value US$/month",'Michigan Curve'!$A$4:$S$4,0)),INDEX('NY Curve'!$A$4:$T$256,MATCH('Monthly Table'!B26,'NY Curve'!$A$4:$A$256,0),MATCH("New York Selected Option Value US$/month",'NY Curve'!$A$4:$T$4,0)))</f>
        <v>23357.1337353948</v>
      </c>
      <c r="AE26" s="883" t="n">
        <f aca="false">AD26*K26</f>
        <v>33380.4882331064</v>
      </c>
      <c r="AF26" s="188"/>
      <c r="AG26" s="884"/>
      <c r="AH26" s="188"/>
      <c r="AI26" s="885" t="n">
        <f aca="false">Assumptions!$B$50</f>
        <v>65</v>
      </c>
      <c r="AJ26" s="916"/>
      <c r="AK26" s="887" t="n">
        <f aca="false">IF(Tables!$E$30="Custom",'Monthly Table'!AI26,IF(Tables!$E$30="New York",INDEX('NY Curve'!$A$4:$G$256,MATCH('Monthly Table'!B26,'NY Curve'!$A$4:$A$256,0),MATCH("Super Peak Curve",'NY Curve'!$A$4:$G$4,0)),IF(Tables!$E$30="New York Flat",INDEX('NY Curve'!$A$4:$G$256,MATCH('Monthly Table'!B26,'NY Curve'!$A$4:$A$256,0),MATCH("Flat NY West",'NY Curve'!$A$4:$G$4,0)),INDEX('Michigan Curve'!$A$4:$F$256,MATCH('Monthly Table'!B26,'Michigan Curve'!$A$4:$A$256,0),MATCH("Michigan Super Peak Curve US$/MWhr",'Michigan Curve'!$A$4:$F$4,0)))))</f>
        <v>24.75</v>
      </c>
      <c r="AL26" s="888" t="n">
        <f aca="false">IF(D26&lt;=Tables!$B$21,IF($AL$10=$AI$10,AI26,IF($AL$10=$AJ$10,AJ26,IF($AL$10=$AK$10,AK26,0))),0)</f>
        <v>24.75</v>
      </c>
      <c r="AM26" s="889" t="n">
        <f aca="false">+AL26*K26</f>
        <v>35.3710816202346</v>
      </c>
      <c r="AN26" s="890" t="n">
        <f aca="false">IF((AL26*K26)&gt;(CP26+$BF$4),1,0)</f>
        <v>0</v>
      </c>
      <c r="AO26" s="891"/>
      <c r="AP26" s="894"/>
      <c r="AQ26" s="892" t="n">
        <f aca="false">IF(Tables!$E$30="New York",INDEX('NY Curve'!$A$4:$L$256,MATCH('Monthly Table'!B26,'NY Curve'!$A$4:$A$256,0),MATCH("New York Shoulder Hour Curve Mon-Fri",'NY Curve'!$A$4:$L$4,0)),IF(Tables!$E$30="Michigan",INDEX('Michigan Curve'!$A$4:$K$256,MATCH('Monthly Table'!B26,'Michigan Curve'!$A$4:$A$256,0),MATCH("Michigan Shoulder Hour Curve Mon-Fri",'Michigan Curve'!$A$4:$K$4,0))))</f>
        <v>24.75</v>
      </c>
      <c r="AR26" s="889" t="n">
        <f aca="false">AQ26*K26</f>
        <v>35.3710816202346</v>
      </c>
      <c r="AS26" s="893" t="n">
        <f aca="false">IF(AR26&gt;($CP26+$BF$4),1,0)</f>
        <v>0</v>
      </c>
      <c r="AT26" s="188"/>
      <c r="AU26" s="892" t="n">
        <f aca="false">IF(Tables!$E$30="New York",INDEX('NY Curve'!$A$4:$L$256,MATCH('Monthly Table'!$B26,'NY Curve'!$A$4:$A$256,0),MATCH("New York Saturday Super Peak",'NY Curve'!$A$4:$L$4,0)),IF(Tables!$E$30="Michigan",INDEX('Michigan Curve'!$A$4:$K$256,MATCH('Monthly Table'!$B26,'Michigan Curve'!$A$4:$A$256,0),MATCH("Michigan Saturday Super Peak",'Michigan Curve'!$A$4:$K$4,0))))</f>
        <v>20</v>
      </c>
      <c r="AV26" s="894" t="n">
        <f aca="false">AU26*K26</f>
        <v>28.5826922183714</v>
      </c>
      <c r="AW26" s="893" t="n">
        <f aca="false">IF(AV26&gt;($CP26+$BF$4),1,0)</f>
        <v>0</v>
      </c>
      <c r="AX26" s="892" t="n">
        <f aca="false">IF(Tables!$E$30="New York",INDEX('NY Curve'!$A$4:$L$256,MATCH('Monthly Table'!$B26,'NY Curve'!$A$4:$A$256,0),MATCH("New York Saturday Shoulder Peak",'NY Curve'!$A$4:$L$4,0)),IF(Tables!$E$30="Michigan",INDEX('Michigan Curve'!$A$4:$K$256,MATCH('Monthly Table'!$B26,'Michigan Curve'!$A$4:$A$256,0),MATCH("Michigan Saturday Shoulder Peak",'Michigan Curve'!$A$4:$K$4,0))))</f>
        <v>20</v>
      </c>
      <c r="AY26" s="895" t="n">
        <f aca="false">AX26*K26</f>
        <v>28.5826922183714</v>
      </c>
      <c r="AZ26" s="893" t="n">
        <f aca="false">IF(AY26&gt;($CP26+$BF$4),1,0)</f>
        <v>0</v>
      </c>
      <c r="BA26" s="188"/>
      <c r="BB26" s="892" t="n">
        <f aca="false">IF(Tables!$E$30="New York",INDEX('NY Curve'!$A$4:$M$256,MATCH('Monthly Table'!$B26,'NY Curve'!$A$4:$A$256,0),MATCH("NY Sunday Super Peak",'NY Curve'!$A$4:$M$4,0)),IF(Tables!$E$30="Michigan",INDEX('Michigan Curve'!$A$4:$L$256,MATCH('Monthly Table'!$B26,'Michigan Curve'!$A$4:$A$256,0),MATCH("Michigan Sunday Super Peak",'Michigan Curve'!$A$4:$L$4,0))))</f>
        <v>18.9950008392334</v>
      </c>
      <c r="BC26" s="894" t="n">
        <f aca="false">BB26*K26</f>
        <v>27.1464131337757</v>
      </c>
      <c r="BD26" s="893" t="n">
        <f aca="false">IF(BC26&gt;($CP26+$BF$4),1,0)</f>
        <v>0</v>
      </c>
      <c r="BE26" s="188"/>
      <c r="BF26" s="896" t="n">
        <f aca="false">B26</f>
        <v>37347</v>
      </c>
      <c r="BG26" s="897" t="n">
        <f aca="false">IF($AN26=1,$E26*$BF$5,0)</f>
        <v>0</v>
      </c>
      <c r="BH26" s="897" t="n">
        <f aca="false">BG26</f>
        <v>0</v>
      </c>
      <c r="BI26" s="714" t="n">
        <f aca="false">IF($AN26=1,$E26*$BF$5,0)</f>
        <v>0</v>
      </c>
      <c r="BJ26" s="898" t="n">
        <f aca="false">IF('Monthly Table'!D26&lt;=Tables!$B$21,IF($BJ$10=$BG$10,BG26,IF($BJ$10=$BH$10,BH26,IF($BJ$10=$BI$10,BI26,0))),0)</f>
        <v>0</v>
      </c>
      <c r="BK26" s="288"/>
      <c r="BL26" s="898" t="n">
        <f aca="false">IF($AW26=1,$F26*$BF$5,0)</f>
        <v>0</v>
      </c>
      <c r="BM26" s="898" t="n">
        <f aca="false">IF($BD26=1,($G26+H26)*$BF$5,0)</f>
        <v>0</v>
      </c>
      <c r="BO26" s="898" t="n">
        <f aca="false">IF(AS26=1,BJ26,0)</f>
        <v>0</v>
      </c>
      <c r="BP26" s="898" t="n">
        <f aca="false">IF(AZ26=1,F26*$BF$5,0)</f>
        <v>0</v>
      </c>
      <c r="BR26" s="899" t="n">
        <f aca="false">IF(BJ26&gt;0,INDEX(OperationalDetail,MATCH("Capacity Degradation",ODColumn,0),MATCH('Monthly Table'!C26,ODRow,0)),0)</f>
        <v>0</v>
      </c>
      <c r="BS26" s="900" t="n">
        <f aca="false">BJ26*(1-BR26)*Tables!$C$10</f>
        <v>0</v>
      </c>
      <c r="BT26" s="883" t="n">
        <f aca="false">BS26*AL26/1000</f>
        <v>0</v>
      </c>
      <c r="BU26" s="883" t="n">
        <f aca="false">BT26*K26</f>
        <v>0</v>
      </c>
      <c r="BV26" s="188"/>
      <c r="BW26" s="901" t="n">
        <f aca="false">$BO26*(1-$BR26)*Tables!$C$36</f>
        <v>0</v>
      </c>
      <c r="BX26" s="902" t="n">
        <f aca="false">(BW26*AQ26)/1000</f>
        <v>0</v>
      </c>
      <c r="BY26" s="883" t="n">
        <f aca="false">BX26*K26</f>
        <v>0</v>
      </c>
      <c r="BZ26" s="188"/>
      <c r="CA26" s="901" t="n">
        <f aca="false">$BL26*(1-$BR26)*Tables!$C$36</f>
        <v>0</v>
      </c>
      <c r="CB26" s="902" t="n">
        <f aca="false">(CA26*AU26)/1000</f>
        <v>0</v>
      </c>
      <c r="CC26" s="883" t="n">
        <f aca="false">CB26*K26</f>
        <v>0</v>
      </c>
      <c r="CD26" s="901" t="n">
        <f aca="false">$BP26*(1-$BR26)*Tables!$C$36</f>
        <v>0</v>
      </c>
      <c r="CE26" s="902" t="n">
        <f aca="false">(CD26*AX26)/1000</f>
        <v>0</v>
      </c>
      <c r="CF26" s="883" t="n">
        <f aca="false">CE26*K26</f>
        <v>0</v>
      </c>
      <c r="CH26" s="901" t="n">
        <f aca="false">$BM26*(1-$BR26)*Tables!$C$36</f>
        <v>0</v>
      </c>
      <c r="CI26" s="902" t="n">
        <f aca="false">(CH26*BB26)/1000</f>
        <v>0</v>
      </c>
      <c r="CJ26" s="883" t="n">
        <f aca="false">CI26*K26</f>
        <v>0</v>
      </c>
      <c r="CK26" s="292"/>
      <c r="CL26" s="292" t="n">
        <f aca="false">C26-1</f>
        <v>2001</v>
      </c>
      <c r="CM26" s="903" t="n">
        <f aca="false">INDEX(OperationalDetail,MATCH("Degraded Heat Rate",ODColumn,0),MATCH('Monthly Table'!CL26,ODRow,0))/1000</f>
        <v>12.0656068</v>
      </c>
      <c r="CN26" s="904" t="n">
        <f aca="false">S26*CM26</f>
        <v>51.7583223219152</v>
      </c>
      <c r="CO26" s="905" t="n">
        <f aca="false">IF(A26="January",(CO25*(1+Assumptions!$E$32)),CO25)</f>
        <v>6.8703375</v>
      </c>
      <c r="CP26" s="906" t="n">
        <f aca="false">CN26+CO26</f>
        <v>58.6286598219152</v>
      </c>
      <c r="CQ26" s="292"/>
      <c r="CR26" s="856" t="str">
        <f aca="false">IF(BJ26=0,"",C26)</f>
        <v/>
      </c>
      <c r="CS26" s="856" t="str">
        <f aca="false">IF(BO26=0,"",$C26)</f>
        <v/>
      </c>
      <c r="CT26" s="856" t="str">
        <f aca="false">IF(BL26=0,"",$C26)</f>
        <v/>
      </c>
      <c r="CU26" s="856" t="str">
        <f aca="false">IF(BP26=0,"",$C26)</f>
        <v/>
      </c>
      <c r="CV26" s="856" t="str">
        <f aca="false">IF(BD26=0,"",$C26)</f>
        <v/>
      </c>
      <c r="CW26" s="907" t="n">
        <f aca="false">YEAR(BF26)</f>
        <v>2002</v>
      </c>
      <c r="CX26" s="908" t="n">
        <f aca="false">INDEX('NY Curve'!$A$4:$G$256,MATCH('Monthly Table'!B26,'NY Curve'!$A$4:$A$256,0),MATCH("New York 5 X 16",'NY Curve'!$A$4:$G$4,0))</f>
        <v>25.75</v>
      </c>
      <c r="CY26" s="909" t="n">
        <f aca="false">K26</f>
        <v>1.42913461091857</v>
      </c>
      <c r="CZ26" s="910" t="n">
        <f aca="false">CX26*CY26</f>
        <v>36.8002162311532</v>
      </c>
      <c r="DB26" s="911"/>
      <c r="DC26" s="911"/>
      <c r="DD26" s="49"/>
      <c r="DE26" s="49"/>
      <c r="DF26" s="49"/>
      <c r="DG26" s="49"/>
    </row>
    <row r="27" customFormat="false" ht="18.75" hidden="false" customHeight="true" outlineLevel="0" collapsed="false">
      <c r="A27" s="49" t="s">
        <v>814</v>
      </c>
      <c r="B27" s="863" t="n">
        <v>37377</v>
      </c>
      <c r="C27" s="288" t="n">
        <f aca="false">YEAR(B27)</f>
        <v>2002</v>
      </c>
      <c r="D27" s="864" t="n">
        <f aca="false">IF(A27="January",D26+1,D26)</f>
        <v>2</v>
      </c>
      <c r="E27" s="865" t="n">
        <v>22</v>
      </c>
      <c r="F27" s="866" t="n">
        <v>4</v>
      </c>
      <c r="G27" s="866" t="n">
        <v>4</v>
      </c>
      <c r="H27" s="866" t="n">
        <v>1</v>
      </c>
      <c r="I27" s="867" t="n">
        <f aca="false">SUM(E27:H27)</f>
        <v>31</v>
      </c>
      <c r="J27" s="868"/>
      <c r="K27" s="869" t="n">
        <f aca="false">INDEX(FX!$A$3:$C$362,MATCH(B27,FX!$A$3:$A$362,0),MATCH("Monthly Curve",FX!$A$2:$C$2,0))</f>
        <v>1.4281177975516</v>
      </c>
      <c r="L27" s="869"/>
      <c r="M27" s="914" t="n">
        <v>2.602</v>
      </c>
      <c r="N27" s="915" t="n">
        <v>0.135</v>
      </c>
      <c r="O27" s="714" t="n">
        <v>0.02</v>
      </c>
      <c r="P27" s="872" t="n">
        <f aca="false">N27+O27</f>
        <v>0.155</v>
      </c>
      <c r="Q27" s="873" t="n">
        <f aca="false">SUM(M27:O27)</f>
        <v>2.757</v>
      </c>
      <c r="R27" s="874" t="n">
        <f aca="false">Assumptions!$B$34</f>
        <v>0.312458892307692</v>
      </c>
      <c r="S27" s="875" t="n">
        <f aca="false">(Q27*K27)+R27</f>
        <v>4.24977966015745</v>
      </c>
      <c r="T27" s="869"/>
      <c r="V27" s="876" t="n">
        <f aca="false">Assumptions!$B$42</f>
        <v>0</v>
      </c>
      <c r="W27" s="876" t="n">
        <v>6.5</v>
      </c>
      <c r="X27" s="877" t="n">
        <v>1</v>
      </c>
      <c r="Y27" s="878" t="n">
        <f aca="false">Assumptions!$B$7</f>
        <v>312</v>
      </c>
      <c r="Z27" s="879" t="n">
        <f aca="false">IF($Z$10=$V$10,V27,IF($Z$10=$W$10,W27,IF($Z$10=$X$10,X27,0)))</f>
        <v>0</v>
      </c>
      <c r="AA27" s="880" t="n">
        <f aca="false">Y27*Z27</f>
        <v>0</v>
      </c>
      <c r="AB27" s="881" t="n">
        <f aca="false">AA27*K27</f>
        <v>0</v>
      </c>
      <c r="AC27" s="188"/>
      <c r="AD27" s="882" t="n">
        <f aca="false">IF(Tables!$E$30="Michigan",INDEX('Michigan Curve'!$A$4:$S$256,MATCH('Monthly Table'!B27,'Michigan Curve'!$A$4:$A$256,0),MATCH("Michigan Selected Option Value US$/month",'Michigan Curve'!$A$4:$S$4,0)),INDEX('NY Curve'!$A$4:$T$256,MATCH('Monthly Table'!B27,'NY Curve'!$A$4:$A$256,0),MATCH("New York Selected Option Value US$/month",'NY Curve'!$A$4:$T$4,0)))</f>
        <v>190839.836138706</v>
      </c>
      <c r="AE27" s="883" t="n">
        <f aca="false">AD27*K27</f>
        <v>272541.766471517</v>
      </c>
      <c r="AF27" s="188"/>
      <c r="AG27" s="884"/>
      <c r="AH27" s="188"/>
      <c r="AI27" s="885" t="n">
        <f aca="false">Assumptions!$B$50</f>
        <v>65</v>
      </c>
      <c r="AJ27" s="916"/>
      <c r="AK27" s="887" t="n">
        <f aca="false">IF(Tables!$E$30="Custom",'Monthly Table'!AI27,IF(Tables!$E$30="New York",INDEX('NY Curve'!$A$4:$G$256,MATCH('Monthly Table'!B27,'NY Curve'!$A$4:$A$256,0),MATCH("Super Peak Curve",'NY Curve'!$A$4:$G$4,0)),IF(Tables!$E$30="New York Flat",INDEX('NY Curve'!$A$4:$G$256,MATCH('Monthly Table'!B27,'NY Curve'!$A$4:$A$256,0),MATCH("Flat NY West",'NY Curve'!$A$4:$G$4,0)),INDEX('Michigan Curve'!$A$4:$F$256,MATCH('Monthly Table'!B27,'Michigan Curve'!$A$4:$A$256,0),MATCH("Michigan Super Peak Curve US$/MWhr",'Michigan Curve'!$A$4:$F$4,0)))))</f>
        <v>30.942187551409</v>
      </c>
      <c r="AL27" s="888" t="n">
        <f aca="false">IF(D27&lt;=Tables!$B$21,IF($AL$10=$AI$10,AI27,IF($AL$10=$AJ$10,AJ27,IF($AL$10=$AK$10,AK27,0))),0)</f>
        <v>30.942187551409</v>
      </c>
      <c r="AM27" s="889" t="n">
        <f aca="false">+AL27*K27</f>
        <v>44.1890887373468</v>
      </c>
      <c r="AN27" s="890" t="n">
        <f aca="false">IF((AL27*K27)&gt;(CP27+$BF$4),1,0)</f>
        <v>0</v>
      </c>
      <c r="AO27" s="891"/>
      <c r="AP27" s="894"/>
      <c r="AQ27" s="892" t="n">
        <f aca="false">IF(Tables!$E$30="New York",INDEX('NY Curve'!$A$4:$L$256,MATCH('Monthly Table'!B27,'NY Curve'!$A$4:$A$256,0),MATCH("New York Shoulder Hour Curve Mon-Fri",'NY Curve'!$A$4:$L$4,0)),IF(Tables!$E$30="Michigan",INDEX('Michigan Curve'!$A$4:$K$256,MATCH('Monthly Table'!B27,'Michigan Curve'!$A$4:$A$256,0),MATCH("Michigan Shoulder Hour Curve Mon-Fri",'Michigan Curve'!$A$4:$K$4,0))))</f>
        <v>26.557812448591</v>
      </c>
      <c r="AR27" s="889" t="n">
        <f aca="false">AQ27*K27</f>
        <v>37.9276846218702</v>
      </c>
      <c r="AS27" s="893" t="n">
        <f aca="false">IF(AR27&gt;($CP27+$BF$4),1,0)</f>
        <v>0</v>
      </c>
      <c r="AT27" s="188"/>
      <c r="AU27" s="892" t="n">
        <f aca="false">IF(Tables!$E$30="New York",INDEX('NY Curve'!$A$4:$L$256,MATCH('Monthly Table'!$B27,'NY Curve'!$A$4:$A$256,0),MATCH("New York Saturday Super Peak",'NY Curve'!$A$4:$L$4,0)),IF(Tables!$E$30="Michigan",INDEX('Michigan Curve'!$A$4:$K$256,MATCH('Monthly Table'!$B27,'Michigan Curve'!$A$4:$A$256,0),MATCH("Michigan Saturday Super Peak",'Michigan Curve'!$A$4:$K$4,0))))</f>
        <v>22.6012500375509</v>
      </c>
      <c r="AV27" s="894" t="n">
        <f aca="false">AU27*K27</f>
        <v>32.2772474255402</v>
      </c>
      <c r="AW27" s="893" t="n">
        <f aca="false">IF(AV27&gt;($CP27+$BF$4),1,0)</f>
        <v>0</v>
      </c>
      <c r="AX27" s="892" t="n">
        <f aca="false">IF(Tables!$E$30="New York",INDEX('NY Curve'!$A$4:$L$256,MATCH('Monthly Table'!$B27,'NY Curve'!$A$4:$A$256,0),MATCH("New York Saturday Shoulder Peak",'NY Curve'!$A$4:$L$4,0)),IF(Tables!$E$30="Michigan",INDEX('Michigan Curve'!$A$4:$K$256,MATCH('Monthly Table'!$B27,'Michigan Curve'!$A$4:$A$256,0),MATCH("Michigan Saturday Shoulder Peak",'Michigan Curve'!$A$4:$K$4,0))))</f>
        <v>19.3987499624491</v>
      </c>
      <c r="AY27" s="895" t="n">
        <f aca="false">AX27*K27</f>
        <v>27.703700071627</v>
      </c>
      <c r="AZ27" s="893" t="n">
        <f aca="false">IF(AY27&gt;($CP27+$BF$4),1,0)</f>
        <v>0</v>
      </c>
      <c r="BA27" s="188"/>
      <c r="BB27" s="892" t="n">
        <f aca="false">IF(Tables!$E$30="New York",INDEX('NY Curve'!$A$4:$M$256,MATCH('Monthly Table'!$B27,'NY Curve'!$A$4:$A$256,0),MATCH("NY Sunday Super Peak",'NY Curve'!$A$4:$M$4,0)),IF(Tables!$E$30="Michigan",INDEX('Michigan Curve'!$A$4:$L$256,MATCH('Monthly Table'!$B27,'Michigan Curve'!$A$4:$A$256,0),MATCH("Michigan Sunday Super Peak",'Michigan Curve'!$A$4:$L$4,0))))</f>
        <v>21.5303803825468</v>
      </c>
      <c r="BC27" s="894" t="n">
        <f aca="false">BB27*K27</f>
        <v>30.7479194123709</v>
      </c>
      <c r="BD27" s="893" t="n">
        <f aca="false">IF(BC27&gt;($CP27+$BF$4),1,0)</f>
        <v>0</v>
      </c>
      <c r="BE27" s="188"/>
      <c r="BF27" s="896" t="n">
        <f aca="false">B27</f>
        <v>37377</v>
      </c>
      <c r="BG27" s="897" t="n">
        <f aca="false">IF($AN27=1,$E27*$BF$5,0)</f>
        <v>0</v>
      </c>
      <c r="BH27" s="897" t="n">
        <f aca="false">BG27</f>
        <v>0</v>
      </c>
      <c r="BI27" s="714" t="n">
        <f aca="false">IF($AN27=1,$E27*$BF$5,0)</f>
        <v>0</v>
      </c>
      <c r="BJ27" s="898" t="n">
        <f aca="false">IF('Monthly Table'!D27&lt;=Tables!$B$21,IF($BJ$10=$BG$10,BG27,IF($BJ$10=$BH$10,BH27,IF($BJ$10=$BI$10,BI27,0))),0)</f>
        <v>0</v>
      </c>
      <c r="BK27" s="288"/>
      <c r="BL27" s="898" t="n">
        <f aca="false">IF($AW27=1,$F27*$BF$5,0)</f>
        <v>0</v>
      </c>
      <c r="BM27" s="898" t="n">
        <f aca="false">IF($BD27=1,($G27+H27)*$BF$5,0)</f>
        <v>0</v>
      </c>
      <c r="BO27" s="898" t="n">
        <f aca="false">IF(AS27=1,BJ27,0)</f>
        <v>0</v>
      </c>
      <c r="BP27" s="898" t="n">
        <f aca="false">IF(AZ27=1,F27*$BF$5,0)</f>
        <v>0</v>
      </c>
      <c r="BR27" s="899" t="n">
        <f aca="false">IF(BJ27&gt;0,INDEX(OperationalDetail,MATCH("Capacity Degradation",ODColumn,0),MATCH('Monthly Table'!C27,ODRow,0)),0)</f>
        <v>0</v>
      </c>
      <c r="BS27" s="900" t="n">
        <f aca="false">BJ27*(1-BR27)*Tables!$C$10</f>
        <v>0</v>
      </c>
      <c r="BT27" s="883" t="n">
        <f aca="false">BS27*AL27/1000</f>
        <v>0</v>
      </c>
      <c r="BU27" s="883" t="n">
        <f aca="false">BT27*K27</f>
        <v>0</v>
      </c>
      <c r="BV27" s="188"/>
      <c r="BW27" s="901" t="n">
        <f aca="false">$BO27*(1-$BR27)*Tables!$C$36</f>
        <v>0</v>
      </c>
      <c r="BX27" s="902" t="n">
        <f aca="false">(BW27*AQ27)/1000</f>
        <v>0</v>
      </c>
      <c r="BY27" s="883" t="n">
        <f aca="false">BX27*K27</f>
        <v>0</v>
      </c>
      <c r="BZ27" s="188"/>
      <c r="CA27" s="901" t="n">
        <f aca="false">$BL27*(1-$BR27)*Tables!$C$36</f>
        <v>0</v>
      </c>
      <c r="CB27" s="902" t="n">
        <f aca="false">(CA27*AU27)/1000</f>
        <v>0</v>
      </c>
      <c r="CC27" s="883" t="n">
        <f aca="false">CB27*K27</f>
        <v>0</v>
      </c>
      <c r="CD27" s="901" t="n">
        <f aca="false">$BP27*(1-$BR27)*Tables!$C$36</f>
        <v>0</v>
      </c>
      <c r="CE27" s="902" t="n">
        <f aca="false">(CD27*AX27)/1000</f>
        <v>0</v>
      </c>
      <c r="CF27" s="883" t="n">
        <f aca="false">CE27*K27</f>
        <v>0</v>
      </c>
      <c r="CH27" s="901" t="n">
        <f aca="false">$BM27*(1-$BR27)*Tables!$C$36</f>
        <v>0</v>
      </c>
      <c r="CI27" s="902" t="n">
        <f aca="false">(CH27*BB27)/1000</f>
        <v>0</v>
      </c>
      <c r="CJ27" s="883" t="n">
        <f aca="false">CI27*K27</f>
        <v>0</v>
      </c>
      <c r="CK27" s="292"/>
      <c r="CL27" s="292" t="n">
        <f aca="false">C27-1</f>
        <v>2001</v>
      </c>
      <c r="CM27" s="903" t="n">
        <f aca="false">INDEX(OperationalDetail,MATCH("Degraded Heat Rate",ODColumn,0),MATCH('Monthly Table'!CL27,ODRow,0))/1000</f>
        <v>12.0656068</v>
      </c>
      <c r="CN27" s="904" t="n">
        <f aca="false">S27*CM27</f>
        <v>51.2761703660975</v>
      </c>
      <c r="CO27" s="905" t="n">
        <f aca="false">IF(A27="January",(CO26*(1+Assumptions!$E$32)),CO26)</f>
        <v>6.8703375</v>
      </c>
      <c r="CP27" s="906" t="n">
        <f aca="false">CN27+CO27</f>
        <v>58.1465078660975</v>
      </c>
      <c r="CQ27" s="292"/>
      <c r="CR27" s="856" t="str">
        <f aca="false">IF(BJ27=0,"",C27)</f>
        <v/>
      </c>
      <c r="CS27" s="856" t="str">
        <f aca="false">IF(BO27=0,"",$C27)</f>
        <v/>
      </c>
      <c r="CT27" s="856" t="str">
        <f aca="false">IF(BL27=0,"",$C27)</f>
        <v/>
      </c>
      <c r="CU27" s="856" t="str">
        <f aca="false">IF(BP27=0,"",$C27)</f>
        <v/>
      </c>
      <c r="CV27" s="856" t="str">
        <f aca="false">IF(BD27=0,"",$C27)</f>
        <v/>
      </c>
      <c r="CW27" s="907" t="n">
        <f aca="false">YEAR(BF27)</f>
        <v>2002</v>
      </c>
      <c r="CX27" s="908" t="n">
        <f aca="false">INDEX('NY Curve'!$A$4:$G$256,MATCH('Monthly Table'!B27,'NY Curve'!$A$4:$A$256,0),MATCH("New York 5 X 16",'NY Curve'!$A$4:$G$4,0))</f>
        <v>30</v>
      </c>
      <c r="CY27" s="909" t="n">
        <f aca="false">K27</f>
        <v>1.4281177975516</v>
      </c>
      <c r="CZ27" s="910" t="n">
        <f aca="false">CX27*CY27</f>
        <v>42.843533926548</v>
      </c>
      <c r="DB27" s="911"/>
      <c r="DC27" s="911"/>
    </row>
    <row r="28" customFormat="false" ht="18.75" hidden="false" customHeight="true" outlineLevel="0" collapsed="false">
      <c r="A28" s="49" t="s">
        <v>815</v>
      </c>
      <c r="B28" s="863" t="n">
        <v>37408</v>
      </c>
      <c r="C28" s="288" t="n">
        <f aca="false">YEAR(B28)</f>
        <v>2002</v>
      </c>
      <c r="D28" s="864" t="n">
        <f aca="false">IF(A28="January",D27+1,D27)</f>
        <v>2</v>
      </c>
      <c r="E28" s="865" t="n">
        <v>20</v>
      </c>
      <c r="F28" s="866" t="n">
        <v>5</v>
      </c>
      <c r="G28" s="866" t="n">
        <v>5</v>
      </c>
      <c r="H28" s="866" t="n">
        <v>0</v>
      </c>
      <c r="I28" s="867" t="n">
        <f aca="false">SUM(E28:H28)</f>
        <v>30</v>
      </c>
      <c r="J28" s="868"/>
      <c r="K28" s="869" t="n">
        <f aca="false">INDEX(FX!$A$3:$C$362,MATCH(B28,FX!$A$3:$A$362,0),MATCH("Monthly Curve",FX!$A$2:$C$2,0))</f>
        <v>1.42699723806337</v>
      </c>
      <c r="L28" s="869"/>
      <c r="M28" s="914" t="n">
        <v>2.611</v>
      </c>
      <c r="N28" s="915" t="n">
        <v>0.135</v>
      </c>
      <c r="O28" s="714" t="n">
        <v>0.02</v>
      </c>
      <c r="P28" s="872" t="n">
        <f aca="false">N28+O28</f>
        <v>0.155</v>
      </c>
      <c r="Q28" s="873" t="n">
        <f aca="false">SUM(M28:O28)</f>
        <v>2.766</v>
      </c>
      <c r="R28" s="874" t="n">
        <f aca="false">Assumptions!$B$34</f>
        <v>0.312458892307692</v>
      </c>
      <c r="S28" s="875" t="n">
        <f aca="false">(Q28*K28)+R28</f>
        <v>4.25953325279097</v>
      </c>
      <c r="T28" s="869"/>
      <c r="U28" s="917"/>
      <c r="V28" s="876" t="n">
        <f aca="false">Assumptions!$B$42</f>
        <v>0</v>
      </c>
      <c r="W28" s="876" t="n">
        <v>14</v>
      </c>
      <c r="X28" s="877" t="n">
        <v>24</v>
      </c>
      <c r="Y28" s="878" t="n">
        <f aca="false">Assumptions!$B$7</f>
        <v>312</v>
      </c>
      <c r="Z28" s="879" t="n">
        <f aca="false">IF($Z$10=$V$10,V28,IF($Z$10=$W$10,W28,IF($Z$10=$X$10,X28,0)))</f>
        <v>0</v>
      </c>
      <c r="AA28" s="880" t="n">
        <f aca="false">Y28*Z28</f>
        <v>0</v>
      </c>
      <c r="AB28" s="881" t="n">
        <f aca="false">AA28*K28</f>
        <v>0</v>
      </c>
      <c r="AC28" s="188"/>
      <c r="AD28" s="882" t="n">
        <f aca="false">IF(Tables!$E$30="Michigan",INDEX('Michigan Curve'!$A$4:$S$256,MATCH('Monthly Table'!B28,'Michigan Curve'!$A$4:$A$256,0),MATCH("Michigan Selected Option Value US$/month",'Michigan Curve'!$A$4:$S$4,0)),INDEX('NY Curve'!$A$4:$T$256,MATCH('Monthly Table'!B28,'NY Curve'!$A$4:$A$256,0),MATCH("New York Selected Option Value US$/month",'NY Curve'!$A$4:$T$4,0)))</f>
        <v>588368.133660508</v>
      </c>
      <c r="AE28" s="883" t="n">
        <f aca="false">AD28*K28</f>
        <v>839599.701698044</v>
      </c>
      <c r="AF28" s="188"/>
      <c r="AG28" s="884"/>
      <c r="AH28" s="188"/>
      <c r="AI28" s="885" t="n">
        <f aca="false">Assumptions!$B$50</f>
        <v>65</v>
      </c>
      <c r="AJ28" s="916"/>
      <c r="AK28" s="887" t="n">
        <f aca="false">IF(Tables!$E$30="Custom",'Monthly Table'!AI28,IF(Tables!$E$30="New York",INDEX('NY Curve'!$A$4:$G$256,MATCH('Monthly Table'!B28,'NY Curve'!$A$4:$A$256,0),MATCH("Super Peak Curve",'NY Curve'!$A$4:$G$4,0)),IF(Tables!$E$30="New York Flat",INDEX('NY Curve'!$A$4:$G$256,MATCH('Monthly Table'!B28,'NY Curve'!$A$4:$A$256,0),MATCH("Flat NY West",'NY Curve'!$A$4:$G$4,0)),INDEX('Michigan Curve'!$A$4:$F$256,MATCH('Monthly Table'!B28,'Michigan Curve'!$A$4:$A$256,0),MATCH("Michigan Super Peak Curve US$/MWhr",'Michigan Curve'!$A$4:$F$4,0)))))</f>
        <v>83.4302125325003</v>
      </c>
      <c r="AL28" s="888" t="n">
        <f aca="false">IF(D28&lt;=Tables!$B$21,IF($AL$10=$AI$10,AI28,IF($AL$10=$AJ$10,AJ28,IF($AL$10=$AK$10,AK28,0))),0)</f>
        <v>83.4302125325003</v>
      </c>
      <c r="AM28" s="889" t="n">
        <f aca="false">+AL28*K28</f>
        <v>119.054682854918</v>
      </c>
      <c r="AN28" s="890" t="n">
        <f aca="false">IF((AL28*K28)&gt;(CP28+$BF$4),1,0)</f>
        <v>1</v>
      </c>
      <c r="AO28" s="891"/>
      <c r="AP28" s="894"/>
      <c r="AQ28" s="892" t="n">
        <f aca="false">IF(Tables!$E$30="New York",INDEX('NY Curve'!$A$4:$L$256,MATCH('Monthly Table'!B28,'NY Curve'!$A$4:$A$256,0),MATCH("New York Shoulder Hour Curve Mon-Fri",'NY Curve'!$A$4:$L$4,0)),IF(Tables!$E$30="Michigan",INDEX('Michigan Curve'!$A$4:$K$256,MATCH('Monthly Table'!B28,'Michigan Curve'!$A$4:$A$256,0),MATCH("Michigan Shoulder Hour Curve Mon-Fri",'Michigan Curve'!$A$4:$K$4,0))))</f>
        <v>23.0697874674997</v>
      </c>
      <c r="AR28" s="889" t="n">
        <f aca="false">AQ28*K28</f>
        <v>32.920522998831</v>
      </c>
      <c r="AS28" s="893" t="n">
        <f aca="false">IF(AR28&gt;($CP28+$BF$4),1,0)</f>
        <v>0</v>
      </c>
      <c r="AT28" s="188"/>
      <c r="AU28" s="892" t="n">
        <f aca="false">IF(Tables!$E$30="New York",INDEX('NY Curve'!$A$4:$L$256,MATCH('Monthly Table'!$B28,'NY Curve'!$A$4:$A$256,0),MATCH("New York Saturday Super Peak",'NY Curve'!$A$4:$L$4,0)),IF(Tables!$E$30="Michigan",INDEX('Michigan Curve'!$A$4:$K$256,MATCH('Monthly Table'!$B28,'Michigan Curve'!$A$4:$A$256,0),MATCH("Michigan Saturday Super Peak",'Michigan Curve'!$A$4:$K$4,0))))</f>
        <v>40.7358784196246</v>
      </c>
      <c r="AV28" s="894" t="n">
        <f aca="false">AU28*K28</f>
        <v>58.1299859948895</v>
      </c>
      <c r="AW28" s="893" t="n">
        <f aca="false">IF(AV28&gt;($CP28+$BF$4),1,0)</f>
        <v>0</v>
      </c>
      <c r="AX28" s="892" t="n">
        <f aca="false">IF(Tables!$E$30="New York",INDEX('NY Curve'!$A$4:$L$256,MATCH('Monthly Table'!$B28,'NY Curve'!$A$4:$A$256,0),MATCH("New York Saturday Shoulder Peak",'NY Curve'!$A$4:$L$4,0)),IF(Tables!$E$30="Michigan",INDEX('Michigan Curve'!$A$4:$K$256,MATCH('Monthly Table'!$B28,'Michigan Curve'!$A$4:$A$256,0),MATCH("Michigan Saturday Shoulder Peak",'Michigan Curve'!$A$4:$K$4,0))))</f>
        <v>11.2641215803754</v>
      </c>
      <c r="AY28" s="895" t="n">
        <f aca="false">AX28*K28</f>
        <v>16.0738703844057</v>
      </c>
      <c r="AZ28" s="893" t="n">
        <f aca="false">IF(AY28&gt;($CP28+$BF$4),1,0)</f>
        <v>0</v>
      </c>
      <c r="BA28" s="188"/>
      <c r="BB28" s="892" t="n">
        <f aca="false">IF(Tables!$E$30="New York",INDEX('NY Curve'!$A$4:$M$256,MATCH('Monthly Table'!$B28,'NY Curve'!$A$4:$A$256,0),MATCH("NY Sunday Super Peak",'NY Curve'!$A$4:$M$4,0)),IF(Tables!$E$30="Michigan",INDEX('Michigan Curve'!$A$4:$L$256,MATCH('Monthly Table'!$B28,'Michigan Curve'!$A$4:$A$256,0),MATCH("Michigan Sunday Super Peak",'Michigan Curve'!$A$4:$L$4,0))))</f>
        <v>37.6023493104227</v>
      </c>
      <c r="BC28" s="894" t="n">
        <f aca="false">BB28*K28</f>
        <v>53.6584486106672</v>
      </c>
      <c r="BD28" s="893" t="n">
        <f aca="false">IF(BC28&gt;($CP28+$BF$4),1,0)</f>
        <v>0</v>
      </c>
      <c r="BE28" s="188"/>
      <c r="BF28" s="896" t="n">
        <f aca="false">B28</f>
        <v>37408</v>
      </c>
      <c r="BG28" s="897" t="n">
        <f aca="false">IF($AN28=1,$E28*$BF$5,0)</f>
        <v>160</v>
      </c>
      <c r="BH28" s="897" t="n">
        <f aca="false">BG28</f>
        <v>160</v>
      </c>
      <c r="BI28" s="714" t="n">
        <f aca="false">IF($AN28=1,$E28*$BF$5,0)</f>
        <v>160</v>
      </c>
      <c r="BJ28" s="898" t="n">
        <f aca="false">IF('Monthly Table'!D28&lt;=Tables!$B$21,IF($BJ$10=$BG$10,BG28,IF($BJ$10=$BH$10,BH28,IF($BJ$10=$BI$10,BI28,0))),0)</f>
        <v>160</v>
      </c>
      <c r="BK28" s="288"/>
      <c r="BL28" s="898" t="n">
        <f aca="false">IF($AW28=1,$F28*$BF$5,0)</f>
        <v>0</v>
      </c>
      <c r="BM28" s="898" t="n">
        <f aca="false">IF($BD28=1,($G28+H28)*$BF$5,0)</f>
        <v>0</v>
      </c>
      <c r="BO28" s="898" t="n">
        <f aca="false">IF(AS28=1,BJ28,0)</f>
        <v>0</v>
      </c>
      <c r="BP28" s="898" t="n">
        <f aca="false">IF(AZ28=1,F28*$BF$5,0)</f>
        <v>0</v>
      </c>
      <c r="BR28" s="899" t="n">
        <f aca="false">IF(BJ28&gt;0,INDEX(OperationalDetail,MATCH("Capacity Degradation",ODColumn,0),MATCH('Monthly Table'!C28,ODRow,0)),0)</f>
        <v>0.0116</v>
      </c>
      <c r="BS28" s="900" t="n">
        <f aca="false">BJ28*(1-BR28)*Tables!$C$10</f>
        <v>51238.656</v>
      </c>
      <c r="BT28" s="883" t="n">
        <f aca="false">BS28*AL28/1000</f>
        <v>4274.85195995967</v>
      </c>
      <c r="BU28" s="883" t="n">
        <f aca="false">BT28*K28</f>
        <v>6100.20193999224</v>
      </c>
      <c r="BV28" s="188"/>
      <c r="BW28" s="901" t="n">
        <f aca="false">$BO28*(1-$BR28)*Tables!$C$36</f>
        <v>0</v>
      </c>
      <c r="BX28" s="902" t="n">
        <f aca="false">(BW28*AQ28)/1000</f>
        <v>0</v>
      </c>
      <c r="BY28" s="883" t="n">
        <f aca="false">BX28*K28</f>
        <v>0</v>
      </c>
      <c r="BZ28" s="188"/>
      <c r="CA28" s="901" t="n">
        <f aca="false">$BL28*(1-$BR28)*Tables!$C$36</f>
        <v>0</v>
      </c>
      <c r="CB28" s="902" t="n">
        <f aca="false">(CA28*AU28)/1000</f>
        <v>0</v>
      </c>
      <c r="CC28" s="883" t="n">
        <f aca="false">CB28*K28</f>
        <v>0</v>
      </c>
      <c r="CD28" s="901" t="n">
        <f aca="false">$BP28*(1-$BR28)*Tables!$C$36</f>
        <v>0</v>
      </c>
      <c r="CE28" s="902" t="n">
        <f aca="false">(CD28*AX28)/1000</f>
        <v>0</v>
      </c>
      <c r="CF28" s="883" t="n">
        <f aca="false">CE28*K28</f>
        <v>0</v>
      </c>
      <c r="CH28" s="901" t="n">
        <f aca="false">$BM28*(1-$BR28)*Tables!$C$36</f>
        <v>0</v>
      </c>
      <c r="CI28" s="902" t="n">
        <f aca="false">(CH28*BB28)/1000</f>
        <v>0</v>
      </c>
      <c r="CJ28" s="883" t="n">
        <f aca="false">CI28*K28</f>
        <v>0</v>
      </c>
      <c r="CK28" s="292"/>
      <c r="CL28" s="292" t="n">
        <f aca="false">C28-1</f>
        <v>2001</v>
      </c>
      <c r="CM28" s="903" t="n">
        <f aca="false">INDEX(OperationalDetail,MATCH("Degraded Heat Rate",ODColumn,0),MATCH('Monthly Table'!CL28,ODRow,0))/1000</f>
        <v>12.0656068</v>
      </c>
      <c r="CN28" s="904" t="n">
        <f aca="false">S28*CM28</f>
        <v>51.3938533797009</v>
      </c>
      <c r="CO28" s="905" t="n">
        <f aca="false">IF(A28="January",(CO27*(1+Assumptions!$E$32)),CO27)</f>
        <v>6.8703375</v>
      </c>
      <c r="CP28" s="906" t="n">
        <f aca="false">CN28+CO28</f>
        <v>58.2641908797009</v>
      </c>
      <c r="CQ28" s="292"/>
      <c r="CR28" s="856" t="n">
        <f aca="false">IF(BJ28=0,"",C28)</f>
        <v>2002</v>
      </c>
      <c r="CS28" s="856" t="str">
        <f aca="false">IF(BO28=0,"",$C28)</f>
        <v/>
      </c>
      <c r="CT28" s="856" t="str">
        <f aca="false">IF(BL28=0,"",$C28)</f>
        <v/>
      </c>
      <c r="CU28" s="856" t="str">
        <f aca="false">IF(BP28=0,"",$C28)</f>
        <v/>
      </c>
      <c r="CV28" s="856" t="str">
        <f aca="false">IF(BD28=0,"",$C28)</f>
        <v/>
      </c>
      <c r="CW28" s="907" t="n">
        <f aca="false">YEAR(BF28)</f>
        <v>2002</v>
      </c>
      <c r="CX28" s="908" t="n">
        <f aca="false">INDEX('NY Curve'!$A$4:$G$256,MATCH('Monthly Table'!B28,'NY Curve'!$A$4:$A$256,0),MATCH("New York 5 X 16",'NY Curve'!$A$4:$G$4,0))</f>
        <v>48.75</v>
      </c>
      <c r="CY28" s="909" t="n">
        <f aca="false">K28</f>
        <v>1.42699723806337</v>
      </c>
      <c r="CZ28" s="910" t="n">
        <f aca="false">CX28*CY28</f>
        <v>69.5661153555893</v>
      </c>
      <c r="DB28" s="911"/>
      <c r="DC28" s="911"/>
    </row>
    <row r="29" customFormat="false" ht="18.75" hidden="false" customHeight="true" outlineLevel="0" collapsed="false">
      <c r="A29" s="49" t="s">
        <v>816</v>
      </c>
      <c r="B29" s="863" t="n">
        <v>37438</v>
      </c>
      <c r="C29" s="288" t="n">
        <f aca="false">YEAR(B29)</f>
        <v>2002</v>
      </c>
      <c r="D29" s="864" t="n">
        <f aca="false">IF(A29="January",D28+1,D28)</f>
        <v>2</v>
      </c>
      <c r="E29" s="865" t="n">
        <v>22</v>
      </c>
      <c r="F29" s="866" t="n">
        <v>4</v>
      </c>
      <c r="G29" s="866" t="n">
        <v>4</v>
      </c>
      <c r="H29" s="866" t="n">
        <v>1</v>
      </c>
      <c r="I29" s="867" t="n">
        <f aca="false">SUM(E29:H29)</f>
        <v>31</v>
      </c>
      <c r="J29" s="868"/>
      <c r="K29" s="869" t="n">
        <f aca="false">INDEX(FX!$A$3:$C$362,MATCH(B29,FX!$A$3:$A$362,0),MATCH("Monthly Curve",FX!$A$2:$C$2,0))</f>
        <v>1.42592560623504</v>
      </c>
      <c r="L29" s="869"/>
      <c r="M29" s="914" t="n">
        <v>2.62</v>
      </c>
      <c r="N29" s="915" t="n">
        <v>0.135</v>
      </c>
      <c r="O29" s="714" t="n">
        <v>0.02</v>
      </c>
      <c r="P29" s="872" t="n">
        <f aca="false">N29+O29</f>
        <v>0.155</v>
      </c>
      <c r="Q29" s="873" t="n">
        <f aca="false">SUM(M29:O29)</f>
        <v>2.775</v>
      </c>
      <c r="R29" s="874" t="n">
        <f aca="false">Assumptions!$B$34</f>
        <v>0.312458892307692</v>
      </c>
      <c r="S29" s="875" t="n">
        <f aca="false">(Q29*K29)+R29</f>
        <v>4.26940244960993</v>
      </c>
      <c r="T29" s="869"/>
      <c r="V29" s="876" t="n">
        <f aca="false">Assumptions!$B$42</f>
        <v>0</v>
      </c>
      <c r="W29" s="876"/>
      <c r="X29" s="877"/>
      <c r="Y29" s="878" t="n">
        <f aca="false">Assumptions!$B$7</f>
        <v>312</v>
      </c>
      <c r="Z29" s="879" t="n">
        <f aca="false">IF($Z$10=$V$10,V29,IF($Z$10=$W$10,W29,IF($Z$10=$X$10,X29,0)))</f>
        <v>0</v>
      </c>
      <c r="AA29" s="880" t="n">
        <f aca="false">Y29*Z29</f>
        <v>0</v>
      </c>
      <c r="AB29" s="881" t="n">
        <f aca="false">AA29*K29</f>
        <v>0</v>
      </c>
      <c r="AC29" s="188"/>
      <c r="AD29" s="882" t="n">
        <f aca="false">IF(Tables!$E$30="Michigan",INDEX('Michigan Curve'!$A$4:$S$256,MATCH('Monthly Table'!B29,'Michigan Curve'!$A$4:$A$256,0),MATCH("Michigan Selected Option Value US$/month",'Michigan Curve'!$A$4:$S$4,0)),INDEX('NY Curve'!$A$4:$T$256,MATCH('Monthly Table'!B29,'NY Curve'!$A$4:$A$256,0),MATCH("New York Selected Option Value US$/month",'NY Curve'!$A$4:$T$4,0)))</f>
        <v>1007474.53423991</v>
      </c>
      <c r="AE29" s="883" t="n">
        <f aca="false">AD29*K29</f>
        <v>1436583.7360024</v>
      </c>
      <c r="AF29" s="188"/>
      <c r="AG29" s="884"/>
      <c r="AH29" s="188"/>
      <c r="AI29" s="885" t="n">
        <f aca="false">Assumptions!$B$50</f>
        <v>65</v>
      </c>
      <c r="AJ29" s="916"/>
      <c r="AK29" s="887" t="n">
        <f aca="false">IF(Tables!$E$30="Custom",'Monthly Table'!AI29,IF(Tables!$E$30="New York",INDEX('NY Curve'!$A$4:$G$256,MATCH('Monthly Table'!B29,'NY Curve'!$A$4:$A$256,0),MATCH("Super Peak Curve",'NY Curve'!$A$4:$G$4,0)),IF(Tables!$E$30="New York Flat",INDEX('NY Curve'!$A$4:$G$256,MATCH('Monthly Table'!B29,'NY Curve'!$A$4:$A$256,0),MATCH("Flat NY West",'NY Curve'!$A$4:$G$4,0)),INDEX('Michigan Curve'!$A$4:$F$256,MATCH('Monthly Table'!B29,'Michigan Curve'!$A$4:$A$256,0),MATCH("Michigan Super Peak Curve US$/MWhr",'Michigan Curve'!$A$4:$F$4,0)))))</f>
        <v>159.55140660845</v>
      </c>
      <c r="AL29" s="888" t="n">
        <f aca="false">IF(D29&lt;=Tables!$B$21,IF($AL$10=$AI$10,AI29,IF($AL$10=$AJ$10,AJ29,IF($AL$10=$AK$10,AK29,0))),0)</f>
        <v>159.55140660845</v>
      </c>
      <c r="AM29" s="889" t="n">
        <f aca="false">+AL29*K29</f>
        <v>227.508436193807</v>
      </c>
      <c r="AN29" s="890" t="n">
        <f aca="false">IF((AL29*K29)&gt;(CP29+$BF$4),1,0)</f>
        <v>1</v>
      </c>
      <c r="AO29" s="891"/>
      <c r="AP29" s="894"/>
      <c r="AQ29" s="892" t="n">
        <f aca="false">IF(Tables!$E$30="New York",INDEX('NY Curve'!$A$4:$L$256,MATCH('Monthly Table'!B29,'NY Curve'!$A$4:$A$256,0),MATCH("New York Shoulder Hour Curve Mon-Fri",'NY Curve'!$A$4:$L$4,0)),IF(Tables!$E$30="Michigan",INDEX('Michigan Curve'!$A$4:$K$256,MATCH('Monthly Table'!B29,'Michigan Curve'!$A$4:$A$256,0),MATCH("Michigan Shoulder Hour Curve Mon-Fri",'Michigan Curve'!$A$4:$K$4,0))))</f>
        <v>29.4485933915503</v>
      </c>
      <c r="AR29" s="889" t="n">
        <f aca="false">AQ29*K29</f>
        <v>41.9915033846156</v>
      </c>
      <c r="AS29" s="893" t="n">
        <f aca="false">IF(AR29&gt;($CP29+$BF$4),1,0)</f>
        <v>0</v>
      </c>
      <c r="AT29" s="188"/>
      <c r="AU29" s="892" t="n">
        <f aca="false">IF(Tables!$E$30="New York",INDEX('NY Curve'!$A$4:$L$256,MATCH('Monthly Table'!$B29,'NY Curve'!$A$4:$A$256,0),MATCH("New York Saturday Super Peak",'NY Curve'!$A$4:$L$4,0)),IF(Tables!$E$30="Michigan",INDEX('Michigan Curve'!$A$4:$K$256,MATCH('Monthly Table'!$B29,'Michigan Curve'!$A$4:$A$256,0),MATCH("Michigan Saturday Super Peak",'Michigan Curve'!$A$4:$K$4,0))))</f>
        <v>59.0931135586851</v>
      </c>
      <c r="AV29" s="894" t="n">
        <f aca="false">AU29*K29</f>
        <v>84.2623837754841</v>
      </c>
      <c r="AW29" s="893" t="n">
        <f aca="false">IF(AV29&gt;($CP29+$BF$4),1,0)</f>
        <v>1</v>
      </c>
      <c r="AX29" s="892" t="n">
        <f aca="false">IF(Tables!$E$30="New York",INDEX('NY Curve'!$A$4:$L$256,MATCH('Monthly Table'!$B29,'NY Curve'!$A$4:$A$256,0),MATCH("New York Saturday Shoulder Peak",'NY Curve'!$A$4:$L$4,0)),IF(Tables!$E$30="Michigan",INDEX('Michigan Curve'!$A$4:$K$256,MATCH('Monthly Table'!$B29,'Michigan Curve'!$A$4:$A$256,0),MATCH("Michigan Saturday Shoulder Peak",'Michigan Curve'!$A$4:$K$4,0))))</f>
        <v>10.9068864413149</v>
      </c>
      <c r="AY29" s="895" t="n">
        <f aca="false">AX29*K29</f>
        <v>15.5524086609687</v>
      </c>
      <c r="AZ29" s="893" t="n">
        <f aca="false">IF(AY29&gt;($CP29+$BF$4),1,0)</f>
        <v>0</v>
      </c>
      <c r="BA29" s="188"/>
      <c r="BB29" s="892" t="n">
        <f aca="false">IF(Tables!$E$30="New York",INDEX('NY Curve'!$A$4:$M$256,MATCH('Monthly Table'!$B29,'NY Curve'!$A$4:$A$256,0),MATCH("NY Sunday Super Peak",'NY Curve'!$A$4:$M$4,0)),IF(Tables!$E$30="Michigan",INDEX('Michigan Curve'!$A$4:$L$256,MATCH('Monthly Table'!$B29,'Michigan Curve'!$A$4:$A$256,0),MATCH("Michigan Sunday Super Peak",'Michigan Curve'!$A$4:$L$4,0))))</f>
        <v>52.3396116459448</v>
      </c>
      <c r="BC29" s="894" t="n">
        <f aca="false">BB29*K29</f>
        <v>74.6323924663504</v>
      </c>
      <c r="BD29" s="893" t="n">
        <f aca="false">IF(BC29&gt;($CP29+$BF$4),1,0)</f>
        <v>1</v>
      </c>
      <c r="BE29" s="188"/>
      <c r="BF29" s="896" t="n">
        <f aca="false">B29</f>
        <v>37438</v>
      </c>
      <c r="BG29" s="897" t="n">
        <f aca="false">IF($AN29=1,$E29*$BF$5,0)</f>
        <v>176</v>
      </c>
      <c r="BH29" s="897" t="n">
        <f aca="false">BG29</f>
        <v>176</v>
      </c>
      <c r="BI29" s="714" t="n">
        <f aca="false">IF($AN29=1,$E29*$BF$5,0)</f>
        <v>176</v>
      </c>
      <c r="BJ29" s="898" t="n">
        <f aca="false">IF('Monthly Table'!D29&lt;=Tables!$B$21,IF($BJ$10=$BG$10,BG29,IF($BJ$10=$BH$10,BH29,IF($BJ$10=$BI$10,BI29,0))),0)</f>
        <v>176</v>
      </c>
      <c r="BK29" s="288"/>
      <c r="BL29" s="898" t="n">
        <f aca="false">IF($AW29=1,$F29*$BF$5,0)</f>
        <v>32</v>
      </c>
      <c r="BM29" s="898" t="n">
        <f aca="false">IF($BD29=1,($G29+H29)*$BF$5,0)</f>
        <v>40</v>
      </c>
      <c r="BO29" s="898" t="n">
        <f aca="false">IF(AS29=1,BJ29,0)</f>
        <v>0</v>
      </c>
      <c r="BP29" s="898" t="n">
        <f aca="false">IF(AZ29=1,F29*$BF$5,0)</f>
        <v>0</v>
      </c>
      <c r="BR29" s="899" t="n">
        <f aca="false">IF(BJ29&gt;0,INDEX(OperationalDetail,MATCH("Capacity Degradation",ODColumn,0),MATCH('Monthly Table'!C29,ODRow,0)),0)</f>
        <v>0.0116</v>
      </c>
      <c r="BS29" s="900" t="n">
        <f aca="false">BJ29*(1-BR29)*Tables!$C$10</f>
        <v>56362.5216</v>
      </c>
      <c r="BT29" s="883" t="n">
        <f aca="false">BS29*AL29/1000</f>
        <v>8992.71960127913</v>
      </c>
      <c r="BU29" s="883" t="n">
        <f aca="false">BT29*K29</f>
        <v>12822.9491491557</v>
      </c>
      <c r="BV29" s="188"/>
      <c r="BW29" s="901" t="n">
        <f aca="false">$BO29*(1-$BR29)*Tables!$C$36</f>
        <v>0</v>
      </c>
      <c r="BX29" s="902" t="n">
        <f aca="false">(BW29*AQ29)/1000</f>
        <v>0</v>
      </c>
      <c r="BY29" s="883" t="n">
        <f aca="false">BX29*K29</f>
        <v>0</v>
      </c>
      <c r="BZ29" s="188"/>
      <c r="CA29" s="901" t="n">
        <f aca="false">$BL29*(1-$BR29)*Tables!$C$36</f>
        <v>10247.7312</v>
      </c>
      <c r="CB29" s="902" t="n">
        <f aca="false">(CA29*AU29)/1000</f>
        <v>605.57034352048</v>
      </c>
      <c r="CC29" s="883" t="n">
        <f aca="false">CB29*K29</f>
        <v>863.498259202402</v>
      </c>
      <c r="CD29" s="901" t="n">
        <f aca="false">$BP29*(1-$BR29)*Tables!$C$36</f>
        <v>0</v>
      </c>
      <c r="CE29" s="902" t="n">
        <f aca="false">(CD29*AX29)/1000</f>
        <v>0</v>
      </c>
      <c r="CF29" s="883" t="n">
        <f aca="false">CE29*K29</f>
        <v>0</v>
      </c>
      <c r="CH29" s="901" t="n">
        <f aca="false">$BM29*(1-$BR29)*Tables!$C$36</f>
        <v>12809.664</v>
      </c>
      <c r="CI29" s="902" t="n">
        <f aca="false">(CH29*BB29)/1000</f>
        <v>670.45283907504</v>
      </c>
      <c r="CJ29" s="883" t="n">
        <f aca="false">CI29*K29</f>
        <v>956.01587101008</v>
      </c>
      <c r="CK29" s="292"/>
      <c r="CL29" s="292" t="n">
        <f aca="false">C29-1</f>
        <v>2001</v>
      </c>
      <c r="CM29" s="903" t="n">
        <f aca="false">INDEX(OperationalDetail,MATCH("Degraded Heat Rate",ODColumn,0),MATCH('Monthly Table'!CL29,ODRow,0))/1000</f>
        <v>12.0656068</v>
      </c>
      <c r="CN29" s="904" t="n">
        <f aca="false">S29*CM29</f>
        <v>51.5129312279502</v>
      </c>
      <c r="CO29" s="905" t="n">
        <f aca="false">IF(A29="January",(CO28*(1+Assumptions!$E$32)),CO28)</f>
        <v>6.8703375</v>
      </c>
      <c r="CP29" s="906" t="n">
        <f aca="false">CN29+CO29</f>
        <v>58.3832687279502</v>
      </c>
      <c r="CQ29" s="292"/>
      <c r="CR29" s="856" t="n">
        <f aca="false">IF(BJ29=0,"",C29)</f>
        <v>2002</v>
      </c>
      <c r="CS29" s="856" t="str">
        <f aca="false">IF(BO29=0,"",$C29)</f>
        <v/>
      </c>
      <c r="CT29" s="856" t="n">
        <f aca="false">IF(BL29=0,"",$C29)</f>
        <v>2002</v>
      </c>
      <c r="CU29" s="856" t="str">
        <f aca="false">IF(BP29=0,"",$C29)</f>
        <v/>
      </c>
      <c r="CV29" s="856" t="n">
        <f aca="false">IF(BD29=0,"",$C29)</f>
        <v>2002</v>
      </c>
      <c r="CW29" s="907" t="n">
        <f aca="false">YEAR(BF29)</f>
        <v>2002</v>
      </c>
      <c r="CX29" s="908" t="n">
        <f aca="false">INDEX('NY Curve'!$A$4:$G$256,MATCH('Monthly Table'!B29,'NY Curve'!$A$4:$A$256,0),MATCH("New York 5 X 16",'NY Curve'!$A$4:$G$4,0))</f>
        <v>74</v>
      </c>
      <c r="CY29" s="909" t="n">
        <f aca="false">K29</f>
        <v>1.42592560623504</v>
      </c>
      <c r="CZ29" s="910" t="n">
        <f aca="false">CX29*CY29</f>
        <v>105.518494861393</v>
      </c>
      <c r="DB29" s="911"/>
      <c r="DC29" s="911"/>
    </row>
    <row r="30" customFormat="false" ht="18.75" hidden="false" customHeight="true" outlineLevel="0" collapsed="false">
      <c r="A30" s="49" t="s">
        <v>817</v>
      </c>
      <c r="B30" s="863" t="n">
        <v>37469</v>
      </c>
      <c r="C30" s="288" t="n">
        <f aca="false">YEAR(B30)</f>
        <v>2002</v>
      </c>
      <c r="D30" s="864" t="n">
        <f aca="false">IF(A30="January",D29+1,D29)</f>
        <v>2</v>
      </c>
      <c r="E30" s="865" t="n">
        <v>22</v>
      </c>
      <c r="F30" s="866" t="n">
        <v>5</v>
      </c>
      <c r="G30" s="866" t="n">
        <v>4</v>
      </c>
      <c r="H30" s="866" t="n">
        <v>0</v>
      </c>
      <c r="I30" s="867" t="n">
        <f aca="false">SUM(E30:H30)</f>
        <v>31</v>
      </c>
      <c r="J30" s="868"/>
      <c r="K30" s="869" t="n">
        <f aca="false">INDEX(FX!$A$3:$C$362,MATCH(B30,FX!$A$3:$A$362,0),MATCH("Monthly Curve",FX!$A$2:$C$2,0))</f>
        <v>1.42484759188735</v>
      </c>
      <c r="L30" s="869"/>
      <c r="M30" s="914" t="n">
        <v>2.627</v>
      </c>
      <c r="N30" s="915" t="n">
        <v>0.135</v>
      </c>
      <c r="O30" s="714" t="n">
        <v>0.02</v>
      </c>
      <c r="P30" s="872" t="n">
        <f aca="false">N30+O30</f>
        <v>0.155</v>
      </c>
      <c r="Q30" s="873" t="n">
        <f aca="false">SUM(M30:O30)</f>
        <v>2.782</v>
      </c>
      <c r="R30" s="874" t="n">
        <f aca="false">Assumptions!$B$34</f>
        <v>0.312458892307692</v>
      </c>
      <c r="S30" s="875" t="n">
        <f aca="false">(Q30*K30)+R30</f>
        <v>4.2763848929383</v>
      </c>
      <c r="T30" s="869"/>
      <c r="V30" s="876" t="n">
        <f aca="false">Assumptions!$B$42</f>
        <v>0</v>
      </c>
      <c r="W30" s="876"/>
      <c r="X30" s="971"/>
      <c r="Y30" s="878" t="n">
        <f aca="false">Assumptions!$B$7</f>
        <v>312</v>
      </c>
      <c r="Z30" s="879" t="n">
        <f aca="false">IF($Z$10=$V$10,V30,IF($Z$10=$W$10,W30,IF($Z$10=$X$10,X30,0)))</f>
        <v>0</v>
      </c>
      <c r="AA30" s="880" t="n">
        <f aca="false">Y30*Z30</f>
        <v>0</v>
      </c>
      <c r="AB30" s="881" t="n">
        <f aca="false">AA30*K30</f>
        <v>0</v>
      </c>
      <c r="AC30" s="188"/>
      <c r="AD30" s="882" t="n">
        <f aca="false">IF(Tables!$E$30="Michigan",INDEX('Michigan Curve'!$A$4:$S$256,MATCH('Monthly Table'!B30,'Michigan Curve'!$A$4:$A$256,0),MATCH("Michigan Selected Option Value US$/month",'Michigan Curve'!$A$4:$S$4,0)),INDEX('NY Curve'!$A$4:$T$256,MATCH('Monthly Table'!B30,'NY Curve'!$A$4:$A$256,0),MATCH("New York Selected Option Value US$/month",'NY Curve'!$A$4:$T$4,0)))</f>
        <v>1004633.22901259</v>
      </c>
      <c r="AE30" s="883" t="n">
        <f aca="false">AD30*K30</f>
        <v>1431449.2370886</v>
      </c>
      <c r="AF30" s="188"/>
      <c r="AG30" s="884"/>
      <c r="AH30" s="188"/>
      <c r="AI30" s="885" t="n">
        <f aca="false">Assumptions!$B$50</f>
        <v>65</v>
      </c>
      <c r="AJ30" s="916"/>
      <c r="AK30" s="887" t="n">
        <f aca="false">IF(Tables!$E$30="Custom",'Monthly Table'!AI30,IF(Tables!$E$30="New York",INDEX('NY Curve'!$A$4:$G$256,MATCH('Monthly Table'!B30,'NY Curve'!$A$4:$A$256,0),MATCH("Super Peak Curve",'NY Curve'!$A$4:$G$4,0)),IF(Tables!$E$30="New York Flat",INDEX('NY Curve'!$A$4:$G$256,MATCH('Monthly Table'!B30,'NY Curve'!$A$4:$A$256,0),MATCH("Flat NY West",'NY Curve'!$A$4:$G$4,0)),INDEX('Michigan Curve'!$A$4:$F$256,MATCH('Monthly Table'!B30,'Michigan Curve'!$A$4:$A$256,0),MATCH("Michigan Super Peak Curve US$/MWhr",'Michigan Curve'!$A$4:$F$4,0)))))</f>
        <v>159.55140660845</v>
      </c>
      <c r="AL30" s="888" t="n">
        <f aca="false">IF(D30&lt;=Tables!$B$21,IF($AL$10=$AI$10,AI30,IF($AL$10=$AJ$10,AJ30,IF($AL$10=$AK$10,AK30,0))),0)</f>
        <v>159.55140660845</v>
      </c>
      <c r="AM30" s="889" t="n">
        <f aca="false">+AL30*K30</f>
        <v>227.336437488289</v>
      </c>
      <c r="AN30" s="890" t="n">
        <f aca="false">IF((AL30*K30)&gt;(CP30+$BF$4),1,0)</f>
        <v>1</v>
      </c>
      <c r="AO30" s="891"/>
      <c r="AP30" s="894"/>
      <c r="AQ30" s="892" t="n">
        <f aca="false">IF(Tables!$E$30="New York",INDEX('NY Curve'!$A$4:$L$256,MATCH('Monthly Table'!B30,'NY Curve'!$A$4:$A$256,0),MATCH("New York Shoulder Hour Curve Mon-Fri",'NY Curve'!$A$4:$L$4,0)),IF(Tables!$E$30="Michigan",INDEX('Michigan Curve'!$A$4:$K$256,MATCH('Monthly Table'!B30,'Michigan Curve'!$A$4:$A$256,0),MATCH("Michigan Shoulder Hour Curve Mon-Fri",'Michigan Curve'!$A$4:$K$4,0))))</f>
        <v>29.4485933915503</v>
      </c>
      <c r="AR30" s="889" t="n">
        <f aca="false">AQ30*K30</f>
        <v>41.9597573784202</v>
      </c>
      <c r="AS30" s="893" t="n">
        <f aca="false">IF(AR30&gt;($CP30+$BF$4),1,0)</f>
        <v>0</v>
      </c>
      <c r="AT30" s="188"/>
      <c r="AU30" s="892" t="n">
        <f aca="false">IF(Tables!$E$30="New York",INDEX('NY Curve'!$A$4:$L$256,MATCH('Monthly Table'!$B30,'NY Curve'!$A$4:$A$256,0),MATCH("New York Saturday Super Peak",'NY Curve'!$A$4:$L$4,0)),IF(Tables!$E$30="Michigan",INDEX('Michigan Curve'!$A$4:$K$256,MATCH('Monthly Table'!$B30,'Michigan Curve'!$A$4:$A$256,0),MATCH("Michigan Saturday Super Peak",'Michigan Curve'!$A$4:$K$4,0))))</f>
        <v>59.0931199993233</v>
      </c>
      <c r="AV30" s="894" t="n">
        <f aca="false">AU30*K30</f>
        <v>84.198689728146</v>
      </c>
      <c r="AW30" s="893" t="n">
        <f aca="false">IF(AV30&gt;($CP30+$BF$4),1,0)</f>
        <v>1</v>
      </c>
      <c r="AX30" s="892" t="n">
        <f aca="false">IF(Tables!$E$30="New York",INDEX('NY Curve'!$A$4:$L$256,MATCH('Monthly Table'!$B30,'NY Curve'!$A$4:$A$256,0),MATCH("New York Saturday Shoulder Peak",'NY Curve'!$A$4:$L$4,0)),IF(Tables!$E$30="Michigan",INDEX('Michigan Curve'!$A$4:$K$256,MATCH('Monthly Table'!$B30,'Michigan Curve'!$A$4:$A$256,0),MATCH("Michigan Saturday Shoulder Peak",'Michigan Curve'!$A$4:$K$4,0))))</f>
        <v>10.9068876300712</v>
      </c>
      <c r="AY30" s="895" t="n">
        <f aca="false">AX30*K30</f>
        <v>15.5406525746929</v>
      </c>
      <c r="AZ30" s="893" t="n">
        <f aca="false">IF(AY30&gt;($CP30+$BF$4),1,0)</f>
        <v>0</v>
      </c>
      <c r="BA30" s="188"/>
      <c r="BB30" s="892" t="n">
        <f aca="false">IF(Tables!$E$30="New York",INDEX('NY Curve'!$A$4:$M$256,MATCH('Monthly Table'!$B30,'NY Curve'!$A$4:$A$256,0),MATCH("NY Sunday Super Peak",'NY Curve'!$A$4:$M$4,0)),IF(Tables!$E$30="Michigan",INDEX('Michigan Curve'!$A$4:$L$256,MATCH('Monthly Table'!$B30,'Michigan Curve'!$A$4:$A$256,0),MATCH("Michigan Sunday Super Peak",'Michigan Curve'!$A$4:$L$4,0))))</f>
        <v>52.3396148662639</v>
      </c>
      <c r="BC30" s="894" t="n">
        <f aca="false">BB30*K30</f>
        <v>74.5759742025075</v>
      </c>
      <c r="BD30" s="893" t="n">
        <f aca="false">IF(BC30&gt;($CP30+$BF$4),1,0)</f>
        <v>1</v>
      </c>
      <c r="BE30" s="188"/>
      <c r="BF30" s="896" t="n">
        <f aca="false">B30</f>
        <v>37469</v>
      </c>
      <c r="BG30" s="897" t="n">
        <f aca="false">IF($AN30=1,$E30*$BF$5,0)</f>
        <v>176</v>
      </c>
      <c r="BH30" s="897" t="n">
        <f aca="false">BG30</f>
        <v>176</v>
      </c>
      <c r="BI30" s="714" t="n">
        <f aca="false">IF($AN30=1,$E30*$BF$5,0)</f>
        <v>176</v>
      </c>
      <c r="BJ30" s="898" t="n">
        <f aca="false">IF('Monthly Table'!D30&lt;=Tables!$B$21,IF($BJ$10=$BG$10,BG30,IF($BJ$10=$BH$10,BH30,IF($BJ$10=$BI$10,BI30,0))),0)</f>
        <v>176</v>
      </c>
      <c r="BK30" s="288"/>
      <c r="BL30" s="898" t="n">
        <f aca="false">IF($AW30=1,$F30*$BF$5,0)</f>
        <v>40</v>
      </c>
      <c r="BM30" s="898" t="n">
        <f aca="false">IF($BD30=1,($G30+H30)*$BF$5,0)</f>
        <v>32</v>
      </c>
      <c r="BO30" s="898" t="n">
        <f aca="false">IF(AS30=1,BJ30,0)</f>
        <v>0</v>
      </c>
      <c r="BP30" s="898" t="n">
        <f aca="false">IF(AZ30=1,F30*$BF$5,0)</f>
        <v>0</v>
      </c>
      <c r="BR30" s="899" t="n">
        <f aca="false">IF(BJ30&gt;0,INDEX(OperationalDetail,MATCH("Capacity Degradation",ODColumn,0),MATCH('Monthly Table'!C30,ODRow,0)),0)</f>
        <v>0.0116</v>
      </c>
      <c r="BS30" s="900" t="n">
        <f aca="false">BJ30*(1-BR30)*Tables!$C$10</f>
        <v>56362.5216</v>
      </c>
      <c r="BT30" s="883" t="n">
        <f aca="false">BS30*AL30/1000</f>
        <v>8992.71960127913</v>
      </c>
      <c r="BU30" s="883" t="n">
        <f aca="false">BT30*K30</f>
        <v>12813.2548684007</v>
      </c>
      <c r="BV30" s="188"/>
      <c r="BW30" s="901" t="n">
        <f aca="false">$BO30*(1-$BR30)*Tables!$C$36</f>
        <v>0</v>
      </c>
      <c r="BX30" s="902" t="n">
        <f aca="false">(BW30*AQ30)/1000</f>
        <v>0</v>
      </c>
      <c r="BY30" s="883" t="n">
        <f aca="false">BX30*K30</f>
        <v>0</v>
      </c>
      <c r="BZ30" s="188"/>
      <c r="CA30" s="901" t="n">
        <f aca="false">$BL30*(1-$BR30)*Tables!$C$36</f>
        <v>12809.664</v>
      </c>
      <c r="CB30" s="902" t="n">
        <f aca="false">(CA30*AU30)/1000</f>
        <v>756.963011903012</v>
      </c>
      <c r="CC30" s="883" t="n">
        <f aca="false">CB30*K30</f>
        <v>1078.5569246578</v>
      </c>
      <c r="CD30" s="901" t="n">
        <f aca="false">$BP30*(1-$BR30)*Tables!$C$36</f>
        <v>0</v>
      </c>
      <c r="CE30" s="902" t="n">
        <f aca="false">(CD30*AX30)/1000</f>
        <v>0</v>
      </c>
      <c r="CF30" s="883" t="n">
        <f aca="false">CE30*K30</f>
        <v>0</v>
      </c>
      <c r="CH30" s="901" t="n">
        <f aca="false">$BM30*(1-$BR30)*Tables!$C$36</f>
        <v>10247.7312</v>
      </c>
      <c r="CI30" s="902" t="n">
        <f aca="false">(CH30*BB30)/1000</f>
        <v>536.362304260997</v>
      </c>
      <c r="CJ30" s="883" t="n">
        <f aca="false">CI30*K30</f>
        <v>764.234537605431</v>
      </c>
      <c r="CK30" s="292"/>
      <c r="CL30" s="292" t="n">
        <f aca="false">C30-1</f>
        <v>2001</v>
      </c>
      <c r="CM30" s="903" t="n">
        <f aca="false">INDEX(OperationalDetail,MATCH("Degraded Heat Rate",ODColumn,0),MATCH('Monthly Table'!CL30,ODRow,0))/1000</f>
        <v>12.0656068</v>
      </c>
      <c r="CN30" s="904" t="n">
        <f aca="false">S30*CM30</f>
        <v>51.5971786436536</v>
      </c>
      <c r="CO30" s="905" t="n">
        <f aca="false">IF(A30="January",(CO29*(1+Assumptions!$E$32)),CO29)</f>
        <v>6.8703375</v>
      </c>
      <c r="CP30" s="906" t="n">
        <f aca="false">CN30+CO30</f>
        <v>58.4675161436536</v>
      </c>
      <c r="CQ30" s="292"/>
      <c r="CR30" s="856" t="n">
        <f aca="false">IF(BJ30=0,"",C30)</f>
        <v>2002</v>
      </c>
      <c r="CS30" s="856" t="str">
        <f aca="false">IF(BO30=0,"",$C30)</f>
        <v/>
      </c>
      <c r="CT30" s="856" t="n">
        <f aca="false">IF(BL30=0,"",$C30)</f>
        <v>2002</v>
      </c>
      <c r="CU30" s="856" t="str">
        <f aca="false">IF(BP30=0,"",$C30)</f>
        <v/>
      </c>
      <c r="CV30" s="856" t="n">
        <f aca="false">IF(BD30=0,"",$C30)</f>
        <v>2002</v>
      </c>
      <c r="CW30" s="907" t="n">
        <f aca="false">YEAR(BF30)</f>
        <v>2002</v>
      </c>
      <c r="CX30" s="908" t="n">
        <f aca="false">INDEX('NY Curve'!$A$4:$G$256,MATCH('Monthly Table'!B30,'NY Curve'!$A$4:$A$256,0),MATCH("New York 5 X 16",'NY Curve'!$A$4:$G$4,0))</f>
        <v>66.5</v>
      </c>
      <c r="CY30" s="909" t="n">
        <f aca="false">K30</f>
        <v>1.42484759188735</v>
      </c>
      <c r="CZ30" s="910" t="n">
        <f aca="false">CX30*CY30</f>
        <v>94.7523648605088</v>
      </c>
      <c r="DB30" s="911"/>
      <c r="DC30" s="911"/>
    </row>
    <row r="31" customFormat="false" ht="18.75" hidden="false" customHeight="true" outlineLevel="0" collapsed="false">
      <c r="A31" s="49" t="s">
        <v>818</v>
      </c>
      <c r="B31" s="863" t="n">
        <v>37500</v>
      </c>
      <c r="C31" s="288" t="n">
        <f aca="false">YEAR(B31)</f>
        <v>2002</v>
      </c>
      <c r="D31" s="864" t="n">
        <f aca="false">IF(A31="January",D30+1,D30)</f>
        <v>2</v>
      </c>
      <c r="E31" s="865" t="n">
        <v>20</v>
      </c>
      <c r="F31" s="866" t="n">
        <v>4</v>
      </c>
      <c r="G31" s="866" t="n">
        <v>5</v>
      </c>
      <c r="H31" s="866" t="n">
        <v>1</v>
      </c>
      <c r="I31" s="867" t="n">
        <f aca="false">SUM(E31:H31)</f>
        <v>30</v>
      </c>
      <c r="J31" s="868"/>
      <c r="K31" s="869" t="n">
        <f aca="false">INDEX(FX!$A$3:$C$362,MATCH(B31,FX!$A$3:$A$362,0),MATCH("Monthly Curve",FX!$A$2:$C$2,0))</f>
        <v>1.42376478997839</v>
      </c>
      <c r="L31" s="869"/>
      <c r="M31" s="914" t="n">
        <v>2.634</v>
      </c>
      <c r="N31" s="915" t="n">
        <v>0.135</v>
      </c>
      <c r="O31" s="714" t="n">
        <v>0.02</v>
      </c>
      <c r="P31" s="872" t="n">
        <f aca="false">N31+O31</f>
        <v>0.155</v>
      </c>
      <c r="Q31" s="873" t="n">
        <f aca="false">SUM(M31:O31)</f>
        <v>2.789</v>
      </c>
      <c r="R31" s="874" t="n">
        <f aca="false">Assumptions!$B$34</f>
        <v>0.312458892307692</v>
      </c>
      <c r="S31" s="875" t="n">
        <f aca="false">(Q31*K31)+R31</f>
        <v>4.28333889155742</v>
      </c>
      <c r="T31" s="869"/>
      <c r="V31" s="876" t="n">
        <f aca="false">Assumptions!$B$42</f>
        <v>0</v>
      </c>
      <c r="W31" s="876"/>
      <c r="X31" s="971"/>
      <c r="Y31" s="878" t="n">
        <f aca="false">Assumptions!$B$7</f>
        <v>312</v>
      </c>
      <c r="Z31" s="879" t="n">
        <f aca="false">IF($Z$10=$V$10,V31,IF($Z$10=$W$10,W31,IF($Z$10=$X$10,X31,0)))</f>
        <v>0</v>
      </c>
      <c r="AA31" s="880" t="n">
        <f aca="false">Y31*Z31</f>
        <v>0</v>
      </c>
      <c r="AB31" s="881" t="n">
        <f aca="false">AA31*K31</f>
        <v>0</v>
      </c>
      <c r="AC31" s="188"/>
      <c r="AD31" s="882" t="n">
        <f aca="false">IF(Tables!$E$30="Michigan",INDEX('Michigan Curve'!$A$4:$S$256,MATCH('Monthly Table'!B31,'Michigan Curve'!$A$4:$A$256,0),MATCH("Michigan Selected Option Value US$/month",'Michigan Curve'!$A$4:$S$4,0)),INDEX('NY Curve'!$A$4:$T$256,MATCH('Monthly Table'!B31,'NY Curve'!$A$4:$A$256,0),MATCH("New York Selected Option Value US$/month",'NY Curve'!$A$4:$T$4,0)))</f>
        <v>442492.181881545</v>
      </c>
      <c r="AE31" s="883" t="n">
        <f aca="false">AD31*K31</f>
        <v>630004.788403657</v>
      </c>
      <c r="AF31" s="188"/>
      <c r="AG31" s="884"/>
      <c r="AH31" s="188"/>
      <c r="AI31" s="885" t="n">
        <f aca="false">Assumptions!$B$50</f>
        <v>65</v>
      </c>
      <c r="AJ31" s="916"/>
      <c r="AK31" s="887" t="n">
        <f aca="false">IF(Tables!$E$30="Custom",'Monthly Table'!AI31,IF(Tables!$E$30="New York",INDEX('NY Curve'!$A$4:$G$256,MATCH('Monthly Table'!B31,'NY Curve'!$A$4:$A$256,0),MATCH("Super Peak Curve",'NY Curve'!$A$4:$G$4,0)),IF(Tables!$E$30="New York Flat",INDEX('NY Curve'!$A$4:$G$256,MATCH('Monthly Table'!B31,'NY Curve'!$A$4:$A$256,0),MATCH("Flat NY West",'NY Curve'!$A$4:$G$4,0)),INDEX('Michigan Curve'!$A$4:$F$256,MATCH('Monthly Table'!B31,'Michigan Curve'!$A$4:$A$256,0),MATCH("Michigan Super Peak Curve US$/MWhr",'Michigan Curve'!$A$4:$F$4,0)))))</f>
        <v>42.2265622764826</v>
      </c>
      <c r="AL31" s="888" t="n">
        <f aca="false">IF(D31&lt;=Tables!$B$21,IF($AL$10=$AI$10,AI31,IF($AL$10=$AJ$10,AJ31,IF($AL$10=$AK$10,AK31,0))),0)</f>
        <v>42.2265622764826</v>
      </c>
      <c r="AM31" s="889" t="n">
        <f aca="false">+AL31*K31</f>
        <v>60.1206925710856</v>
      </c>
      <c r="AN31" s="890" t="n">
        <f aca="false">IF((AL31*K31)&gt;(CP31+$BF$4),1,0)</f>
        <v>1</v>
      </c>
      <c r="AO31" s="891"/>
      <c r="AP31" s="894"/>
      <c r="AQ31" s="892" t="n">
        <f aca="false">IF(Tables!$E$30="New York",INDEX('NY Curve'!$A$4:$L$256,MATCH('Monthly Table'!B31,'NY Curve'!$A$4:$A$256,0),MATCH("New York Shoulder Hour Curve Mon-Fri",'NY Curve'!$A$4:$L$4,0)),IF(Tables!$E$30="Michigan",INDEX('Michigan Curve'!$A$4:$K$256,MATCH('Monthly Table'!B31,'Michigan Curve'!$A$4:$A$256,0),MATCH("Michigan Shoulder Hour Curve Mon-Fri",'Michigan Curve'!$A$4:$K$4,0))))</f>
        <v>20.2734377235174</v>
      </c>
      <c r="AR31" s="889" t="n">
        <f aca="false">AQ31*K31</f>
        <v>28.8646068025637</v>
      </c>
      <c r="AS31" s="893" t="n">
        <f aca="false">IF(AR31&gt;($CP31+$BF$4),1,0)</f>
        <v>0</v>
      </c>
      <c r="AT31" s="188"/>
      <c r="AU31" s="892" t="n">
        <f aca="false">IF(Tables!$E$30="New York",INDEX('NY Curve'!$A$4:$L$256,MATCH('Monthly Table'!$B31,'NY Curve'!$A$4:$A$256,0),MATCH("New York Saturday Super Peak",'NY Curve'!$A$4:$L$4,0)),IF(Tables!$E$30="Michigan",INDEX('Michigan Curve'!$A$4:$K$256,MATCH('Monthly Table'!$B31,'Michigan Curve'!$A$4:$A$256,0),MATCH("Michigan Saturday Super Peak",'Michigan Curve'!$A$4:$K$4,0))))</f>
        <v>33.7812498211861</v>
      </c>
      <c r="AV31" s="894" t="n">
        <f aca="false">AU31*K31</f>
        <v>48.0965540568685</v>
      </c>
      <c r="AW31" s="893" t="n">
        <f aca="false">IF(AV31&gt;($CP31+$BF$4),1,0)</f>
        <v>0</v>
      </c>
      <c r="AX31" s="892" t="n">
        <f aca="false">IF(Tables!$E$30="New York",INDEX('NY Curve'!$A$4:$L$256,MATCH('Monthly Table'!$B31,'NY Curve'!$A$4:$A$256,0),MATCH("New York Saturday Shoulder Peak",'NY Curve'!$A$4:$L$4,0)),IF(Tables!$E$30="Michigan",INDEX('Michigan Curve'!$A$4:$K$256,MATCH('Monthly Table'!$B31,'Michigan Curve'!$A$4:$A$256,0),MATCH("Michigan Saturday Shoulder Peak",'Michigan Curve'!$A$4:$K$4,0))))</f>
        <v>16.2187501788139</v>
      </c>
      <c r="AY31" s="895" t="n">
        <f aca="false">AX31*K31</f>
        <v>23.091685442051</v>
      </c>
      <c r="AZ31" s="893" t="n">
        <f aca="false">IF(AY31&gt;($CP31+$BF$4),1,0)</f>
        <v>0</v>
      </c>
      <c r="BA31" s="188"/>
      <c r="BB31" s="892" t="n">
        <f aca="false">IF(Tables!$E$30="New York",INDEX('NY Curve'!$A$4:$M$256,MATCH('Monthly Table'!$B31,'NY Curve'!$A$4:$A$256,0),MATCH("NY Sunday Super Peak",'NY Curve'!$A$4:$M$4,0)),IF(Tables!$E$30="Michigan",INDEX('Michigan Curve'!$A$4:$L$256,MATCH('Monthly Table'!$B31,'Michigan Curve'!$A$4:$A$256,0),MATCH("Michigan Sunday Super Peak",'Michigan Curve'!$A$4:$L$4,0))))</f>
        <v>32.4299998283386</v>
      </c>
      <c r="BC31" s="894" t="n">
        <f aca="false">BB31*K31</f>
        <v>46.1726918945938</v>
      </c>
      <c r="BD31" s="893" t="n">
        <f aca="false">IF(BC31&gt;($CP31+$BF$4),1,0)</f>
        <v>0</v>
      </c>
      <c r="BE31" s="188"/>
      <c r="BF31" s="896" t="n">
        <f aca="false">B31</f>
        <v>37500</v>
      </c>
      <c r="BG31" s="897" t="n">
        <f aca="false">IF($AN31=1,$E31*$BF$5,0)</f>
        <v>160</v>
      </c>
      <c r="BH31" s="897" t="n">
        <f aca="false">BG31</f>
        <v>160</v>
      </c>
      <c r="BI31" s="714" t="n">
        <f aca="false">IF($AN31=1,$E31*$BF$5,0)</f>
        <v>160</v>
      </c>
      <c r="BJ31" s="898" t="n">
        <f aca="false">IF('Monthly Table'!D31&lt;=Tables!$B$21,IF($BJ$10=$BG$10,BG31,IF($BJ$10=$BH$10,BH31,IF($BJ$10=$BI$10,BI31,0))),0)</f>
        <v>160</v>
      </c>
      <c r="BK31" s="288"/>
      <c r="BL31" s="898" t="n">
        <f aca="false">IF($AW31=1,$F31*$BF$5,0)</f>
        <v>0</v>
      </c>
      <c r="BM31" s="898" t="n">
        <f aca="false">IF($BD31=1,($G31+H31)*$BF$5,0)</f>
        <v>0</v>
      </c>
      <c r="BO31" s="898" t="n">
        <f aca="false">IF(AS31=1,BJ31,0)</f>
        <v>0</v>
      </c>
      <c r="BP31" s="898" t="n">
        <f aca="false">IF(AZ31=1,F31*$BF$5,0)</f>
        <v>0</v>
      </c>
      <c r="BR31" s="899" t="n">
        <f aca="false">IF(BJ31&gt;0,INDEX(OperationalDetail,MATCH("Capacity Degradation",ODColumn,0),MATCH('Monthly Table'!C31,ODRow,0)),0)</f>
        <v>0.0116</v>
      </c>
      <c r="BS31" s="900" t="n">
        <f aca="false">BJ31*(1-BR31)*Tables!$C$10</f>
        <v>51238.656</v>
      </c>
      <c r="BT31" s="883" t="n">
        <f aca="false">BS31*AL31/1000</f>
        <v>2163.63229854727</v>
      </c>
      <c r="BU31" s="883" t="n">
        <f aca="false">BT31*K31</f>
        <v>3080.50348513161</v>
      </c>
      <c r="BV31" s="188"/>
      <c r="BW31" s="901" t="n">
        <f aca="false">$BO31*(1-$BR31)*Tables!$C$36</f>
        <v>0</v>
      </c>
      <c r="BX31" s="902" t="n">
        <f aca="false">(BW31*AQ31)/1000</f>
        <v>0</v>
      </c>
      <c r="BY31" s="883" t="n">
        <f aca="false">BX31*K31</f>
        <v>0</v>
      </c>
      <c r="BZ31" s="188"/>
      <c r="CA31" s="901" t="n">
        <f aca="false">$BL31*(1-$BR31)*Tables!$C$36</f>
        <v>0</v>
      </c>
      <c r="CB31" s="902" t="n">
        <f aca="false">(CA31*AU31)/1000</f>
        <v>0</v>
      </c>
      <c r="CC31" s="883" t="n">
        <f aca="false">CB31*K31</f>
        <v>0</v>
      </c>
      <c r="CD31" s="901" t="n">
        <f aca="false">$BP31*(1-$BR31)*Tables!$C$36</f>
        <v>0</v>
      </c>
      <c r="CE31" s="902" t="n">
        <f aca="false">(CD31*AX31)/1000</f>
        <v>0</v>
      </c>
      <c r="CF31" s="883" t="n">
        <f aca="false">CE31*K31</f>
        <v>0</v>
      </c>
      <c r="CH31" s="901" t="n">
        <f aca="false">$BM31*(1-$BR31)*Tables!$C$36</f>
        <v>0</v>
      </c>
      <c r="CI31" s="902" t="n">
        <f aca="false">(CH31*BB31)/1000</f>
        <v>0</v>
      </c>
      <c r="CJ31" s="883" t="n">
        <f aca="false">CI31*K31</f>
        <v>0</v>
      </c>
      <c r="CK31" s="292"/>
      <c r="CL31" s="292" t="n">
        <f aca="false">C31-1</f>
        <v>2001</v>
      </c>
      <c r="CM31" s="903" t="n">
        <f aca="false">INDEX(OperationalDetail,MATCH("Degraded Heat Rate",ODColumn,0),MATCH('Monthly Table'!CL31,ODRow,0))/1000</f>
        <v>12.0656068</v>
      </c>
      <c r="CN31" s="904" t="n">
        <f aca="false">S31*CM31</f>
        <v>51.6810828566797</v>
      </c>
      <c r="CO31" s="905" t="n">
        <f aca="false">IF(A31="January",(CO30*(1+Assumptions!$E$32)),CO30)</f>
        <v>6.8703375</v>
      </c>
      <c r="CP31" s="906" t="n">
        <f aca="false">CN31+CO31</f>
        <v>58.5514203566797</v>
      </c>
      <c r="CQ31" s="292"/>
      <c r="CR31" s="856" t="n">
        <f aca="false">IF(BJ31=0,"",C31)</f>
        <v>2002</v>
      </c>
      <c r="CS31" s="856" t="str">
        <f aca="false">IF(BO31=0,"",$C31)</f>
        <v/>
      </c>
      <c r="CT31" s="856" t="str">
        <f aca="false">IF(BL31=0,"",$C31)</f>
        <v/>
      </c>
      <c r="CU31" s="856" t="str">
        <f aca="false">IF(BP31=0,"",$C31)</f>
        <v/>
      </c>
      <c r="CV31" s="856" t="str">
        <f aca="false">IF(BD31=0,"",$C31)</f>
        <v/>
      </c>
      <c r="CW31" s="907" t="n">
        <f aca="false">YEAR(BF31)</f>
        <v>2002</v>
      </c>
      <c r="CX31" s="908" t="n">
        <f aca="false">INDEX('NY Curve'!$A$4:$G$256,MATCH('Monthly Table'!B31,'NY Curve'!$A$4:$A$256,0),MATCH("New York 5 X 16",'NY Curve'!$A$4:$G$4,0))</f>
        <v>30</v>
      </c>
      <c r="CY31" s="909" t="n">
        <f aca="false">K31</f>
        <v>1.42376478997839</v>
      </c>
      <c r="CZ31" s="910" t="n">
        <f aca="false">CX31*CY31</f>
        <v>42.7129436993517</v>
      </c>
      <c r="DB31" s="911"/>
      <c r="DC31" s="911"/>
    </row>
    <row r="32" customFormat="false" ht="18.75" hidden="false" customHeight="true" outlineLevel="0" collapsed="false">
      <c r="A32" s="49" t="s">
        <v>819</v>
      </c>
      <c r="B32" s="863" t="n">
        <v>37530</v>
      </c>
      <c r="C32" s="288" t="n">
        <f aca="false">YEAR(B32)</f>
        <v>2002</v>
      </c>
      <c r="D32" s="864" t="n">
        <f aca="false">IF(A32="January",D31+1,D31)</f>
        <v>2</v>
      </c>
      <c r="E32" s="865" t="n">
        <v>23</v>
      </c>
      <c r="F32" s="866" t="n">
        <v>4</v>
      </c>
      <c r="G32" s="866" t="n">
        <v>4</v>
      </c>
      <c r="H32" s="866" t="n">
        <v>0</v>
      </c>
      <c r="I32" s="867" t="n">
        <f aca="false">SUM(E32:H32)</f>
        <v>31</v>
      </c>
      <c r="J32" s="868"/>
      <c r="K32" s="869" t="n">
        <f aca="false">INDEX(FX!$A$3:$C$362,MATCH(B32,FX!$A$3:$A$362,0),MATCH("Monthly Curve",FX!$A$2:$C$2,0))</f>
        <v>1.42273112965184</v>
      </c>
      <c r="L32" s="869"/>
      <c r="M32" s="914" t="n">
        <v>2.661</v>
      </c>
      <c r="N32" s="915" t="n">
        <v>0.135</v>
      </c>
      <c r="O32" s="714" t="n">
        <v>0.02</v>
      </c>
      <c r="P32" s="872" t="n">
        <f aca="false">N32+O32</f>
        <v>0.155</v>
      </c>
      <c r="Q32" s="873" t="n">
        <f aca="false">SUM(M32:O32)</f>
        <v>2.816</v>
      </c>
      <c r="R32" s="874" t="n">
        <f aca="false">Assumptions!$B$34</f>
        <v>0.312458892307692</v>
      </c>
      <c r="S32" s="875" t="n">
        <f aca="false">(Q32*K32)+R32</f>
        <v>4.31886975340727</v>
      </c>
      <c r="T32" s="869"/>
      <c r="V32" s="876" t="n">
        <f aca="false">Assumptions!$B$42</f>
        <v>0</v>
      </c>
      <c r="W32" s="876"/>
      <c r="X32" s="971"/>
      <c r="Y32" s="878" t="n">
        <f aca="false">Assumptions!$B$7</f>
        <v>312</v>
      </c>
      <c r="Z32" s="879" t="n">
        <f aca="false">IF($Z$10=$V$10,V32,IF($Z$10=$W$10,W32,IF($Z$10=$X$10,X32,0)))</f>
        <v>0</v>
      </c>
      <c r="AA32" s="880" t="n">
        <f aca="false">Y32*Z32</f>
        <v>0</v>
      </c>
      <c r="AB32" s="881" t="n">
        <f aca="false">AA32*K32</f>
        <v>0</v>
      </c>
      <c r="AC32" s="188"/>
      <c r="AD32" s="882" t="n">
        <f aca="false">IF(Tables!$E$30="Michigan",INDEX('Michigan Curve'!$A$4:$S$256,MATCH('Monthly Table'!B32,'Michigan Curve'!$A$4:$A$256,0),MATCH("Michigan Selected Option Value US$/month",'Michigan Curve'!$A$4:$S$4,0)),INDEX('NY Curve'!$A$4:$T$256,MATCH('Monthly Table'!B32,'NY Curve'!$A$4:$A$256,0),MATCH("New York Selected Option Value US$/month",'NY Curve'!$A$4:$T$4,0)))</f>
        <v>12298.9466418037</v>
      </c>
      <c r="AE32" s="883" t="n">
        <f aca="false">AD32*K32</f>
        <v>17498.0942492211</v>
      </c>
      <c r="AF32" s="188"/>
      <c r="AG32" s="884"/>
      <c r="AH32" s="188"/>
      <c r="AI32" s="885" t="n">
        <f aca="false">Assumptions!$B$50</f>
        <v>65</v>
      </c>
      <c r="AJ32" s="916"/>
      <c r="AK32" s="887" t="n">
        <f aca="false">IF(Tables!$E$30="Custom",'Monthly Table'!AI32,IF(Tables!$E$30="New York",INDEX('NY Curve'!$A$4:$G$256,MATCH('Monthly Table'!B32,'NY Curve'!$A$4:$A$256,0),MATCH("Super Peak Curve",'NY Curve'!$A$4:$G$4,0)),IF(Tables!$E$30="New York Flat",INDEX('NY Curve'!$A$4:$G$256,MATCH('Monthly Table'!B32,'NY Curve'!$A$4:$A$256,0),MATCH("Flat NY West",'NY Curve'!$A$4:$G$4,0)),INDEX('Michigan Curve'!$A$4:$F$256,MATCH('Monthly Table'!B32,'Michigan Curve'!$A$4:$A$256,0),MATCH("Michigan Super Peak Curve US$/MWhr",'Michigan Curve'!$A$4:$F$4,0)))))</f>
        <v>24.3499946594238</v>
      </c>
      <c r="AL32" s="888" t="n">
        <f aca="false">IF(D32&lt;=Tables!$B$21,IF($AL$10=$AI$10,AI32,IF($AL$10=$AJ$10,AJ32,IF($AL$10=$AK$10,AK32,0))),0)</f>
        <v>24.3499946594238</v>
      </c>
      <c r="AM32" s="889" t="n">
        <f aca="false">+AL32*K32</f>
        <v>34.6434954088183</v>
      </c>
      <c r="AN32" s="890" t="n">
        <f aca="false">IF((AL32*K32)&gt;(CP32+$BF$4),1,0)</f>
        <v>0</v>
      </c>
      <c r="AO32" s="891"/>
      <c r="AP32" s="894"/>
      <c r="AQ32" s="892" t="n">
        <f aca="false">IF(Tables!$E$30="New York",INDEX('NY Curve'!$A$4:$L$256,MATCH('Monthly Table'!B32,'NY Curve'!$A$4:$A$256,0),MATCH("New York Shoulder Hour Curve Mon-Fri",'NY Curve'!$A$4:$L$4,0)),IF(Tables!$E$30="Michigan",INDEX('Michigan Curve'!$A$4:$K$256,MATCH('Monthly Table'!B32,'Michigan Curve'!$A$4:$A$256,0),MATCH("Michigan Shoulder Hour Curve Mon-Fri",'Michigan Curve'!$A$4:$K$4,0))))</f>
        <v>24.3499946594238</v>
      </c>
      <c r="AR32" s="889" t="n">
        <f aca="false">AQ32*K32</f>
        <v>34.6434954088183</v>
      </c>
      <c r="AS32" s="893" t="n">
        <f aca="false">IF(AR32&gt;($CP32+$BF$4),1,0)</f>
        <v>0</v>
      </c>
      <c r="AT32" s="188"/>
      <c r="AU32" s="892" t="n">
        <f aca="false">IF(Tables!$E$30="New York",INDEX('NY Curve'!$A$4:$L$256,MATCH('Monthly Table'!$B32,'NY Curve'!$A$4:$A$256,0),MATCH("New York Saturday Super Peak",'NY Curve'!$A$4:$L$4,0)),IF(Tables!$E$30="Michigan",INDEX('Michigan Curve'!$A$4:$K$256,MATCH('Monthly Table'!$B32,'Michigan Curve'!$A$4:$A$256,0),MATCH("Michigan Saturday Super Peak",'Michigan Curve'!$A$4:$K$4,0))))</f>
        <v>19.996000289917</v>
      </c>
      <c r="AV32" s="894" t="n">
        <f aca="false">AU32*K32</f>
        <v>28.4489320809921</v>
      </c>
      <c r="AW32" s="893" t="n">
        <f aca="false">IF(AV32&gt;($CP32+$BF$4),1,0)</f>
        <v>0</v>
      </c>
      <c r="AX32" s="892" t="n">
        <f aca="false">IF(Tables!$E$30="New York",INDEX('NY Curve'!$A$4:$L$256,MATCH('Monthly Table'!$B32,'NY Curve'!$A$4:$A$256,0),MATCH("New York Saturday Shoulder Peak",'NY Curve'!$A$4:$L$4,0)),IF(Tables!$E$30="Michigan",INDEX('Michigan Curve'!$A$4:$K$256,MATCH('Monthly Table'!$B32,'Michigan Curve'!$A$4:$A$256,0),MATCH("Michigan Saturday Shoulder Peak",'Michigan Curve'!$A$4:$K$4,0))))</f>
        <v>19.996000289917</v>
      </c>
      <c r="AY32" s="895" t="n">
        <f aca="false">AX32*K32</f>
        <v>28.4489320809921</v>
      </c>
      <c r="AZ32" s="893" t="n">
        <f aca="false">IF(AY32&gt;($CP32+$BF$4),1,0)</f>
        <v>0</v>
      </c>
      <c r="BA32" s="188"/>
      <c r="BB32" s="892" t="n">
        <f aca="false">IF(Tables!$E$30="New York",INDEX('NY Curve'!$A$4:$M$256,MATCH('Monthly Table'!$B32,'NY Curve'!$A$4:$A$256,0),MATCH("NY Sunday Super Peak",'NY Curve'!$A$4:$M$4,0)),IF(Tables!$E$30="Michigan",INDEX('Michigan Curve'!$A$4:$L$256,MATCH('Monthly Table'!$B32,'Michigan Curve'!$A$4:$A$256,0),MATCH("Michigan Sunday Super Peak",'Michigan Curve'!$A$4:$L$4,0))))</f>
        <v>18.9965000152588</v>
      </c>
      <c r="BC32" s="894" t="n">
        <f aca="false">BB32*K32</f>
        <v>27.0269119261403</v>
      </c>
      <c r="BD32" s="893" t="n">
        <f aca="false">IF(BC32&gt;($CP32+$BF$4),1,0)</f>
        <v>0</v>
      </c>
      <c r="BE32" s="188"/>
      <c r="BF32" s="896" t="n">
        <f aca="false">B32</f>
        <v>37530</v>
      </c>
      <c r="BG32" s="897" t="n">
        <f aca="false">IF($AN32=1,$E32*$BF$5,0)</f>
        <v>0</v>
      </c>
      <c r="BH32" s="897" t="n">
        <f aca="false">BG32</f>
        <v>0</v>
      </c>
      <c r="BI32" s="714" t="n">
        <f aca="false">IF($AN32=1,$E32*$BF$5,0)</f>
        <v>0</v>
      </c>
      <c r="BJ32" s="898" t="n">
        <f aca="false">IF('Monthly Table'!D32&lt;=Tables!$B$21,IF($BJ$10=$BG$10,BG32,IF($BJ$10=$BH$10,BH32,IF($BJ$10=$BI$10,BI32,0))),0)</f>
        <v>0</v>
      </c>
      <c r="BK32" s="288"/>
      <c r="BL32" s="898" t="n">
        <f aca="false">IF($AW32=1,$F32*$BF$5,0)</f>
        <v>0</v>
      </c>
      <c r="BM32" s="898" t="n">
        <f aca="false">IF($BD32=1,($G32+H32)*$BF$5,0)</f>
        <v>0</v>
      </c>
      <c r="BO32" s="898" t="n">
        <f aca="false">IF(AS32=1,BJ32,0)</f>
        <v>0</v>
      </c>
      <c r="BP32" s="898" t="n">
        <f aca="false">IF(AZ32=1,F32*$BF$5,0)</f>
        <v>0</v>
      </c>
      <c r="BR32" s="899" t="n">
        <f aca="false">IF(BJ32&gt;0,INDEX(OperationalDetail,MATCH("Capacity Degradation",ODColumn,0),MATCH('Monthly Table'!C32,ODRow,0)),0)</f>
        <v>0</v>
      </c>
      <c r="BS32" s="900" t="n">
        <f aca="false">BJ32*(1-BR32)*Tables!$C$10</f>
        <v>0</v>
      </c>
      <c r="BT32" s="883" t="n">
        <f aca="false">BS32*AL32/1000</f>
        <v>0</v>
      </c>
      <c r="BU32" s="883" t="n">
        <f aca="false">BT32*K32</f>
        <v>0</v>
      </c>
      <c r="BV32" s="188"/>
      <c r="BW32" s="901" t="n">
        <f aca="false">$BO32*(1-$BR32)*Tables!$C$36</f>
        <v>0</v>
      </c>
      <c r="BX32" s="902" t="n">
        <f aca="false">(BW32*AQ32)/1000</f>
        <v>0</v>
      </c>
      <c r="BY32" s="883" t="n">
        <f aca="false">BX32*K32</f>
        <v>0</v>
      </c>
      <c r="BZ32" s="188"/>
      <c r="CA32" s="901" t="n">
        <f aca="false">$BL32*(1-$BR32)*Tables!$C$36</f>
        <v>0</v>
      </c>
      <c r="CB32" s="902" t="n">
        <f aca="false">(CA32*AU32)/1000</f>
        <v>0</v>
      </c>
      <c r="CC32" s="883" t="n">
        <f aca="false">CB32*K32</f>
        <v>0</v>
      </c>
      <c r="CD32" s="901" t="n">
        <f aca="false">$BP32*(1-$BR32)*Tables!$C$36</f>
        <v>0</v>
      </c>
      <c r="CE32" s="902" t="n">
        <f aca="false">(CD32*AX32)/1000</f>
        <v>0</v>
      </c>
      <c r="CF32" s="883" t="n">
        <f aca="false">CE32*K32</f>
        <v>0</v>
      </c>
      <c r="CH32" s="901" t="n">
        <f aca="false">$BM32*(1-$BR32)*Tables!$C$36</f>
        <v>0</v>
      </c>
      <c r="CI32" s="902" t="n">
        <f aca="false">(CH32*BB32)/1000</f>
        <v>0</v>
      </c>
      <c r="CJ32" s="883" t="n">
        <f aca="false">CI32*K32</f>
        <v>0</v>
      </c>
      <c r="CK32" s="292"/>
      <c r="CL32" s="292" t="n">
        <f aca="false">C32-1</f>
        <v>2001</v>
      </c>
      <c r="CM32" s="903" t="n">
        <f aca="false">INDEX(OperationalDetail,MATCH("Degraded Heat Rate",ODColumn,0),MATCH('Monthly Table'!CL32,ODRow,0))/1000</f>
        <v>12.0656068</v>
      </c>
      <c r="CN32" s="904" t="n">
        <f aca="false">S32*CM32</f>
        <v>52.1097842650251</v>
      </c>
      <c r="CO32" s="905" t="n">
        <f aca="false">IF(A32="January",(CO31*(1+Assumptions!$E$32)),CO31)</f>
        <v>6.8703375</v>
      </c>
      <c r="CP32" s="906" t="n">
        <f aca="false">CN32+CO32</f>
        <v>58.9801217650251</v>
      </c>
      <c r="CQ32" s="292"/>
      <c r="CR32" s="856" t="str">
        <f aca="false">IF(BJ32=0,"",C32)</f>
        <v/>
      </c>
      <c r="CS32" s="856" t="str">
        <f aca="false">IF(BO32=0,"",$C32)</f>
        <v/>
      </c>
      <c r="CT32" s="856" t="str">
        <f aca="false">IF(BL32=0,"",$C32)</f>
        <v/>
      </c>
      <c r="CU32" s="856" t="str">
        <f aca="false">IF(BP32=0,"",$C32)</f>
        <v/>
      </c>
      <c r="CV32" s="856" t="str">
        <f aca="false">IF(BD32=0,"",$C32)</f>
        <v/>
      </c>
      <c r="CW32" s="907" t="n">
        <f aca="false">YEAR(BF32)</f>
        <v>2002</v>
      </c>
      <c r="CX32" s="908" t="n">
        <f aca="false">INDEX('NY Curve'!$A$4:$G$256,MATCH('Monthly Table'!B32,'NY Curve'!$A$4:$A$256,0),MATCH("New York 5 X 16",'NY Curve'!$A$4:$G$4,0))</f>
        <v>25.75</v>
      </c>
      <c r="CY32" s="909" t="n">
        <f aca="false">K32</f>
        <v>1.42273112965184</v>
      </c>
      <c r="CZ32" s="910" t="n">
        <f aca="false">CX32*CY32</f>
        <v>36.6353265885349</v>
      </c>
      <c r="DB32" s="911"/>
      <c r="DC32" s="911"/>
    </row>
    <row r="33" customFormat="false" ht="18.75" hidden="false" customHeight="true" outlineLevel="0" collapsed="false">
      <c r="A33" s="49" t="s">
        <v>820</v>
      </c>
      <c r="B33" s="863" t="n">
        <v>37561</v>
      </c>
      <c r="C33" s="288" t="n">
        <f aca="false">YEAR(B33)</f>
        <v>2002</v>
      </c>
      <c r="D33" s="864" t="n">
        <f aca="false">IF(A33="January",D32+1,D32)</f>
        <v>2</v>
      </c>
      <c r="E33" s="865" t="n">
        <v>20</v>
      </c>
      <c r="F33" s="866" t="n">
        <v>5</v>
      </c>
      <c r="G33" s="866" t="n">
        <v>4</v>
      </c>
      <c r="H33" s="866" t="n">
        <v>1</v>
      </c>
      <c r="I33" s="867" t="n">
        <f aca="false">SUM(E33:H33)</f>
        <v>30</v>
      </c>
      <c r="J33" s="868"/>
      <c r="K33" s="869" t="n">
        <f aca="false">INDEX(FX!$A$3:$C$362,MATCH(B33,FX!$A$3:$A$362,0),MATCH("Monthly Curve",FX!$A$2:$C$2,0))</f>
        <v>1.42168744500062</v>
      </c>
      <c r="L33" s="869"/>
      <c r="M33" s="914" t="n">
        <v>2.797</v>
      </c>
      <c r="N33" s="915" t="n">
        <v>0.22</v>
      </c>
      <c r="O33" s="714" t="n">
        <v>0.02</v>
      </c>
      <c r="P33" s="872" t="n">
        <f aca="false">N33+O33</f>
        <v>0.24</v>
      </c>
      <c r="Q33" s="873" t="n">
        <f aca="false">SUM(M33:O33)</f>
        <v>3.037</v>
      </c>
      <c r="R33" s="874" t="n">
        <f aca="false">Assumptions!$B$34</f>
        <v>0.312458892307692</v>
      </c>
      <c r="S33" s="875" t="n">
        <f aca="false">(Q33*K33)+R33</f>
        <v>4.63012366277458</v>
      </c>
      <c r="T33" s="869"/>
      <c r="V33" s="876" t="n">
        <f aca="false">Assumptions!$B$42</f>
        <v>0</v>
      </c>
      <c r="W33" s="876"/>
      <c r="X33" s="971"/>
      <c r="Y33" s="878" t="n">
        <f aca="false">Assumptions!$B$7</f>
        <v>312</v>
      </c>
      <c r="Z33" s="879" t="n">
        <f aca="false">IF($Z$10=$V$10,V33,IF($Z$10=$W$10,W33,IF($Z$10=$X$10,X33,0)))</f>
        <v>0</v>
      </c>
      <c r="AA33" s="880" t="n">
        <f aca="false">Y33*Z33</f>
        <v>0</v>
      </c>
      <c r="AB33" s="881" t="n">
        <f aca="false">AA33*K33</f>
        <v>0</v>
      </c>
      <c r="AC33" s="188"/>
      <c r="AD33" s="882" t="n">
        <f aca="false">IF(Tables!$E$30="Michigan",INDEX('Michigan Curve'!$A$4:$S$256,MATCH('Monthly Table'!B33,'Michigan Curve'!$A$4:$A$256,0),MATCH("Michigan Selected Option Value US$/month",'Michigan Curve'!$A$4:$S$4,0)),INDEX('NY Curve'!$A$4:$T$256,MATCH('Monthly Table'!B33,'NY Curve'!$A$4:$A$256,0),MATCH("New York Selected Option Value US$/month",'NY Curve'!$A$4:$T$4,0)))</f>
        <v>17086.9960336179</v>
      </c>
      <c r="AE33" s="883" t="n">
        <f aca="false">AD33*K33</f>
        <v>24292.36773377</v>
      </c>
      <c r="AF33" s="188"/>
      <c r="AG33" s="884"/>
      <c r="AH33" s="188"/>
      <c r="AI33" s="885" t="n">
        <f aca="false">Assumptions!$B$50</f>
        <v>65</v>
      </c>
      <c r="AJ33" s="916"/>
      <c r="AK33" s="887" t="n">
        <f aca="false">IF(Tables!$E$30="Custom",'Monthly Table'!AI33,IF(Tables!$E$30="New York",INDEX('NY Curve'!$A$4:$G$256,MATCH('Monthly Table'!B33,'NY Curve'!$A$4:$A$256,0),MATCH("Super Peak Curve",'NY Curve'!$A$4:$G$4,0)),IF(Tables!$E$30="New York Flat",INDEX('NY Curve'!$A$4:$G$256,MATCH('Monthly Table'!B33,'NY Curve'!$A$4:$A$256,0),MATCH("Flat NY West",'NY Curve'!$A$4:$G$4,0)),INDEX('Michigan Curve'!$A$4:$F$256,MATCH('Monthly Table'!B33,'Michigan Curve'!$A$4:$A$256,0),MATCH("Michigan Super Peak Curve US$/MWhr",'Michigan Curve'!$A$4:$F$4,0)))))</f>
        <v>26.1683953857422</v>
      </c>
      <c r="AL33" s="888" t="n">
        <f aca="false">IF(D33&lt;=Tables!$B$21,IF($AL$10=$AI$10,AI33,IF($AL$10=$AJ$10,AJ33,IF($AL$10=$AK$10,AK33,0))),0)</f>
        <v>26.1683953857422</v>
      </c>
      <c r="AM33" s="889" t="n">
        <f aca="false">+AL33*K33</f>
        <v>37.2032791757218</v>
      </c>
      <c r="AN33" s="890" t="n">
        <f aca="false">IF((AL33*K33)&gt;(CP33+$BF$4),1,0)</f>
        <v>0</v>
      </c>
      <c r="AO33" s="891"/>
      <c r="AP33" s="894"/>
      <c r="AQ33" s="892" t="n">
        <f aca="false">IF(Tables!$E$30="New York",INDEX('NY Curve'!$A$4:$L$256,MATCH('Monthly Table'!B33,'NY Curve'!$A$4:$A$256,0),MATCH("New York Shoulder Hour Curve Mon-Fri",'NY Curve'!$A$4:$L$4,0)),IF(Tables!$E$30="Michigan",INDEX('Michigan Curve'!$A$4:$K$256,MATCH('Monthly Table'!B33,'Michigan Curve'!$A$4:$A$256,0),MATCH("Michigan Shoulder Hour Curve Mon-Fri",'Michigan Curve'!$A$4:$K$4,0))))</f>
        <v>22.2915960693359</v>
      </c>
      <c r="AR33" s="889" t="n">
        <f aca="false">AQ33*K33</f>
        <v>31.6916822608001</v>
      </c>
      <c r="AS33" s="893" t="n">
        <f aca="false">IF(AR33&gt;($CP33+$BF$4),1,0)</f>
        <v>0</v>
      </c>
      <c r="AT33" s="188"/>
      <c r="AU33" s="892" t="n">
        <f aca="false">IF(Tables!$E$30="New York",INDEX('NY Curve'!$A$4:$L$256,MATCH('Monthly Table'!$B33,'NY Curve'!$A$4:$A$256,0),MATCH("New York Saturday Super Peak",'NY Curve'!$A$4:$L$4,0)),IF(Tables!$E$30="Michigan",INDEX('Michigan Curve'!$A$4:$K$256,MATCH('Monthly Table'!$B33,'Michigan Curve'!$A$4:$A$256,0),MATCH("Michigan Saturday Super Peak",'Michigan Curve'!$A$4:$K$4,0))))</f>
        <v>21.6</v>
      </c>
      <c r="AV33" s="894" t="n">
        <f aca="false">AU33*K33</f>
        <v>30.7084488120134</v>
      </c>
      <c r="AW33" s="893" t="n">
        <f aca="false">IF(AV33&gt;($CP33+$BF$4),1,0)</f>
        <v>0</v>
      </c>
      <c r="AX33" s="892" t="n">
        <f aca="false">IF(Tables!$E$30="New York",INDEX('NY Curve'!$A$4:$L$256,MATCH('Monthly Table'!$B33,'NY Curve'!$A$4:$A$256,0),MATCH("New York Saturday Shoulder Peak",'NY Curve'!$A$4:$L$4,0)),IF(Tables!$E$30="Michigan",INDEX('Michigan Curve'!$A$4:$K$256,MATCH('Monthly Table'!$B33,'Michigan Curve'!$A$4:$A$256,0),MATCH("Michigan Saturday Shoulder Peak",'Michigan Curve'!$A$4:$K$4,0))))</f>
        <v>18.4</v>
      </c>
      <c r="AY33" s="895" t="n">
        <f aca="false">AX33*K33</f>
        <v>26.1590489880114</v>
      </c>
      <c r="AZ33" s="893" t="n">
        <f aca="false">IF(AY33&gt;($CP33+$BF$4),1,0)</f>
        <v>0</v>
      </c>
      <c r="BA33" s="188"/>
      <c r="BB33" s="892" t="n">
        <f aca="false">IF(Tables!$E$30="New York",INDEX('NY Curve'!$A$4:$M$256,MATCH('Monthly Table'!$B33,'NY Curve'!$A$4:$A$256,0),MATCH("NY Sunday Super Peak",'NY Curve'!$A$4:$M$4,0)),IF(Tables!$E$30="Michigan",INDEX('Michigan Curve'!$A$4:$L$256,MATCH('Monthly Table'!$B33,'Michigan Curve'!$A$4:$A$256,0),MATCH("Michigan Sunday Super Peak",'Michigan Curve'!$A$4:$L$4,0))))</f>
        <v>20.52</v>
      </c>
      <c r="BC33" s="894" t="n">
        <f aca="false">BB33*K33</f>
        <v>29.1730263714127</v>
      </c>
      <c r="BD33" s="893" t="n">
        <f aca="false">IF(BC33&gt;($CP33+$BF$4),1,0)</f>
        <v>0</v>
      </c>
      <c r="BE33" s="188"/>
      <c r="BF33" s="896" t="n">
        <f aca="false">B33</f>
        <v>37561</v>
      </c>
      <c r="BG33" s="897" t="n">
        <f aca="false">IF($AN33=1,$E33*$BF$5,0)</f>
        <v>0</v>
      </c>
      <c r="BH33" s="897" t="n">
        <f aca="false">BG33</f>
        <v>0</v>
      </c>
      <c r="BI33" s="714" t="n">
        <f aca="false">IF($AN33=1,$E33*$BF$5,0)</f>
        <v>0</v>
      </c>
      <c r="BJ33" s="898" t="n">
        <f aca="false">IF('Monthly Table'!D33&lt;=Tables!$B$21,IF($BJ$10=$BG$10,BG33,IF($BJ$10=$BH$10,BH33,IF($BJ$10=$BI$10,BI33,0))),0)</f>
        <v>0</v>
      </c>
      <c r="BK33" s="288"/>
      <c r="BL33" s="898" t="n">
        <f aca="false">IF($AW33=1,$F33*$BF$5,0)</f>
        <v>0</v>
      </c>
      <c r="BM33" s="898" t="n">
        <f aca="false">IF($BD33=1,($G33+H33)*$BF$5,0)</f>
        <v>0</v>
      </c>
      <c r="BO33" s="898" t="n">
        <f aca="false">IF(AS33=1,BJ33,0)</f>
        <v>0</v>
      </c>
      <c r="BP33" s="898" t="n">
        <f aca="false">IF(AZ33=1,F33*$BF$5,0)</f>
        <v>0</v>
      </c>
      <c r="BR33" s="899" t="n">
        <f aca="false">IF(BJ33&gt;0,INDEX(OperationalDetail,MATCH("Capacity Degradation",ODColumn,0),MATCH('Monthly Table'!C33,ODRow,0)),0)</f>
        <v>0</v>
      </c>
      <c r="BS33" s="900" t="n">
        <f aca="false">BJ33*(1-BR33)*Tables!$C$10</f>
        <v>0</v>
      </c>
      <c r="BT33" s="883" t="n">
        <f aca="false">BS33*AL33/1000</f>
        <v>0</v>
      </c>
      <c r="BU33" s="883" t="n">
        <f aca="false">BT33*K33</f>
        <v>0</v>
      </c>
      <c r="BV33" s="188"/>
      <c r="BW33" s="901" t="n">
        <f aca="false">$BO33*(1-$BR33)*Tables!$C$36</f>
        <v>0</v>
      </c>
      <c r="BX33" s="902" t="n">
        <f aca="false">(BW33*AQ33)/1000</f>
        <v>0</v>
      </c>
      <c r="BY33" s="883" t="n">
        <f aca="false">BX33*K33</f>
        <v>0</v>
      </c>
      <c r="BZ33" s="188"/>
      <c r="CA33" s="901" t="n">
        <f aca="false">$BL33*(1-$BR33)*Tables!$C$36</f>
        <v>0</v>
      </c>
      <c r="CB33" s="902" t="n">
        <f aca="false">(CA33*AU33)/1000</f>
        <v>0</v>
      </c>
      <c r="CC33" s="883" t="n">
        <f aca="false">CB33*K33</f>
        <v>0</v>
      </c>
      <c r="CD33" s="901" t="n">
        <f aca="false">$BP33*(1-$BR33)*Tables!$C$36</f>
        <v>0</v>
      </c>
      <c r="CE33" s="902" t="n">
        <f aca="false">(CD33*AX33)/1000</f>
        <v>0</v>
      </c>
      <c r="CF33" s="883" t="n">
        <f aca="false">CE33*K33</f>
        <v>0</v>
      </c>
      <c r="CH33" s="901" t="n">
        <f aca="false">$BM33*(1-$BR33)*Tables!$C$36</f>
        <v>0</v>
      </c>
      <c r="CI33" s="902" t="n">
        <f aca="false">(CH33*BB33)/1000</f>
        <v>0</v>
      </c>
      <c r="CJ33" s="883" t="n">
        <f aca="false">CI33*K33</f>
        <v>0</v>
      </c>
      <c r="CK33" s="292"/>
      <c r="CL33" s="292" t="n">
        <f aca="false">C33-1</f>
        <v>2001</v>
      </c>
      <c r="CM33" s="903" t="n">
        <f aca="false">INDEX(OperationalDetail,MATCH("Degraded Heat Rate",ODColumn,0),MATCH('Monthly Table'!CL33,ODRow,0))/1000</f>
        <v>12.0656068</v>
      </c>
      <c r="CN33" s="904" t="n">
        <f aca="false">S33*CM33</f>
        <v>55.8652515504138</v>
      </c>
      <c r="CO33" s="905" t="n">
        <f aca="false">IF(A33="January",(CO32*(1+Assumptions!$E$32)),CO32)</f>
        <v>6.8703375</v>
      </c>
      <c r="CP33" s="906" t="n">
        <f aca="false">CN33+CO33</f>
        <v>62.7355890504138</v>
      </c>
      <c r="CQ33" s="292"/>
      <c r="CR33" s="856" t="str">
        <f aca="false">IF(BJ33=0,"",C33)</f>
        <v/>
      </c>
      <c r="CS33" s="856" t="str">
        <f aca="false">IF(BO33=0,"",$C33)</f>
        <v/>
      </c>
      <c r="CT33" s="856" t="str">
        <f aca="false">IF(BL33=0,"",$C33)</f>
        <v/>
      </c>
      <c r="CU33" s="856" t="str">
        <f aca="false">IF(BP33=0,"",$C33)</f>
        <v/>
      </c>
      <c r="CV33" s="856" t="str">
        <f aca="false">IF(BD33=0,"",$C33)</f>
        <v/>
      </c>
      <c r="CW33" s="907" t="n">
        <f aca="false">YEAR(BF33)</f>
        <v>2002</v>
      </c>
      <c r="CX33" s="908" t="n">
        <f aca="false">INDEX('NY Curve'!$A$4:$G$256,MATCH('Monthly Table'!B33,'NY Curve'!$A$4:$A$256,0),MATCH("New York 5 X 16",'NY Curve'!$A$4:$G$4,0))</f>
        <v>26.25</v>
      </c>
      <c r="CY33" s="909" t="n">
        <f aca="false">K33</f>
        <v>1.42168744500062</v>
      </c>
      <c r="CZ33" s="910" t="n">
        <f aca="false">CX33*CY33</f>
        <v>37.3192954312663</v>
      </c>
      <c r="DB33" s="911"/>
      <c r="DC33" s="911"/>
    </row>
    <row r="34" customFormat="false" ht="18.75" hidden="false" customHeight="true" outlineLevel="0" collapsed="false">
      <c r="A34" s="110" t="s">
        <v>821</v>
      </c>
      <c r="B34" s="918" t="n">
        <v>37591</v>
      </c>
      <c r="C34" s="917" t="n">
        <f aca="false">YEAR(B34)</f>
        <v>2002</v>
      </c>
      <c r="D34" s="919" t="n">
        <f aca="false">IF(A34="January",D33+1,D33)</f>
        <v>2</v>
      </c>
      <c r="E34" s="865" t="n">
        <v>21</v>
      </c>
      <c r="F34" s="866" t="n">
        <v>4</v>
      </c>
      <c r="G34" s="866" t="n">
        <v>5</v>
      </c>
      <c r="H34" s="866" t="n">
        <v>1</v>
      </c>
      <c r="I34" s="867" t="n">
        <f aca="false">SUM(E34:H34)</f>
        <v>31</v>
      </c>
      <c r="J34" s="923"/>
      <c r="K34" s="924" t="n">
        <f aca="false">INDEX(FX!$A$3:$C$362,MATCH(B34,FX!$A$3:$A$362,0),MATCH("Monthly Curve",FX!$A$2:$C$2,0))</f>
        <v>1.42067583416208</v>
      </c>
      <c r="L34" s="924"/>
      <c r="M34" s="925" t="n">
        <v>2.923</v>
      </c>
      <c r="N34" s="926" t="n">
        <v>0.26</v>
      </c>
      <c r="O34" s="927" t="n">
        <v>0.02</v>
      </c>
      <c r="P34" s="928" t="n">
        <f aca="false">N34+O34</f>
        <v>0.28</v>
      </c>
      <c r="Q34" s="929" t="n">
        <f aca="false">SUM(M34:O34)</f>
        <v>3.203</v>
      </c>
      <c r="R34" s="930" t="n">
        <f aca="false">Assumptions!$B$34</f>
        <v>0.312458892307692</v>
      </c>
      <c r="S34" s="931" t="n">
        <f aca="false">(Q34*K34)+R34</f>
        <v>4.86288358912883</v>
      </c>
      <c r="T34" s="924"/>
      <c r="U34" s="917"/>
      <c r="V34" s="932" t="n">
        <f aca="false">Assumptions!$B$42</f>
        <v>0</v>
      </c>
      <c r="W34" s="932"/>
      <c r="X34" s="972"/>
      <c r="Y34" s="934" t="n">
        <f aca="false">Assumptions!$B$7</f>
        <v>312</v>
      </c>
      <c r="Z34" s="935" t="n">
        <f aca="false">IF($Z$10=$V$10,V34,IF($Z$10=$W$10,W34,IF($Z$10=$X$10,X34,0)))</f>
        <v>0</v>
      </c>
      <c r="AA34" s="936" t="n">
        <f aca="false">Y34*Z34</f>
        <v>0</v>
      </c>
      <c r="AB34" s="937" t="n">
        <f aca="false">AA34*K34</f>
        <v>0</v>
      </c>
      <c r="AC34" s="938"/>
      <c r="AD34" s="882" t="n">
        <f aca="false">IF(Tables!$E$30="Michigan",INDEX('Michigan Curve'!$A$4:$S$256,MATCH('Monthly Table'!B34,'Michigan Curve'!$A$4:$A$256,0),MATCH("Michigan Selected Option Value US$/month",'Michigan Curve'!$A$4:$S$4,0)),INDEX('NY Curve'!$A$4:$T$256,MATCH('Monthly Table'!B34,'NY Curve'!$A$4:$A$256,0),MATCH("New York Selected Option Value US$/month",'NY Curve'!$A$4:$T$4,0)))</f>
        <v>7706.07758555353</v>
      </c>
      <c r="AE34" s="883" t="n">
        <f aca="false">AD34*K34</f>
        <v>10947.838201974</v>
      </c>
      <c r="AF34" s="938"/>
      <c r="AG34" s="939"/>
      <c r="AH34" s="938"/>
      <c r="AI34" s="885" t="n">
        <f aca="false">Assumptions!$B$50</f>
        <v>65</v>
      </c>
      <c r="AJ34" s="940"/>
      <c r="AK34" s="887" t="n">
        <f aca="false">IF(Tables!$E$30="Custom",'Monthly Table'!AI34,IF(Tables!$E$30="New York",INDEX('NY Curve'!$A$4:$G$256,MATCH('Monthly Table'!B34,'NY Curve'!$A$4:$A$256,0),MATCH("Super Peak Curve",'NY Curve'!$A$4:$G$4,0)),IF(Tables!$E$30="New York Flat",INDEX('NY Curve'!$A$4:$G$256,MATCH('Monthly Table'!B34,'NY Curve'!$A$4:$A$256,0),MATCH("Flat NY West",'NY Curve'!$A$4:$G$4,0)),INDEX('Michigan Curve'!$A$4:$F$256,MATCH('Monthly Table'!B34,'Michigan Curve'!$A$4:$A$256,0),MATCH("Michigan Super Peak Curve US$/MWhr",'Michigan Curve'!$A$4:$F$4,0)))))</f>
        <v>25.1939949417114</v>
      </c>
      <c r="AL34" s="941" t="n">
        <f aca="false">IF(D34&lt;=Tables!$B$21,IF($AL$10=$AI$10,AI34,IF($AL$10=$AJ$10,AJ34,IF($AL$10=$AK$10,AK34,0))),0)</f>
        <v>25.1939949417114</v>
      </c>
      <c r="AM34" s="942" t="n">
        <f aca="false">+AL34*K34</f>
        <v>35.7924997796911</v>
      </c>
      <c r="AN34" s="943" t="n">
        <f aca="false">IF((AL34*K34)&gt;(CP34+$BF$4),1,0)</f>
        <v>0</v>
      </c>
      <c r="AO34" s="944"/>
      <c r="AP34" s="894"/>
      <c r="AQ34" s="892" t="n">
        <f aca="false">IF(Tables!$E$30="New York",INDEX('NY Curve'!$A$4:$L$256,MATCH('Monthly Table'!B34,'NY Curve'!$A$4:$A$256,0),MATCH("New York Shoulder Hour Curve Mon-Fri",'NY Curve'!$A$4:$L$4,0)),IF(Tables!$E$30="Michigan",INDEX('Michigan Curve'!$A$4:$K$256,MATCH('Monthly Table'!B34,'Michigan Curve'!$A$4:$A$256,0),MATCH("Michigan Shoulder Hour Curve Mon-Fri",'Michigan Curve'!$A$4:$K$4,0))))</f>
        <v>24.2059951400757</v>
      </c>
      <c r="AR34" s="889" t="n">
        <f aca="false">AQ34*K34</f>
        <v>34.3888723373503</v>
      </c>
      <c r="AS34" s="893" t="n">
        <f aca="false">IF(AR34&gt;($CP34+$BF$4),1,0)</f>
        <v>0</v>
      </c>
      <c r="AT34" s="938"/>
      <c r="AU34" s="892" t="n">
        <f aca="false">IF(Tables!$E$30="New York",INDEX('NY Curve'!$A$4:$L$256,MATCH('Monthly Table'!$B34,'NY Curve'!$A$4:$A$256,0),MATCH("New York Saturday Super Peak",'NY Curve'!$A$4:$L$4,0)),IF(Tables!$E$30="Michigan",INDEX('Michigan Curve'!$A$4:$K$256,MATCH('Monthly Table'!$B34,'Michigan Curve'!$A$4:$A$256,0),MATCH("Michigan Saturday Super Peak",'Michigan Curve'!$A$4:$K$4,0))))</f>
        <v>20.4</v>
      </c>
      <c r="AV34" s="894" t="n">
        <f aca="false">AU34*K34</f>
        <v>28.9817870169064</v>
      </c>
      <c r="AW34" s="893" t="n">
        <f aca="false">IF(AV34&gt;($CP34+$BF$4),1,0)</f>
        <v>0</v>
      </c>
      <c r="AX34" s="892" t="n">
        <f aca="false">IF(Tables!$E$30="New York",INDEX('NY Curve'!$A$4:$L$256,MATCH('Monthly Table'!$B34,'NY Curve'!$A$4:$A$256,0),MATCH("New York Saturday Shoulder Peak",'NY Curve'!$A$4:$L$4,0)),IF(Tables!$E$30="Michigan",INDEX('Michigan Curve'!$A$4:$K$256,MATCH('Monthly Table'!$B34,'Michigan Curve'!$A$4:$A$256,0),MATCH("Michigan Saturday Shoulder Peak",'Michigan Curve'!$A$4:$K$4,0))))</f>
        <v>19.6</v>
      </c>
      <c r="AY34" s="895" t="n">
        <f aca="false">AX34*K34</f>
        <v>27.8452463495768</v>
      </c>
      <c r="AZ34" s="893" t="n">
        <f aca="false">IF(AY34&gt;($CP34+$BF$4),1,0)</f>
        <v>0</v>
      </c>
      <c r="BA34" s="938"/>
      <c r="BB34" s="892" t="n">
        <f aca="false">IF(Tables!$E$30="New York",INDEX('NY Curve'!$A$4:$M$256,MATCH('Monthly Table'!$B34,'NY Curve'!$A$4:$A$256,0),MATCH("NY Sunday Super Peak",'NY Curve'!$A$4:$M$4,0)),IF(Tables!$E$30="Michigan",INDEX('Michigan Curve'!$A$4:$L$256,MATCH('Monthly Table'!$B34,'Michigan Curve'!$A$4:$A$256,0),MATCH("Michigan Sunday Super Peak",'Michigan Curve'!$A$4:$L$4,0))))</f>
        <v>19.38</v>
      </c>
      <c r="BC34" s="894" t="n">
        <f aca="false">BB34*K34</f>
        <v>27.5326976660611</v>
      </c>
      <c r="BD34" s="893" t="n">
        <f aca="false">IF(BC34&gt;($CP34+$BF$4),1,0)</f>
        <v>0</v>
      </c>
      <c r="BE34" s="938"/>
      <c r="BF34" s="948" t="n">
        <f aca="false">B34</f>
        <v>37591</v>
      </c>
      <c r="BG34" s="897" t="n">
        <f aca="false">IF($AN34=1,$E34*$BF$5,0)</f>
        <v>0</v>
      </c>
      <c r="BH34" s="949" t="n">
        <f aca="false">BG34</f>
        <v>0</v>
      </c>
      <c r="BI34" s="714" t="n">
        <f aca="false">IF($AN34=1,$E34*$BF$5,0)</f>
        <v>0</v>
      </c>
      <c r="BJ34" s="950" t="n">
        <f aca="false">IF('Monthly Table'!D34&lt;=Tables!$B$21,IF($BJ$10=$BG$10,BG34,IF($BJ$10=$BH$10,BH34,IF($BJ$10=$BI$10,BI34,0))),0)</f>
        <v>0</v>
      </c>
      <c r="BK34" s="288"/>
      <c r="BL34" s="898" t="n">
        <f aca="false">IF($AW34=1,$F34*$BF$5,0)</f>
        <v>0</v>
      </c>
      <c r="BM34" s="898" t="n">
        <f aca="false">IF($BD34=1,($G34+H34)*$BF$5,0)</f>
        <v>0</v>
      </c>
      <c r="BO34" s="898" t="n">
        <f aca="false">IF(AS34=1,BJ34,0)</f>
        <v>0</v>
      </c>
      <c r="BP34" s="898" t="n">
        <f aca="false">IF(AZ34=1,F34*$BF$5,0)</f>
        <v>0</v>
      </c>
      <c r="BR34" s="951" t="n">
        <f aca="false">IF(BJ34&gt;0,INDEX(OperationalDetail,MATCH("Capacity Degradation",ODColumn,0),MATCH('Monthly Table'!C34,ODRow,0)),0)</f>
        <v>0</v>
      </c>
      <c r="BS34" s="952" t="n">
        <f aca="false">BJ34*(1-BR34)*Tables!$C$10</f>
        <v>0</v>
      </c>
      <c r="BT34" s="953" t="n">
        <f aca="false">BS34*AL34/1000</f>
        <v>0</v>
      </c>
      <c r="BU34" s="953" t="n">
        <f aca="false">BT34*K34</f>
        <v>0</v>
      </c>
      <c r="BV34" s="188"/>
      <c r="BW34" s="901" t="n">
        <f aca="false">$BO34*(1-$BR34)*Tables!$C$36</f>
        <v>0</v>
      </c>
      <c r="BX34" s="902" t="n">
        <f aca="false">(BW34*AQ34)/1000</f>
        <v>0</v>
      </c>
      <c r="BY34" s="883" t="n">
        <f aca="false">BX34*K34</f>
        <v>0</v>
      </c>
      <c r="BZ34" s="938"/>
      <c r="CA34" s="901" t="n">
        <f aca="false">$BL34*(1-$BR34)*Tables!$C$36</f>
        <v>0</v>
      </c>
      <c r="CB34" s="902" t="n">
        <f aca="false">(CA34*AU34)/1000</f>
        <v>0</v>
      </c>
      <c r="CC34" s="883" t="n">
        <f aca="false">CB34*K34</f>
        <v>0</v>
      </c>
      <c r="CD34" s="901" t="n">
        <f aca="false">$BP34*(1-$BR34)*Tables!$C$36</f>
        <v>0</v>
      </c>
      <c r="CE34" s="902" t="n">
        <f aca="false">(CD34*AX34)/1000</f>
        <v>0</v>
      </c>
      <c r="CF34" s="883" t="n">
        <f aca="false">CE34*K34</f>
        <v>0</v>
      </c>
      <c r="CG34" s="110"/>
      <c r="CH34" s="901" t="n">
        <f aca="false">$BM34*(1-$BR34)*Tables!$C$36</f>
        <v>0</v>
      </c>
      <c r="CI34" s="902" t="n">
        <f aca="false">(CH34*BB34)/1000</f>
        <v>0</v>
      </c>
      <c r="CJ34" s="883" t="n">
        <f aca="false">CI34*K34</f>
        <v>0</v>
      </c>
      <c r="CK34" s="956"/>
      <c r="CL34" s="292" t="n">
        <f aca="false">C34-1</f>
        <v>2001</v>
      </c>
      <c r="CM34" s="903" t="n">
        <f aca="false">INDEX(OperationalDetail,MATCH("Degraded Heat Rate",ODColumn,0),MATCH('Monthly Table'!CL34,ODRow,0))/1000</f>
        <v>12.0656068</v>
      </c>
      <c r="CN34" s="958" t="n">
        <f aca="false">S34*CM34</f>
        <v>58.6736413006013</v>
      </c>
      <c r="CO34" s="959" t="n">
        <f aca="false">IF(A34="January",(CO33*(1+Assumptions!$E$32)),CO33)</f>
        <v>6.8703375</v>
      </c>
      <c r="CP34" s="960" t="n">
        <f aca="false">CN34+CO34</f>
        <v>65.5439788006013</v>
      </c>
      <c r="CQ34" s="956"/>
      <c r="CR34" s="961" t="str">
        <f aca="false">IF(BJ34=0,"",C34)</f>
        <v/>
      </c>
      <c r="CS34" s="856" t="str">
        <f aca="false">IF(BO34=0,"",$C34)</f>
        <v/>
      </c>
      <c r="CT34" s="856" t="str">
        <f aca="false">IF(BL34=0,"",$C34)</f>
        <v/>
      </c>
      <c r="CU34" s="856" t="str">
        <f aca="false">IF(BP34=0,"",$C34)</f>
        <v/>
      </c>
      <c r="CV34" s="856" t="str">
        <f aca="false">IF(BD34=0,"",$C34)</f>
        <v/>
      </c>
      <c r="CW34" s="962" t="n">
        <f aca="false">YEAR(BF34)</f>
        <v>2002</v>
      </c>
      <c r="CX34" s="963" t="n">
        <f aca="false">INDEX('NY Curve'!$A$4:$G$256,MATCH('Monthly Table'!B34,'NY Curve'!$A$4:$A$256,0),MATCH("New York 5 X 16",'NY Curve'!$A$4:$G$4,0))</f>
        <v>26.75</v>
      </c>
      <c r="CY34" s="964" t="n">
        <f aca="false">K34</f>
        <v>1.42067583416208</v>
      </c>
      <c r="CZ34" s="965" t="n">
        <f aca="false">CX34*CY34</f>
        <v>38.0030785638356</v>
      </c>
      <c r="DA34" s="110"/>
      <c r="DB34" s="966"/>
      <c r="DC34" s="966"/>
      <c r="DD34" s="110"/>
      <c r="DE34" s="110"/>
      <c r="DF34" s="110"/>
      <c r="DG34" s="110"/>
      <c r="DH34" s="110"/>
    </row>
    <row r="35" customFormat="false" ht="18.75" hidden="false" customHeight="true" outlineLevel="0" collapsed="false">
      <c r="A35" s="49" t="s">
        <v>810</v>
      </c>
      <c r="B35" s="863" t="n">
        <v>37622</v>
      </c>
      <c r="C35" s="288" t="n">
        <f aca="false">YEAR(B35)</f>
        <v>2003</v>
      </c>
      <c r="D35" s="864" t="n">
        <f aca="false">IF(A35="January",D34+1,D34)</f>
        <v>3</v>
      </c>
      <c r="E35" s="865" t="n">
        <v>22</v>
      </c>
      <c r="F35" s="866" t="n">
        <v>4</v>
      </c>
      <c r="G35" s="866" t="n">
        <v>4</v>
      </c>
      <c r="H35" s="866" t="n">
        <v>1</v>
      </c>
      <c r="I35" s="867" t="n">
        <f aca="false">SUM(E35:H35)</f>
        <v>31</v>
      </c>
      <c r="J35" s="868"/>
      <c r="K35" s="869" t="n">
        <f aca="false">INDEX(FX!$A$3:$C$362,MATCH(B35,FX!$A$3:$A$362,0),MATCH("Monthly Curve",FX!$A$2:$C$2,0))</f>
        <v>1.41962115947708</v>
      </c>
      <c r="L35" s="869"/>
      <c r="M35" s="914" t="n">
        <v>2.956</v>
      </c>
      <c r="N35" s="915" t="n">
        <v>0.27</v>
      </c>
      <c r="O35" s="714" t="n">
        <v>0.02</v>
      </c>
      <c r="P35" s="872" t="n">
        <f aca="false">N35+O35</f>
        <v>0.29</v>
      </c>
      <c r="Q35" s="873" t="n">
        <f aca="false">SUM(M35:O35)</f>
        <v>3.246</v>
      </c>
      <c r="R35" s="874" t="n">
        <f aca="false">Assumptions!$B$34</f>
        <v>0.312458892307692</v>
      </c>
      <c r="S35" s="875" t="n">
        <f aca="false">(Q35*K35)+R35</f>
        <v>4.9205491759703</v>
      </c>
      <c r="T35" s="869"/>
      <c r="V35" s="876" t="n">
        <f aca="false">Assumptions!$B$42</f>
        <v>0</v>
      </c>
      <c r="W35" s="876"/>
      <c r="X35" s="971"/>
      <c r="Y35" s="878" t="n">
        <f aca="false">Assumptions!$B$7</f>
        <v>312</v>
      </c>
      <c r="Z35" s="879" t="n">
        <f aca="false">IF($Z$10=$V$10,V35,IF($Z$10=$W$10,W35,IF($Z$10=$X$10,X35,0)))</f>
        <v>0</v>
      </c>
      <c r="AA35" s="880" t="n">
        <f aca="false">Y35*Z35</f>
        <v>0</v>
      </c>
      <c r="AB35" s="881" t="n">
        <f aca="false">AA35*K35</f>
        <v>0</v>
      </c>
      <c r="AC35" s="188"/>
      <c r="AD35" s="882" t="n">
        <f aca="false">IF(Tables!$E$30="Michigan",INDEX('Michigan Curve'!$A$4:$S$256,MATCH('Monthly Table'!B35,'Michigan Curve'!$A$4:$A$256,0),MATCH("Michigan Selected Option Value US$/month",'Michigan Curve'!$A$4:$S$4,0)),INDEX('NY Curve'!$A$4:$T$256,MATCH('Monthly Table'!B35,'NY Curve'!$A$4:$A$256,0),MATCH("New York Selected Option Value US$/month",'NY Curve'!$A$4:$T$4,0)))</f>
        <v>95105.3930708969</v>
      </c>
      <c r="AE35" s="883" t="n">
        <f aca="false">AD35*K35</f>
        <v>135013.62838383</v>
      </c>
      <c r="AF35" s="188"/>
      <c r="AG35" s="884"/>
      <c r="AH35" s="188"/>
      <c r="AI35" s="885" t="n">
        <f aca="false">Assumptions!$B$50</f>
        <v>65</v>
      </c>
      <c r="AJ35" s="916"/>
      <c r="AK35" s="887" t="n">
        <f aca="false">IF(Tables!$E$30="Custom",'Monthly Table'!AI35,IF(Tables!$E$30="New York",INDEX('NY Curve'!$A$4:$G$256,MATCH('Monthly Table'!B35,'NY Curve'!$A$4:$A$256,0),MATCH("Super Peak Curve",'NY Curve'!$A$4:$G$4,0)),IF(Tables!$E$30="New York Flat",INDEX('NY Curve'!$A$4:$G$256,MATCH('Monthly Table'!B35,'NY Curve'!$A$4:$A$256,0),MATCH("Flat NY West",'NY Curve'!$A$4:$G$4,0)),INDEX('Michigan Curve'!$A$4:$F$256,MATCH('Monthly Table'!B35,'Michigan Curve'!$A$4:$A$256,0),MATCH("Michigan Super Peak Curve US$/MWhr",'Michigan Curve'!$A$4:$F$4,0)))))</f>
        <v>30.5490003890991</v>
      </c>
      <c r="AL35" s="888" t="n">
        <f aca="false">IF(D35&lt;=Tables!$B$21,IF($AL$10=$AI$10,AI35,IF($AL$10=$AJ$10,AJ35,IF($AL$10=$AK$10,AK35,0))),0)</f>
        <v>30.5490003890991</v>
      </c>
      <c r="AM35" s="889" t="n">
        <f aca="false">+AL35*K35</f>
        <v>43.3680073532387</v>
      </c>
      <c r="AN35" s="890" t="n">
        <f aca="false">IF((AL35*K35)&gt;(CP35+$BF$4),1,0)</f>
        <v>0</v>
      </c>
      <c r="AO35" s="891"/>
      <c r="AP35" s="894"/>
      <c r="AQ35" s="892" t="n">
        <f aca="false">IF(Tables!$E$30="New York",INDEX('NY Curve'!$A$4:$L$256,MATCH('Monthly Table'!B35,'NY Curve'!$A$4:$A$256,0),MATCH("New York Shoulder Hour Curve Mon-Fri",'NY Curve'!$A$4:$L$4,0)),IF(Tables!$E$30="Michigan",INDEX('Michigan Curve'!$A$4:$K$256,MATCH('Monthly Table'!B35,'Michigan Curve'!$A$4:$A$256,0),MATCH("Michigan Shoulder Hour Curve Mon-Fri",'Michigan Curve'!$A$4:$K$4,0))))</f>
        <v>29.3510003738403</v>
      </c>
      <c r="AR35" s="889" t="n">
        <f aca="false">AQ35*K35</f>
        <v>41.6673011825234</v>
      </c>
      <c r="AS35" s="893" t="n">
        <f aca="false">IF(AR35&gt;($CP35+$BF$4),1,0)</f>
        <v>0</v>
      </c>
      <c r="AT35" s="188"/>
      <c r="AU35" s="892" t="n">
        <f aca="false">IF(Tables!$E$30="New York",INDEX('NY Curve'!$A$4:$L$256,MATCH('Monthly Table'!$B35,'NY Curve'!$A$4:$A$256,0),MATCH("New York Saturday Super Peak",'NY Curve'!$A$4:$L$4,0)),IF(Tables!$E$30="Michigan",INDEX('Michigan Curve'!$A$4:$K$256,MATCH('Monthly Table'!$B35,'Michigan Curve'!$A$4:$A$256,0),MATCH("Michigan Saturday Super Peak",'Michigan Curve'!$A$4:$K$4,0))))</f>
        <v>22.44</v>
      </c>
      <c r="AV35" s="894" t="n">
        <f aca="false">AU35*K35</f>
        <v>31.8562988186657</v>
      </c>
      <c r="AW35" s="893" t="n">
        <f aca="false">IF(AV35&gt;($CP35+$BF$4),1,0)</f>
        <v>0</v>
      </c>
      <c r="AX35" s="892" t="n">
        <f aca="false">IF(Tables!$E$30="New York",INDEX('NY Curve'!$A$4:$L$256,MATCH('Monthly Table'!$B35,'NY Curve'!$A$4:$A$256,0),MATCH("New York Saturday Shoulder Peak",'NY Curve'!$A$4:$L$4,0)),IF(Tables!$E$30="Michigan",INDEX('Michigan Curve'!$A$4:$K$256,MATCH('Monthly Table'!$B35,'Michigan Curve'!$A$4:$A$256,0),MATCH("Michigan Saturday Shoulder Peak",'Michigan Curve'!$A$4:$K$4,0))))</f>
        <v>21.56</v>
      </c>
      <c r="AY35" s="895" t="n">
        <f aca="false">AX35*K35</f>
        <v>30.6070321983258</v>
      </c>
      <c r="AZ35" s="893" t="n">
        <f aca="false">IF(AY35&gt;($CP35+$BF$4),1,0)</f>
        <v>0</v>
      </c>
      <c r="BA35" s="188"/>
      <c r="BB35" s="892" t="n">
        <f aca="false">IF(Tables!$E$30="New York",INDEX('NY Curve'!$A$4:$M$256,MATCH('Monthly Table'!$B35,'NY Curve'!$A$4:$A$256,0),MATCH("NY Sunday Super Peak",'NY Curve'!$A$4:$M$4,0)),IF(Tables!$E$30="Michigan",INDEX('Michigan Curve'!$A$4:$L$256,MATCH('Monthly Table'!$B35,'Michigan Curve'!$A$4:$A$256,0),MATCH("Michigan Sunday Super Peak",'Michigan Curve'!$A$4:$L$4,0))))</f>
        <v>21.42</v>
      </c>
      <c r="BC35" s="894" t="n">
        <f aca="false">BB35*K35</f>
        <v>30.4082852359991</v>
      </c>
      <c r="BD35" s="893" t="n">
        <f aca="false">IF(BC35&gt;($CP35+$BF$4),1,0)</f>
        <v>0</v>
      </c>
      <c r="BE35" s="188"/>
      <c r="BF35" s="896" t="n">
        <f aca="false">B35</f>
        <v>37622</v>
      </c>
      <c r="BG35" s="897" t="n">
        <f aca="false">IF($AN35=1,$E35*$BF$5,0)</f>
        <v>0</v>
      </c>
      <c r="BH35" s="897" t="n">
        <f aca="false">BG35</f>
        <v>0</v>
      </c>
      <c r="BI35" s="714" t="n">
        <f aca="false">IF($AN35=1,$E35*$BF$5,0)</f>
        <v>0</v>
      </c>
      <c r="BJ35" s="898" t="n">
        <f aca="false">IF('Monthly Table'!D35&lt;=Tables!$B$21,IF($BJ$10=$BG$10,BG35,IF($BJ$10=$BH$10,BH35,IF($BJ$10=$BI$10,BI35,0))),0)</f>
        <v>0</v>
      </c>
      <c r="BK35" s="288"/>
      <c r="BL35" s="898" t="n">
        <f aca="false">IF($AW35=1,$F35*$BF$5,0)</f>
        <v>0</v>
      </c>
      <c r="BM35" s="898" t="n">
        <f aca="false">IF($BD35=1,($G35+H35)*$BF$5,0)</f>
        <v>0</v>
      </c>
      <c r="BO35" s="898" t="n">
        <f aca="false">IF(AS35=1,BJ35,0)</f>
        <v>0</v>
      </c>
      <c r="BP35" s="898" t="n">
        <f aca="false">IF(AZ35=1,F35*$BF$5,0)</f>
        <v>0</v>
      </c>
      <c r="BR35" s="899" t="n">
        <f aca="false">IF(BJ35&gt;0,INDEX(OperationalDetail,MATCH("Capacity Degradation",ODColumn,0),MATCH('Monthly Table'!C35,ODRow,0)),0)</f>
        <v>0</v>
      </c>
      <c r="BS35" s="900" t="n">
        <f aca="false">BJ35*(1-BR35)*Tables!$C$10</f>
        <v>0</v>
      </c>
      <c r="BT35" s="883" t="n">
        <f aca="false">BS35*AL35/1000</f>
        <v>0</v>
      </c>
      <c r="BU35" s="883" t="n">
        <f aca="false">BT35*K35</f>
        <v>0</v>
      </c>
      <c r="BV35" s="188"/>
      <c r="BW35" s="901" t="n">
        <f aca="false">$BO35*(1-$BR35)*Tables!$C$36</f>
        <v>0</v>
      </c>
      <c r="BX35" s="902" t="n">
        <f aca="false">(BW35*AQ35)/1000</f>
        <v>0</v>
      </c>
      <c r="BY35" s="883" t="n">
        <f aca="false">BX35*K35</f>
        <v>0</v>
      </c>
      <c r="BZ35" s="188"/>
      <c r="CA35" s="901" t="n">
        <f aca="false">$BL35*(1-$BR35)*Tables!$C$36</f>
        <v>0</v>
      </c>
      <c r="CB35" s="902" t="n">
        <f aca="false">(CA35*AU35)/1000</f>
        <v>0</v>
      </c>
      <c r="CC35" s="883" t="n">
        <f aca="false">CB35*K35</f>
        <v>0</v>
      </c>
      <c r="CD35" s="901" t="n">
        <f aca="false">$BP35*(1-$BR35)*Tables!$C$36</f>
        <v>0</v>
      </c>
      <c r="CE35" s="902" t="n">
        <f aca="false">(CD35*AX35)/1000</f>
        <v>0</v>
      </c>
      <c r="CF35" s="883" t="n">
        <f aca="false">CE35*K35</f>
        <v>0</v>
      </c>
      <c r="CH35" s="901" t="n">
        <f aca="false">$BM35*(1-$BR35)*Tables!$C$36</f>
        <v>0</v>
      </c>
      <c r="CI35" s="902" t="n">
        <f aca="false">(CH35*BB35)/1000</f>
        <v>0</v>
      </c>
      <c r="CJ35" s="883" t="n">
        <f aca="false">CI35*K35</f>
        <v>0</v>
      </c>
      <c r="CK35" s="292"/>
      <c r="CL35" s="292" t="n">
        <f aca="false">C35-1</f>
        <v>2002</v>
      </c>
      <c r="CM35" s="903" t="n">
        <f aca="false">INDEX(OperationalDetail,MATCH("Degraded Heat Rate",ODColumn,0),MATCH('Monthly Table'!CL35,ODRow,0))/1000</f>
        <v>12.098736</v>
      </c>
      <c r="CN35" s="904" t="n">
        <f aca="false">S35*CM35</f>
        <v>59.5324254550821</v>
      </c>
      <c r="CO35" s="905" t="n">
        <f aca="false">IF(A35="January",(CO34*(1+Assumptions!$E$32)),CO34)</f>
        <v>7.00774425</v>
      </c>
      <c r="CP35" s="906" t="n">
        <f aca="false">CN35+CO35</f>
        <v>66.5401697050822</v>
      </c>
      <c r="CQ35" s="292"/>
      <c r="CR35" s="856" t="str">
        <f aca="false">IF(BJ35=0,"",C35)</f>
        <v/>
      </c>
      <c r="CS35" s="856" t="str">
        <f aca="false">IF(BO35=0,"",$C35)</f>
        <v/>
      </c>
      <c r="CT35" s="856" t="str">
        <f aca="false">IF(BL35=0,"",$C35)</f>
        <v/>
      </c>
      <c r="CU35" s="856" t="str">
        <f aca="false">IF(BP35=0,"",$C35)</f>
        <v/>
      </c>
      <c r="CV35" s="856" t="str">
        <f aca="false">IF(BD35=0,"",$C35)</f>
        <v/>
      </c>
      <c r="CW35" s="907" t="n">
        <f aca="false">YEAR(BF35)</f>
        <v>2003</v>
      </c>
      <c r="CX35" s="908" t="n">
        <f aca="false">INDEX('NY Curve'!$A$4:$G$256,MATCH('Monthly Table'!B35,'NY Curve'!$A$4:$A$256,0),MATCH("New York 5 X 16",'NY Curve'!$A$4:$G$4,0))</f>
        <v>31.65</v>
      </c>
      <c r="CY35" s="909" t="n">
        <f aca="false">K35</f>
        <v>1.41962115947708</v>
      </c>
      <c r="CZ35" s="910" t="n">
        <f aca="false">CX35*CY35</f>
        <v>44.9310096974496</v>
      </c>
      <c r="DB35" s="911"/>
      <c r="DC35" s="911"/>
    </row>
    <row r="36" customFormat="false" ht="18.75" hidden="false" customHeight="true" outlineLevel="0" collapsed="false">
      <c r="A36" s="49" t="s">
        <v>811</v>
      </c>
      <c r="B36" s="863" t="n">
        <v>37653</v>
      </c>
      <c r="C36" s="288" t="n">
        <f aca="false">YEAR(B36)</f>
        <v>2003</v>
      </c>
      <c r="D36" s="864" t="n">
        <f aca="false">IF(A36="January",D35+1,D35)</f>
        <v>3</v>
      </c>
      <c r="E36" s="865" t="n">
        <v>20</v>
      </c>
      <c r="F36" s="866" t="n">
        <v>4</v>
      </c>
      <c r="G36" s="866" t="n">
        <v>4</v>
      </c>
      <c r="H36" s="866" t="n">
        <v>0</v>
      </c>
      <c r="I36" s="867" t="n">
        <f aca="false">SUM(E36:H36)</f>
        <v>28</v>
      </c>
      <c r="J36" s="868"/>
      <c r="K36" s="869" t="n">
        <f aca="false">INDEX(FX!$A$3:$C$362,MATCH(B36,FX!$A$3:$A$362,0),MATCH("Monthly Curve",FX!$A$2:$C$2,0))</f>
        <v>1.41855472247256</v>
      </c>
      <c r="L36" s="869"/>
      <c r="M36" s="914" t="n">
        <v>2.843</v>
      </c>
      <c r="N36" s="915" t="n">
        <v>0.3</v>
      </c>
      <c r="O36" s="714" t="n">
        <v>0.02</v>
      </c>
      <c r="P36" s="872" t="n">
        <f aca="false">N36+O36</f>
        <v>0.32</v>
      </c>
      <c r="Q36" s="873" t="n">
        <f aca="false">SUM(M36:O36)</f>
        <v>3.163</v>
      </c>
      <c r="R36" s="874" t="n">
        <f aca="false">Assumptions!$B$34</f>
        <v>0.312458892307692</v>
      </c>
      <c r="S36" s="875" t="n">
        <f aca="false">(Q36*K36)+R36</f>
        <v>4.7993474794884</v>
      </c>
      <c r="T36" s="869"/>
      <c r="V36" s="876" t="n">
        <f aca="false">Assumptions!$B$42</f>
        <v>0</v>
      </c>
      <c r="W36" s="876"/>
      <c r="X36" s="971"/>
      <c r="Y36" s="878" t="n">
        <f aca="false">Assumptions!$B$7</f>
        <v>312</v>
      </c>
      <c r="Z36" s="879" t="n">
        <f aca="false">IF($Z$10=$V$10,V36,IF($Z$10=$W$10,W36,IF($Z$10=$X$10,X36,0)))</f>
        <v>0</v>
      </c>
      <c r="AA36" s="880" t="n">
        <f aca="false">Y36*Z36</f>
        <v>0</v>
      </c>
      <c r="AB36" s="881" t="n">
        <f aca="false">AA36*K36</f>
        <v>0</v>
      </c>
      <c r="AC36" s="188"/>
      <c r="AD36" s="882" t="n">
        <f aca="false">IF(Tables!$E$30="Michigan",INDEX('Michigan Curve'!$A$4:$S$256,MATCH('Monthly Table'!B36,'Michigan Curve'!$A$4:$A$256,0),MATCH("Michigan Selected Option Value US$/month",'Michigan Curve'!$A$4:$S$4,0)),INDEX('NY Curve'!$A$4:$T$256,MATCH('Monthly Table'!B36,'NY Curve'!$A$4:$A$256,0),MATCH("New York Selected Option Value US$/month",'NY Curve'!$A$4:$T$4,0)))</f>
        <v>91947.7999992653</v>
      </c>
      <c r="AE36" s="883" t="n">
        <f aca="false">AD36*K36</f>
        <v>130432.98590992</v>
      </c>
      <c r="AF36" s="188"/>
      <c r="AG36" s="884"/>
      <c r="AH36" s="188"/>
      <c r="AI36" s="885" t="n">
        <f aca="false">Assumptions!$B$50</f>
        <v>65</v>
      </c>
      <c r="AJ36" s="916"/>
      <c r="AK36" s="887" t="n">
        <f aca="false">IF(Tables!$E$30="Custom",'Monthly Table'!AI36,IF(Tables!$E$30="New York",INDEX('NY Curve'!$A$4:$G$256,MATCH('Monthly Table'!B36,'NY Curve'!$A$4:$A$256,0),MATCH("Super Peak Curve",'NY Curve'!$A$4:$G$4,0)),IF(Tables!$E$30="New York Flat",INDEX('NY Curve'!$A$4:$G$256,MATCH('Monthly Table'!B36,'NY Curve'!$A$4:$A$256,0),MATCH("Flat NY West",'NY Curve'!$A$4:$G$4,0)),INDEX('Michigan Curve'!$A$4:$F$256,MATCH('Monthly Table'!B36,'Michigan Curve'!$A$4:$A$256,0),MATCH("Michigan Super Peak Curve US$/MWhr",'Michigan Curve'!$A$4:$F$4,0)))))</f>
        <v>30.5489984436035</v>
      </c>
      <c r="AL36" s="888" t="n">
        <f aca="false">IF(D36&lt;=Tables!$B$21,IF($AL$10=$AI$10,AI36,IF($AL$10=$AJ$10,AJ36,IF($AL$10=$AK$10,AK36,0))),0)</f>
        <v>30.5489984436035</v>
      </c>
      <c r="AM36" s="889" t="n">
        <f aca="false">+AL36*K36</f>
        <v>43.3354260089807</v>
      </c>
      <c r="AN36" s="890" t="n">
        <f aca="false">IF((AL36*K36)&gt;(CP36+$BF$4),1,0)</f>
        <v>0</v>
      </c>
      <c r="AO36" s="891"/>
      <c r="AP36" s="894"/>
      <c r="AQ36" s="892" t="n">
        <f aca="false">IF(Tables!$E$30="New York",INDEX('NY Curve'!$A$4:$L$256,MATCH('Monthly Table'!B36,'NY Curve'!$A$4:$A$256,0),MATCH("New York Shoulder Hour Curve Mon-Fri",'NY Curve'!$A$4:$L$4,0)),IF(Tables!$E$30="Michigan",INDEX('Michigan Curve'!$A$4:$K$256,MATCH('Monthly Table'!B36,'Michigan Curve'!$A$4:$A$256,0),MATCH("Michigan Shoulder Hour Curve Mon-Fri",'Michigan Curve'!$A$4:$K$4,0))))</f>
        <v>29.3509985046387</v>
      </c>
      <c r="AR36" s="889" t="n">
        <f aca="false">AQ36*K36</f>
        <v>41.6359975380402</v>
      </c>
      <c r="AS36" s="893" t="n">
        <f aca="false">IF(AR36&gt;($CP36+$BF$4),1,0)</f>
        <v>0</v>
      </c>
      <c r="AT36" s="188"/>
      <c r="AU36" s="892" t="n">
        <f aca="false">IF(Tables!$E$30="New York",INDEX('NY Curve'!$A$4:$L$256,MATCH('Monthly Table'!$B36,'NY Curve'!$A$4:$A$256,0),MATCH("New York Saturday Super Peak",'NY Curve'!$A$4:$L$4,0)),IF(Tables!$E$30="Michigan",INDEX('Michigan Curve'!$A$4:$K$256,MATCH('Monthly Table'!$B36,'Michigan Curve'!$A$4:$A$256,0),MATCH("Michigan Saturday Super Peak",'Michigan Curve'!$A$4:$K$4,0))))</f>
        <v>22.4359202957153</v>
      </c>
      <c r="AV36" s="894" t="n">
        <f aca="false">AU36*K36</f>
        <v>31.8265806885049</v>
      </c>
      <c r="AW36" s="893" t="n">
        <f aca="false">IF(AV36&gt;($CP36+$BF$4),1,0)</f>
        <v>0</v>
      </c>
      <c r="AX36" s="892" t="n">
        <f aca="false">IF(Tables!$E$30="New York",INDEX('NY Curve'!$A$4:$L$256,MATCH('Monthly Table'!$B36,'NY Curve'!$A$4:$A$256,0),MATCH("New York Saturday Shoulder Peak",'NY Curve'!$A$4:$L$4,0)),IF(Tables!$E$30="Michigan",INDEX('Michigan Curve'!$A$4:$K$256,MATCH('Monthly Table'!$B36,'Michigan Curve'!$A$4:$A$256,0),MATCH("Michigan Saturday Shoulder Peak",'Michigan Curve'!$A$4:$K$4,0))))</f>
        <v>21.5560802841187</v>
      </c>
      <c r="AY36" s="895" t="n">
        <f aca="false">AX36*K36</f>
        <v>30.5784794850342</v>
      </c>
      <c r="AZ36" s="893" t="n">
        <f aca="false">IF(AY36&gt;($CP36+$BF$4),1,0)</f>
        <v>0</v>
      </c>
      <c r="BA36" s="188"/>
      <c r="BB36" s="892" t="n">
        <f aca="false">IF(Tables!$E$30="New York",INDEX('NY Curve'!$A$4:$M$256,MATCH('Monthly Table'!$B36,'NY Curve'!$A$4:$A$256,0),MATCH("NY Sunday Super Peak",'NY Curve'!$A$4:$M$4,0)),IF(Tables!$E$30="Michigan",INDEX('Michigan Curve'!$A$4:$L$256,MATCH('Monthly Table'!$B36,'Michigan Curve'!$A$4:$A$256,0),MATCH("Michigan Sunday Super Peak",'Michigan Curve'!$A$4:$L$4,0))))</f>
        <v>21.4164319610596</v>
      </c>
      <c r="BC36" s="894" t="n">
        <f aca="false">BB36*K36</f>
        <v>30.3803806968733</v>
      </c>
      <c r="BD36" s="893" t="n">
        <f aca="false">IF(BC36&gt;($CP36+$BF$4),1,0)</f>
        <v>0</v>
      </c>
      <c r="BE36" s="188"/>
      <c r="BF36" s="896" t="n">
        <f aca="false">B36</f>
        <v>37653</v>
      </c>
      <c r="BG36" s="897" t="n">
        <f aca="false">IF($AN36=1,$E36*$BF$5,0)</f>
        <v>0</v>
      </c>
      <c r="BH36" s="897" t="n">
        <f aca="false">BG36</f>
        <v>0</v>
      </c>
      <c r="BI36" s="714" t="n">
        <f aca="false">IF($AN36=1,$E36*$BF$5,0)</f>
        <v>0</v>
      </c>
      <c r="BJ36" s="898" t="n">
        <f aca="false">IF('Monthly Table'!D36&lt;=Tables!$B$21,IF($BJ$10=$BG$10,BG36,IF($BJ$10=$BH$10,BH36,IF($BJ$10=$BI$10,BI36,0))),0)</f>
        <v>0</v>
      </c>
      <c r="BK36" s="288"/>
      <c r="BL36" s="898" t="n">
        <f aca="false">IF($AW36=1,$F36*$BF$5,0)</f>
        <v>0</v>
      </c>
      <c r="BM36" s="898" t="n">
        <f aca="false">IF($BD36=1,($G36+H36)*$BF$5,0)</f>
        <v>0</v>
      </c>
      <c r="BO36" s="898" t="n">
        <f aca="false">IF(AS36=1,BJ36,0)</f>
        <v>0</v>
      </c>
      <c r="BP36" s="898" t="n">
        <f aca="false">IF(AZ36=1,F36*$BF$5,0)</f>
        <v>0</v>
      </c>
      <c r="BR36" s="899" t="n">
        <f aca="false">IF(BJ36&gt;0,INDEX(OperationalDetail,MATCH("Capacity Degradation",ODColumn,0),MATCH('Monthly Table'!C36,ODRow,0)),0)</f>
        <v>0</v>
      </c>
      <c r="BS36" s="900" t="n">
        <f aca="false">BJ36*(1-BR36)*Tables!$C$10</f>
        <v>0</v>
      </c>
      <c r="BT36" s="883" t="n">
        <f aca="false">BS36*AL36/1000</f>
        <v>0</v>
      </c>
      <c r="BU36" s="883" t="n">
        <f aca="false">BT36*K36</f>
        <v>0</v>
      </c>
      <c r="BV36" s="188"/>
      <c r="BW36" s="901" t="n">
        <f aca="false">$BO36*(1-$BR36)*Tables!$C$36</f>
        <v>0</v>
      </c>
      <c r="BX36" s="902" t="n">
        <f aca="false">(BW36*AQ36)/1000</f>
        <v>0</v>
      </c>
      <c r="BY36" s="883" t="n">
        <f aca="false">BX36*K36</f>
        <v>0</v>
      </c>
      <c r="BZ36" s="188"/>
      <c r="CA36" s="901" t="n">
        <f aca="false">$BL36*(1-$BR36)*Tables!$C$36</f>
        <v>0</v>
      </c>
      <c r="CB36" s="902" t="n">
        <f aca="false">(CA36*AU36)/1000</f>
        <v>0</v>
      </c>
      <c r="CC36" s="883" t="n">
        <f aca="false">CB36*K36</f>
        <v>0</v>
      </c>
      <c r="CD36" s="901" t="n">
        <f aca="false">$BP36*(1-$BR36)*Tables!$C$36</f>
        <v>0</v>
      </c>
      <c r="CE36" s="902" t="n">
        <f aca="false">(CD36*AX36)/1000</f>
        <v>0</v>
      </c>
      <c r="CF36" s="883" t="n">
        <f aca="false">CE36*K36</f>
        <v>0</v>
      </c>
      <c r="CH36" s="901" t="n">
        <f aca="false">$BM36*(1-$BR36)*Tables!$C$36</f>
        <v>0</v>
      </c>
      <c r="CI36" s="902" t="n">
        <f aca="false">(CH36*BB36)/1000</f>
        <v>0</v>
      </c>
      <c r="CJ36" s="883" t="n">
        <f aca="false">CI36*K36</f>
        <v>0</v>
      </c>
      <c r="CK36" s="292"/>
      <c r="CL36" s="292" t="n">
        <f aca="false">C36-1</f>
        <v>2002</v>
      </c>
      <c r="CM36" s="903" t="n">
        <f aca="false">INDEX(OperationalDetail,MATCH("Degraded Heat Rate",ODColumn,0),MATCH('Monthly Table'!CL36,ODRow,0))/1000</f>
        <v>12.098736</v>
      </c>
      <c r="CN36" s="904" t="n">
        <f aca="false">S36*CM36</f>
        <v>58.0660381265956</v>
      </c>
      <c r="CO36" s="905" t="n">
        <f aca="false">IF(A36="January",(CO35*(1+Assumptions!$E$32)),CO35)</f>
        <v>7.00774425</v>
      </c>
      <c r="CP36" s="906" t="n">
        <f aca="false">CN36+CO36</f>
        <v>65.0737823765956</v>
      </c>
      <c r="CQ36" s="292"/>
      <c r="CR36" s="856" t="str">
        <f aca="false">IF(BJ36=0,"",C36)</f>
        <v/>
      </c>
      <c r="CS36" s="856" t="str">
        <f aca="false">IF(BO36=0,"",$C36)</f>
        <v/>
      </c>
      <c r="CT36" s="856" t="str">
        <f aca="false">IF(BL36=0,"",$C36)</f>
        <v/>
      </c>
      <c r="CU36" s="856" t="str">
        <f aca="false">IF(BP36=0,"",$C36)</f>
        <v/>
      </c>
      <c r="CV36" s="856" t="str">
        <f aca="false">IF(BD36=0,"",$C36)</f>
        <v/>
      </c>
      <c r="CW36" s="907" t="n">
        <f aca="false">YEAR(BF36)</f>
        <v>2003</v>
      </c>
      <c r="CX36" s="908" t="n">
        <f aca="false">INDEX('NY Curve'!$A$4:$G$256,MATCH('Monthly Table'!B36,'NY Curve'!$A$4:$A$256,0),MATCH("New York 5 X 16",'NY Curve'!$A$4:$G$4,0))</f>
        <v>31.65</v>
      </c>
      <c r="CY36" s="909" t="n">
        <f aca="false">K36</f>
        <v>1.41855472247256</v>
      </c>
      <c r="CZ36" s="910" t="n">
        <f aca="false">CX36*CY36</f>
        <v>44.8972569662565</v>
      </c>
      <c r="DB36" s="911"/>
      <c r="DC36" s="911"/>
    </row>
    <row r="37" customFormat="false" ht="18.75" hidden="false" customHeight="true" outlineLevel="0" collapsed="false">
      <c r="A37" s="49" t="s">
        <v>812</v>
      </c>
      <c r="B37" s="863" t="n">
        <v>37681</v>
      </c>
      <c r="C37" s="288" t="n">
        <f aca="false">YEAR(B37)</f>
        <v>2003</v>
      </c>
      <c r="D37" s="864" t="n">
        <f aca="false">IF(A37="January",D36+1,D36)</f>
        <v>3</v>
      </c>
      <c r="E37" s="865" t="n">
        <v>21</v>
      </c>
      <c r="F37" s="866" t="n">
        <v>5</v>
      </c>
      <c r="G37" s="866" t="n">
        <v>5</v>
      </c>
      <c r="H37" s="866" t="n">
        <v>0</v>
      </c>
      <c r="I37" s="867" t="n">
        <f aca="false">SUM(E37:H37)</f>
        <v>31</v>
      </c>
      <c r="J37" s="868"/>
      <c r="K37" s="869" t="n">
        <f aca="false">INDEX(FX!$A$3:$C$362,MATCH(B37,FX!$A$3:$A$362,0),MATCH("Monthly Curve",FX!$A$2:$C$2,0))</f>
        <v>1.4175891808282</v>
      </c>
      <c r="L37" s="869"/>
      <c r="M37" s="914" t="n">
        <v>2.728</v>
      </c>
      <c r="N37" s="915" t="n">
        <v>0.3</v>
      </c>
      <c r="O37" s="714" t="n">
        <v>0.02</v>
      </c>
      <c r="P37" s="872" t="n">
        <f aca="false">N37+O37</f>
        <v>0.32</v>
      </c>
      <c r="Q37" s="873" t="n">
        <f aca="false">SUM(M37:O37)</f>
        <v>3.048</v>
      </c>
      <c r="R37" s="874" t="n">
        <f aca="false">Assumptions!$B$34</f>
        <v>0.312458892307692</v>
      </c>
      <c r="S37" s="875" t="n">
        <f aca="false">(Q37*K37)+R37</f>
        <v>4.63327071547205</v>
      </c>
      <c r="T37" s="869"/>
      <c r="V37" s="876" t="n">
        <f aca="false">Assumptions!$B$42</f>
        <v>0</v>
      </c>
      <c r="W37" s="876"/>
      <c r="X37" s="971"/>
      <c r="Y37" s="878" t="n">
        <f aca="false">Assumptions!$B$7</f>
        <v>312</v>
      </c>
      <c r="Z37" s="879" t="n">
        <f aca="false">IF($Z$10=$V$10,V37,IF($Z$10=$W$10,W37,IF($Z$10=$X$10,X37,0)))</f>
        <v>0</v>
      </c>
      <c r="AA37" s="880" t="n">
        <f aca="false">Y37*Z37</f>
        <v>0</v>
      </c>
      <c r="AB37" s="881" t="n">
        <f aca="false">AA37*K37</f>
        <v>0</v>
      </c>
      <c r="AC37" s="188"/>
      <c r="AD37" s="882" t="n">
        <f aca="false">IF(Tables!$E$30="Michigan",INDEX('Michigan Curve'!$A$4:$S$256,MATCH('Monthly Table'!B37,'Michigan Curve'!$A$4:$A$256,0),MATCH("Michigan Selected Option Value US$/month",'Michigan Curve'!$A$4:$S$4,0)),INDEX('NY Curve'!$A$4:$T$256,MATCH('Monthly Table'!B37,'NY Curve'!$A$4:$A$256,0),MATCH("New York Selected Option Value US$/month",'NY Curve'!$A$4:$T$4,0)))</f>
        <v>12264.4190104444</v>
      </c>
      <c r="AE37" s="883" t="n">
        <f aca="false">AD37*K37</f>
        <v>17385.9076983497</v>
      </c>
      <c r="AF37" s="188"/>
      <c r="AG37" s="884"/>
      <c r="AH37" s="188"/>
      <c r="AI37" s="885" t="n">
        <f aca="false">Assumptions!$B$50</f>
        <v>65</v>
      </c>
      <c r="AJ37" s="916"/>
      <c r="AK37" s="887" t="n">
        <f aca="false">IF(Tables!$E$30="Custom",'Monthly Table'!AI37,IF(Tables!$E$30="New York",INDEX('NY Curve'!$A$4:$G$256,MATCH('Monthly Table'!B37,'NY Curve'!$A$4:$A$256,0),MATCH("Super Peak Curve",'NY Curve'!$A$4:$G$4,0)),IF(Tables!$E$30="New York Flat",INDEX('NY Curve'!$A$4:$G$256,MATCH('Monthly Table'!B37,'NY Curve'!$A$4:$A$256,0),MATCH("Flat NY West",'NY Curve'!$A$4:$G$4,0)),INDEX('Michigan Curve'!$A$4:$F$256,MATCH('Monthly Table'!B37,'Michigan Curve'!$A$4:$A$256,0),MATCH("Michigan Super Peak Curve US$/MWhr",'Michigan Curve'!$A$4:$F$4,0)))))</f>
        <v>25.245</v>
      </c>
      <c r="AL37" s="888" t="n">
        <f aca="false">IF(D37&lt;=Tables!$B$21,IF($AL$10=$AI$10,AI37,IF($AL$10=$AJ$10,AJ37,IF($AL$10=$AK$10,AK37,0))),0)</f>
        <v>25.245</v>
      </c>
      <c r="AM37" s="889" t="n">
        <f aca="false">+AL37*K37</f>
        <v>35.7870388700079</v>
      </c>
      <c r="AN37" s="890" t="n">
        <f aca="false">IF((AL37*K37)&gt;(CP37+$BF$4),1,0)</f>
        <v>0</v>
      </c>
      <c r="AO37" s="891"/>
      <c r="AP37" s="894"/>
      <c r="AQ37" s="892" t="n">
        <f aca="false">IF(Tables!$E$30="New York",INDEX('NY Curve'!$A$4:$L$256,MATCH('Monthly Table'!B37,'NY Curve'!$A$4:$A$256,0),MATCH("New York Shoulder Hour Curve Mon-Fri",'NY Curve'!$A$4:$L$4,0)),IF(Tables!$E$30="Michigan",INDEX('Michigan Curve'!$A$4:$K$256,MATCH('Monthly Table'!B37,'Michigan Curve'!$A$4:$A$256,0),MATCH("Michigan Shoulder Hour Curve Mon-Fri",'Michigan Curve'!$A$4:$K$4,0))))</f>
        <v>24.255</v>
      </c>
      <c r="AR37" s="889" t="n">
        <f aca="false">AQ37*K37</f>
        <v>34.383625580988</v>
      </c>
      <c r="AS37" s="893" t="n">
        <f aca="false">IF(AR37&gt;($CP37+$BF$4),1,0)</f>
        <v>0</v>
      </c>
      <c r="AT37" s="188"/>
      <c r="AU37" s="892" t="n">
        <f aca="false">IF(Tables!$E$30="New York",INDEX('NY Curve'!$A$4:$L$256,MATCH('Monthly Table'!$B37,'NY Curve'!$A$4:$A$256,0),MATCH("New York Saturday Super Peak",'NY Curve'!$A$4:$L$4,0)),IF(Tables!$E$30="Michigan",INDEX('Michigan Curve'!$A$4:$K$256,MATCH('Monthly Table'!$B37,'Michigan Curve'!$A$4:$A$256,0),MATCH("Michigan Saturday Super Peak",'Michigan Curve'!$A$4:$K$4,0))))</f>
        <v>20.4</v>
      </c>
      <c r="AV37" s="894" t="n">
        <f aca="false">AU37*K37</f>
        <v>28.9188192888953</v>
      </c>
      <c r="AW37" s="893" t="n">
        <f aca="false">IF(AV37&gt;($CP37+$BF$4),1,0)</f>
        <v>0</v>
      </c>
      <c r="AX37" s="892" t="n">
        <f aca="false">IF(Tables!$E$30="New York",INDEX('NY Curve'!$A$4:$L$256,MATCH('Monthly Table'!$B37,'NY Curve'!$A$4:$A$256,0),MATCH("New York Saturday Shoulder Peak",'NY Curve'!$A$4:$L$4,0)),IF(Tables!$E$30="Michigan",INDEX('Michigan Curve'!$A$4:$K$256,MATCH('Monthly Table'!$B37,'Michigan Curve'!$A$4:$A$256,0),MATCH("Michigan Saturday Shoulder Peak",'Michigan Curve'!$A$4:$K$4,0))))</f>
        <v>19.6</v>
      </c>
      <c r="AY37" s="895" t="n">
        <f aca="false">AX37*K37</f>
        <v>27.7847479442327</v>
      </c>
      <c r="AZ37" s="893" t="n">
        <f aca="false">IF(AY37&gt;($CP37+$BF$4),1,0)</f>
        <v>0</v>
      </c>
      <c r="BA37" s="188"/>
      <c r="BB37" s="892" t="n">
        <f aca="false">IF(Tables!$E$30="New York",INDEX('NY Curve'!$A$4:$M$256,MATCH('Monthly Table'!$B37,'NY Curve'!$A$4:$A$256,0),MATCH("NY Sunday Super Peak",'NY Curve'!$A$4:$M$4,0)),IF(Tables!$E$30="Michigan",INDEX('Michigan Curve'!$A$4:$L$256,MATCH('Monthly Table'!$B37,'Michigan Curve'!$A$4:$A$256,0),MATCH("Michigan Sunday Super Peak",'Michigan Curve'!$A$4:$L$4,0))))</f>
        <v>19.38</v>
      </c>
      <c r="BC37" s="894" t="n">
        <f aca="false">BB37*K37</f>
        <v>27.4728783244505</v>
      </c>
      <c r="BD37" s="893" t="n">
        <f aca="false">IF(BC37&gt;($CP37+$BF$4),1,0)</f>
        <v>0</v>
      </c>
      <c r="BE37" s="188"/>
      <c r="BF37" s="896" t="n">
        <f aca="false">B37</f>
        <v>37681</v>
      </c>
      <c r="BG37" s="897" t="n">
        <f aca="false">IF($AN37=1,$E37*$BF$5,0)</f>
        <v>0</v>
      </c>
      <c r="BH37" s="897" t="n">
        <f aca="false">BG37</f>
        <v>0</v>
      </c>
      <c r="BI37" s="714" t="n">
        <f aca="false">IF($AN37=1,$E37*$BF$5,0)</f>
        <v>0</v>
      </c>
      <c r="BJ37" s="898" t="n">
        <f aca="false">IF('Monthly Table'!D37&lt;=Tables!$B$21,IF($BJ$10=$BG$10,BG37,IF($BJ$10=$BH$10,BH37,IF($BJ$10=$BI$10,BI37,0))),0)</f>
        <v>0</v>
      </c>
      <c r="BK37" s="288"/>
      <c r="BL37" s="898" t="n">
        <f aca="false">IF($AW37=1,$F37*$BF$5,0)</f>
        <v>0</v>
      </c>
      <c r="BM37" s="898" t="n">
        <f aca="false">IF($BD37=1,($G37+H37)*$BF$5,0)</f>
        <v>0</v>
      </c>
      <c r="BO37" s="898" t="n">
        <f aca="false">IF(AS37=1,BJ37,0)</f>
        <v>0</v>
      </c>
      <c r="BP37" s="898" t="n">
        <f aca="false">IF(AZ37=1,F37*$BF$5,0)</f>
        <v>0</v>
      </c>
      <c r="BR37" s="899" t="n">
        <f aca="false">IF(BJ37&gt;0,INDEX(OperationalDetail,MATCH("Capacity Degradation",ODColumn,0),MATCH('Monthly Table'!C37,ODRow,0)),0)</f>
        <v>0</v>
      </c>
      <c r="BS37" s="900" t="n">
        <f aca="false">BJ37*(1-BR37)*Tables!$C$10</f>
        <v>0</v>
      </c>
      <c r="BT37" s="883" t="n">
        <f aca="false">BS37*AL37/1000</f>
        <v>0</v>
      </c>
      <c r="BU37" s="883" t="n">
        <f aca="false">BT37*K37</f>
        <v>0</v>
      </c>
      <c r="BV37" s="188"/>
      <c r="BW37" s="901" t="n">
        <f aca="false">$BO37*(1-$BR37)*Tables!$C$36</f>
        <v>0</v>
      </c>
      <c r="BX37" s="902" t="n">
        <f aca="false">(BW37*AQ37)/1000</f>
        <v>0</v>
      </c>
      <c r="BY37" s="883" t="n">
        <f aca="false">BX37*K37</f>
        <v>0</v>
      </c>
      <c r="BZ37" s="188"/>
      <c r="CA37" s="901" t="n">
        <f aca="false">$BL37*(1-$BR37)*Tables!$C$36</f>
        <v>0</v>
      </c>
      <c r="CB37" s="902" t="n">
        <f aca="false">(CA37*AU37)/1000</f>
        <v>0</v>
      </c>
      <c r="CC37" s="883" t="n">
        <f aca="false">CB37*K37</f>
        <v>0</v>
      </c>
      <c r="CD37" s="901" t="n">
        <f aca="false">$BP37*(1-$BR37)*Tables!$C$36</f>
        <v>0</v>
      </c>
      <c r="CE37" s="902" t="n">
        <f aca="false">(CD37*AX37)/1000</f>
        <v>0</v>
      </c>
      <c r="CF37" s="883" t="n">
        <f aca="false">CE37*K37</f>
        <v>0</v>
      </c>
      <c r="CH37" s="901" t="n">
        <f aca="false">$BM37*(1-$BR37)*Tables!$C$36</f>
        <v>0</v>
      </c>
      <c r="CI37" s="902" t="n">
        <f aca="false">(CH37*BB37)/1000</f>
        <v>0</v>
      </c>
      <c r="CJ37" s="883" t="n">
        <f aca="false">CI37*K37</f>
        <v>0</v>
      </c>
      <c r="CK37" s="292"/>
      <c r="CL37" s="292" t="n">
        <f aca="false">C37-1</f>
        <v>2002</v>
      </c>
      <c r="CM37" s="903" t="n">
        <f aca="false">INDEX(OperationalDetail,MATCH("Degraded Heat Rate",ODColumn,0),MATCH('Monthly Table'!CL37,ODRow,0))/1000</f>
        <v>12.098736</v>
      </c>
      <c r="CN37" s="904" t="n">
        <f aca="false">S37*CM37</f>
        <v>56.0567192030274</v>
      </c>
      <c r="CO37" s="905" t="n">
        <f aca="false">IF(A37="January",(CO36*(1+Assumptions!$E$32)),CO36)</f>
        <v>7.00774425</v>
      </c>
      <c r="CP37" s="906" t="n">
        <f aca="false">CN37+CO37</f>
        <v>63.0644634530274</v>
      </c>
      <c r="CQ37" s="292"/>
      <c r="CR37" s="856" t="str">
        <f aca="false">IF(BJ37=0,"",C37)</f>
        <v/>
      </c>
      <c r="CS37" s="856" t="str">
        <f aca="false">IF(BO37=0,"",$C37)</f>
        <v/>
      </c>
      <c r="CT37" s="856" t="str">
        <f aca="false">IF(BL37=0,"",$C37)</f>
        <v/>
      </c>
      <c r="CU37" s="856" t="str">
        <f aca="false">IF(BP37=0,"",$C37)</f>
        <v/>
      </c>
      <c r="CV37" s="856" t="str">
        <f aca="false">IF(BD37=0,"",$C37)</f>
        <v/>
      </c>
      <c r="CW37" s="907" t="n">
        <f aca="false">YEAR(BF37)</f>
        <v>2003</v>
      </c>
      <c r="CX37" s="908" t="n">
        <f aca="false">INDEX('NY Curve'!$A$4:$G$256,MATCH('Monthly Table'!B37,'NY Curve'!$A$4:$A$256,0),MATCH("New York 5 X 16",'NY Curve'!$A$4:$G$4,0))</f>
        <v>26.65</v>
      </c>
      <c r="CY37" s="909" t="n">
        <f aca="false">K37</f>
        <v>1.4175891808282</v>
      </c>
      <c r="CZ37" s="910" t="n">
        <f aca="false">CX37*CY37</f>
        <v>37.7787516690715</v>
      </c>
      <c r="DB37" s="911"/>
      <c r="DC37" s="911"/>
    </row>
    <row r="38" customFormat="false" ht="18.75" hidden="false" customHeight="true" outlineLevel="0" collapsed="false">
      <c r="A38" s="49" t="s">
        <v>813</v>
      </c>
      <c r="B38" s="863" t="n">
        <v>37712</v>
      </c>
      <c r="C38" s="288" t="n">
        <f aca="false">YEAR(B38)</f>
        <v>2003</v>
      </c>
      <c r="D38" s="864" t="n">
        <f aca="false">IF(A38="January",D37+1,D37)</f>
        <v>3</v>
      </c>
      <c r="E38" s="865" t="n">
        <v>22</v>
      </c>
      <c r="F38" s="866" t="n">
        <v>4</v>
      </c>
      <c r="G38" s="866" t="n">
        <v>4</v>
      </c>
      <c r="H38" s="866" t="n">
        <v>0</v>
      </c>
      <c r="I38" s="867" t="n">
        <f aca="false">SUM(E38:H38)</f>
        <v>30</v>
      </c>
      <c r="J38" s="868"/>
      <c r="K38" s="869" t="n">
        <f aca="false">INDEX(FX!$A$3:$C$362,MATCH(B38,FX!$A$3:$A$362,0),MATCH("Monthly Curve",FX!$A$2:$C$2,0))</f>
        <v>1.41655996235969</v>
      </c>
      <c r="L38" s="869"/>
      <c r="M38" s="914" t="n">
        <v>2.6605</v>
      </c>
      <c r="N38" s="915" t="n">
        <v>0.135</v>
      </c>
      <c r="O38" s="714" t="n">
        <v>0.02</v>
      </c>
      <c r="P38" s="872" t="n">
        <f aca="false">N38+O38</f>
        <v>0.155</v>
      </c>
      <c r="Q38" s="873" t="n">
        <f aca="false">SUM(M38:O38)</f>
        <v>2.8155</v>
      </c>
      <c r="R38" s="874" t="n">
        <f aca="false">Assumptions!$B$34</f>
        <v>0.312458892307692</v>
      </c>
      <c r="S38" s="875" t="n">
        <f aca="false">(Q38*K38)+R38</f>
        <v>4.3007834663314</v>
      </c>
      <c r="T38" s="869"/>
      <c r="V38" s="876" t="n">
        <f aca="false">Assumptions!$B$42</f>
        <v>0</v>
      </c>
      <c r="W38" s="876"/>
      <c r="X38" s="971"/>
      <c r="Y38" s="878" t="n">
        <f aca="false">Assumptions!$B$7</f>
        <v>312</v>
      </c>
      <c r="Z38" s="879" t="n">
        <f aca="false">IF($Z$10=$V$10,V38,IF($Z$10=$W$10,W38,IF($Z$10=$X$10,X38,0)))</f>
        <v>0</v>
      </c>
      <c r="AA38" s="880" t="n">
        <f aca="false">Y38*Z38</f>
        <v>0</v>
      </c>
      <c r="AB38" s="881" t="n">
        <f aca="false">AA38*K38</f>
        <v>0</v>
      </c>
      <c r="AC38" s="188"/>
      <c r="AD38" s="882" t="n">
        <f aca="false">IF(Tables!$E$30="Michigan",INDEX('Michigan Curve'!$A$4:$S$256,MATCH('Monthly Table'!B38,'Michigan Curve'!$A$4:$A$256,0),MATCH("Michigan Selected Option Value US$/month",'Michigan Curve'!$A$4:$S$4,0)),INDEX('NY Curve'!$A$4:$T$256,MATCH('Monthly Table'!B38,'NY Curve'!$A$4:$A$256,0),MATCH("New York Selected Option Value US$/month",'NY Curve'!$A$4:$T$4,0)))</f>
        <v>20834.446148183</v>
      </c>
      <c r="AE38" s="883" t="n">
        <f aca="false">AD38*K38</f>
        <v>29513.242251455</v>
      </c>
      <c r="AF38" s="188"/>
      <c r="AG38" s="884"/>
      <c r="AH38" s="188"/>
      <c r="AI38" s="885" t="n">
        <f aca="false">Assumptions!$B$50</f>
        <v>65</v>
      </c>
      <c r="AJ38" s="916"/>
      <c r="AK38" s="887" t="n">
        <f aca="false">IF(Tables!$E$30="Custom",'Monthly Table'!AI38,IF(Tables!$E$30="New York",INDEX('NY Curve'!$A$4:$G$256,MATCH('Monthly Table'!B38,'NY Curve'!$A$4:$A$256,0),MATCH("Super Peak Curve",'NY Curve'!$A$4:$G$4,0)),IF(Tables!$E$30="New York Flat",INDEX('NY Curve'!$A$4:$G$256,MATCH('Monthly Table'!B38,'NY Curve'!$A$4:$A$256,0),MATCH("Flat NY West",'NY Curve'!$A$4:$G$4,0)),INDEX('Michigan Curve'!$A$4:$F$256,MATCH('Monthly Table'!B38,'Michigan Curve'!$A$4:$A$256,0),MATCH("Michigan Super Peak Curve US$/MWhr",'Michigan Curve'!$A$4:$F$4,0)))))</f>
        <v>25</v>
      </c>
      <c r="AL38" s="888" t="n">
        <f aca="false">IF(D38&lt;=Tables!$B$21,IF($AL$10=$AI$10,AI38,IF($AL$10=$AJ$10,AJ38,IF($AL$10=$AK$10,AK38,0))),0)</f>
        <v>25</v>
      </c>
      <c r="AM38" s="889" t="n">
        <f aca="false">+AL38*K38</f>
        <v>35.4139990589923</v>
      </c>
      <c r="AN38" s="890" t="n">
        <f aca="false">IF((AL38*K38)&gt;(CP38+$BF$4),1,0)</f>
        <v>0</v>
      </c>
      <c r="AO38" s="891"/>
      <c r="AP38" s="894"/>
      <c r="AQ38" s="892" t="n">
        <f aca="false">IF(Tables!$E$30="New York",INDEX('NY Curve'!$A$4:$L$256,MATCH('Monthly Table'!B38,'NY Curve'!$A$4:$A$256,0),MATCH("New York Shoulder Hour Curve Mon-Fri",'NY Curve'!$A$4:$L$4,0)),IF(Tables!$E$30="Michigan",INDEX('Michigan Curve'!$A$4:$K$256,MATCH('Monthly Table'!B38,'Michigan Curve'!$A$4:$A$256,0),MATCH("Michigan Shoulder Hour Curve Mon-Fri",'Michigan Curve'!$A$4:$K$4,0))))</f>
        <v>25</v>
      </c>
      <c r="AR38" s="889" t="n">
        <f aca="false">AQ38*K38</f>
        <v>35.4139990589923</v>
      </c>
      <c r="AS38" s="893" t="n">
        <f aca="false">IF(AR38&gt;($CP38+$BF$4),1,0)</f>
        <v>0</v>
      </c>
      <c r="AT38" s="188"/>
      <c r="AU38" s="892" t="n">
        <f aca="false">IF(Tables!$E$30="New York",INDEX('NY Curve'!$A$4:$L$256,MATCH('Monthly Table'!$B38,'NY Curve'!$A$4:$A$256,0),MATCH("New York Saturday Super Peak",'NY Curve'!$A$4:$L$4,0)),IF(Tables!$E$30="Michigan",INDEX('Michigan Curve'!$A$4:$K$256,MATCH('Monthly Table'!$B38,'Michigan Curve'!$A$4:$A$256,0),MATCH("Michigan Saturday Super Peak",'Michigan Curve'!$A$4:$K$4,0))))</f>
        <v>20</v>
      </c>
      <c r="AV38" s="894" t="n">
        <f aca="false">AU38*K38</f>
        <v>28.3311992471938</v>
      </c>
      <c r="AW38" s="893" t="n">
        <f aca="false">IF(AV38&gt;($CP38+$BF$4),1,0)</f>
        <v>0</v>
      </c>
      <c r="AX38" s="892" t="n">
        <f aca="false">IF(Tables!$E$30="New York",INDEX('NY Curve'!$A$4:$L$256,MATCH('Monthly Table'!$B38,'NY Curve'!$A$4:$A$256,0),MATCH("New York Saturday Shoulder Peak",'NY Curve'!$A$4:$L$4,0)),IF(Tables!$E$30="Michigan",INDEX('Michigan Curve'!$A$4:$K$256,MATCH('Monthly Table'!$B38,'Michigan Curve'!$A$4:$A$256,0),MATCH("Michigan Saturday Shoulder Peak",'Michigan Curve'!$A$4:$K$4,0))))</f>
        <v>20</v>
      </c>
      <c r="AY38" s="895" t="n">
        <f aca="false">AX38*K38</f>
        <v>28.3311992471938</v>
      </c>
      <c r="AZ38" s="893" t="n">
        <f aca="false">IF(AY38&gt;($CP38+$BF$4),1,0)</f>
        <v>0</v>
      </c>
      <c r="BA38" s="188"/>
      <c r="BB38" s="892" t="n">
        <f aca="false">IF(Tables!$E$30="New York",INDEX('NY Curve'!$A$4:$M$256,MATCH('Monthly Table'!$B38,'NY Curve'!$A$4:$A$256,0),MATCH("NY Sunday Super Peak",'NY Curve'!$A$4:$M$4,0)),IF(Tables!$E$30="Michigan",INDEX('Michigan Curve'!$A$4:$L$256,MATCH('Monthly Table'!$B38,'Michigan Curve'!$A$4:$A$256,0),MATCH("Michigan Sunday Super Peak",'Michigan Curve'!$A$4:$L$4,0))))</f>
        <v>18.9950008392334</v>
      </c>
      <c r="BC38" s="894" t="n">
        <f aca="false">BB38*K38</f>
        <v>26.9075576738467</v>
      </c>
      <c r="BD38" s="893" t="n">
        <f aca="false">IF(BC38&gt;($CP38+$BF$4),1,0)</f>
        <v>0</v>
      </c>
      <c r="BE38" s="188"/>
      <c r="BF38" s="896" t="n">
        <f aca="false">B38</f>
        <v>37712</v>
      </c>
      <c r="BG38" s="897" t="n">
        <f aca="false">IF($AN38=1,$E38*$BF$5,0)</f>
        <v>0</v>
      </c>
      <c r="BH38" s="897" t="n">
        <f aca="false">BG38</f>
        <v>0</v>
      </c>
      <c r="BI38" s="714" t="n">
        <f aca="false">IF($AN38=1,$E38*$BF$5,0)</f>
        <v>0</v>
      </c>
      <c r="BJ38" s="898" t="n">
        <f aca="false">IF('Monthly Table'!D38&lt;=Tables!$B$21,IF($BJ$10=$BG$10,BG38,IF($BJ$10=$BH$10,BH38,IF($BJ$10=$BI$10,BI38,0))),0)</f>
        <v>0</v>
      </c>
      <c r="BK38" s="288"/>
      <c r="BL38" s="898" t="n">
        <f aca="false">IF($AW38=1,$F38*$BF$5,0)</f>
        <v>0</v>
      </c>
      <c r="BM38" s="898" t="n">
        <f aca="false">IF($BD38=1,($G38+H38)*$BF$5,0)</f>
        <v>0</v>
      </c>
      <c r="BO38" s="898" t="n">
        <f aca="false">IF(AS38=1,BJ38,0)</f>
        <v>0</v>
      </c>
      <c r="BP38" s="898" t="n">
        <f aca="false">IF(AZ38=1,F38*$BF$5,0)</f>
        <v>0</v>
      </c>
      <c r="BR38" s="899" t="n">
        <f aca="false">IF(BJ38&gt;0,INDEX(OperationalDetail,MATCH("Capacity Degradation",ODColumn,0),MATCH('Monthly Table'!C38,ODRow,0)),0)</f>
        <v>0</v>
      </c>
      <c r="BS38" s="900" t="n">
        <f aca="false">BJ38*(1-BR38)*Tables!$C$10</f>
        <v>0</v>
      </c>
      <c r="BT38" s="883" t="n">
        <f aca="false">BS38*AL38/1000</f>
        <v>0</v>
      </c>
      <c r="BU38" s="883" t="n">
        <f aca="false">BT38*K38</f>
        <v>0</v>
      </c>
      <c r="BV38" s="188"/>
      <c r="BW38" s="901" t="n">
        <f aca="false">$BO38*(1-$BR38)*Tables!$C$36</f>
        <v>0</v>
      </c>
      <c r="BX38" s="902" t="n">
        <f aca="false">(BW38*AQ38)/1000</f>
        <v>0</v>
      </c>
      <c r="BY38" s="883" t="n">
        <f aca="false">BX38*K38</f>
        <v>0</v>
      </c>
      <c r="BZ38" s="188"/>
      <c r="CA38" s="901" t="n">
        <f aca="false">$BL38*(1-$BR38)*Tables!$C$36</f>
        <v>0</v>
      </c>
      <c r="CB38" s="902" t="n">
        <f aca="false">(CA38*AU38)/1000</f>
        <v>0</v>
      </c>
      <c r="CC38" s="883" t="n">
        <f aca="false">CB38*K38</f>
        <v>0</v>
      </c>
      <c r="CD38" s="901" t="n">
        <f aca="false">$BP38*(1-$BR38)*Tables!$C$36</f>
        <v>0</v>
      </c>
      <c r="CE38" s="902" t="n">
        <f aca="false">(CD38*AX38)/1000</f>
        <v>0</v>
      </c>
      <c r="CF38" s="883" t="n">
        <f aca="false">CE38*K38</f>
        <v>0</v>
      </c>
      <c r="CH38" s="901" t="n">
        <f aca="false">$BM38*(1-$BR38)*Tables!$C$36</f>
        <v>0</v>
      </c>
      <c r="CI38" s="902" t="n">
        <f aca="false">(CH38*BB38)/1000</f>
        <v>0</v>
      </c>
      <c r="CJ38" s="883" t="n">
        <f aca="false">CI38*K38</f>
        <v>0</v>
      </c>
      <c r="CK38" s="292"/>
      <c r="CL38" s="292" t="n">
        <f aca="false">C38-1</f>
        <v>2002</v>
      </c>
      <c r="CM38" s="903" t="n">
        <f aca="false">INDEX(OperationalDetail,MATCH("Degraded Heat Rate",ODColumn,0),MATCH('Monthly Table'!CL38,ODRow,0))/1000</f>
        <v>12.098736</v>
      </c>
      <c r="CN38" s="904" t="n">
        <f aca="false">S38*CM38</f>
        <v>52.0340437523085</v>
      </c>
      <c r="CO38" s="905" t="n">
        <f aca="false">IF(A38="January",(CO37*(1+Assumptions!$E$32)),CO37)</f>
        <v>7.00774425</v>
      </c>
      <c r="CP38" s="906" t="n">
        <f aca="false">CN38+CO38</f>
        <v>59.0417880023085</v>
      </c>
      <c r="CQ38" s="292"/>
      <c r="CR38" s="856" t="str">
        <f aca="false">IF(BJ38=0,"",C38)</f>
        <v/>
      </c>
      <c r="CS38" s="856" t="str">
        <f aca="false">IF(BO38=0,"",$C38)</f>
        <v/>
      </c>
      <c r="CT38" s="856" t="str">
        <f aca="false">IF(BL38=0,"",$C38)</f>
        <v/>
      </c>
      <c r="CU38" s="856" t="str">
        <f aca="false">IF(BP38=0,"",$C38)</f>
        <v/>
      </c>
      <c r="CV38" s="856" t="str">
        <f aca="false">IF(BD38=0,"",$C38)</f>
        <v/>
      </c>
      <c r="CW38" s="907" t="n">
        <f aca="false">YEAR(BF38)</f>
        <v>2003</v>
      </c>
      <c r="CX38" s="908" t="n">
        <f aca="false">INDEX('NY Curve'!$A$4:$G$256,MATCH('Monthly Table'!B38,'NY Curve'!$A$4:$A$256,0),MATCH("New York 5 X 16",'NY Curve'!$A$4:$G$4,0))</f>
        <v>25.4</v>
      </c>
      <c r="CY38" s="909" t="n">
        <f aca="false">K38</f>
        <v>1.41655996235969</v>
      </c>
      <c r="CZ38" s="910" t="n">
        <f aca="false">CX38*CY38</f>
        <v>35.9806230439361</v>
      </c>
      <c r="DB38" s="911"/>
      <c r="DC38" s="911"/>
    </row>
    <row r="39" customFormat="false" ht="18.75" hidden="false" customHeight="true" outlineLevel="0" collapsed="false">
      <c r="A39" s="49" t="s">
        <v>814</v>
      </c>
      <c r="B39" s="863" t="n">
        <v>37742</v>
      </c>
      <c r="C39" s="288" t="n">
        <f aca="false">YEAR(B39)</f>
        <v>2003</v>
      </c>
      <c r="D39" s="864" t="n">
        <f aca="false">IF(A39="January",D38+1,D38)</f>
        <v>3</v>
      </c>
      <c r="E39" s="865" t="n">
        <v>21</v>
      </c>
      <c r="F39" s="866" t="n">
        <v>5</v>
      </c>
      <c r="G39" s="866" t="n">
        <v>4</v>
      </c>
      <c r="H39" s="866" t="n">
        <v>1</v>
      </c>
      <c r="I39" s="867" t="n">
        <f aca="false">SUM(E39:H39)</f>
        <v>31</v>
      </c>
      <c r="J39" s="868"/>
      <c r="K39" s="869" t="n">
        <f aca="false">INDEX(FX!$A$3:$C$362,MATCH(B39,FX!$A$3:$A$362,0),MATCH("Monthly Curve",FX!$A$2:$C$2,0))</f>
        <v>1.41557762905474</v>
      </c>
      <c r="L39" s="869"/>
      <c r="M39" s="914" t="n">
        <v>2.6345</v>
      </c>
      <c r="N39" s="915" t="n">
        <v>0.135</v>
      </c>
      <c r="O39" s="714" t="n">
        <v>0.02</v>
      </c>
      <c r="P39" s="872" t="n">
        <f aca="false">N39+O39</f>
        <v>0.155</v>
      </c>
      <c r="Q39" s="873" t="n">
        <f aca="false">SUM(M39:O39)</f>
        <v>2.7895</v>
      </c>
      <c r="R39" s="874" t="n">
        <f aca="false">Assumptions!$B$34</f>
        <v>0.312458892307692</v>
      </c>
      <c r="S39" s="875" t="n">
        <f aca="false">(Q39*K39)+R39</f>
        <v>4.26121268855589</v>
      </c>
      <c r="T39" s="869"/>
      <c r="V39" s="876" t="n">
        <f aca="false">Assumptions!$B$42</f>
        <v>0</v>
      </c>
      <c r="W39" s="876"/>
      <c r="X39" s="971"/>
      <c r="Y39" s="878" t="n">
        <f aca="false">Assumptions!$B$7</f>
        <v>312</v>
      </c>
      <c r="Z39" s="879" t="n">
        <f aca="false">IF($Z$10=$V$10,V39,IF($Z$10=$W$10,W39,IF($Z$10=$X$10,X39,0)))</f>
        <v>0</v>
      </c>
      <c r="AA39" s="880" t="n">
        <f aca="false">Y39*Z39</f>
        <v>0</v>
      </c>
      <c r="AB39" s="881" t="n">
        <f aca="false">AA39*K39</f>
        <v>0</v>
      </c>
      <c r="AC39" s="188"/>
      <c r="AD39" s="882" t="n">
        <f aca="false">IF(Tables!$E$30="Michigan",INDEX('Michigan Curve'!$A$4:$S$256,MATCH('Monthly Table'!B39,'Michigan Curve'!$A$4:$A$256,0),MATCH("Michigan Selected Option Value US$/month",'Michigan Curve'!$A$4:$S$4,0)),INDEX('NY Curve'!$A$4:$T$256,MATCH('Monthly Table'!B39,'NY Curve'!$A$4:$A$256,0),MATCH("New York Selected Option Value US$/month",'NY Curve'!$A$4:$T$4,0)))</f>
        <v>162818.766012975</v>
      </c>
      <c r="AE39" s="883" t="n">
        <f aca="false">AD39*K39</f>
        <v>230482.602758266</v>
      </c>
      <c r="AF39" s="188"/>
      <c r="AG39" s="884"/>
      <c r="AH39" s="188"/>
      <c r="AI39" s="885" t="n">
        <f aca="false">Assumptions!$B$50</f>
        <v>65</v>
      </c>
      <c r="AJ39" s="916"/>
      <c r="AK39" s="887" t="n">
        <f aca="false">IF(Tables!$E$30="Custom",'Monthly Table'!AI39,IF(Tables!$E$30="New York",INDEX('NY Curve'!$A$4:$G$256,MATCH('Monthly Table'!B39,'NY Curve'!$A$4:$A$256,0),MATCH("Super Peak Curve",'NY Curve'!$A$4:$G$4,0)),IF(Tables!$E$30="New York Flat",INDEX('NY Curve'!$A$4:$G$256,MATCH('Monthly Table'!B39,'NY Curve'!$A$4:$A$256,0),MATCH("Flat NY West",'NY Curve'!$A$4:$G$4,0)),INDEX('Michigan Curve'!$A$4:$F$256,MATCH('Monthly Table'!B39,'Michigan Curve'!$A$4:$A$256,0),MATCH("Michigan Super Peak Curve US$/MWhr",'Michigan Curve'!$A$4:$F$4,0)))))</f>
        <v>30.942187551409</v>
      </c>
      <c r="AL39" s="888" t="n">
        <f aca="false">IF(D39&lt;=Tables!$B$21,IF($AL$10=$AI$10,AI39,IF($AL$10=$AJ$10,AJ39,IF($AL$10=$AK$10,AK39,0))),0)</f>
        <v>30.942187551409</v>
      </c>
      <c r="AM39" s="889" t="n">
        <f aca="false">+AL39*K39</f>
        <v>43.8010684917907</v>
      </c>
      <c r="AN39" s="890" t="n">
        <f aca="false">IF((AL39*K39)&gt;(CP39+$BF$4),1,0)</f>
        <v>0</v>
      </c>
      <c r="AO39" s="891"/>
      <c r="AP39" s="894"/>
      <c r="AQ39" s="892" t="n">
        <f aca="false">IF(Tables!$E$30="New York",INDEX('NY Curve'!$A$4:$L$256,MATCH('Monthly Table'!B39,'NY Curve'!$A$4:$A$256,0),MATCH("New York Shoulder Hour Curve Mon-Fri",'NY Curve'!$A$4:$L$4,0)),IF(Tables!$E$30="Michigan",INDEX('Michigan Curve'!$A$4:$K$256,MATCH('Monthly Table'!B39,'Michigan Curve'!$A$4:$A$256,0),MATCH("Michigan Shoulder Hour Curve Mon-Fri",'Michigan Curve'!$A$4:$K$4,0))))</f>
        <v>26.557812448591</v>
      </c>
      <c r="AR39" s="889" t="n">
        <f aca="false">AQ39*K39</f>
        <v>37.5946451788569</v>
      </c>
      <c r="AS39" s="893" t="n">
        <f aca="false">IF(AR39&gt;($CP39+$BF$4),1,0)</f>
        <v>0</v>
      </c>
      <c r="AT39" s="188"/>
      <c r="AU39" s="892" t="n">
        <f aca="false">IF(Tables!$E$30="New York",INDEX('NY Curve'!$A$4:$L$256,MATCH('Monthly Table'!$B39,'NY Curve'!$A$4:$A$256,0),MATCH("New York Saturday Super Peak",'NY Curve'!$A$4:$L$4,0)),IF(Tables!$E$30="Michigan",INDEX('Michigan Curve'!$A$4:$K$256,MATCH('Monthly Table'!$B39,'Michigan Curve'!$A$4:$A$256,0),MATCH("Michigan Saturday Super Peak",'Michigan Curve'!$A$4:$K$4,0))))</f>
        <v>22.6012500375509</v>
      </c>
      <c r="AV39" s="894" t="n">
        <f aca="false">AU39*K39</f>
        <v>31.9938239418297</v>
      </c>
      <c r="AW39" s="893" t="n">
        <f aca="false">IF(AV39&gt;($CP39+$BF$4),1,0)</f>
        <v>0</v>
      </c>
      <c r="AX39" s="892" t="n">
        <f aca="false">IF(Tables!$E$30="New York",INDEX('NY Curve'!$A$4:$L$256,MATCH('Monthly Table'!$B39,'NY Curve'!$A$4:$A$256,0),MATCH("New York Saturday Shoulder Peak",'NY Curve'!$A$4:$L$4,0)),IF(Tables!$E$30="Michigan",INDEX('Michigan Curve'!$A$4:$K$256,MATCH('Monthly Table'!$B39,'Michigan Curve'!$A$4:$A$256,0),MATCH("Michigan Saturday Shoulder Peak",'Michigan Curve'!$A$4:$K$4,0))))</f>
        <v>19.3987499624491</v>
      </c>
      <c r="AY39" s="895" t="n">
        <f aca="false">AX39*K39</f>
        <v>27.4604364784694</v>
      </c>
      <c r="AZ39" s="893" t="n">
        <f aca="false">IF(AY39&gt;($CP39+$BF$4),1,0)</f>
        <v>0</v>
      </c>
      <c r="BA39" s="188"/>
      <c r="BB39" s="892" t="n">
        <f aca="false">IF(Tables!$E$30="New York",INDEX('NY Curve'!$A$4:$M$256,MATCH('Monthly Table'!$B39,'NY Curve'!$A$4:$A$256,0),MATCH("NY Sunday Super Peak",'NY Curve'!$A$4:$M$4,0)),IF(Tables!$E$30="Michigan",INDEX('Michigan Curve'!$A$4:$L$256,MATCH('Monthly Table'!$B39,'Michigan Curve'!$A$4:$A$256,0),MATCH("Michigan Sunday Super Peak",'Michigan Curve'!$A$4:$L$4,0))))</f>
        <v>21.5303803825468</v>
      </c>
      <c r="BC39" s="894" t="n">
        <f aca="false">BB39*K39</f>
        <v>30.4779248145723</v>
      </c>
      <c r="BD39" s="893" t="n">
        <f aca="false">IF(BC39&gt;($CP39+$BF$4),1,0)</f>
        <v>0</v>
      </c>
      <c r="BE39" s="188"/>
      <c r="BF39" s="896" t="n">
        <f aca="false">B39</f>
        <v>37742</v>
      </c>
      <c r="BG39" s="897" t="n">
        <f aca="false">IF($AN39=1,$E39*$BF$5,0)</f>
        <v>0</v>
      </c>
      <c r="BH39" s="897" t="n">
        <f aca="false">BG39</f>
        <v>0</v>
      </c>
      <c r="BI39" s="714" t="n">
        <f aca="false">IF($AN39=1,$E39*$BF$5,0)</f>
        <v>0</v>
      </c>
      <c r="BJ39" s="898" t="n">
        <f aca="false">IF('Monthly Table'!D39&lt;=Tables!$B$21,IF($BJ$10=$BG$10,BG39,IF($BJ$10=$BH$10,BH39,IF($BJ$10=$BI$10,BI39,0))),0)</f>
        <v>0</v>
      </c>
      <c r="BK39" s="288"/>
      <c r="BL39" s="898" t="n">
        <f aca="false">IF($AW39=1,$F39*$BF$5,0)</f>
        <v>0</v>
      </c>
      <c r="BM39" s="898" t="n">
        <f aca="false">IF($BD39=1,($G39+H39)*$BF$5,0)</f>
        <v>0</v>
      </c>
      <c r="BO39" s="898" t="n">
        <f aca="false">IF(AS39=1,BJ39,0)</f>
        <v>0</v>
      </c>
      <c r="BP39" s="898" t="n">
        <f aca="false">IF(AZ39=1,F39*$BF$5,0)</f>
        <v>0</v>
      </c>
      <c r="BR39" s="899" t="n">
        <f aca="false">IF(BJ39&gt;0,INDEX(OperationalDetail,MATCH("Capacity Degradation",ODColumn,0),MATCH('Monthly Table'!C39,ODRow,0)),0)</f>
        <v>0</v>
      </c>
      <c r="BS39" s="900" t="n">
        <f aca="false">BJ39*(1-BR39)*Tables!$C$10</f>
        <v>0</v>
      </c>
      <c r="BT39" s="883" t="n">
        <f aca="false">BS39*AL39/1000</f>
        <v>0</v>
      </c>
      <c r="BU39" s="883" t="n">
        <f aca="false">BT39*K39</f>
        <v>0</v>
      </c>
      <c r="BV39" s="188"/>
      <c r="BW39" s="901" t="n">
        <f aca="false">$BO39*(1-$BR39)*Tables!$C$36</f>
        <v>0</v>
      </c>
      <c r="BX39" s="902" t="n">
        <f aca="false">(BW39*AQ39)/1000</f>
        <v>0</v>
      </c>
      <c r="BY39" s="883" t="n">
        <f aca="false">BX39*K39</f>
        <v>0</v>
      </c>
      <c r="BZ39" s="188"/>
      <c r="CA39" s="901" t="n">
        <f aca="false">$BL39*(1-$BR39)*Tables!$C$36</f>
        <v>0</v>
      </c>
      <c r="CB39" s="902" t="n">
        <f aca="false">(CA39*AU39)/1000</f>
        <v>0</v>
      </c>
      <c r="CC39" s="883" t="n">
        <f aca="false">CB39*K39</f>
        <v>0</v>
      </c>
      <c r="CD39" s="901" t="n">
        <f aca="false">$BP39*(1-$BR39)*Tables!$C$36</f>
        <v>0</v>
      </c>
      <c r="CE39" s="902" t="n">
        <f aca="false">(CD39*AX39)/1000</f>
        <v>0</v>
      </c>
      <c r="CF39" s="883" t="n">
        <f aca="false">CE39*K39</f>
        <v>0</v>
      </c>
      <c r="CH39" s="901" t="n">
        <f aca="false">$BM39*(1-$BR39)*Tables!$C$36</f>
        <v>0</v>
      </c>
      <c r="CI39" s="902" t="n">
        <f aca="false">(CH39*BB39)/1000</f>
        <v>0</v>
      </c>
      <c r="CJ39" s="883" t="n">
        <f aca="false">CI39*K39</f>
        <v>0</v>
      </c>
      <c r="CK39" s="292"/>
      <c r="CL39" s="292" t="n">
        <f aca="false">C39-1</f>
        <v>2002</v>
      </c>
      <c r="CM39" s="903" t="n">
        <f aca="false">INDEX(OperationalDetail,MATCH("Degraded Heat Rate",ODColumn,0),MATCH('Monthly Table'!CL39,ODRow,0))/1000</f>
        <v>12.098736</v>
      </c>
      <c r="CN39" s="904" t="n">
        <f aca="false">S39*CM39</f>
        <v>51.5552873586879</v>
      </c>
      <c r="CO39" s="905" t="n">
        <f aca="false">IF(A39="January",(CO38*(1+Assumptions!$E$32)),CO38)</f>
        <v>7.00774425</v>
      </c>
      <c r="CP39" s="906" t="n">
        <f aca="false">CN39+CO39</f>
        <v>58.5630316086879</v>
      </c>
      <c r="CQ39" s="292"/>
      <c r="CR39" s="856" t="str">
        <f aca="false">IF(BJ39=0,"",C39)</f>
        <v/>
      </c>
      <c r="CS39" s="856" t="str">
        <f aca="false">IF(BO39=0,"",$C39)</f>
        <v/>
      </c>
      <c r="CT39" s="856" t="str">
        <f aca="false">IF(BL39=0,"",$C39)</f>
        <v/>
      </c>
      <c r="CU39" s="856" t="str">
        <f aca="false">IF(BP39=0,"",$C39)</f>
        <v/>
      </c>
      <c r="CV39" s="856" t="str">
        <f aca="false">IF(BD39=0,"",$C39)</f>
        <v/>
      </c>
      <c r="CW39" s="907" t="n">
        <f aca="false">YEAR(BF39)</f>
        <v>2003</v>
      </c>
      <c r="CX39" s="908" t="n">
        <f aca="false">INDEX('NY Curve'!$A$4:$G$256,MATCH('Monthly Table'!B39,'NY Curve'!$A$4:$A$256,0),MATCH("New York 5 X 16",'NY Curve'!$A$4:$G$4,0))</f>
        <v>29.65</v>
      </c>
      <c r="CY39" s="909" t="n">
        <f aca="false">K39</f>
        <v>1.41557762905474</v>
      </c>
      <c r="CZ39" s="910" t="n">
        <f aca="false">CX39*CY39</f>
        <v>41.971876701473</v>
      </c>
      <c r="DB39" s="911"/>
      <c r="DC39" s="911"/>
    </row>
    <row r="40" customFormat="false" ht="18.75" hidden="false" customHeight="true" outlineLevel="0" collapsed="false">
      <c r="A40" s="49" t="s">
        <v>815</v>
      </c>
      <c r="B40" s="863" t="n">
        <v>37773</v>
      </c>
      <c r="C40" s="288" t="n">
        <f aca="false">YEAR(B40)</f>
        <v>2003</v>
      </c>
      <c r="D40" s="864" t="n">
        <f aca="false">IF(A40="January",D39+1,D39)</f>
        <v>3</v>
      </c>
      <c r="E40" s="865" t="n">
        <v>21</v>
      </c>
      <c r="F40" s="866" t="n">
        <v>4</v>
      </c>
      <c r="G40" s="866" t="n">
        <v>5</v>
      </c>
      <c r="H40" s="866" t="n">
        <v>0</v>
      </c>
      <c r="I40" s="867" t="n">
        <f aca="false">SUM(E40:H40)</f>
        <v>30</v>
      </c>
      <c r="J40" s="868"/>
      <c r="K40" s="869" t="n">
        <f aca="false">INDEX(FX!$A$3:$C$362,MATCH(B40,FX!$A$3:$A$362,0),MATCH("Monthly Curve",FX!$A$2:$C$2,0))</f>
        <v>1.41455797049791</v>
      </c>
      <c r="L40" s="869"/>
      <c r="M40" s="914" t="n">
        <v>2.6435</v>
      </c>
      <c r="N40" s="915" t="n">
        <v>0.135</v>
      </c>
      <c r="O40" s="714" t="n">
        <v>0.02</v>
      </c>
      <c r="P40" s="872" t="n">
        <f aca="false">N40+O40</f>
        <v>0.155</v>
      </c>
      <c r="Q40" s="873" t="n">
        <f aca="false">SUM(M40:O40)</f>
        <v>2.7985</v>
      </c>
      <c r="R40" s="874" t="n">
        <f aca="false">Assumptions!$B$34</f>
        <v>0.312458892307692</v>
      </c>
      <c r="S40" s="875" t="n">
        <f aca="false">(Q40*K40)+R40</f>
        <v>4.27109937274609</v>
      </c>
      <c r="T40" s="869"/>
      <c r="U40" s="917"/>
      <c r="V40" s="876" t="n">
        <f aca="false">Assumptions!$B$42</f>
        <v>0</v>
      </c>
      <c r="W40" s="876"/>
      <c r="X40" s="973"/>
      <c r="Y40" s="878" t="n">
        <f aca="false">Assumptions!$B$7</f>
        <v>312</v>
      </c>
      <c r="Z40" s="879" t="n">
        <f aca="false">IF($Z$10=$V$10,V40,IF($Z$10=$W$10,W40,IF($Z$10=$X$10,X40,0)))</f>
        <v>0</v>
      </c>
      <c r="AA40" s="880" t="n">
        <f aca="false">Y40*Z40</f>
        <v>0</v>
      </c>
      <c r="AB40" s="881" t="n">
        <f aca="false">AA40*K40</f>
        <v>0</v>
      </c>
      <c r="AC40" s="188"/>
      <c r="AD40" s="882" t="n">
        <f aca="false">IF(Tables!$E$30="Michigan",INDEX('Michigan Curve'!$A$4:$S$256,MATCH('Monthly Table'!B40,'Michigan Curve'!$A$4:$A$256,0),MATCH("Michigan Selected Option Value US$/month",'Michigan Curve'!$A$4:$S$4,0)),INDEX('NY Curve'!$A$4:$T$256,MATCH('Monthly Table'!B40,'NY Curve'!$A$4:$A$256,0),MATCH("New York Selected Option Value US$/month",'NY Curve'!$A$4:$T$4,0)))</f>
        <v>570540.874747909</v>
      </c>
      <c r="AE40" s="883" t="n">
        <f aca="false">AD40*K40</f>
        <v>807063.141869505</v>
      </c>
      <c r="AF40" s="188"/>
      <c r="AG40" s="884"/>
      <c r="AH40" s="188"/>
      <c r="AI40" s="885" t="n">
        <f aca="false">Assumptions!$B$50</f>
        <v>65</v>
      </c>
      <c r="AJ40" s="916"/>
      <c r="AK40" s="887" t="n">
        <f aca="false">IF(Tables!$E$30="Custom",'Monthly Table'!AI40,IF(Tables!$E$30="New York",INDEX('NY Curve'!$A$4:$G$256,MATCH('Monthly Table'!B40,'NY Curve'!$A$4:$A$256,0),MATCH("Super Peak Curve",'NY Curve'!$A$4:$G$4,0)),IF(Tables!$E$30="New York Flat",INDEX('NY Curve'!$A$4:$G$256,MATCH('Monthly Table'!B40,'NY Curve'!$A$4:$A$256,0),MATCH("Flat NY West",'NY Curve'!$A$4:$G$4,0)),INDEX('Michigan Curve'!$A$4:$F$256,MATCH('Monthly Table'!B40,'Michigan Curve'!$A$4:$A$256,0),MATCH("Michigan Super Peak Curve US$/MWhr",'Michigan Curve'!$A$4:$F$4,0)))))</f>
        <v>76.2698023375832</v>
      </c>
      <c r="AL40" s="888" t="n">
        <f aca="false">IF(D40&lt;=Tables!$B$21,IF($AL$10=$AI$10,AI40,IF($AL$10=$AJ$10,AJ40,IF($AL$10=$AK$10,AK40,0))),0)</f>
        <v>76.2698023375832</v>
      </c>
      <c r="AM40" s="889" t="n">
        <f aca="false">+AL40*K40</f>
        <v>107.888056804928</v>
      </c>
      <c r="AN40" s="890" t="n">
        <f aca="false">IF((AL40*K40)&gt;(CP40+$BF$4),1,0)</f>
        <v>1</v>
      </c>
      <c r="AO40" s="891"/>
      <c r="AP40" s="894"/>
      <c r="AQ40" s="892" t="n">
        <f aca="false">IF(Tables!$E$30="New York",INDEX('NY Curve'!$A$4:$L$256,MATCH('Monthly Table'!B40,'NY Curve'!$A$4:$A$256,0),MATCH("New York Shoulder Hour Curve Mon-Fri",'NY Curve'!$A$4:$L$4,0)),IF(Tables!$E$30="Michigan",INDEX('Michigan Curve'!$A$4:$K$256,MATCH('Monthly Table'!B40,'Michigan Curve'!$A$4:$A$256,0),MATCH("Michigan Shoulder Hour Curve Mon-Fri",'Michigan Curve'!$A$4:$K$4,0))))</f>
        <v>22.2301976624168</v>
      </c>
      <c r="AR40" s="889" t="n">
        <f aca="false">AQ40*K40</f>
        <v>31.4459032891157</v>
      </c>
      <c r="AS40" s="893" t="n">
        <f aca="false">IF(AR40&gt;($CP40+$BF$4),1,0)</f>
        <v>0</v>
      </c>
      <c r="AT40" s="188"/>
      <c r="AU40" s="892" t="n">
        <f aca="false">IF(Tables!$E$30="New York",INDEX('NY Curve'!$A$4:$L$256,MATCH('Monthly Table'!$B40,'NY Curve'!$A$4:$A$256,0),MATCH("New York Saturday Super Peak",'NY Curve'!$A$4:$L$4,0)),IF(Tables!$E$30="Michigan",INDEX('Michigan Curve'!$A$4:$K$256,MATCH('Monthly Table'!$B40,'Michigan Curve'!$A$4:$A$256,0),MATCH("Michigan Saturday Super Peak",'Michigan Curve'!$A$4:$K$4,0))))</f>
        <v>40.2642611325312</v>
      </c>
      <c r="AV40" s="894" t="n">
        <f aca="false">AU40*K40</f>
        <v>56.9561315112312</v>
      </c>
      <c r="AW40" s="893" t="n">
        <f aca="false">IF(AV40&gt;($CP40+$BF$4),1,0)</f>
        <v>0</v>
      </c>
      <c r="AX40" s="892" t="n">
        <f aca="false">IF(Tables!$E$30="New York",INDEX('NY Curve'!$A$4:$L$256,MATCH('Monthly Table'!$B40,'NY Curve'!$A$4:$A$256,0),MATCH("New York Saturday Shoulder Peak",'NY Curve'!$A$4:$L$4,0)),IF(Tables!$E$30="Michigan",INDEX('Michigan Curve'!$A$4:$K$256,MATCH('Monthly Table'!$B40,'Michigan Curve'!$A$4:$A$256,0),MATCH("Michigan Saturday Shoulder Peak",'Michigan Curve'!$A$4:$K$4,0))))</f>
        <v>11.7357388674688</v>
      </c>
      <c r="AY40" s="895" t="n">
        <f aca="false">AX40*K40</f>
        <v>16.6008829546601</v>
      </c>
      <c r="AZ40" s="893" t="n">
        <f aca="false">IF(AY40&gt;($CP40+$BF$4),1,0)</f>
        <v>0</v>
      </c>
      <c r="BA40" s="188"/>
      <c r="BB40" s="892" t="n">
        <f aca="false">IF(Tables!$E$30="New York",INDEX('NY Curve'!$A$4:$M$256,MATCH('Monthly Table'!$B40,'NY Curve'!$A$4:$A$256,0),MATCH("NY Sunday Super Peak",'NY Curve'!$A$4:$M$4,0)),IF(Tables!$E$30="Michigan",INDEX('Michigan Curve'!$A$4:$L$256,MATCH('Monthly Table'!$B40,'Michigan Curve'!$A$4:$A$256,0),MATCH("Michigan Sunday Super Peak",'Michigan Curve'!$A$4:$L$4,0))))</f>
        <v>37.1670102761827</v>
      </c>
      <c r="BC40" s="894" t="n">
        <f aca="false">BB40*K40</f>
        <v>52.5748906257519</v>
      </c>
      <c r="BD40" s="893" t="n">
        <f aca="false">IF(BC40&gt;($CP40+$BF$4),1,0)</f>
        <v>0</v>
      </c>
      <c r="BE40" s="188"/>
      <c r="BF40" s="896" t="n">
        <f aca="false">B40</f>
        <v>37773</v>
      </c>
      <c r="BG40" s="897" t="n">
        <f aca="false">IF($AN40=1,$E40*$BF$5,0)</f>
        <v>168</v>
      </c>
      <c r="BH40" s="897" t="n">
        <f aca="false">BG40</f>
        <v>168</v>
      </c>
      <c r="BI40" s="714" t="n">
        <f aca="false">IF($AN40=1,$E40*$BF$5,0)</f>
        <v>168</v>
      </c>
      <c r="BJ40" s="898" t="n">
        <f aca="false">IF('Monthly Table'!D40&lt;=Tables!$B$21,IF($BJ$10=$BG$10,BG40,IF($BJ$10=$BH$10,BH40,IF($BJ$10=$BI$10,BI40,0))),0)</f>
        <v>168</v>
      </c>
      <c r="BK40" s="288"/>
      <c r="BL40" s="898" t="n">
        <f aca="false">IF($AW40=1,$F40*$BF$5,0)</f>
        <v>0</v>
      </c>
      <c r="BM40" s="898" t="n">
        <f aca="false">IF($BD40=1,($G40+H40)*$BF$5,0)</f>
        <v>0</v>
      </c>
      <c r="BO40" s="898" t="n">
        <f aca="false">IF(AS40=1,BJ40,0)</f>
        <v>0</v>
      </c>
      <c r="BP40" s="898" t="n">
        <f aca="false">IF(AZ40=1,F40*$BF$5,0)</f>
        <v>0</v>
      </c>
      <c r="BR40" s="899" t="n">
        <f aca="false">IF(BJ40&gt;0,INDEX(OperationalDetail,MATCH("Capacity Degradation",ODColumn,0),MATCH('Monthly Table'!C40,ODRow,0)),0)</f>
        <v>0.01439</v>
      </c>
      <c r="BS40" s="900" t="n">
        <f aca="false">BJ40*(1-BR40)*Tables!$C$10</f>
        <v>53648.72352</v>
      </c>
      <c r="BT40" s="883" t="n">
        <f aca="false">BS40*AL40/1000</f>
        <v>4091.77753853405</v>
      </c>
      <c r="BU40" s="883" t="n">
        <f aca="false">BT40*K40</f>
        <v>5788.05653063766</v>
      </c>
      <c r="BV40" s="188"/>
      <c r="BW40" s="901" t="n">
        <f aca="false">$BO40*(1-$BR40)*Tables!$C$36</f>
        <v>0</v>
      </c>
      <c r="BX40" s="902" t="n">
        <f aca="false">(BW40*AQ40)/1000</f>
        <v>0</v>
      </c>
      <c r="BY40" s="883" t="n">
        <f aca="false">BX40*K40</f>
        <v>0</v>
      </c>
      <c r="BZ40" s="188"/>
      <c r="CA40" s="901" t="n">
        <f aca="false">$BL40*(1-$BR40)*Tables!$C$36</f>
        <v>0</v>
      </c>
      <c r="CB40" s="902" t="n">
        <f aca="false">(CA40*AU40)/1000</f>
        <v>0</v>
      </c>
      <c r="CC40" s="883" t="n">
        <f aca="false">CB40*K40</f>
        <v>0</v>
      </c>
      <c r="CD40" s="901" t="n">
        <f aca="false">$BP40*(1-$BR40)*Tables!$C$36</f>
        <v>0</v>
      </c>
      <c r="CE40" s="902" t="n">
        <f aca="false">(CD40*AX40)/1000</f>
        <v>0</v>
      </c>
      <c r="CF40" s="883" t="n">
        <f aca="false">CE40*K40</f>
        <v>0</v>
      </c>
      <c r="CH40" s="901" t="n">
        <f aca="false">$BM40*(1-$BR40)*Tables!$C$36</f>
        <v>0</v>
      </c>
      <c r="CI40" s="902" t="n">
        <f aca="false">(CH40*BB40)/1000</f>
        <v>0</v>
      </c>
      <c r="CJ40" s="883" t="n">
        <f aca="false">CI40*K40</f>
        <v>0</v>
      </c>
      <c r="CK40" s="292"/>
      <c r="CL40" s="292" t="n">
        <f aca="false">C40-1</f>
        <v>2002</v>
      </c>
      <c r="CM40" s="903" t="n">
        <f aca="false">INDEX(OperationalDetail,MATCH("Degraded Heat Rate",ODColumn,0),MATCH('Monthly Table'!CL40,ODRow,0))/1000</f>
        <v>12.098736</v>
      </c>
      <c r="CN40" s="904" t="n">
        <f aca="false">S40*CM40</f>
        <v>51.6749037406206</v>
      </c>
      <c r="CO40" s="905" t="n">
        <f aca="false">IF(A40="January",(CO39*(1+Assumptions!$E$32)),CO39)</f>
        <v>7.00774425</v>
      </c>
      <c r="CP40" s="906" t="n">
        <f aca="false">CN40+CO40</f>
        <v>58.6826479906206</v>
      </c>
      <c r="CQ40" s="292"/>
      <c r="CR40" s="856" t="n">
        <f aca="false">IF(BJ40=0,"",C40)</f>
        <v>2003</v>
      </c>
      <c r="CS40" s="856" t="str">
        <f aca="false">IF(BO40=0,"",$C40)</f>
        <v/>
      </c>
      <c r="CT40" s="856" t="str">
        <f aca="false">IF(BL40=0,"",$C40)</f>
        <v/>
      </c>
      <c r="CU40" s="856" t="str">
        <f aca="false">IF(BP40=0,"",$C40)</f>
        <v/>
      </c>
      <c r="CV40" s="856" t="str">
        <f aca="false">IF(BD40=0,"",$C40)</f>
        <v/>
      </c>
      <c r="CW40" s="907" t="n">
        <f aca="false">YEAR(BF40)</f>
        <v>2003</v>
      </c>
      <c r="CX40" s="908" t="n">
        <f aca="false">INDEX('NY Curve'!$A$4:$G$256,MATCH('Monthly Table'!B40,'NY Curve'!$A$4:$A$256,0),MATCH("New York 5 X 16",'NY Curve'!$A$4:$G$4,0))</f>
        <v>48</v>
      </c>
      <c r="CY40" s="909" t="n">
        <f aca="false">K40</f>
        <v>1.41455797049791</v>
      </c>
      <c r="CZ40" s="910" t="n">
        <f aca="false">CX40*CY40</f>
        <v>67.8987825838997</v>
      </c>
      <c r="DB40" s="911"/>
      <c r="DC40" s="911"/>
    </row>
    <row r="41" customFormat="false" ht="18.75" hidden="false" customHeight="true" outlineLevel="0" collapsed="false">
      <c r="A41" s="49" t="s">
        <v>816</v>
      </c>
      <c r="B41" s="863" t="n">
        <v>37803</v>
      </c>
      <c r="C41" s="288" t="n">
        <f aca="false">YEAR(B41)</f>
        <v>2003</v>
      </c>
      <c r="D41" s="864" t="n">
        <f aca="false">IF(A41="January",D40+1,D40)</f>
        <v>3</v>
      </c>
      <c r="E41" s="865" t="n">
        <v>22</v>
      </c>
      <c r="F41" s="866" t="n">
        <v>4</v>
      </c>
      <c r="G41" s="866" t="n">
        <v>4</v>
      </c>
      <c r="H41" s="866" t="n">
        <v>1</v>
      </c>
      <c r="I41" s="867" t="n">
        <f aca="false">SUM(E41:H41)</f>
        <v>31</v>
      </c>
      <c r="J41" s="868"/>
      <c r="K41" s="869" t="n">
        <f aca="false">INDEX(FX!$A$3:$C$362,MATCH(B41,FX!$A$3:$A$362,0),MATCH("Monthly Curve",FX!$A$2:$C$2,0))</f>
        <v>1.41357433649335</v>
      </c>
      <c r="L41" s="869"/>
      <c r="M41" s="914" t="n">
        <v>2.6525</v>
      </c>
      <c r="N41" s="915" t="n">
        <v>0.135</v>
      </c>
      <c r="O41" s="714" t="n">
        <v>0.02</v>
      </c>
      <c r="P41" s="872" t="n">
        <f aca="false">N41+O41</f>
        <v>0.155</v>
      </c>
      <c r="Q41" s="873" t="n">
        <f aca="false">SUM(M41:O41)</f>
        <v>2.8075</v>
      </c>
      <c r="R41" s="874" t="n">
        <f aca="false">Assumptions!$B$34</f>
        <v>0.312458892307692</v>
      </c>
      <c r="S41" s="875" t="n">
        <f aca="false">(Q41*K41)+R41</f>
        <v>4.28106884201277</v>
      </c>
      <c r="T41" s="869"/>
      <c r="V41" s="876"/>
      <c r="W41" s="876"/>
      <c r="X41" s="971"/>
      <c r="Y41" s="878" t="n">
        <f aca="false">Assumptions!$B$7</f>
        <v>312</v>
      </c>
      <c r="Z41" s="879" t="n">
        <f aca="false">IF($Z$10=$V$10,V41,IF($Z$10=$W$10,W41,IF($Z$10=$X$10,X41,0)))</f>
        <v>0</v>
      </c>
      <c r="AA41" s="880" t="n">
        <f aca="false">Y41*Z41</f>
        <v>0</v>
      </c>
      <c r="AB41" s="881" t="n">
        <f aca="false">AA41*K41</f>
        <v>0</v>
      </c>
      <c r="AC41" s="188"/>
      <c r="AD41" s="882" t="n">
        <f aca="false">IF(Tables!$E$30="Michigan",INDEX('Michigan Curve'!$A$4:$S$256,MATCH('Monthly Table'!B41,'Michigan Curve'!$A$4:$A$256,0),MATCH("Michigan Selected Option Value US$/month",'Michigan Curve'!$A$4:$S$4,0)),INDEX('NY Curve'!$A$4:$T$256,MATCH('Monthly Table'!B41,'NY Curve'!$A$4:$A$256,0),MATCH("New York Selected Option Value US$/month",'NY Curve'!$A$4:$T$4,0)))</f>
        <v>893311.942324639</v>
      </c>
      <c r="AE41" s="883" t="n">
        <f aca="false">AD41*K41</f>
        <v>1262762.83615314</v>
      </c>
      <c r="AF41" s="188"/>
      <c r="AG41" s="884"/>
      <c r="AH41" s="188"/>
      <c r="AI41" s="885" t="n">
        <f aca="false">Assumptions!$B$50</f>
        <v>65</v>
      </c>
      <c r="AJ41" s="916"/>
      <c r="AK41" s="887" t="n">
        <f aca="false">IF(Tables!$E$30="Custom",'Monthly Table'!AI41,IF(Tables!$E$30="New York",INDEX('NY Curve'!$A$4:$G$256,MATCH('Monthly Table'!B41,'NY Curve'!$A$4:$A$256,0),MATCH("Super Peak Curve",'NY Curve'!$A$4:$G$4,0)),IF(Tables!$E$30="New York Flat",INDEX('NY Curve'!$A$4:$G$256,MATCH('Monthly Table'!B41,'NY Curve'!$A$4:$A$256,0),MATCH("Flat NY West",'NY Curve'!$A$4:$G$4,0)),INDEX('Michigan Curve'!$A$4:$F$256,MATCH('Monthly Table'!B41,'Michigan Curve'!$A$4:$A$256,0),MATCH("Michigan Super Peak Curve US$/MWhr",'Michigan Curve'!$A$4:$F$4,0)))))</f>
        <v>139.871218931272</v>
      </c>
      <c r="AL41" s="888" t="n">
        <f aca="false">IF(D41&lt;=Tables!$B$21,IF($AL$10=$AI$10,AI41,IF($AL$10=$AJ$10,AJ41,IF($AL$10=$AK$10,AK41,0))),0)</f>
        <v>139.871218931272</v>
      </c>
      <c r="AM41" s="889" t="n">
        <f aca="false">+AL41*K41</f>
        <v>197.718365495289</v>
      </c>
      <c r="AN41" s="890" t="n">
        <f aca="false">IF((AL41*K41)&gt;(CP41+$BF$4),1,0)</f>
        <v>1</v>
      </c>
      <c r="AO41" s="891"/>
      <c r="AP41" s="894"/>
      <c r="AQ41" s="892" t="n">
        <f aca="false">IF(Tables!$E$30="New York",INDEX('NY Curve'!$A$4:$L$256,MATCH('Monthly Table'!B41,'NY Curve'!$A$4:$A$256,0),MATCH("New York Shoulder Hour Curve Mon-Fri",'NY Curve'!$A$4:$L$4,0)),IF(Tables!$E$30="Michigan",INDEX('Michigan Curve'!$A$4:$K$256,MATCH('Monthly Table'!B41,'Michigan Curve'!$A$4:$A$256,0),MATCH("Michigan Shoulder Hour Curve Mon-Fri",'Michigan Curve'!$A$4:$K$4,0))))</f>
        <v>28.1287810687282</v>
      </c>
      <c r="AR41" s="889" t="n">
        <f aca="false">AQ41*K41</f>
        <v>39.7621230355942</v>
      </c>
      <c r="AS41" s="893" t="n">
        <f aca="false">IF(AR41&gt;($CP41+$BF$4),1,0)</f>
        <v>0</v>
      </c>
      <c r="AT41" s="188"/>
      <c r="AU41" s="892" t="n">
        <f aca="false">IF(Tables!$E$30="New York",INDEX('NY Curve'!$A$4:$L$256,MATCH('Monthly Table'!$B41,'NY Curve'!$A$4:$A$256,0),MATCH("New York Saturday Super Peak",'NY Curve'!$A$4:$L$4,0)),IF(Tables!$E$30="Michigan",INDEX('Michigan Curve'!$A$4:$K$256,MATCH('Monthly Table'!$B41,'Michigan Curve'!$A$4:$A$256,0),MATCH("Michigan Saturday Super Peak",'Michigan Curve'!$A$4:$K$4,0))))</f>
        <v>58.2796745546966</v>
      </c>
      <c r="AV41" s="894" t="n">
        <f aca="false">AU41*K41</f>
        <v>82.3826522897036</v>
      </c>
      <c r="AW41" s="893" t="n">
        <f aca="false">IF(AV41&gt;($CP41+$BF$4),1,0)</f>
        <v>1</v>
      </c>
      <c r="AX41" s="892" t="n">
        <f aca="false">IF(Tables!$E$30="New York",INDEX('NY Curve'!$A$4:$L$256,MATCH('Monthly Table'!$B41,'NY Curve'!$A$4:$A$256,0),MATCH("New York Saturday Shoulder Peak",'NY Curve'!$A$4:$L$4,0)),IF(Tables!$E$30="Michigan",INDEX('Michigan Curve'!$A$4:$K$256,MATCH('Monthly Table'!$B41,'Michigan Curve'!$A$4:$A$256,0),MATCH("Michigan Saturday Shoulder Peak",'Michigan Curve'!$A$4:$K$4,0))))</f>
        <v>11.7203254453034</v>
      </c>
      <c r="AY41" s="895" t="n">
        <f aca="false">AX41*K41</f>
        <v>16.5675512648309</v>
      </c>
      <c r="AZ41" s="893" t="n">
        <f aca="false">IF(AY41&gt;($CP41+$BF$4),1,0)</f>
        <v>0</v>
      </c>
      <c r="BA41" s="188"/>
      <c r="BB41" s="892" t="n">
        <f aca="false">IF(Tables!$E$30="New York",INDEX('NY Curve'!$A$4:$M$256,MATCH('Monthly Table'!$B41,'NY Curve'!$A$4:$A$256,0),MATCH("NY Sunday Super Peak",'NY Curve'!$A$4:$M$4,0)),IF(Tables!$E$30="Michigan",INDEX('Michigan Curve'!$A$4:$L$256,MATCH('Monthly Table'!$B41,'Michigan Curve'!$A$4:$A$256,0),MATCH("Michigan Sunday Super Peak",'Michigan Curve'!$A$4:$L$4,0))))</f>
        <v>51.6191371438839</v>
      </c>
      <c r="BC41" s="894" t="n">
        <f aca="false">BB41*K41</f>
        <v>72.9674875385249</v>
      </c>
      <c r="BD41" s="893" t="n">
        <f aca="false">IF(BC41&gt;($CP41+$BF$4),1,0)</f>
        <v>1</v>
      </c>
      <c r="BE41" s="188"/>
      <c r="BF41" s="896" t="n">
        <f aca="false">B41</f>
        <v>37803</v>
      </c>
      <c r="BG41" s="897" t="n">
        <f aca="false">IF($AN41=1,$E41*$BF$5,0)</f>
        <v>176</v>
      </c>
      <c r="BH41" s="897" t="n">
        <f aca="false">BG41</f>
        <v>176</v>
      </c>
      <c r="BI41" s="714" t="n">
        <f aca="false">IF($AN41=1,$E41*$BF$5,0)</f>
        <v>176</v>
      </c>
      <c r="BJ41" s="898" t="n">
        <f aca="false">IF('Monthly Table'!D41&lt;=Tables!$B$21,IF($BJ$10=$BG$10,BG41,IF($BJ$10=$BH$10,BH41,IF($BJ$10=$BI$10,BI41,0))),0)</f>
        <v>176</v>
      </c>
      <c r="BK41" s="288"/>
      <c r="BL41" s="898" t="n">
        <f aca="false">IF($AW41=1,$F41*$BF$5,0)</f>
        <v>32</v>
      </c>
      <c r="BM41" s="898" t="n">
        <f aca="false">IF($BD41=1,($G41+H41)*$BF$5,0)</f>
        <v>40</v>
      </c>
      <c r="BO41" s="898" t="n">
        <f aca="false">IF(AS41=1,BJ41,0)</f>
        <v>0</v>
      </c>
      <c r="BP41" s="898" t="n">
        <f aca="false">IF(AZ41=1,F41*$BF$5,0)</f>
        <v>0</v>
      </c>
      <c r="BR41" s="899" t="n">
        <f aca="false">IF(BJ41&gt;0,INDEX(OperationalDetail,MATCH("Capacity Degradation",ODColumn,0),MATCH('Monthly Table'!C41,ODRow,0)),0)</f>
        <v>0.01439</v>
      </c>
      <c r="BS41" s="900" t="n">
        <f aca="false">BJ41*(1-BR41)*Tables!$C$10</f>
        <v>56203.42464</v>
      </c>
      <c r="BT41" s="883" t="n">
        <f aca="false">BS41*AL41/1000</f>
        <v>7861.24151250867</v>
      </c>
      <c r="BU41" s="883" t="n">
        <f aca="false">BT41*K41</f>
        <v>11112.4492550584</v>
      </c>
      <c r="BV41" s="188"/>
      <c r="BW41" s="901" t="n">
        <f aca="false">$BO41*(1-$BR41)*Tables!$C$36</f>
        <v>0</v>
      </c>
      <c r="BX41" s="902" t="n">
        <f aca="false">(BW41*AQ41)/1000</f>
        <v>0</v>
      </c>
      <c r="BY41" s="883" t="n">
        <f aca="false">BX41*K41</f>
        <v>0</v>
      </c>
      <c r="BZ41" s="188"/>
      <c r="CA41" s="901" t="n">
        <f aca="false">$BL41*(1-$BR41)*Tables!$C$36</f>
        <v>10218.80448</v>
      </c>
      <c r="CB41" s="902" t="n">
        <f aca="false">(CA41*AU41)/1000</f>
        <v>595.548599432475</v>
      </c>
      <c r="CC41" s="883" t="n">
        <f aca="false">CB41*K41</f>
        <v>841.852216292305</v>
      </c>
      <c r="CD41" s="901" t="n">
        <f aca="false">$BP41*(1-$BR41)*Tables!$C$36</f>
        <v>0</v>
      </c>
      <c r="CE41" s="902" t="n">
        <f aca="false">(CD41*AX41)/1000</f>
        <v>0</v>
      </c>
      <c r="CF41" s="883" t="n">
        <f aca="false">CE41*K41</f>
        <v>0</v>
      </c>
      <c r="CH41" s="901" t="n">
        <f aca="false">$BM41*(1-$BR41)*Tables!$C$36</f>
        <v>12773.5056</v>
      </c>
      <c r="CI41" s="902" t="n">
        <f aca="false">(CH41*BB41)/1000</f>
        <v>659.357337374569</v>
      </c>
      <c r="CJ41" s="883" t="n">
        <f aca="false">CI41*K41</f>
        <v>932.050610691278</v>
      </c>
      <c r="CK41" s="292"/>
      <c r="CL41" s="292" t="n">
        <f aca="false">C41-1</f>
        <v>2002</v>
      </c>
      <c r="CM41" s="903" t="n">
        <f aca="false">INDEX(OperationalDetail,MATCH("Degraded Heat Rate",ODColumn,0),MATCH('Monthly Table'!CL41,ODRow,0))/1000</f>
        <v>12.098736</v>
      </c>
      <c r="CN41" s="904" t="n">
        <f aca="false">S41*CM41</f>
        <v>51.7955217173382</v>
      </c>
      <c r="CO41" s="905" t="n">
        <f aca="false">IF(A41="January",(CO40*(1+Assumptions!$E$32)),CO40)</f>
        <v>7.00774425</v>
      </c>
      <c r="CP41" s="906" t="n">
        <f aca="false">CN41+CO41</f>
        <v>58.8032659673382</v>
      </c>
      <c r="CQ41" s="292"/>
      <c r="CR41" s="856" t="n">
        <f aca="false">IF(BJ41=0,"",C41)</f>
        <v>2003</v>
      </c>
      <c r="CS41" s="856" t="str">
        <f aca="false">IF(BO41=0,"",$C41)</f>
        <v/>
      </c>
      <c r="CT41" s="856" t="n">
        <f aca="false">IF(BL41=0,"",$C41)</f>
        <v>2003</v>
      </c>
      <c r="CU41" s="856" t="str">
        <f aca="false">IF(BP41=0,"",$C41)</f>
        <v/>
      </c>
      <c r="CV41" s="856" t="n">
        <f aca="false">IF(BD41=0,"",$C41)</f>
        <v>2003</v>
      </c>
      <c r="CW41" s="907" t="n">
        <f aca="false">YEAR(BF41)</f>
        <v>2003</v>
      </c>
      <c r="CX41" s="908" t="n">
        <f aca="false">INDEX('NY Curve'!$A$4:$G$256,MATCH('Monthly Table'!B41,'NY Curve'!$A$4:$A$256,0),MATCH("New York 5 X 16",'NY Curve'!$A$4:$G$4,0))</f>
        <v>72</v>
      </c>
      <c r="CY41" s="909" t="n">
        <f aca="false">K41</f>
        <v>1.41357433649335</v>
      </c>
      <c r="CZ41" s="910" t="n">
        <f aca="false">CX41*CY41</f>
        <v>101.777352227521</v>
      </c>
      <c r="DB41" s="911"/>
      <c r="DC41" s="911"/>
    </row>
    <row r="42" customFormat="false" ht="18.75" hidden="false" customHeight="true" outlineLevel="0" collapsed="false">
      <c r="A42" s="49" t="s">
        <v>817</v>
      </c>
      <c r="B42" s="863" t="n">
        <v>37834</v>
      </c>
      <c r="C42" s="288" t="n">
        <f aca="false">YEAR(B42)</f>
        <v>2003</v>
      </c>
      <c r="D42" s="864" t="n">
        <f aca="false">IF(A42="January",D41+1,D41)</f>
        <v>3</v>
      </c>
      <c r="E42" s="865" t="n">
        <v>21</v>
      </c>
      <c r="F42" s="866" t="n">
        <v>5</v>
      </c>
      <c r="G42" s="866" t="n">
        <v>5</v>
      </c>
      <c r="H42" s="866" t="n">
        <v>0</v>
      </c>
      <c r="I42" s="867" t="n">
        <f aca="false">SUM(E42:H42)</f>
        <v>31</v>
      </c>
      <c r="J42" s="868"/>
      <c r="K42" s="869" t="n">
        <f aca="false">INDEX(FX!$A$3:$C$362,MATCH(B42,FX!$A$3:$A$362,0),MATCH("Monthly Curve",FX!$A$2:$C$2,0))</f>
        <v>1.41256261240089</v>
      </c>
      <c r="L42" s="869"/>
      <c r="M42" s="914" t="n">
        <v>2.6595</v>
      </c>
      <c r="N42" s="915" t="n">
        <v>0.135</v>
      </c>
      <c r="O42" s="714" t="n">
        <v>0.02</v>
      </c>
      <c r="P42" s="872" t="n">
        <f aca="false">N42+O42</f>
        <v>0.155</v>
      </c>
      <c r="Q42" s="873" t="n">
        <f aca="false">SUM(M42:O42)</f>
        <v>2.8145</v>
      </c>
      <c r="R42" s="874" t="n">
        <f aca="false">Assumptions!$B$34</f>
        <v>0.312458892307692</v>
      </c>
      <c r="S42" s="875" t="n">
        <f aca="false">(Q42*K42)+R42</f>
        <v>4.28811636491</v>
      </c>
      <c r="T42" s="869"/>
      <c r="V42" s="876"/>
      <c r="W42" s="876"/>
      <c r="X42" s="971"/>
      <c r="Y42" s="878" t="n">
        <f aca="false">Assumptions!$B$7</f>
        <v>312</v>
      </c>
      <c r="Z42" s="879" t="n">
        <f aca="false">IF($Z$10=$V$10,V42,IF($Z$10=$W$10,W42,IF($Z$10=$X$10,X42,0)))</f>
        <v>0</v>
      </c>
      <c r="AA42" s="880" t="n">
        <f aca="false">Y42*Z42</f>
        <v>0</v>
      </c>
      <c r="AB42" s="881" t="n">
        <f aca="false">AA42*K42</f>
        <v>0</v>
      </c>
      <c r="AC42" s="188"/>
      <c r="AD42" s="882" t="n">
        <f aca="false">IF(Tables!$E$30="Michigan",INDEX('Michigan Curve'!$A$4:$S$256,MATCH('Monthly Table'!B42,'Michigan Curve'!$A$4:$A$256,0),MATCH("Michigan Selected Option Value US$/month",'Michigan Curve'!$A$4:$S$4,0)),INDEX('NY Curve'!$A$4:$T$256,MATCH('Monthly Table'!B42,'NY Curve'!$A$4:$A$256,0),MATCH("New York Selected Option Value US$/month",'NY Curve'!$A$4:$T$4,0)))</f>
        <v>895779.056322438</v>
      </c>
      <c r="AE42" s="883" t="n">
        <f aca="false">AD42*K42</f>
        <v>1265344.00393283</v>
      </c>
      <c r="AF42" s="188"/>
      <c r="AG42" s="884"/>
      <c r="AH42" s="188"/>
      <c r="AI42" s="885" t="n">
        <f aca="false">Assumptions!$B$50</f>
        <v>65</v>
      </c>
      <c r="AJ42" s="916"/>
      <c r="AK42" s="887" t="n">
        <f aca="false">IF(Tables!$E$30="Custom",'Monthly Table'!AI42,IF(Tables!$E$30="New York",INDEX('NY Curve'!$A$4:$G$256,MATCH('Monthly Table'!B42,'NY Curve'!$A$4:$A$256,0),MATCH("Super Peak Curve",'NY Curve'!$A$4:$G$4,0)),IF(Tables!$E$30="New York Flat",INDEX('NY Curve'!$A$4:$G$256,MATCH('Monthly Table'!B42,'NY Curve'!$A$4:$A$256,0),MATCH("Flat NY West",'NY Curve'!$A$4:$G$4,0)),INDEX('Michigan Curve'!$A$4:$F$256,MATCH('Monthly Table'!B42,'Michigan Curve'!$A$4:$A$256,0),MATCH("Michigan Super Peak Curve US$/MWhr",'Michigan Curve'!$A$4:$F$4,0)))))</f>
        <v>139.871218931272</v>
      </c>
      <c r="AL42" s="888" t="n">
        <f aca="false">IF(D42&lt;=Tables!$B$21,IF($AL$10=$AI$10,AI42,IF($AL$10=$AJ$10,AJ42,IF($AL$10=$AK$10,AK42,0))),0)</f>
        <v>139.871218931272</v>
      </c>
      <c r="AM42" s="889" t="n">
        <f aca="false">+AL42*K42</f>
        <v>197.576854413254</v>
      </c>
      <c r="AN42" s="890" t="n">
        <f aca="false">IF((AL42*K42)&gt;(CP42+$BF$4),1,0)</f>
        <v>1</v>
      </c>
      <c r="AO42" s="891"/>
      <c r="AP42" s="894"/>
      <c r="AQ42" s="892" t="n">
        <f aca="false">IF(Tables!$E$30="New York",INDEX('NY Curve'!$A$4:$L$256,MATCH('Monthly Table'!B42,'NY Curve'!$A$4:$A$256,0),MATCH("New York Shoulder Hour Curve Mon-Fri",'NY Curve'!$A$4:$L$4,0)),IF(Tables!$E$30="Michigan",INDEX('Michigan Curve'!$A$4:$K$256,MATCH('Monthly Table'!B42,'Michigan Curve'!$A$4:$A$256,0),MATCH("Michigan Shoulder Hour Curve Mon-Fri",'Michigan Curve'!$A$4:$K$4,0))))</f>
        <v>28.1287810687282</v>
      </c>
      <c r="AR42" s="889" t="n">
        <f aca="false">AQ42*K42</f>
        <v>39.7336644700954</v>
      </c>
      <c r="AS42" s="893" t="n">
        <f aca="false">IF(AR42&gt;($CP42+$BF$4),1,0)</f>
        <v>0</v>
      </c>
      <c r="AT42" s="188"/>
      <c r="AU42" s="892" t="n">
        <f aca="false">IF(Tables!$E$30="New York",INDEX('NY Curve'!$A$4:$L$256,MATCH('Monthly Table'!$B42,'NY Curve'!$A$4:$A$256,0),MATCH("New York Saturday Super Peak",'NY Curve'!$A$4:$L$4,0)),IF(Tables!$E$30="Michigan",INDEX('Michigan Curve'!$A$4:$K$256,MATCH('Monthly Table'!$B42,'Michigan Curve'!$A$4:$A$256,0),MATCH("Michigan Saturday Super Peak",'Michigan Curve'!$A$4:$K$4,0))))</f>
        <v>58.279680906677</v>
      </c>
      <c r="AV42" s="894" t="n">
        <f aca="false">AU42*K42</f>
        <v>82.3236983114259</v>
      </c>
      <c r="AW42" s="893" t="n">
        <f aca="false">IF(AV42&gt;($CP42+$BF$4),1,0)</f>
        <v>1</v>
      </c>
      <c r="AX42" s="892" t="n">
        <f aca="false">IF(Tables!$E$30="New York",INDEX('NY Curve'!$A$4:$L$256,MATCH('Monthly Table'!$B42,'NY Curve'!$A$4:$A$256,0),MATCH("New York Saturday Shoulder Peak",'NY Curve'!$A$4:$L$4,0)),IF(Tables!$E$30="Michigan",INDEX('Michigan Curve'!$A$4:$K$256,MATCH('Monthly Table'!$B42,'Michigan Curve'!$A$4:$A$256,0),MATCH("Michigan Saturday Shoulder Peak",'Michigan Curve'!$A$4:$K$4,0))))</f>
        <v>11.7203267227175</v>
      </c>
      <c r="AY42" s="895" t="n">
        <f aca="false">AX42*K42</f>
        <v>16.5556953336338</v>
      </c>
      <c r="AZ42" s="893" t="n">
        <f aca="false">IF(AY42&gt;($CP42+$BF$4),1,0)</f>
        <v>0</v>
      </c>
      <c r="BA42" s="188"/>
      <c r="BB42" s="892" t="n">
        <f aca="false">IF(Tables!$E$30="New York",INDEX('NY Curve'!$A$4:$M$256,MATCH('Monthly Table'!$B42,'NY Curve'!$A$4:$A$256,0),MATCH("NY Sunday Super Peak",'NY Curve'!$A$4:$M$4,0)),IF(Tables!$E$30="Michigan",INDEX('Michigan Curve'!$A$4:$L$256,MATCH('Monthly Table'!$B42,'Michigan Curve'!$A$4:$A$256,0),MATCH("Michigan Sunday Super Peak",'Michigan Curve'!$A$4:$L$4,0))))</f>
        <v>51.6191403198741</v>
      </c>
      <c r="BC42" s="894" t="n">
        <f aca="false">BB42*K42</f>
        <v>72.9152677001295</v>
      </c>
      <c r="BD42" s="893" t="n">
        <f aca="false">IF(BC42&gt;($CP42+$BF$4),1,0)</f>
        <v>1</v>
      </c>
      <c r="BE42" s="188"/>
      <c r="BF42" s="896" t="n">
        <f aca="false">B42</f>
        <v>37834</v>
      </c>
      <c r="BG42" s="897" t="n">
        <f aca="false">IF($AN42=1,$E42*$BF$5,0)</f>
        <v>168</v>
      </c>
      <c r="BH42" s="897" t="n">
        <f aca="false">BG42</f>
        <v>168</v>
      </c>
      <c r="BI42" s="714" t="n">
        <f aca="false">IF($AN42=1,$E42*$BF$5,0)</f>
        <v>168</v>
      </c>
      <c r="BJ42" s="898" t="n">
        <f aca="false">IF('Monthly Table'!D42&lt;=Tables!$B$21,IF($BJ$10=$BG$10,BG42,IF($BJ$10=$BH$10,BH42,IF($BJ$10=$BI$10,BI42,0))),0)</f>
        <v>168</v>
      </c>
      <c r="BK42" s="288"/>
      <c r="BL42" s="898" t="n">
        <f aca="false">IF($AW42=1,$F42*$BF$5,0)</f>
        <v>40</v>
      </c>
      <c r="BM42" s="898" t="n">
        <f aca="false">IF($BD42=1,($G42+H42)*$BF$5,0)</f>
        <v>40</v>
      </c>
      <c r="BO42" s="898" t="n">
        <f aca="false">IF(AS42=1,BJ42,0)</f>
        <v>0</v>
      </c>
      <c r="BP42" s="898" t="n">
        <f aca="false">IF(AZ42=1,F42*$BF$5,0)</f>
        <v>0</v>
      </c>
      <c r="BR42" s="899" t="n">
        <f aca="false">IF(BJ42&gt;0,INDEX(OperationalDetail,MATCH("Capacity Degradation",ODColumn,0),MATCH('Monthly Table'!C42,ODRow,0)),0)</f>
        <v>0.01439</v>
      </c>
      <c r="BS42" s="900" t="n">
        <f aca="false">BJ42*(1-BR42)*Tables!$C$10</f>
        <v>53648.72352</v>
      </c>
      <c r="BT42" s="883" t="n">
        <f aca="false">BS42*AL42/1000</f>
        <v>7503.91235284919</v>
      </c>
      <c r="BU42" s="883" t="n">
        <f aca="false">BT42*K42</f>
        <v>10599.746036368</v>
      </c>
      <c r="BV42" s="188"/>
      <c r="BW42" s="901" t="n">
        <f aca="false">$BO42*(1-$BR42)*Tables!$C$36</f>
        <v>0</v>
      </c>
      <c r="BX42" s="902" t="n">
        <f aca="false">(BW42*AQ42)/1000</f>
        <v>0</v>
      </c>
      <c r="BY42" s="883" t="n">
        <f aca="false">BX42*K42</f>
        <v>0</v>
      </c>
      <c r="BZ42" s="188"/>
      <c r="CA42" s="901" t="n">
        <f aca="false">$BL42*(1-$BR42)*Tables!$C$36</f>
        <v>12773.5056</v>
      </c>
      <c r="CB42" s="902" t="n">
        <f aca="false">(CA42*AU42)/1000</f>
        <v>744.435830427652</v>
      </c>
      <c r="CC42" s="883" t="n">
        <f aca="false">CB42*K42</f>
        <v>1051.56222139371</v>
      </c>
      <c r="CD42" s="901" t="n">
        <f aca="false">$BP42*(1-$BR42)*Tables!$C$36</f>
        <v>0</v>
      </c>
      <c r="CE42" s="902" t="n">
        <f aca="false">(CD42*AX42)/1000</f>
        <v>0</v>
      </c>
      <c r="CF42" s="883" t="n">
        <f aca="false">CE42*K42</f>
        <v>0</v>
      </c>
      <c r="CH42" s="901" t="n">
        <f aca="false">$BM42*(1-$BR42)*Tables!$C$36</f>
        <v>12773.5056</v>
      </c>
      <c r="CI42" s="902" t="n">
        <f aca="false">(CH42*BB42)/1000</f>
        <v>659.357377943098</v>
      </c>
      <c r="CJ42" s="883" t="n">
        <f aca="false">CI42*K42</f>
        <v>931.383580293103</v>
      </c>
      <c r="CK42" s="292"/>
      <c r="CL42" s="292" t="n">
        <f aca="false">C42-1</f>
        <v>2002</v>
      </c>
      <c r="CM42" s="903" t="n">
        <f aca="false">INDEX(OperationalDetail,MATCH("Degraded Heat Rate",ODColumn,0),MATCH('Monthly Table'!CL42,ODRow,0))/1000</f>
        <v>12.098736</v>
      </c>
      <c r="CN42" s="904" t="n">
        <f aca="false">S42*CM42</f>
        <v>51.8807878363257</v>
      </c>
      <c r="CO42" s="905" t="n">
        <f aca="false">IF(A42="January",(CO41*(1+Assumptions!$E$32)),CO41)</f>
        <v>7.00774425</v>
      </c>
      <c r="CP42" s="906" t="n">
        <f aca="false">CN42+CO42</f>
        <v>58.8885320863257</v>
      </c>
      <c r="CQ42" s="292"/>
      <c r="CR42" s="856" t="n">
        <f aca="false">IF(BJ42=0,"",C42)</f>
        <v>2003</v>
      </c>
      <c r="CS42" s="856" t="str">
        <f aca="false">IF(BO42=0,"",$C42)</f>
        <v/>
      </c>
      <c r="CT42" s="856" t="n">
        <f aca="false">IF(BL42=0,"",$C42)</f>
        <v>2003</v>
      </c>
      <c r="CU42" s="856" t="str">
        <f aca="false">IF(BP42=0,"",$C42)</f>
        <v/>
      </c>
      <c r="CV42" s="856" t="n">
        <f aca="false">IF(BD42=0,"",$C42)</f>
        <v>2003</v>
      </c>
      <c r="CW42" s="907" t="n">
        <f aca="false">YEAR(BF42)</f>
        <v>2003</v>
      </c>
      <c r="CX42" s="908" t="n">
        <f aca="false">INDEX('NY Curve'!$A$4:$G$256,MATCH('Monthly Table'!B42,'NY Curve'!$A$4:$A$256,0),MATCH("New York 5 X 16",'NY Curve'!$A$4:$G$4,0))</f>
        <v>64.5</v>
      </c>
      <c r="CY42" s="909" t="n">
        <f aca="false">K42</f>
        <v>1.41256261240089</v>
      </c>
      <c r="CZ42" s="910" t="n">
        <f aca="false">CX42*CY42</f>
        <v>91.1102884998574</v>
      </c>
      <c r="DB42" s="911"/>
      <c r="DC42" s="911"/>
    </row>
    <row r="43" customFormat="false" ht="18.75" hidden="false" customHeight="true" outlineLevel="0" collapsed="false">
      <c r="A43" s="49" t="s">
        <v>818</v>
      </c>
      <c r="B43" s="863" t="n">
        <v>37865</v>
      </c>
      <c r="C43" s="288" t="n">
        <f aca="false">YEAR(B43)</f>
        <v>2003</v>
      </c>
      <c r="D43" s="864" t="n">
        <f aca="false">IF(A43="January",D42+1,D42)</f>
        <v>3</v>
      </c>
      <c r="E43" s="865" t="n">
        <v>21</v>
      </c>
      <c r="F43" s="866" t="n">
        <v>4</v>
      </c>
      <c r="G43" s="866" t="n">
        <v>4</v>
      </c>
      <c r="H43" s="866" t="n">
        <v>1</v>
      </c>
      <c r="I43" s="867" t="n">
        <f aca="false">SUM(E43:H43)</f>
        <v>30</v>
      </c>
      <c r="J43" s="868"/>
      <c r="K43" s="869" t="n">
        <f aca="false">INDEX(FX!$A$3:$C$362,MATCH(B43,FX!$A$3:$A$362,0),MATCH("Monthly Curve",FX!$A$2:$C$2,0))</f>
        <v>1.41155144428146</v>
      </c>
      <c r="L43" s="869"/>
      <c r="M43" s="914" t="n">
        <v>2.6665</v>
      </c>
      <c r="N43" s="915" t="n">
        <v>0.135</v>
      </c>
      <c r="O43" s="714" t="n">
        <v>0.02</v>
      </c>
      <c r="P43" s="872" t="n">
        <f aca="false">N43+O43</f>
        <v>0.155</v>
      </c>
      <c r="Q43" s="873" t="n">
        <f aca="false">SUM(M43:O43)</f>
        <v>2.8215</v>
      </c>
      <c r="R43" s="874" t="n">
        <f aca="false">Assumptions!$B$34</f>
        <v>0.312458892307692</v>
      </c>
      <c r="S43" s="875" t="n">
        <f aca="false">(Q43*K43)+R43</f>
        <v>4.29515129234783</v>
      </c>
      <c r="T43" s="869"/>
      <c r="V43" s="876"/>
      <c r="W43" s="876"/>
      <c r="X43" s="971"/>
      <c r="Y43" s="878" t="n">
        <f aca="false">Assumptions!$B$7</f>
        <v>312</v>
      </c>
      <c r="Z43" s="879" t="n">
        <f aca="false">IF($Z$10=$V$10,V43,IF($Z$10=$W$10,W43,IF($Z$10=$X$10,X43,0)))</f>
        <v>0</v>
      </c>
      <c r="AA43" s="880" t="n">
        <f aca="false">Y43*Z43</f>
        <v>0</v>
      </c>
      <c r="AB43" s="881" t="n">
        <f aca="false">AA43*K43</f>
        <v>0</v>
      </c>
      <c r="AC43" s="188"/>
      <c r="AD43" s="882" t="n">
        <f aca="false">IF(Tables!$E$30="Michigan",INDEX('Michigan Curve'!$A$4:$S$256,MATCH('Monthly Table'!B43,'Michigan Curve'!$A$4:$A$256,0),MATCH("Michigan Selected Option Value US$/month",'Michigan Curve'!$A$4:$S$4,0)),INDEX('NY Curve'!$A$4:$T$256,MATCH('Monthly Table'!B43,'NY Curve'!$A$4:$A$256,0),MATCH("New York Selected Option Value US$/month",'NY Curve'!$A$4:$T$4,0)))</f>
        <v>438253.784480031</v>
      </c>
      <c r="AE43" s="883" t="n">
        <f aca="false">AD43*K43</f>
        <v>618617.762444603</v>
      </c>
      <c r="AF43" s="188"/>
      <c r="AG43" s="884"/>
      <c r="AH43" s="188"/>
      <c r="AI43" s="885" t="n">
        <f aca="false">Assumptions!$B$50</f>
        <v>65</v>
      </c>
      <c r="AJ43" s="916"/>
      <c r="AK43" s="887" t="n">
        <f aca="false">IF(Tables!$E$30="Custom",'Monthly Table'!AI43,IF(Tables!$E$30="New York",INDEX('NY Curve'!$A$4:$G$256,MATCH('Monthly Table'!B43,'NY Curve'!$A$4:$A$256,0),MATCH("Super Peak Curve",'NY Curve'!$A$4:$G$4,0)),IF(Tables!$E$30="New York Flat",INDEX('NY Curve'!$A$4:$G$256,MATCH('Monthly Table'!B43,'NY Curve'!$A$4:$A$256,0),MATCH("Flat NY West",'NY Curve'!$A$4:$G$4,0)),INDEX('Michigan Curve'!$A$4:$F$256,MATCH('Monthly Table'!B43,'Michigan Curve'!$A$4:$A$256,0),MATCH("Michigan Super Peak Curve US$/MWhr",'Michigan Curve'!$A$4:$F$4,0)))))</f>
        <v>42.5643747746944</v>
      </c>
      <c r="AL43" s="888" t="n">
        <f aca="false">IF(D43&lt;=Tables!$B$21,IF($AL$10=$AI$10,AI43,IF($AL$10=$AJ$10,AJ43,IF($AL$10=$AK$10,AK43,0))),0)</f>
        <v>42.5643747746944</v>
      </c>
      <c r="AM43" s="889" t="n">
        <f aca="false">+AL43*K43</f>
        <v>60.0818046881573</v>
      </c>
      <c r="AN43" s="890" t="n">
        <f aca="false">IF((AL43*K43)&gt;(CP43+$BF$4),1,0)</f>
        <v>1</v>
      </c>
      <c r="AO43" s="891"/>
      <c r="AP43" s="894"/>
      <c r="AQ43" s="892" t="n">
        <f aca="false">IF(Tables!$E$30="New York",INDEX('NY Curve'!$A$4:$L$256,MATCH('Monthly Table'!B43,'NY Curve'!$A$4:$A$256,0),MATCH("New York Shoulder Hour Curve Mon-Fri",'NY Curve'!$A$4:$L$4,0)),IF(Tables!$E$30="Michigan",INDEX('Michigan Curve'!$A$4:$K$256,MATCH('Monthly Table'!B43,'Michigan Curve'!$A$4:$A$256,0),MATCH("Michigan Shoulder Hour Curve Mon-Fri",'Michigan Curve'!$A$4:$K$4,0))))</f>
        <v>20.4356252253056</v>
      </c>
      <c r="AR43" s="889" t="n">
        <f aca="false">AQ43*K43</f>
        <v>28.8459363015747</v>
      </c>
      <c r="AS43" s="893" t="n">
        <f aca="false">IF(AR43&gt;($CP43+$BF$4),1,0)</f>
        <v>0</v>
      </c>
      <c r="AT43" s="188"/>
      <c r="AU43" s="892" t="n">
        <f aca="false">IF(Tables!$E$30="New York",INDEX('NY Curve'!$A$4:$L$256,MATCH('Monthly Table'!$B43,'NY Curve'!$A$4:$A$256,0),MATCH("New York Saturday Super Peak",'NY Curve'!$A$4:$L$4,0)),IF(Tables!$E$30="Michigan",INDEX('Michigan Curve'!$A$4:$K$256,MATCH('Monthly Table'!$B43,'Michigan Curve'!$A$4:$A$256,0),MATCH("Michigan Saturday Super Peak",'Michigan Curve'!$A$4:$K$4,0))))</f>
        <v>33.7812498211861</v>
      </c>
      <c r="AV43" s="894" t="n">
        <f aca="false">AU43*K43</f>
        <v>47.683971974728</v>
      </c>
      <c r="AW43" s="893" t="n">
        <f aca="false">IF(AV43&gt;($CP43+$BF$4),1,0)</f>
        <v>0</v>
      </c>
      <c r="AX43" s="892" t="n">
        <f aca="false">IF(Tables!$E$30="New York",INDEX('NY Curve'!$A$4:$L$256,MATCH('Monthly Table'!$B43,'NY Curve'!$A$4:$A$256,0),MATCH("New York Saturday Shoulder Peak",'NY Curve'!$A$4:$L$4,0)),IF(Tables!$E$30="Michigan",INDEX('Michigan Curve'!$A$4:$K$256,MATCH('Monthly Table'!$B43,'Michigan Curve'!$A$4:$A$256,0),MATCH("Michigan Saturday Shoulder Peak",'Michigan Curve'!$A$4:$K$4,0))))</f>
        <v>16.2187501788139</v>
      </c>
      <c r="AY43" s="895" t="n">
        <f aca="false">AX43*K43</f>
        <v>22.893600239345</v>
      </c>
      <c r="AZ43" s="893" t="n">
        <f aca="false">IF(AY43&gt;($CP43+$BF$4),1,0)</f>
        <v>0</v>
      </c>
      <c r="BA43" s="188"/>
      <c r="BB43" s="892" t="n">
        <f aca="false">IF(Tables!$E$30="New York",INDEX('NY Curve'!$A$4:$M$256,MATCH('Monthly Table'!$B43,'NY Curve'!$A$4:$A$256,0),MATCH("NY Sunday Super Peak",'NY Curve'!$A$4:$M$4,0)),IF(Tables!$E$30="Michigan",INDEX('Michigan Curve'!$A$4:$L$256,MATCH('Monthly Table'!$B43,'Michigan Curve'!$A$4:$A$256,0),MATCH("Michigan Sunday Super Peak",'Michigan Curve'!$A$4:$L$4,0))))</f>
        <v>32.4299998283386</v>
      </c>
      <c r="BC43" s="894" t="n">
        <f aca="false">BB43*K43</f>
        <v>45.7766130957389</v>
      </c>
      <c r="BD43" s="893" t="n">
        <f aca="false">IF(BC43&gt;($CP43+$BF$4),1,0)</f>
        <v>0</v>
      </c>
      <c r="BE43" s="188"/>
      <c r="BF43" s="896" t="n">
        <f aca="false">B43</f>
        <v>37865</v>
      </c>
      <c r="BG43" s="897" t="n">
        <f aca="false">IF($AN43=1,$E43*$BF$5,0)</f>
        <v>168</v>
      </c>
      <c r="BH43" s="897" t="n">
        <f aca="false">BG43</f>
        <v>168</v>
      </c>
      <c r="BI43" s="714" t="n">
        <f aca="false">IF($AN43=1,$E43*$BF$5,0)</f>
        <v>168</v>
      </c>
      <c r="BJ43" s="898" t="n">
        <f aca="false">IF('Monthly Table'!D43&lt;=Tables!$B$21,IF($BJ$10=$BG$10,BG43,IF($BJ$10=$BH$10,BH43,IF($BJ$10=$BI$10,BI43,0))),0)</f>
        <v>168</v>
      </c>
      <c r="BK43" s="288"/>
      <c r="BL43" s="898" t="n">
        <f aca="false">IF($AW43=1,$F43*$BF$5,0)</f>
        <v>0</v>
      </c>
      <c r="BM43" s="898" t="n">
        <f aca="false">IF($BD43=1,($G43+H43)*$BF$5,0)</f>
        <v>0</v>
      </c>
      <c r="BO43" s="898" t="n">
        <f aca="false">IF(AS43=1,BJ43,0)</f>
        <v>0</v>
      </c>
      <c r="BP43" s="898" t="n">
        <f aca="false">IF(AZ43=1,F43*$BF$5,0)</f>
        <v>0</v>
      </c>
      <c r="BR43" s="899" t="n">
        <f aca="false">IF(BJ43&gt;0,INDEX(OperationalDetail,MATCH("Capacity Degradation",ODColumn,0),MATCH('Monthly Table'!C43,ODRow,0)),0)</f>
        <v>0.01439</v>
      </c>
      <c r="BS43" s="900" t="n">
        <f aca="false">BJ43*(1-BR43)*Tables!$C$10</f>
        <v>53648.72352</v>
      </c>
      <c r="BT43" s="883" t="n">
        <f aca="false">BS43*AL43/1000</f>
        <v>2283.52437408924</v>
      </c>
      <c r="BU43" s="883" t="n">
        <f aca="false">BT43*K43</f>
        <v>3223.31212829759</v>
      </c>
      <c r="BV43" s="188"/>
      <c r="BW43" s="901" t="n">
        <f aca="false">$BO43*(1-$BR43)*Tables!$C$36</f>
        <v>0</v>
      </c>
      <c r="BX43" s="902" t="n">
        <f aca="false">(BW43*AQ43)/1000</f>
        <v>0</v>
      </c>
      <c r="BY43" s="883" t="n">
        <f aca="false">BX43*K43</f>
        <v>0</v>
      </c>
      <c r="BZ43" s="188"/>
      <c r="CA43" s="901" t="n">
        <f aca="false">$BL43*(1-$BR43)*Tables!$C$36</f>
        <v>0</v>
      </c>
      <c r="CB43" s="902" t="n">
        <f aca="false">(CA43*AU43)/1000</f>
        <v>0</v>
      </c>
      <c r="CC43" s="883" t="n">
        <f aca="false">CB43*K43</f>
        <v>0</v>
      </c>
      <c r="CD43" s="901" t="n">
        <f aca="false">$BP43*(1-$BR43)*Tables!$C$36</f>
        <v>0</v>
      </c>
      <c r="CE43" s="902" t="n">
        <f aca="false">(CD43*AX43)/1000</f>
        <v>0</v>
      </c>
      <c r="CF43" s="883" t="n">
        <f aca="false">CE43*K43</f>
        <v>0</v>
      </c>
      <c r="CH43" s="901" t="n">
        <f aca="false">$BM43*(1-$BR43)*Tables!$C$36</f>
        <v>0</v>
      </c>
      <c r="CI43" s="902" t="n">
        <f aca="false">(CH43*BB43)/1000</f>
        <v>0</v>
      </c>
      <c r="CJ43" s="883" t="n">
        <f aca="false">CI43*K43</f>
        <v>0</v>
      </c>
      <c r="CK43" s="292"/>
      <c r="CL43" s="292" t="n">
        <f aca="false">C43-1</f>
        <v>2002</v>
      </c>
      <c r="CM43" s="903" t="n">
        <f aca="false">INDEX(OperationalDetail,MATCH("Degraded Heat Rate",ODColumn,0),MATCH('Monthly Table'!CL43,ODRow,0))/1000</f>
        <v>12.098736</v>
      </c>
      <c r="CN43" s="904" t="n">
        <f aca="false">S43*CM43</f>
        <v>51.9659015661752</v>
      </c>
      <c r="CO43" s="905" t="n">
        <f aca="false">IF(A43="January",(CO42*(1+Assumptions!$E$32)),CO42)</f>
        <v>7.00774425</v>
      </c>
      <c r="CP43" s="906" t="n">
        <f aca="false">CN43+CO43</f>
        <v>58.9736458161752</v>
      </c>
      <c r="CQ43" s="292"/>
      <c r="CR43" s="856" t="n">
        <f aca="false">IF(BJ43=0,"",C43)</f>
        <v>2003</v>
      </c>
      <c r="CS43" s="856" t="str">
        <f aca="false">IF(BO43=0,"",$C43)</f>
        <v/>
      </c>
      <c r="CT43" s="856" t="str">
        <f aca="false">IF(BL43=0,"",$C43)</f>
        <v/>
      </c>
      <c r="CU43" s="856" t="str">
        <f aca="false">IF(BP43=0,"",$C43)</f>
        <v/>
      </c>
      <c r="CV43" s="856" t="str">
        <f aca="false">IF(BD43=0,"",$C43)</f>
        <v/>
      </c>
      <c r="CW43" s="907" t="n">
        <f aca="false">YEAR(BF43)</f>
        <v>2003</v>
      </c>
      <c r="CX43" s="908" t="n">
        <f aca="false">INDEX('NY Curve'!$A$4:$G$256,MATCH('Monthly Table'!B43,'NY Curve'!$A$4:$A$256,0),MATCH("New York 5 X 16",'NY Curve'!$A$4:$G$4,0))</f>
        <v>29.65</v>
      </c>
      <c r="CY43" s="909" t="n">
        <f aca="false">K43</f>
        <v>1.41155144428146</v>
      </c>
      <c r="CZ43" s="910" t="n">
        <f aca="false">CX43*CY43</f>
        <v>41.8525003229453</v>
      </c>
      <c r="DB43" s="911"/>
      <c r="DC43" s="911"/>
    </row>
    <row r="44" customFormat="false" ht="18.75" hidden="false" customHeight="true" outlineLevel="0" collapsed="false">
      <c r="A44" s="49" t="s">
        <v>819</v>
      </c>
      <c r="B44" s="863" t="n">
        <v>37895</v>
      </c>
      <c r="C44" s="288" t="n">
        <f aca="false">YEAR(B44)</f>
        <v>2003</v>
      </c>
      <c r="D44" s="864" t="n">
        <f aca="false">IF(A44="January",D43+1,D43)</f>
        <v>3</v>
      </c>
      <c r="E44" s="865" t="n">
        <v>23</v>
      </c>
      <c r="F44" s="866" t="n">
        <v>4</v>
      </c>
      <c r="G44" s="866" t="n">
        <v>4</v>
      </c>
      <c r="H44" s="866" t="n">
        <v>0</v>
      </c>
      <c r="I44" s="867" t="n">
        <f aca="false">SUM(E44:H44)</f>
        <v>31</v>
      </c>
      <c r="J44" s="868"/>
      <c r="K44" s="869" t="n">
        <f aca="false">INDEX(FX!$A$3:$C$362,MATCH(B44,FX!$A$3:$A$362,0),MATCH("Monthly Curve",FX!$A$2:$C$2,0))</f>
        <v>1.41057531443698</v>
      </c>
      <c r="L44" s="869"/>
      <c r="M44" s="914" t="n">
        <v>2.6935</v>
      </c>
      <c r="N44" s="915" t="n">
        <v>0.135</v>
      </c>
      <c r="O44" s="714" t="n">
        <v>0.02</v>
      </c>
      <c r="P44" s="872" t="n">
        <f aca="false">N44+O44</f>
        <v>0.155</v>
      </c>
      <c r="Q44" s="873" t="n">
        <f aca="false">SUM(M44:O44)</f>
        <v>2.8485</v>
      </c>
      <c r="R44" s="874" t="n">
        <f aca="false">Assumptions!$B$34</f>
        <v>0.312458892307692</v>
      </c>
      <c r="S44" s="875" t="n">
        <f aca="false">(Q44*K44)+R44</f>
        <v>4.33048267548143</v>
      </c>
      <c r="T44" s="869"/>
      <c r="V44" s="876"/>
      <c r="W44" s="876"/>
      <c r="X44" s="971"/>
      <c r="Y44" s="878" t="n">
        <f aca="false">Assumptions!$B$7</f>
        <v>312</v>
      </c>
      <c r="Z44" s="879" t="n">
        <f aca="false">IF($Z$10=$V$10,V44,IF($Z$10=$W$10,W44,IF($Z$10=$X$10,X44,0)))</f>
        <v>0</v>
      </c>
      <c r="AA44" s="880" t="n">
        <f aca="false">Y44*Z44</f>
        <v>0</v>
      </c>
      <c r="AB44" s="881" t="n">
        <f aca="false">AA44*K44</f>
        <v>0</v>
      </c>
      <c r="AC44" s="188"/>
      <c r="AD44" s="882" t="n">
        <f aca="false">IF(Tables!$E$30="Michigan",INDEX('Michigan Curve'!$A$4:$S$256,MATCH('Monthly Table'!B44,'Michigan Curve'!$A$4:$A$256,0),MATCH("Michigan Selected Option Value US$/month",'Michigan Curve'!$A$4:$S$4,0)),INDEX('NY Curve'!$A$4:$T$256,MATCH('Monthly Table'!B44,'NY Curve'!$A$4:$A$256,0),MATCH("New York Selected Option Value US$/month",'NY Curve'!$A$4:$T$4,0)))</f>
        <v>13071.2277088327</v>
      </c>
      <c r="AE44" s="883" t="n">
        <f aca="false">AD44*K44</f>
        <v>18437.9511354641</v>
      </c>
      <c r="AF44" s="188"/>
      <c r="AG44" s="884"/>
      <c r="AH44" s="188"/>
      <c r="AI44" s="885" t="n">
        <f aca="false">Assumptions!$B$50</f>
        <v>65</v>
      </c>
      <c r="AJ44" s="916"/>
      <c r="AK44" s="887" t="n">
        <f aca="false">IF(Tables!$E$30="Custom",'Monthly Table'!AI44,IF(Tables!$E$30="New York",INDEX('NY Curve'!$A$4:$G$256,MATCH('Monthly Table'!B44,'NY Curve'!$A$4:$A$256,0),MATCH("Super Peak Curve",'NY Curve'!$A$4:$G$4,0)),IF(Tables!$E$30="New York Flat",INDEX('NY Curve'!$A$4:$G$256,MATCH('Monthly Table'!B44,'NY Curve'!$A$4:$A$256,0),MATCH("Flat NY West",'NY Curve'!$A$4:$G$4,0)),INDEX('Michigan Curve'!$A$4:$F$256,MATCH('Monthly Table'!B44,'Michigan Curve'!$A$4:$A$256,0),MATCH("Michigan Super Peak Curve US$/MWhr",'Michigan Curve'!$A$4:$F$4,0)))))</f>
        <v>24.5999946594238</v>
      </c>
      <c r="AL44" s="888" t="n">
        <f aca="false">IF(D44&lt;=Tables!$B$21,IF($AL$10=$AI$10,AI44,IF($AL$10=$AJ$10,AJ44,IF($AL$10=$AK$10,AK44,0))),0)</f>
        <v>24.5999946594238</v>
      </c>
      <c r="AM44" s="889" t="n">
        <f aca="false">+AL44*K44</f>
        <v>34.7001452018648</v>
      </c>
      <c r="AN44" s="890" t="n">
        <f aca="false">IF((AL44*K44)&gt;(CP44+$BF$4),1,0)</f>
        <v>0</v>
      </c>
      <c r="AO44" s="891"/>
      <c r="AP44" s="894"/>
      <c r="AQ44" s="892" t="n">
        <f aca="false">IF(Tables!$E$30="New York",INDEX('NY Curve'!$A$4:$L$256,MATCH('Monthly Table'!B44,'NY Curve'!$A$4:$A$256,0),MATCH("New York Shoulder Hour Curve Mon-Fri",'NY Curve'!$A$4:$L$4,0)),IF(Tables!$E$30="Michigan",INDEX('Michigan Curve'!$A$4:$K$256,MATCH('Monthly Table'!B44,'Michigan Curve'!$A$4:$A$256,0),MATCH("Michigan Shoulder Hour Curve Mon-Fri",'Michigan Curve'!$A$4:$K$4,0))))</f>
        <v>24.5999946594238</v>
      </c>
      <c r="AR44" s="889" t="n">
        <f aca="false">AQ44*K44</f>
        <v>34.7001452018648</v>
      </c>
      <c r="AS44" s="893" t="n">
        <f aca="false">IF(AR44&gt;($CP44+$BF$4),1,0)</f>
        <v>0</v>
      </c>
      <c r="AT44" s="188"/>
      <c r="AU44" s="892" t="n">
        <f aca="false">IF(Tables!$E$30="New York",INDEX('NY Curve'!$A$4:$L$256,MATCH('Monthly Table'!$B44,'NY Curve'!$A$4:$A$256,0),MATCH("New York Saturday Super Peak",'NY Curve'!$A$4:$L$4,0)),IF(Tables!$E$30="Michigan",INDEX('Michigan Curve'!$A$4:$K$256,MATCH('Monthly Table'!$B44,'Michigan Curve'!$A$4:$A$256,0),MATCH("Michigan Saturday Super Peak",'Michigan Curve'!$A$4:$K$4,0))))</f>
        <v>19.996000289917</v>
      </c>
      <c r="AV44" s="894" t="n">
        <f aca="false">AU44*K44</f>
        <v>28.2058643964316</v>
      </c>
      <c r="AW44" s="893" t="n">
        <f aca="false">IF(AV44&gt;($CP44+$BF$4),1,0)</f>
        <v>0</v>
      </c>
      <c r="AX44" s="892" t="n">
        <f aca="false">IF(Tables!$E$30="New York",INDEX('NY Curve'!$A$4:$L$256,MATCH('Monthly Table'!$B44,'NY Curve'!$A$4:$A$256,0),MATCH("New York Saturday Shoulder Peak",'NY Curve'!$A$4:$L$4,0)),IF(Tables!$E$30="Michigan",INDEX('Michigan Curve'!$A$4:$K$256,MATCH('Monthly Table'!$B44,'Michigan Curve'!$A$4:$A$256,0),MATCH("Michigan Saturday Shoulder Peak",'Michigan Curve'!$A$4:$K$4,0))))</f>
        <v>19.996000289917</v>
      </c>
      <c r="AY44" s="895" t="n">
        <f aca="false">AX44*K44</f>
        <v>28.2058643964316</v>
      </c>
      <c r="AZ44" s="893" t="n">
        <f aca="false">IF(AY44&gt;($CP44+$BF$4),1,0)</f>
        <v>0</v>
      </c>
      <c r="BA44" s="188"/>
      <c r="BB44" s="892" t="n">
        <f aca="false">IF(Tables!$E$30="New York",INDEX('NY Curve'!$A$4:$M$256,MATCH('Monthly Table'!$B44,'NY Curve'!$A$4:$A$256,0),MATCH("NY Sunday Super Peak",'NY Curve'!$A$4:$M$4,0)),IF(Tables!$E$30="Michigan",INDEX('Michigan Curve'!$A$4:$L$256,MATCH('Monthly Table'!$B44,'Michigan Curve'!$A$4:$A$256,0),MATCH("Michigan Sunday Super Peak",'Michigan Curve'!$A$4:$L$4,0))))</f>
        <v>18.9965000152588</v>
      </c>
      <c r="BC44" s="894" t="n">
        <f aca="false">BB44*K44</f>
        <v>26.7959939822258</v>
      </c>
      <c r="BD44" s="893" t="n">
        <f aca="false">IF(BC44&gt;($CP44+$BF$4),1,0)</f>
        <v>0</v>
      </c>
      <c r="BE44" s="188"/>
      <c r="BF44" s="896" t="n">
        <f aca="false">B44</f>
        <v>37895</v>
      </c>
      <c r="BG44" s="897" t="n">
        <f aca="false">IF($AN44=1,$E44*$BF$5,0)</f>
        <v>0</v>
      </c>
      <c r="BH44" s="897" t="n">
        <f aca="false">BG44</f>
        <v>0</v>
      </c>
      <c r="BI44" s="714" t="n">
        <f aca="false">IF($AN44=1,$E44*$BF$5,0)</f>
        <v>0</v>
      </c>
      <c r="BJ44" s="898" t="n">
        <f aca="false">IF('Monthly Table'!D44&lt;=Tables!$B$21,IF($BJ$10=$BG$10,BG44,IF($BJ$10=$BH$10,BH44,IF($BJ$10=$BI$10,BI44,0))),0)</f>
        <v>0</v>
      </c>
      <c r="BK44" s="288"/>
      <c r="BL44" s="898" t="n">
        <f aca="false">IF($AW44=1,$F44*$BF$5,0)</f>
        <v>0</v>
      </c>
      <c r="BM44" s="898" t="n">
        <f aca="false">IF($BD44=1,($G44+H44)*$BF$5,0)</f>
        <v>0</v>
      </c>
      <c r="BO44" s="898" t="n">
        <f aca="false">IF(AS44=1,BJ44,0)</f>
        <v>0</v>
      </c>
      <c r="BP44" s="898" t="n">
        <f aca="false">IF(AZ44=1,F44*$BF$5,0)</f>
        <v>0</v>
      </c>
      <c r="BR44" s="899" t="n">
        <f aca="false">IF(BJ44&gt;0,INDEX(OperationalDetail,MATCH("Capacity Degradation",ODColumn,0),MATCH('Monthly Table'!C44,ODRow,0)),0)</f>
        <v>0</v>
      </c>
      <c r="BS44" s="900" t="n">
        <f aca="false">BJ44*(1-BR44)*Tables!$C$10</f>
        <v>0</v>
      </c>
      <c r="BT44" s="883" t="n">
        <f aca="false">BS44*AL44/1000</f>
        <v>0</v>
      </c>
      <c r="BU44" s="883" t="n">
        <f aca="false">BT44*K44</f>
        <v>0</v>
      </c>
      <c r="BV44" s="188"/>
      <c r="BW44" s="901" t="n">
        <f aca="false">$BO44*(1-$BR44)*Tables!$C$36</f>
        <v>0</v>
      </c>
      <c r="BX44" s="902" t="n">
        <f aca="false">(BW44*AQ44)/1000</f>
        <v>0</v>
      </c>
      <c r="BY44" s="883" t="n">
        <f aca="false">BX44*K44</f>
        <v>0</v>
      </c>
      <c r="BZ44" s="188"/>
      <c r="CA44" s="901" t="n">
        <f aca="false">$BL44*(1-$BR44)*Tables!$C$36</f>
        <v>0</v>
      </c>
      <c r="CB44" s="902" t="n">
        <f aca="false">(CA44*AU44)/1000</f>
        <v>0</v>
      </c>
      <c r="CC44" s="883" t="n">
        <f aca="false">CB44*K44</f>
        <v>0</v>
      </c>
      <c r="CD44" s="901" t="n">
        <f aca="false">$BP44*(1-$BR44)*Tables!$C$36</f>
        <v>0</v>
      </c>
      <c r="CE44" s="902" t="n">
        <f aca="false">(CD44*AX44)/1000</f>
        <v>0</v>
      </c>
      <c r="CF44" s="883" t="n">
        <f aca="false">CE44*K44</f>
        <v>0</v>
      </c>
      <c r="CH44" s="901" t="n">
        <f aca="false">$BM44*(1-$BR44)*Tables!$C$36</f>
        <v>0</v>
      </c>
      <c r="CI44" s="902" t="n">
        <f aca="false">(CH44*BB44)/1000</f>
        <v>0</v>
      </c>
      <c r="CJ44" s="883" t="n">
        <f aca="false">CI44*K44</f>
        <v>0</v>
      </c>
      <c r="CK44" s="292"/>
      <c r="CL44" s="292" t="n">
        <f aca="false">C44-1</f>
        <v>2002</v>
      </c>
      <c r="CM44" s="903" t="n">
        <f aca="false">INDEX(OperationalDetail,MATCH("Degraded Heat Rate",ODColumn,0),MATCH('Monthly Table'!CL44,ODRow,0))/1000</f>
        <v>12.098736</v>
      </c>
      <c r="CN44" s="904" t="n">
        <f aca="false">S44*CM44</f>
        <v>52.3933666432235</v>
      </c>
      <c r="CO44" s="905" t="n">
        <f aca="false">IF(A44="January",(CO43*(1+Assumptions!$E$32)),CO43)</f>
        <v>7.00774425</v>
      </c>
      <c r="CP44" s="906" t="n">
        <f aca="false">CN44+CO44</f>
        <v>59.4011108932235</v>
      </c>
      <c r="CQ44" s="292"/>
      <c r="CR44" s="856" t="str">
        <f aca="false">IF(BJ44=0,"",C44)</f>
        <v/>
      </c>
      <c r="CS44" s="856" t="str">
        <f aca="false">IF(BO44=0,"",$C44)</f>
        <v/>
      </c>
      <c r="CT44" s="856" t="str">
        <f aca="false">IF(BL44=0,"",$C44)</f>
        <v/>
      </c>
      <c r="CU44" s="856" t="str">
        <f aca="false">IF(BP44=0,"",$C44)</f>
        <v/>
      </c>
      <c r="CV44" s="856" t="str">
        <f aca="false">IF(BD44=0,"",$C44)</f>
        <v/>
      </c>
      <c r="CW44" s="907" t="n">
        <f aca="false">YEAR(BF44)</f>
        <v>2003</v>
      </c>
      <c r="CX44" s="908" t="n">
        <f aca="false">INDEX('NY Curve'!$A$4:$G$256,MATCH('Monthly Table'!B44,'NY Curve'!$A$4:$A$256,0),MATCH("New York 5 X 16",'NY Curve'!$A$4:$G$4,0))</f>
        <v>25.4</v>
      </c>
      <c r="CY44" s="909" t="n">
        <f aca="false">K44</f>
        <v>1.41057531443698</v>
      </c>
      <c r="CZ44" s="910" t="n">
        <f aca="false">CX44*CY44</f>
        <v>35.8286129866993</v>
      </c>
      <c r="DB44" s="911"/>
      <c r="DC44" s="911"/>
    </row>
    <row r="45" customFormat="false" ht="18.75" hidden="false" customHeight="true" outlineLevel="0" collapsed="false">
      <c r="A45" s="49" t="s">
        <v>820</v>
      </c>
      <c r="B45" s="863" t="n">
        <v>37926</v>
      </c>
      <c r="C45" s="288" t="n">
        <f aca="false">YEAR(B45)</f>
        <v>2003</v>
      </c>
      <c r="D45" s="864" t="n">
        <f aca="false">IF(A45="January",D44+1,D44)</f>
        <v>3</v>
      </c>
      <c r="E45" s="865" t="n">
        <v>19</v>
      </c>
      <c r="F45" s="866" t="n">
        <v>5</v>
      </c>
      <c r="G45" s="866" t="n">
        <v>5</v>
      </c>
      <c r="H45" s="866" t="n">
        <v>1</v>
      </c>
      <c r="I45" s="867" t="n">
        <f aca="false">SUM(E45:H45)</f>
        <v>30</v>
      </c>
      <c r="J45" s="868"/>
      <c r="K45" s="869" t="n">
        <f aca="false">INDEX(FX!$A$3:$C$362,MATCH(B45,FX!$A$3:$A$362,0),MATCH("Monthly Curve",FX!$A$2:$C$2,0))</f>
        <v>1.40956971671875</v>
      </c>
      <c r="L45" s="869"/>
      <c r="M45" s="914" t="n">
        <v>2.8295</v>
      </c>
      <c r="N45" s="915" t="n">
        <v>0.22</v>
      </c>
      <c r="O45" s="714" t="n">
        <v>0.02</v>
      </c>
      <c r="P45" s="872" t="n">
        <f aca="false">N45+O45</f>
        <v>0.24</v>
      </c>
      <c r="Q45" s="873" t="n">
        <f aca="false">SUM(M45:O45)</f>
        <v>3.0695</v>
      </c>
      <c r="R45" s="874" t="n">
        <f aca="false">Assumptions!$B$34</f>
        <v>0.312458892307692</v>
      </c>
      <c r="S45" s="875" t="n">
        <f aca="false">(Q45*K45)+R45</f>
        <v>4.6391331377759</v>
      </c>
      <c r="T45" s="869"/>
      <c r="V45" s="876"/>
      <c r="W45" s="876"/>
      <c r="X45" s="971"/>
      <c r="Y45" s="878" t="n">
        <f aca="false">Assumptions!$B$7</f>
        <v>312</v>
      </c>
      <c r="Z45" s="879" t="n">
        <f aca="false">IF($Z$10=$V$10,V45,IF($Z$10=$W$10,W45,IF($Z$10=$X$10,X45,0)))</f>
        <v>0</v>
      </c>
      <c r="AA45" s="880" t="n">
        <f aca="false">Y45*Z45</f>
        <v>0</v>
      </c>
      <c r="AB45" s="881" t="n">
        <f aca="false">AA45*K45</f>
        <v>0</v>
      </c>
      <c r="AC45" s="188"/>
      <c r="AD45" s="882" t="n">
        <f aca="false">IF(Tables!$E$30="Michigan",INDEX('Michigan Curve'!$A$4:$S$256,MATCH('Monthly Table'!B45,'Michigan Curve'!$A$4:$A$256,0),MATCH("Michigan Selected Option Value US$/month",'Michigan Curve'!$A$4:$S$4,0)),INDEX('NY Curve'!$A$4:$T$256,MATCH('Monthly Table'!B45,'NY Curve'!$A$4:$A$256,0),MATCH("New York Selected Option Value US$/month",'NY Curve'!$A$4:$T$4,0)))</f>
        <v>19121.5934327669</v>
      </c>
      <c r="AE45" s="883" t="n">
        <f aca="false">AD45*K45</f>
        <v>26953.2190382364</v>
      </c>
      <c r="AF45" s="188"/>
      <c r="AG45" s="884"/>
      <c r="AH45" s="188"/>
      <c r="AI45" s="885" t="n">
        <f aca="false">Assumptions!$B$50</f>
        <v>65</v>
      </c>
      <c r="AJ45" s="916"/>
      <c r="AK45" s="887" t="n">
        <f aca="false">IF(Tables!$E$30="Custom",'Monthly Table'!AI45,IF(Tables!$E$30="New York",INDEX('NY Curve'!$A$4:$G$256,MATCH('Monthly Table'!B45,'NY Curve'!$A$4:$A$256,0),MATCH("Super Peak Curve",'NY Curve'!$A$4:$G$4,0)),IF(Tables!$E$30="New York Flat",INDEX('NY Curve'!$A$4:$G$256,MATCH('Monthly Table'!B45,'NY Curve'!$A$4:$A$256,0),MATCH("Flat NY West",'NY Curve'!$A$4:$G$4,0)),INDEX('Michigan Curve'!$A$4:$F$256,MATCH('Monthly Table'!B45,'Michigan Curve'!$A$4:$A$256,0),MATCH("Michigan Super Peak Curve US$/MWhr",'Michigan Curve'!$A$4:$F$4,0)))))</f>
        <v>26.4383953857422</v>
      </c>
      <c r="AL45" s="888" t="n">
        <f aca="false">IF(D45&lt;=Tables!$B$21,IF($AL$10=$AI$10,AI45,IF($AL$10=$AJ$10,AJ45,IF($AL$10=$AK$10,AK45,0))),0)</f>
        <v>26.4383953857422</v>
      </c>
      <c r="AM45" s="889" t="n">
        <f aca="false">+AL45*K45</f>
        <v>37.2667614943789</v>
      </c>
      <c r="AN45" s="890" t="n">
        <f aca="false">IF((AL45*K45)&gt;(CP45+$BF$4),1,0)</f>
        <v>0</v>
      </c>
      <c r="AO45" s="891"/>
      <c r="AP45" s="894"/>
      <c r="AQ45" s="892" t="n">
        <f aca="false">IF(Tables!$E$30="New York",INDEX('NY Curve'!$A$4:$L$256,MATCH('Monthly Table'!B45,'NY Curve'!$A$4:$A$256,0),MATCH("New York Shoulder Hour Curve Mon-Fri",'NY Curve'!$A$4:$L$4,0)),IF(Tables!$E$30="Michigan",INDEX('Michigan Curve'!$A$4:$K$256,MATCH('Monthly Table'!B45,'Michigan Curve'!$A$4:$A$256,0),MATCH("Michigan Shoulder Hour Curve Mon-Fri",'Michigan Curve'!$A$4:$K$4,0))))</f>
        <v>22.5215960693359</v>
      </c>
      <c r="AR45" s="889" t="n">
        <f aca="false">AQ45*K45</f>
        <v>31.745759791508</v>
      </c>
      <c r="AS45" s="893" t="n">
        <f aca="false">IF(AR45&gt;($CP45+$BF$4),1,0)</f>
        <v>0</v>
      </c>
      <c r="AT45" s="188"/>
      <c r="AU45" s="892" t="n">
        <f aca="false">IF(Tables!$E$30="New York",INDEX('NY Curve'!$A$4:$L$256,MATCH('Monthly Table'!$B45,'NY Curve'!$A$4:$A$256,0),MATCH("New York Saturday Super Peak",'NY Curve'!$A$4:$L$4,0)),IF(Tables!$E$30="Michigan",INDEX('Michigan Curve'!$A$4:$K$256,MATCH('Monthly Table'!$B45,'Michigan Curve'!$A$4:$A$256,0),MATCH("Michigan Saturday Super Peak",'Michigan Curve'!$A$4:$K$4,0))))</f>
        <v>21.6</v>
      </c>
      <c r="AV45" s="894" t="n">
        <f aca="false">AU45*K45</f>
        <v>30.446705881125</v>
      </c>
      <c r="AW45" s="893" t="n">
        <f aca="false">IF(AV45&gt;($CP45+$BF$4),1,0)</f>
        <v>0</v>
      </c>
      <c r="AX45" s="892" t="n">
        <f aca="false">IF(Tables!$E$30="New York",INDEX('NY Curve'!$A$4:$L$256,MATCH('Monthly Table'!$B45,'NY Curve'!$A$4:$A$256,0),MATCH("New York Saturday Shoulder Peak",'NY Curve'!$A$4:$L$4,0)),IF(Tables!$E$30="Michigan",INDEX('Michigan Curve'!$A$4:$K$256,MATCH('Monthly Table'!$B45,'Michigan Curve'!$A$4:$A$256,0),MATCH("Michigan Saturday Shoulder Peak",'Michigan Curve'!$A$4:$K$4,0))))</f>
        <v>18.4</v>
      </c>
      <c r="AY45" s="895" t="n">
        <f aca="false">AX45*K45</f>
        <v>25.936082787625</v>
      </c>
      <c r="AZ45" s="893" t="n">
        <f aca="false">IF(AY45&gt;($CP45+$BF$4),1,0)</f>
        <v>0</v>
      </c>
      <c r="BA45" s="188"/>
      <c r="BB45" s="892" t="n">
        <f aca="false">IF(Tables!$E$30="New York",INDEX('NY Curve'!$A$4:$M$256,MATCH('Monthly Table'!$B45,'NY Curve'!$A$4:$A$256,0),MATCH("NY Sunday Super Peak",'NY Curve'!$A$4:$M$4,0)),IF(Tables!$E$30="Michigan",INDEX('Michigan Curve'!$A$4:$L$256,MATCH('Monthly Table'!$B45,'Michigan Curve'!$A$4:$A$256,0),MATCH("Michigan Sunday Super Peak",'Michigan Curve'!$A$4:$L$4,0))))</f>
        <v>20.52</v>
      </c>
      <c r="BC45" s="894" t="n">
        <f aca="false">BB45*K45</f>
        <v>28.9243705870688</v>
      </c>
      <c r="BD45" s="893" t="n">
        <f aca="false">IF(BC45&gt;($CP45+$BF$4),1,0)</f>
        <v>0</v>
      </c>
      <c r="BE45" s="188"/>
      <c r="BF45" s="896" t="n">
        <f aca="false">B45</f>
        <v>37926</v>
      </c>
      <c r="BG45" s="897" t="n">
        <f aca="false">IF($AN45=1,$E45*$BF$5,0)</f>
        <v>0</v>
      </c>
      <c r="BH45" s="897" t="n">
        <f aca="false">BG45</f>
        <v>0</v>
      </c>
      <c r="BI45" s="714" t="n">
        <f aca="false">IF($AN45=1,$E45*$BF$5,0)</f>
        <v>0</v>
      </c>
      <c r="BJ45" s="898" t="n">
        <f aca="false">IF('Monthly Table'!D45&lt;=Tables!$B$21,IF($BJ$10=$BG$10,BG45,IF($BJ$10=$BH$10,BH45,IF($BJ$10=$BI$10,BI45,0))),0)</f>
        <v>0</v>
      </c>
      <c r="BK45" s="288"/>
      <c r="BL45" s="898" t="n">
        <f aca="false">IF($AW45=1,$F45*$BF$5,0)</f>
        <v>0</v>
      </c>
      <c r="BM45" s="898" t="n">
        <f aca="false">IF($BD45=1,($G45+H45)*$BF$5,0)</f>
        <v>0</v>
      </c>
      <c r="BO45" s="898" t="n">
        <f aca="false">IF(AS45=1,BJ45,0)</f>
        <v>0</v>
      </c>
      <c r="BP45" s="898" t="n">
        <f aca="false">IF(AZ45=1,F45*$BF$5,0)</f>
        <v>0</v>
      </c>
      <c r="BR45" s="899" t="n">
        <f aca="false">IF(BJ45&gt;0,INDEX(OperationalDetail,MATCH("Capacity Degradation",ODColumn,0),MATCH('Monthly Table'!C45,ODRow,0)),0)</f>
        <v>0</v>
      </c>
      <c r="BS45" s="900" t="n">
        <f aca="false">BJ45*(1-BR45)*Tables!$C$10</f>
        <v>0</v>
      </c>
      <c r="BT45" s="883" t="n">
        <f aca="false">BS45*AL45/1000</f>
        <v>0</v>
      </c>
      <c r="BU45" s="883" t="n">
        <f aca="false">BT45*K45</f>
        <v>0</v>
      </c>
      <c r="BV45" s="188"/>
      <c r="BW45" s="901" t="n">
        <f aca="false">$BO45*(1-$BR45)*Tables!$C$36</f>
        <v>0</v>
      </c>
      <c r="BX45" s="902" t="n">
        <f aca="false">(BW45*AQ45)/1000</f>
        <v>0</v>
      </c>
      <c r="BY45" s="883" t="n">
        <f aca="false">BX45*K45</f>
        <v>0</v>
      </c>
      <c r="BZ45" s="188"/>
      <c r="CA45" s="901" t="n">
        <f aca="false">$BL45*(1-$BR45)*Tables!$C$36</f>
        <v>0</v>
      </c>
      <c r="CB45" s="902" t="n">
        <f aca="false">(CA45*AU45)/1000</f>
        <v>0</v>
      </c>
      <c r="CC45" s="883" t="n">
        <f aca="false">CB45*K45</f>
        <v>0</v>
      </c>
      <c r="CD45" s="901" t="n">
        <f aca="false">$BP45*(1-$BR45)*Tables!$C$36</f>
        <v>0</v>
      </c>
      <c r="CE45" s="902" t="n">
        <f aca="false">(CD45*AX45)/1000</f>
        <v>0</v>
      </c>
      <c r="CF45" s="883" t="n">
        <f aca="false">CE45*K45</f>
        <v>0</v>
      </c>
      <c r="CH45" s="901" t="n">
        <f aca="false">$BM45*(1-$BR45)*Tables!$C$36</f>
        <v>0</v>
      </c>
      <c r="CI45" s="902" t="n">
        <f aca="false">(CH45*BB45)/1000</f>
        <v>0</v>
      </c>
      <c r="CJ45" s="883" t="n">
        <f aca="false">CI45*K45</f>
        <v>0</v>
      </c>
      <c r="CK45" s="292"/>
      <c r="CL45" s="292" t="n">
        <f aca="false">C45-1</f>
        <v>2002</v>
      </c>
      <c r="CM45" s="903" t="n">
        <f aca="false">INDEX(OperationalDetail,MATCH("Degraded Heat Rate",ODColumn,0),MATCH('Monthly Table'!CL45,ODRow,0))/1000</f>
        <v>12.098736</v>
      </c>
      <c r="CN45" s="904" t="n">
        <f aca="false">S45*CM45</f>
        <v>56.1276471028022</v>
      </c>
      <c r="CO45" s="905" t="n">
        <f aca="false">IF(A45="January",(CO44*(1+Assumptions!$E$32)),CO44)</f>
        <v>7.00774425</v>
      </c>
      <c r="CP45" s="906" t="n">
        <f aca="false">CN45+CO45</f>
        <v>63.1353913528022</v>
      </c>
      <c r="CQ45" s="292"/>
      <c r="CR45" s="856" t="str">
        <f aca="false">IF(BJ45=0,"",C45)</f>
        <v/>
      </c>
      <c r="CS45" s="856" t="str">
        <f aca="false">IF(BO45=0,"",$C45)</f>
        <v/>
      </c>
      <c r="CT45" s="856" t="str">
        <f aca="false">IF(BL45=0,"",$C45)</f>
        <v/>
      </c>
      <c r="CU45" s="856" t="str">
        <f aca="false">IF(BP45=0,"",$C45)</f>
        <v/>
      </c>
      <c r="CV45" s="856" t="str">
        <f aca="false">IF(BD45=0,"",$C45)</f>
        <v/>
      </c>
      <c r="CW45" s="907" t="n">
        <f aca="false">YEAR(BF45)</f>
        <v>2003</v>
      </c>
      <c r="CX45" s="908" t="n">
        <f aca="false">INDEX('NY Curve'!$A$4:$G$256,MATCH('Monthly Table'!B45,'NY Curve'!$A$4:$A$256,0),MATCH("New York 5 X 16",'NY Curve'!$A$4:$G$4,0))</f>
        <v>25.9</v>
      </c>
      <c r="CY45" s="909" t="n">
        <f aca="false">K45</f>
        <v>1.40956971671875</v>
      </c>
      <c r="CZ45" s="910" t="n">
        <f aca="false">CX45*CY45</f>
        <v>36.5078556630156</v>
      </c>
      <c r="DB45" s="911"/>
      <c r="DC45" s="911"/>
    </row>
    <row r="46" customFormat="false" ht="18.75" hidden="false" customHeight="true" outlineLevel="0" collapsed="false">
      <c r="A46" s="110" t="s">
        <v>821</v>
      </c>
      <c r="B46" s="918" t="n">
        <v>37956</v>
      </c>
      <c r="C46" s="917" t="n">
        <f aca="false">YEAR(B46)</f>
        <v>2003</v>
      </c>
      <c r="D46" s="919" t="n">
        <f aca="false">IF(A46="January",D45+1,D45)</f>
        <v>3</v>
      </c>
      <c r="E46" s="865" t="n">
        <v>22</v>
      </c>
      <c r="F46" s="866" t="n">
        <v>4</v>
      </c>
      <c r="G46" s="866" t="n">
        <v>4</v>
      </c>
      <c r="H46" s="866" t="n">
        <v>1</v>
      </c>
      <c r="I46" s="867" t="n">
        <f aca="false">SUM(E46:H46)</f>
        <v>31</v>
      </c>
      <c r="J46" s="923"/>
      <c r="K46" s="924" t="n">
        <f aca="false">INDEX(FX!$A$3:$C$362,MATCH(B46,FX!$A$3:$A$362,0),MATCH("Monthly Curve",FX!$A$2:$C$2,0))</f>
        <v>1.40859728062009</v>
      </c>
      <c r="L46" s="924"/>
      <c r="M46" s="925" t="n">
        <v>2.9555</v>
      </c>
      <c r="N46" s="926" t="n">
        <v>0.26</v>
      </c>
      <c r="O46" s="927" t="n">
        <v>0.02</v>
      </c>
      <c r="P46" s="928" t="n">
        <f aca="false">N46+O46</f>
        <v>0.28</v>
      </c>
      <c r="Q46" s="929" t="n">
        <f aca="false">SUM(M46:O46)</f>
        <v>3.2355</v>
      </c>
      <c r="R46" s="930" t="n">
        <f aca="false">Assumptions!$B$34</f>
        <v>0.312458892307692</v>
      </c>
      <c r="S46" s="931" t="n">
        <f aca="false">(Q46*K46)+R46</f>
        <v>4.86997539375399</v>
      </c>
      <c r="T46" s="924"/>
      <c r="U46" s="917"/>
      <c r="V46" s="932"/>
      <c r="W46" s="932"/>
      <c r="X46" s="972"/>
      <c r="Y46" s="934" t="n">
        <f aca="false">Assumptions!$B$7</f>
        <v>312</v>
      </c>
      <c r="Z46" s="935" t="n">
        <f aca="false">IF($Z$10=$V$10,V46,IF($Z$10=$W$10,W46,IF($Z$10=$X$10,X46,0)))</f>
        <v>0</v>
      </c>
      <c r="AA46" s="936" t="n">
        <f aca="false">Y46*Z46</f>
        <v>0</v>
      </c>
      <c r="AB46" s="937" t="n">
        <f aca="false">AA46*K46</f>
        <v>0</v>
      </c>
      <c r="AC46" s="938"/>
      <c r="AD46" s="882" t="n">
        <f aca="false">IF(Tables!$E$30="Michigan",INDEX('Michigan Curve'!$A$4:$S$256,MATCH('Monthly Table'!B46,'Michigan Curve'!$A$4:$A$256,0),MATCH("Michigan Selected Option Value US$/month",'Michigan Curve'!$A$4:$S$4,0)),INDEX('NY Curve'!$A$4:$T$256,MATCH('Monthly Table'!B46,'NY Curve'!$A$4:$A$256,0),MATCH("New York Selected Option Value US$/month",'NY Curve'!$A$4:$T$4,0)))</f>
        <v>10402.1344804403</v>
      </c>
      <c r="AE46" s="883" t="n">
        <f aca="false">AD46*K46</f>
        <v>14652.4183417927</v>
      </c>
      <c r="AF46" s="938"/>
      <c r="AG46" s="939"/>
      <c r="AH46" s="938"/>
      <c r="AI46" s="885" t="n">
        <f aca="false">Assumptions!$B$50</f>
        <v>65</v>
      </c>
      <c r="AJ46" s="940"/>
      <c r="AK46" s="887" t="n">
        <f aca="false">IF(Tables!$E$30="Custom",'Monthly Table'!AI46,IF(Tables!$E$30="New York",INDEX('NY Curve'!$A$4:$G$256,MATCH('Monthly Table'!B46,'NY Curve'!$A$4:$A$256,0),MATCH("Super Peak Curve",'NY Curve'!$A$4:$G$4,0)),IF(Tables!$E$30="New York Flat",INDEX('NY Curve'!$A$4:$G$256,MATCH('Monthly Table'!B46,'NY Curve'!$A$4:$A$256,0),MATCH("Flat NY West",'NY Curve'!$A$4:$G$4,0)),INDEX('Michigan Curve'!$A$4:$F$256,MATCH('Monthly Table'!B46,'Michigan Curve'!$A$4:$A$256,0),MATCH("Michigan Super Peak Curve US$/MWhr",'Michigan Curve'!$A$4:$F$4,0)))))</f>
        <v>25.4489949417114</v>
      </c>
      <c r="AL46" s="941" t="n">
        <f aca="false">IF(D46&lt;=Tables!$B$21,IF($AL$10=$AI$10,AI46,IF($AL$10=$AJ$10,AJ46,IF($AL$10=$AK$10,AK46,0))),0)</f>
        <v>25.4489949417114</v>
      </c>
      <c r="AM46" s="942" t="n">
        <f aca="false">+AL46*K46</f>
        <v>35.8473850694091</v>
      </c>
      <c r="AN46" s="943" t="n">
        <f aca="false">IF((AL46*K46)&gt;(CP46+$BF$4),1,0)</f>
        <v>0</v>
      </c>
      <c r="AO46" s="944"/>
      <c r="AP46" s="894"/>
      <c r="AQ46" s="892" t="n">
        <f aca="false">IF(Tables!$E$30="New York",INDEX('NY Curve'!$A$4:$L$256,MATCH('Monthly Table'!B46,'NY Curve'!$A$4:$A$256,0),MATCH("New York Shoulder Hour Curve Mon-Fri",'NY Curve'!$A$4:$L$4,0)),IF(Tables!$E$30="Michigan",INDEX('Michigan Curve'!$A$4:$K$256,MATCH('Monthly Table'!B46,'Michigan Curve'!$A$4:$A$256,0),MATCH("Michigan Shoulder Hour Curve Mon-Fri",'Michigan Curve'!$A$4:$K$4,0))))</f>
        <v>24.4509951400757</v>
      </c>
      <c r="AR46" s="889" t="n">
        <f aca="false">AQ46*K46</f>
        <v>34.4416052627656</v>
      </c>
      <c r="AS46" s="893" t="n">
        <f aca="false">IF(AR46&gt;($CP46+$BF$4),1,0)</f>
        <v>0</v>
      </c>
      <c r="AT46" s="938"/>
      <c r="AU46" s="892" t="n">
        <f aca="false">IF(Tables!$E$30="New York",INDEX('NY Curve'!$A$4:$L$256,MATCH('Monthly Table'!$B46,'NY Curve'!$A$4:$A$256,0),MATCH("New York Saturday Super Peak",'NY Curve'!$A$4:$L$4,0)),IF(Tables!$E$30="Michigan",INDEX('Michigan Curve'!$A$4:$K$256,MATCH('Monthly Table'!$B46,'Michigan Curve'!$A$4:$A$256,0),MATCH("Michigan Saturday Super Peak",'Michigan Curve'!$A$4:$K$4,0))))</f>
        <v>20.4</v>
      </c>
      <c r="AV46" s="894" t="n">
        <f aca="false">AU46*K46</f>
        <v>28.7353845246498</v>
      </c>
      <c r="AW46" s="893" t="n">
        <f aca="false">IF(AV46&gt;($CP46+$BF$4),1,0)</f>
        <v>0</v>
      </c>
      <c r="AX46" s="892" t="n">
        <f aca="false">IF(Tables!$E$30="New York",INDEX('NY Curve'!$A$4:$L$256,MATCH('Monthly Table'!$B46,'NY Curve'!$A$4:$A$256,0),MATCH("New York Saturday Shoulder Peak",'NY Curve'!$A$4:$L$4,0)),IF(Tables!$E$30="Michigan",INDEX('Michigan Curve'!$A$4:$K$256,MATCH('Monthly Table'!$B46,'Michigan Curve'!$A$4:$A$256,0),MATCH("Michigan Saturday Shoulder Peak",'Michigan Curve'!$A$4:$K$4,0))))</f>
        <v>19.6</v>
      </c>
      <c r="AY46" s="895" t="n">
        <f aca="false">AX46*K46</f>
        <v>27.6085067001538</v>
      </c>
      <c r="AZ46" s="893" t="n">
        <f aca="false">IF(AY46&gt;($CP46+$BF$4),1,0)</f>
        <v>0</v>
      </c>
      <c r="BA46" s="938"/>
      <c r="BB46" s="892" t="n">
        <f aca="false">IF(Tables!$E$30="New York",INDEX('NY Curve'!$A$4:$M$256,MATCH('Monthly Table'!$B46,'NY Curve'!$A$4:$A$256,0),MATCH("NY Sunday Super Peak",'NY Curve'!$A$4:$M$4,0)),IF(Tables!$E$30="Michigan",INDEX('Michigan Curve'!$A$4:$L$256,MATCH('Monthly Table'!$B46,'Michigan Curve'!$A$4:$A$256,0),MATCH("Michigan Sunday Super Peak",'Michigan Curve'!$A$4:$L$4,0))))</f>
        <v>19.38</v>
      </c>
      <c r="BC46" s="894" t="n">
        <f aca="false">BB46*K46</f>
        <v>27.2986152984173</v>
      </c>
      <c r="BD46" s="893" t="n">
        <f aca="false">IF(BC46&gt;($CP46+$BF$4),1,0)</f>
        <v>0</v>
      </c>
      <c r="BE46" s="938"/>
      <c r="BF46" s="948" t="n">
        <f aca="false">B46</f>
        <v>37956</v>
      </c>
      <c r="BG46" s="897" t="n">
        <f aca="false">IF($AN46=1,$E46*$BF$5,0)</f>
        <v>0</v>
      </c>
      <c r="BH46" s="949" t="n">
        <f aca="false">BG46</f>
        <v>0</v>
      </c>
      <c r="BI46" s="714" t="n">
        <f aca="false">IF($AN46=1,$E46*$BF$5,0)</f>
        <v>0</v>
      </c>
      <c r="BJ46" s="950" t="n">
        <f aca="false">IF('Monthly Table'!D46&lt;=Tables!$B$21,IF($BJ$10=$BG$10,BG46,IF($BJ$10=$BH$10,BH46,IF($BJ$10=$BI$10,BI46,0))),0)</f>
        <v>0</v>
      </c>
      <c r="BK46" s="288"/>
      <c r="BL46" s="898" t="n">
        <f aca="false">IF($AW46=1,$F46*$BF$5,0)</f>
        <v>0</v>
      </c>
      <c r="BM46" s="898" t="n">
        <f aca="false">IF($BD46=1,($G46+H46)*$BF$5,0)</f>
        <v>0</v>
      </c>
      <c r="BO46" s="898" t="n">
        <f aca="false">IF(AS46=1,BJ46,0)</f>
        <v>0</v>
      </c>
      <c r="BP46" s="898" t="n">
        <f aca="false">IF(AZ46=1,F46*$BF$5,0)</f>
        <v>0</v>
      </c>
      <c r="BR46" s="951" t="n">
        <f aca="false">IF(BJ46&gt;0,INDEX(OperationalDetail,MATCH("Capacity Degradation",ODColumn,0),MATCH('Monthly Table'!C46,ODRow,0)),0)</f>
        <v>0</v>
      </c>
      <c r="BS46" s="952" t="n">
        <f aca="false">BJ46*(1-BR46)*Tables!$C$10</f>
        <v>0</v>
      </c>
      <c r="BT46" s="953" t="n">
        <f aca="false">BS46*AL46/1000</f>
        <v>0</v>
      </c>
      <c r="BU46" s="953" t="n">
        <f aca="false">BT46*K46</f>
        <v>0</v>
      </c>
      <c r="BV46" s="188"/>
      <c r="BW46" s="901" t="n">
        <f aca="false">$BO46*(1-$BR46)*Tables!$C$36</f>
        <v>0</v>
      </c>
      <c r="BX46" s="902" t="n">
        <f aca="false">(BW46*AQ46)/1000</f>
        <v>0</v>
      </c>
      <c r="BY46" s="883" t="n">
        <f aca="false">BX46*K46</f>
        <v>0</v>
      </c>
      <c r="BZ46" s="938"/>
      <c r="CA46" s="901" t="n">
        <f aca="false">$BL46*(1-$BR46)*Tables!$C$36</f>
        <v>0</v>
      </c>
      <c r="CB46" s="902" t="n">
        <f aca="false">(CA46*AU46)/1000</f>
        <v>0</v>
      </c>
      <c r="CC46" s="883" t="n">
        <f aca="false">CB46*K46</f>
        <v>0</v>
      </c>
      <c r="CD46" s="901" t="n">
        <f aca="false">$BP46*(1-$BR46)*Tables!$C$36</f>
        <v>0</v>
      </c>
      <c r="CE46" s="902" t="n">
        <f aca="false">(CD46*AX46)/1000</f>
        <v>0</v>
      </c>
      <c r="CF46" s="883" t="n">
        <f aca="false">CE46*K46</f>
        <v>0</v>
      </c>
      <c r="CG46" s="110"/>
      <c r="CH46" s="901" t="n">
        <f aca="false">$BM46*(1-$BR46)*Tables!$C$36</f>
        <v>0</v>
      </c>
      <c r="CI46" s="902" t="n">
        <f aca="false">(CH46*BB46)/1000</f>
        <v>0</v>
      </c>
      <c r="CJ46" s="883" t="n">
        <f aca="false">CI46*K46</f>
        <v>0</v>
      </c>
      <c r="CK46" s="956"/>
      <c r="CL46" s="292" t="n">
        <f aca="false">C46-1</f>
        <v>2002</v>
      </c>
      <c r="CM46" s="903" t="n">
        <f aca="false">INDEX(OperationalDetail,MATCH("Degraded Heat Rate",ODColumn,0),MATCH('Monthly Table'!CL46,ODRow,0))/1000</f>
        <v>12.098736</v>
      </c>
      <c r="CN46" s="958" t="n">
        <f aca="false">S46*CM46</f>
        <v>58.9205466155256</v>
      </c>
      <c r="CO46" s="959" t="n">
        <f aca="false">IF(A46="January",(CO45*(1+Assumptions!$E$32)),CO45)</f>
        <v>7.00774425</v>
      </c>
      <c r="CP46" s="960" t="n">
        <f aca="false">CN46+CO46</f>
        <v>65.9282908655256</v>
      </c>
      <c r="CQ46" s="956"/>
      <c r="CR46" s="961" t="str">
        <f aca="false">IF(BJ46=0,"",C46)</f>
        <v/>
      </c>
      <c r="CS46" s="856" t="str">
        <f aca="false">IF(BO46=0,"",$C46)</f>
        <v/>
      </c>
      <c r="CT46" s="856" t="str">
        <f aca="false">IF(BL46=0,"",$C46)</f>
        <v/>
      </c>
      <c r="CU46" s="856" t="str">
        <f aca="false">IF(BP46=0,"",$C46)</f>
        <v/>
      </c>
      <c r="CV46" s="856" t="str">
        <f aca="false">IF(BD46=0,"",$C46)</f>
        <v/>
      </c>
      <c r="CW46" s="962" t="n">
        <f aca="false">YEAR(BF46)</f>
        <v>2003</v>
      </c>
      <c r="CX46" s="963" t="n">
        <f aca="false">INDEX('NY Curve'!$A$4:$G$256,MATCH('Monthly Table'!B46,'NY Curve'!$A$4:$A$256,0),MATCH("New York 5 X 16",'NY Curve'!$A$4:$G$4,0))</f>
        <v>26.4</v>
      </c>
      <c r="CY46" s="964" t="n">
        <f aca="false">K46</f>
        <v>1.40859728062009</v>
      </c>
      <c r="CZ46" s="965" t="n">
        <f aca="false">CX46*CY46</f>
        <v>37.1869682083704</v>
      </c>
      <c r="DA46" s="110"/>
      <c r="DB46" s="966"/>
      <c r="DC46" s="966"/>
      <c r="DD46" s="110"/>
      <c r="DE46" s="110"/>
      <c r="DF46" s="110"/>
      <c r="DG46" s="110"/>
      <c r="DH46" s="110"/>
    </row>
    <row r="47" customFormat="false" ht="18.75" hidden="false" customHeight="true" outlineLevel="0" collapsed="false">
      <c r="A47" s="49" t="s">
        <v>810</v>
      </c>
      <c r="B47" s="863" t="n">
        <v>37987</v>
      </c>
      <c r="C47" s="288" t="n">
        <f aca="false">YEAR(B47)</f>
        <v>2004</v>
      </c>
      <c r="D47" s="864" t="n">
        <f aca="false">IF(A47="January",D46+1,D46)</f>
        <v>4</v>
      </c>
      <c r="E47" s="865" t="n">
        <v>21</v>
      </c>
      <c r="F47" s="866" t="n">
        <v>5</v>
      </c>
      <c r="G47" s="866" t="n">
        <v>4</v>
      </c>
      <c r="H47" s="866" t="n">
        <v>1</v>
      </c>
      <c r="I47" s="867" t="n">
        <f aca="false">SUM(E47:H47)</f>
        <v>31</v>
      </c>
      <c r="J47" s="868"/>
      <c r="K47" s="869" t="n">
        <f aca="false">INDEX(FX!$A$3:$C$362,MATCH(B47,FX!$A$3:$A$362,0),MATCH("Monthly Curve",FX!$A$2:$C$2,0))</f>
        <v>1.40756860158374</v>
      </c>
      <c r="L47" s="869"/>
      <c r="M47" s="914" t="n">
        <v>2.996</v>
      </c>
      <c r="N47" s="915" t="n">
        <v>0.27</v>
      </c>
      <c r="O47" s="714" t="n">
        <v>0.05</v>
      </c>
      <c r="P47" s="872" t="n">
        <f aca="false">N47+O47</f>
        <v>0.32</v>
      </c>
      <c r="Q47" s="873" t="n">
        <f aca="false">SUM(M47:O47)</f>
        <v>3.316</v>
      </c>
      <c r="R47" s="974" t="n">
        <f aca="false">IF(A47="January",(R46+R46*Assumptions!$E$32),R46)</f>
        <v>0.318708070153846</v>
      </c>
      <c r="S47" s="875" t="n">
        <f aca="false">(Q47*K47)+R47</f>
        <v>4.98620555300553</v>
      </c>
      <c r="T47" s="869"/>
      <c r="V47" s="876"/>
      <c r="W47" s="876"/>
      <c r="X47" s="971"/>
      <c r="Y47" s="975" t="n">
        <f aca="false">Tables!$D$36</f>
        <v>312</v>
      </c>
      <c r="Z47" s="879" t="n">
        <f aca="false">IF($Z$10=$V$10,V47,IF($Z$10=$W$10,W47,IF($Z$10=$X$10,X47,0)))</f>
        <v>0</v>
      </c>
      <c r="AA47" s="880" t="n">
        <f aca="false">Y47*Z47</f>
        <v>0</v>
      </c>
      <c r="AB47" s="881" t="n">
        <f aca="false">AA47*K47</f>
        <v>0</v>
      </c>
      <c r="AC47" s="188"/>
      <c r="AD47" s="882" t="n">
        <f aca="false">IF(Tables!$E$30="Michigan",INDEX('Michigan Curve'!$A$4:$S$256,MATCH('Monthly Table'!B47,'Michigan Curve'!$A$4:$A$256,0),MATCH("Michigan Selected Option Value US$/month",'Michigan Curve'!$A$4:$S$4,0)),INDEX('NY Curve'!$A$4:$T$256,MATCH('Monthly Table'!B47,'NY Curve'!$A$4:$A$256,0),MATCH("New York Selected Option Value US$/month",'NY Curve'!$A$4:$T$4,0)))</f>
        <v>66869.4271710685</v>
      </c>
      <c r="AE47" s="883" t="n">
        <f aca="false">AD47*K47</f>
        <v>94123.3060918866</v>
      </c>
      <c r="AF47" s="188"/>
      <c r="AG47" s="884"/>
      <c r="AH47" s="188"/>
      <c r="AI47" s="885" t="n">
        <f aca="false">Assumptions!$B$50</f>
        <v>65</v>
      </c>
      <c r="AJ47" s="916"/>
      <c r="AK47" s="887" t="n">
        <f aca="false">IF(Tables!$E$30="Custom",'Monthly Table'!AI47,IF(Tables!$E$30="New York",INDEX('NY Curve'!$A$4:$G$256,MATCH('Monthly Table'!B47,'NY Curve'!$A$4:$A$256,0),MATCH("Super Peak Curve",'NY Curve'!$A$4:$G$4,0)),IF(Tables!$E$30="New York Flat",INDEX('NY Curve'!$A$4:$G$256,MATCH('Monthly Table'!B47,'NY Curve'!$A$4:$A$256,0),MATCH("Flat NY West",'NY Curve'!$A$4:$G$4,0)),INDEX('Michigan Curve'!$A$4:$F$256,MATCH('Monthly Table'!B47,'Michigan Curve'!$A$4:$A$256,0),MATCH("Michigan Super Peak Curve US$/MWhr",'Michigan Curve'!$A$4:$F$4,0)))))</f>
        <v>30.8040003890991</v>
      </c>
      <c r="AL47" s="888" t="n">
        <f aca="false">IF(D47&lt;=Tables!$B$21,IF($AL$10=$AI$10,AI47,IF($AL$10=$AJ$10,AJ47,IF($AL$10=$AK$10,AK47,0))),0)</f>
        <v>30.8040003890991</v>
      </c>
      <c r="AM47" s="889" t="n">
        <f aca="false">+AL47*K47</f>
        <v>43.3587437508692</v>
      </c>
      <c r="AN47" s="890" t="n">
        <f aca="false">IF((AL47*K47)&gt;(CP47+$BF$4),1,0)</f>
        <v>0</v>
      </c>
      <c r="AO47" s="891"/>
      <c r="AP47" s="894"/>
      <c r="AQ47" s="892" t="n">
        <f aca="false">IF(Tables!$E$30="New York",INDEX('NY Curve'!$A$4:$L$256,MATCH('Monthly Table'!B47,'NY Curve'!$A$4:$A$256,0),MATCH("New York Shoulder Hour Curve Mon-Fri",'NY Curve'!$A$4:$L$4,0)),IF(Tables!$E$30="Michigan",INDEX('Michigan Curve'!$A$4:$K$256,MATCH('Monthly Table'!B47,'Michigan Curve'!$A$4:$A$256,0),MATCH("Michigan Shoulder Hour Curve Mon-Fri",'Michigan Curve'!$A$4:$K$4,0))))</f>
        <v>29.5960003738403</v>
      </c>
      <c r="AR47" s="889" t="n">
        <f aca="false">AQ47*K47</f>
        <v>41.6584008586783</v>
      </c>
      <c r="AS47" s="893" t="n">
        <f aca="false">IF(AR47&gt;($CP47+$BF$4),1,0)</f>
        <v>0</v>
      </c>
      <c r="AT47" s="188"/>
      <c r="AU47" s="892" t="n">
        <f aca="false">IF(Tables!$E$30="New York",INDEX('NY Curve'!$A$4:$L$256,MATCH('Monthly Table'!$B47,'NY Curve'!$A$4:$A$256,0),MATCH("New York Saturday Super Peak",'NY Curve'!$A$4:$L$4,0)),IF(Tables!$E$30="Michigan",INDEX('Michigan Curve'!$A$4:$K$256,MATCH('Monthly Table'!$B47,'Michigan Curve'!$A$4:$A$256,0),MATCH("Michigan Saturday Super Peak",'Michigan Curve'!$A$4:$K$4,0))))</f>
        <v>22.44</v>
      </c>
      <c r="AV47" s="894" t="n">
        <f aca="false">AU47*K47</f>
        <v>31.5858394195391</v>
      </c>
      <c r="AW47" s="893" t="n">
        <f aca="false">IF(AV47&gt;($CP47+$BF$4),1,0)</f>
        <v>0</v>
      </c>
      <c r="AX47" s="892" t="n">
        <f aca="false">IF(Tables!$E$30="New York",INDEX('NY Curve'!$A$4:$L$256,MATCH('Monthly Table'!$B47,'NY Curve'!$A$4:$A$256,0),MATCH("New York Saturday Shoulder Peak",'NY Curve'!$A$4:$L$4,0)),IF(Tables!$E$30="Michigan",INDEX('Michigan Curve'!$A$4:$K$256,MATCH('Monthly Table'!$B47,'Michigan Curve'!$A$4:$A$256,0),MATCH("Michigan Saturday Shoulder Peak",'Michigan Curve'!$A$4:$K$4,0))))</f>
        <v>21.56</v>
      </c>
      <c r="AY47" s="895" t="n">
        <f aca="false">AX47*K47</f>
        <v>30.3471790501454</v>
      </c>
      <c r="AZ47" s="893" t="n">
        <f aca="false">IF(AY47&gt;($CP47+$BF$4),1,0)</f>
        <v>0</v>
      </c>
      <c r="BA47" s="188"/>
      <c r="BB47" s="892" t="n">
        <f aca="false">IF(Tables!$E$30="New York",INDEX('NY Curve'!$A$4:$M$256,MATCH('Monthly Table'!$B47,'NY Curve'!$A$4:$A$256,0),MATCH("NY Sunday Super Peak",'NY Curve'!$A$4:$M$4,0)),IF(Tables!$E$30="Michigan",INDEX('Michigan Curve'!$A$4:$L$256,MATCH('Monthly Table'!$B47,'Michigan Curve'!$A$4:$A$256,0),MATCH("Michigan Sunday Super Peak",'Michigan Curve'!$A$4:$L$4,0))))</f>
        <v>21.42</v>
      </c>
      <c r="BC47" s="894" t="n">
        <f aca="false">BB47*K47</f>
        <v>30.1501194459237</v>
      </c>
      <c r="BD47" s="893" t="n">
        <f aca="false">IF(BC47&gt;($CP47+$BF$4),1,0)</f>
        <v>0</v>
      </c>
      <c r="BE47" s="188"/>
      <c r="BF47" s="896" t="n">
        <f aca="false">B47</f>
        <v>37987</v>
      </c>
      <c r="BG47" s="897" t="n">
        <f aca="false">IF($AN47=1,$E47*$BF$5,0)</f>
        <v>0</v>
      </c>
      <c r="BH47" s="976" t="n">
        <f aca="false">IF(Tables!$B$36="Combined Cycle",($BF47-$BF46)*24*Assumptions!$B$21,0)</f>
        <v>0</v>
      </c>
      <c r="BI47" s="714" t="n">
        <f aca="false">IF($AN47=1,$E47*$BF$5,0)</f>
        <v>0</v>
      </c>
      <c r="BJ47" s="898" t="n">
        <f aca="false">IF('Monthly Table'!D47&lt;=Tables!$B$21,IF($BJ$10=$BG$10,BG47,IF($BJ$10=$BH$10,BH47,IF($BJ$10=$BI$10,BI47,0))),0)</f>
        <v>0</v>
      </c>
      <c r="BK47" s="288"/>
      <c r="BL47" s="898" t="n">
        <f aca="false">IF($AW47=1,$F47*$BF$5,0)</f>
        <v>0</v>
      </c>
      <c r="BM47" s="898" t="n">
        <f aca="false">IF($BD47=1,($G47+H47)*$BF$5,0)</f>
        <v>0</v>
      </c>
      <c r="BO47" s="898" t="n">
        <f aca="false">IF(AS47=1,BJ47,0)</f>
        <v>0</v>
      </c>
      <c r="BP47" s="898" t="n">
        <f aca="false">IF(AZ47=1,F47*$BF$5,0)</f>
        <v>0</v>
      </c>
      <c r="BR47" s="899" t="n">
        <f aca="false">IF(BJ47&gt;0,INDEX(OperationalDetail,MATCH("Capacity Degradation",ODColumn,0),MATCH('Monthly Table'!C47,ODRow,0)),0)</f>
        <v>0</v>
      </c>
      <c r="BS47" s="900" t="n">
        <f aca="false">BJ47*(1-BR47)*Tables!$C$36</f>
        <v>0</v>
      </c>
      <c r="BT47" s="883" t="n">
        <f aca="false">BS47*AL47/1000</f>
        <v>0</v>
      </c>
      <c r="BU47" s="883" t="n">
        <f aca="false">BT47*K47</f>
        <v>0</v>
      </c>
      <c r="BV47" s="188"/>
      <c r="BW47" s="901" t="n">
        <f aca="false">$BO47*(1-$BR47)*Tables!$C$36</f>
        <v>0</v>
      </c>
      <c r="BX47" s="902" t="n">
        <f aca="false">(BW47*AQ47)/1000</f>
        <v>0</v>
      </c>
      <c r="BY47" s="883" t="n">
        <f aca="false">BX47*K47</f>
        <v>0</v>
      </c>
      <c r="BZ47" s="188"/>
      <c r="CA47" s="901" t="n">
        <f aca="false">$BL47*(1-$BR47)*Tables!$C$36</f>
        <v>0</v>
      </c>
      <c r="CB47" s="902" t="n">
        <f aca="false">(CA47*AU47)/1000</f>
        <v>0</v>
      </c>
      <c r="CC47" s="883" t="n">
        <f aca="false">CB47*K47</f>
        <v>0</v>
      </c>
      <c r="CD47" s="901" t="n">
        <f aca="false">$BP47*(1-$BR47)*Tables!$C$36</f>
        <v>0</v>
      </c>
      <c r="CE47" s="902" t="n">
        <f aca="false">(CD47*AX47)/1000</f>
        <v>0</v>
      </c>
      <c r="CF47" s="883" t="n">
        <f aca="false">CE47*K47</f>
        <v>0</v>
      </c>
      <c r="CH47" s="901" t="n">
        <f aca="false">$BM47*(1-$BR47)*Tables!$C$36</f>
        <v>0</v>
      </c>
      <c r="CI47" s="902" t="n">
        <f aca="false">(CH47*BB47)/1000</f>
        <v>0</v>
      </c>
      <c r="CJ47" s="883" t="n">
        <f aca="false">CI47*K47</f>
        <v>0</v>
      </c>
      <c r="CK47" s="292"/>
      <c r="CL47" s="292" t="n">
        <f aca="false">C47-1</f>
        <v>2003</v>
      </c>
      <c r="CM47" s="903" t="n">
        <f aca="false">INDEX(OperationalDetail,MATCH("Degraded Heat Rate",ODColumn,0),MATCH('Monthly Table'!CL47,ODRow,0))/1000</f>
        <v>12.1321044</v>
      </c>
      <c r="CN47" s="904" t="n">
        <f aca="false">S47*CM47</f>
        <v>60.4931663289228</v>
      </c>
      <c r="CO47" s="977" t="n">
        <f aca="false">IF(Tables!B36="Combined Cycle",'Monthly Table'!CO46+'O &amp; M'!I51,'Monthly Table'!CO46*(1+Assumptions!E32))</f>
        <v>7.147899135</v>
      </c>
      <c r="CP47" s="906" t="n">
        <f aca="false">CN47+CO47</f>
        <v>67.6410654639228</v>
      </c>
      <c r="CQ47" s="292"/>
      <c r="CR47" s="856" t="str">
        <f aca="false">IF(BJ47=0,"",C47)</f>
        <v/>
      </c>
      <c r="CS47" s="856" t="str">
        <f aca="false">IF(BO47=0,"",$C47)</f>
        <v/>
      </c>
      <c r="CT47" s="856" t="str">
        <f aca="false">IF(BL47=0,"",$C47)</f>
        <v/>
      </c>
      <c r="CU47" s="856" t="str">
        <f aca="false">IF(BP47=0,"",$C47)</f>
        <v/>
      </c>
      <c r="CV47" s="856" t="str">
        <f aca="false">IF(BD47=0,"",$C47)</f>
        <v/>
      </c>
      <c r="CW47" s="907" t="n">
        <f aca="false">YEAR(BF47)</f>
        <v>2004</v>
      </c>
      <c r="CX47" s="908" t="n">
        <f aca="false">INDEX('NY Curve'!$A$4:$G$256,MATCH('Monthly Table'!B47,'NY Curve'!$A$4:$A$256,0),MATCH("New York 5 X 16",'NY Curve'!$A$4:$G$4,0))</f>
        <v>31.65</v>
      </c>
      <c r="CY47" s="909" t="n">
        <f aca="false">K47</f>
        <v>1.40756860158374</v>
      </c>
      <c r="CZ47" s="910" t="n">
        <f aca="false">CX47*CY47</f>
        <v>44.5495462401254</v>
      </c>
      <c r="DB47" s="911"/>
      <c r="DC47" s="911"/>
    </row>
    <row r="48" customFormat="false" ht="18.75" hidden="false" customHeight="true" outlineLevel="0" collapsed="false">
      <c r="A48" s="49" t="s">
        <v>811</v>
      </c>
      <c r="B48" s="863" t="n">
        <v>38018</v>
      </c>
      <c r="C48" s="288" t="n">
        <f aca="false">YEAR(B48)</f>
        <v>2004</v>
      </c>
      <c r="D48" s="864" t="n">
        <f aca="false">IF(A48="January",D47+1,D47)</f>
        <v>4</v>
      </c>
      <c r="E48" s="865" t="n">
        <v>20</v>
      </c>
      <c r="F48" s="866" t="n">
        <v>4</v>
      </c>
      <c r="G48" s="866" t="n">
        <v>5</v>
      </c>
      <c r="H48" s="866" t="n">
        <v>0</v>
      </c>
      <c r="I48" s="867" t="n">
        <f aca="false">SUM(E48:H48)</f>
        <v>29</v>
      </c>
      <c r="J48" s="868"/>
      <c r="K48" s="869" t="n">
        <f aca="false">INDEX(FX!$A$3:$C$362,MATCH(B48,FX!$A$3:$A$362,0),MATCH("Monthly Curve",FX!$A$2:$C$2,0))</f>
        <v>1.40651281544275</v>
      </c>
      <c r="L48" s="869"/>
      <c r="M48" s="914" t="n">
        <v>2.883</v>
      </c>
      <c r="N48" s="915" t="n">
        <v>0.3</v>
      </c>
      <c r="O48" s="714" t="n">
        <v>0.05</v>
      </c>
      <c r="P48" s="872" t="n">
        <f aca="false">N48+O48</f>
        <v>0.35</v>
      </c>
      <c r="Q48" s="873" t="n">
        <f aca="false">SUM(M48:O48)</f>
        <v>3.233</v>
      </c>
      <c r="R48" s="974" t="n">
        <f aca="false">IF(A48="January",(R47+R47*Assumptions!$E$32),R47)</f>
        <v>0.318708070153846</v>
      </c>
      <c r="S48" s="875" t="n">
        <f aca="false">(Q48*K48)+R48</f>
        <v>4.86596400248026</v>
      </c>
      <c r="T48" s="869"/>
      <c r="V48" s="876"/>
      <c r="W48" s="876"/>
      <c r="X48" s="971"/>
      <c r="Y48" s="975" t="n">
        <f aca="false">Tables!$D$36</f>
        <v>312</v>
      </c>
      <c r="Z48" s="879" t="n">
        <f aca="false">IF($Z$10=$V$10,V48,IF($Z$10=$W$10,W48,IF($Z$10=$X$10,X48,0)))</f>
        <v>0</v>
      </c>
      <c r="AA48" s="880" t="n">
        <f aca="false">Y48*Z48</f>
        <v>0</v>
      </c>
      <c r="AB48" s="881" t="n">
        <f aca="false">AA48*K48</f>
        <v>0</v>
      </c>
      <c r="AC48" s="188"/>
      <c r="AD48" s="882" t="n">
        <f aca="false">IF(Tables!$E$30="Michigan",INDEX('Michigan Curve'!$A$4:$S$256,MATCH('Monthly Table'!B48,'Michigan Curve'!$A$4:$A$256,0),MATCH("Michigan Selected Option Value US$/month",'Michigan Curve'!$A$4:$S$4,0)),INDEX('NY Curve'!$A$4:$T$256,MATCH('Monthly Table'!B48,'NY Curve'!$A$4:$A$256,0),MATCH("New York Selected Option Value US$/month",'NY Curve'!$A$4:$T$4,0)))</f>
        <v>65127.6867062215</v>
      </c>
      <c r="AE48" s="883" t="n">
        <f aca="false">AD48*K48</f>
        <v>91602.9259924409</v>
      </c>
      <c r="AF48" s="188"/>
      <c r="AG48" s="884"/>
      <c r="AH48" s="188"/>
      <c r="AI48" s="885" t="n">
        <f aca="false">Assumptions!$B$50</f>
        <v>65</v>
      </c>
      <c r="AJ48" s="916"/>
      <c r="AK48" s="887" t="n">
        <f aca="false">IF(Tables!$E$30="Custom",'Monthly Table'!AI48,IF(Tables!$E$30="New York",INDEX('NY Curve'!$A$4:$G$256,MATCH('Monthly Table'!B48,'NY Curve'!$A$4:$A$256,0),MATCH("Super Peak Curve",'NY Curve'!$A$4:$G$4,0)),IF(Tables!$E$30="New York Flat",INDEX('NY Curve'!$A$4:$G$256,MATCH('Monthly Table'!B48,'NY Curve'!$A$4:$A$256,0),MATCH("Flat NY West",'NY Curve'!$A$4:$G$4,0)),INDEX('Michigan Curve'!$A$4:$F$256,MATCH('Monthly Table'!B48,'Michigan Curve'!$A$4:$A$256,0),MATCH("Michigan Super Peak Curve US$/MWhr",'Michigan Curve'!$A$4:$F$4,0)))))</f>
        <v>30.8039984436035</v>
      </c>
      <c r="AL48" s="888" t="n">
        <f aca="false">IF(D48&lt;=Tables!$B$21,IF($AL$10=$AI$10,AI48,IF($AL$10=$AJ$10,AJ48,IF($AL$10=$AK$10,AK48,0))),0)</f>
        <v>30.8039984436035</v>
      </c>
      <c r="AM48" s="889" t="n">
        <f aca="false">+AL48*K48</f>
        <v>43.3262185778069</v>
      </c>
      <c r="AN48" s="890" t="n">
        <f aca="false">IF((AL48*K48)&gt;(CP48+$BF$4),1,0)</f>
        <v>0</v>
      </c>
      <c r="AO48" s="891"/>
      <c r="AP48" s="894"/>
      <c r="AQ48" s="892" t="n">
        <f aca="false">IF(Tables!$E$30="New York",INDEX('NY Curve'!$A$4:$L$256,MATCH('Monthly Table'!B48,'NY Curve'!$A$4:$A$256,0),MATCH("New York Shoulder Hour Curve Mon-Fri",'NY Curve'!$A$4:$L$4,0)),IF(Tables!$E$30="Michigan",INDEX('Michigan Curve'!$A$4:$K$256,MATCH('Monthly Table'!B48,'Michigan Curve'!$A$4:$A$256,0),MATCH("Michigan Shoulder Hour Curve Mon-Fri",'Michigan Curve'!$A$4:$K$4,0))))</f>
        <v>29.5959985046387</v>
      </c>
      <c r="AR48" s="889" t="n">
        <f aca="false">AQ48*K48</f>
        <v>41.6271511825988</v>
      </c>
      <c r="AS48" s="893" t="n">
        <f aca="false">IF(AR48&gt;($CP48+$BF$4),1,0)</f>
        <v>0</v>
      </c>
      <c r="AT48" s="188"/>
      <c r="AU48" s="892" t="n">
        <f aca="false">IF(Tables!$E$30="New York",INDEX('NY Curve'!$A$4:$L$256,MATCH('Monthly Table'!$B48,'NY Curve'!$A$4:$A$256,0),MATCH("New York Saturday Super Peak",'NY Curve'!$A$4:$L$4,0)),IF(Tables!$E$30="Michigan",INDEX('Michigan Curve'!$A$4:$K$256,MATCH('Monthly Table'!$B48,'Michigan Curve'!$A$4:$A$256,0),MATCH("Michigan Saturday Super Peak",'Michigan Curve'!$A$4:$K$4,0))))</f>
        <v>22.4359202957153</v>
      </c>
      <c r="AV48" s="894" t="n">
        <f aca="false">AU48*K48</f>
        <v>31.5564094221757</v>
      </c>
      <c r="AW48" s="893" t="n">
        <f aca="false">IF(AV48&gt;($CP48+$BF$4),1,0)</f>
        <v>0</v>
      </c>
      <c r="AX48" s="892" t="n">
        <f aca="false">IF(Tables!$E$30="New York",INDEX('NY Curve'!$A$4:$L$256,MATCH('Monthly Table'!$B48,'NY Curve'!$A$4:$A$256,0),MATCH("New York Saturday Shoulder Peak",'NY Curve'!$A$4:$L$4,0)),IF(Tables!$E$30="Michigan",INDEX('Michigan Curve'!$A$4:$K$256,MATCH('Monthly Table'!$B48,'Michigan Curve'!$A$4:$A$256,0),MATCH("Michigan Saturday Shoulder Peak",'Michigan Curve'!$A$4:$K$4,0))))</f>
        <v>21.5560802841187</v>
      </c>
      <c r="AY48" s="895" t="n">
        <f aca="false">AX48*K48</f>
        <v>30.3189031703257</v>
      </c>
      <c r="AZ48" s="893" t="n">
        <f aca="false">IF(AY48&gt;($CP48+$BF$4),1,0)</f>
        <v>0</v>
      </c>
      <c r="BA48" s="188"/>
      <c r="BB48" s="892" t="n">
        <f aca="false">IF(Tables!$E$30="New York",INDEX('NY Curve'!$A$4:$M$256,MATCH('Monthly Table'!$B48,'NY Curve'!$A$4:$A$256,0),MATCH("NY Sunday Super Peak",'NY Curve'!$A$4:$M$4,0)),IF(Tables!$E$30="Michigan",INDEX('Michigan Curve'!$A$4:$L$256,MATCH('Monthly Table'!$B48,'Michigan Curve'!$A$4:$A$256,0),MATCH("Michigan Sunday Super Peak",'Michigan Curve'!$A$4:$L$4,0))))</f>
        <v>21.4164319610596</v>
      </c>
      <c r="BC48" s="894" t="n">
        <f aca="false">BB48*K48</f>
        <v>30.122486014288</v>
      </c>
      <c r="BD48" s="893" t="n">
        <f aca="false">IF(BC48&gt;($CP48+$BF$4),1,0)</f>
        <v>0</v>
      </c>
      <c r="BE48" s="188"/>
      <c r="BF48" s="896" t="n">
        <f aca="false">B48</f>
        <v>38018</v>
      </c>
      <c r="BG48" s="897" t="n">
        <f aca="false">IF($AN48=1,$E48*$BF$5,0)</f>
        <v>0</v>
      </c>
      <c r="BH48" s="976" t="n">
        <f aca="false">IF(Tables!$B$36="Combined Cycle",(BF48-BF47)*24*Assumptions!$B$21,0)</f>
        <v>0</v>
      </c>
      <c r="BI48" s="714" t="n">
        <f aca="false">IF($AN48=1,$E48*$BF$5,0)</f>
        <v>0</v>
      </c>
      <c r="BJ48" s="898" t="n">
        <f aca="false">IF('Monthly Table'!D48&lt;=Tables!$B$21,IF($BJ$10=$BG$10,BG48,IF($BJ$10=$BH$10,BH48,IF($BJ$10=$BI$10,BI48,0))),0)</f>
        <v>0</v>
      </c>
      <c r="BK48" s="288"/>
      <c r="BL48" s="898" t="n">
        <f aca="false">IF($AW48=1,$F48*$BF$5,0)</f>
        <v>0</v>
      </c>
      <c r="BM48" s="898" t="n">
        <f aca="false">IF($BD48=1,($G48+H48)*$BF$5,0)</f>
        <v>0</v>
      </c>
      <c r="BO48" s="898" t="n">
        <f aca="false">IF(AS48=1,BJ48,0)</f>
        <v>0</v>
      </c>
      <c r="BP48" s="898" t="n">
        <f aca="false">IF(AZ48=1,F48*$BF$5,0)</f>
        <v>0</v>
      </c>
      <c r="BR48" s="899" t="n">
        <f aca="false">IF(BJ48&gt;0,INDEX(OperationalDetail,MATCH("Capacity Degradation",ODColumn,0),MATCH('Monthly Table'!C48,ODRow,0)),0)</f>
        <v>0</v>
      </c>
      <c r="BS48" s="900" t="n">
        <f aca="false">BJ48*(1-BR48)*Tables!$C$36</f>
        <v>0</v>
      </c>
      <c r="BT48" s="883" t="n">
        <f aca="false">BS48*AL48/1000</f>
        <v>0</v>
      </c>
      <c r="BU48" s="883" t="n">
        <f aca="false">BT48*K48</f>
        <v>0</v>
      </c>
      <c r="BV48" s="188"/>
      <c r="BW48" s="901" t="n">
        <f aca="false">$BO48*(1-$BR48)*Tables!$C$36</f>
        <v>0</v>
      </c>
      <c r="BX48" s="902" t="n">
        <f aca="false">(BW48*AQ48)/1000</f>
        <v>0</v>
      </c>
      <c r="BY48" s="883" t="n">
        <f aca="false">BX48*K48</f>
        <v>0</v>
      </c>
      <c r="BZ48" s="188"/>
      <c r="CA48" s="901" t="n">
        <f aca="false">$BL48*(1-$BR48)*Tables!$C$36</f>
        <v>0</v>
      </c>
      <c r="CB48" s="902" t="n">
        <f aca="false">(CA48*AU48)/1000</f>
        <v>0</v>
      </c>
      <c r="CC48" s="883" t="n">
        <f aca="false">CB48*K48</f>
        <v>0</v>
      </c>
      <c r="CD48" s="901" t="n">
        <f aca="false">$BP48*(1-$BR48)*Tables!$C$36</f>
        <v>0</v>
      </c>
      <c r="CE48" s="902" t="n">
        <f aca="false">(CD48*AX48)/1000</f>
        <v>0</v>
      </c>
      <c r="CF48" s="883" t="n">
        <f aca="false">CE48*K48</f>
        <v>0</v>
      </c>
      <c r="CH48" s="901" t="n">
        <f aca="false">$BM48*(1-$BR48)*Tables!$C$36</f>
        <v>0</v>
      </c>
      <c r="CI48" s="902" t="n">
        <f aca="false">(CH48*BB48)/1000</f>
        <v>0</v>
      </c>
      <c r="CJ48" s="883" t="n">
        <f aca="false">CI48*K48</f>
        <v>0</v>
      </c>
      <c r="CK48" s="292"/>
      <c r="CL48" s="292" t="n">
        <f aca="false">C48-1</f>
        <v>2003</v>
      </c>
      <c r="CM48" s="903" t="n">
        <f aca="false">INDEX(OperationalDetail,MATCH("Degraded Heat Rate",ODColumn,0),MATCH('Monthly Table'!CL48,ODRow,0))/1000</f>
        <v>12.1321044</v>
      </c>
      <c r="CN48" s="904" t="n">
        <f aca="false">S48*CM48</f>
        <v>59.0343832847323</v>
      </c>
      <c r="CO48" s="905" t="n">
        <f aca="false">IF(A48="January",(CO47*(1+Assumptions!$E$32)),CO47)</f>
        <v>7.147899135</v>
      </c>
      <c r="CP48" s="906" t="n">
        <f aca="false">CN48+CO48</f>
        <v>66.1822824197323</v>
      </c>
      <c r="CQ48" s="292"/>
      <c r="CR48" s="856" t="str">
        <f aca="false">IF(BJ48=0,"",C48)</f>
        <v/>
      </c>
      <c r="CS48" s="856" t="str">
        <f aca="false">IF(BO48=0,"",$C48)</f>
        <v/>
      </c>
      <c r="CT48" s="856" t="str">
        <f aca="false">IF(BL48=0,"",$C48)</f>
        <v/>
      </c>
      <c r="CU48" s="856" t="str">
        <f aca="false">IF(BP48=0,"",$C48)</f>
        <v/>
      </c>
      <c r="CV48" s="856" t="str">
        <f aca="false">IF(BD48=0,"",$C48)</f>
        <v/>
      </c>
      <c r="CW48" s="907" t="n">
        <f aca="false">YEAR(BF48)</f>
        <v>2004</v>
      </c>
      <c r="CX48" s="908" t="n">
        <f aca="false">INDEX('NY Curve'!$A$4:$G$256,MATCH('Monthly Table'!B48,'NY Curve'!$A$4:$A$256,0),MATCH("New York 5 X 16",'NY Curve'!$A$4:$G$4,0))</f>
        <v>31.65</v>
      </c>
      <c r="CY48" s="909" t="n">
        <f aca="false">K48</f>
        <v>1.40651281544275</v>
      </c>
      <c r="CZ48" s="910" t="n">
        <f aca="false">CX48*CY48</f>
        <v>44.516130608763</v>
      </c>
      <c r="DB48" s="911"/>
      <c r="DC48" s="911"/>
    </row>
    <row r="49" customFormat="false" ht="18.75" hidden="false" customHeight="true" outlineLevel="0" collapsed="false">
      <c r="A49" s="49" t="s">
        <v>812</v>
      </c>
      <c r="B49" s="863" t="n">
        <v>38047</v>
      </c>
      <c r="C49" s="288" t="n">
        <f aca="false">YEAR(B49)</f>
        <v>2004</v>
      </c>
      <c r="D49" s="864" t="n">
        <f aca="false">IF(A49="January",D48+1,D48)</f>
        <v>4</v>
      </c>
      <c r="E49" s="865" t="n">
        <v>23</v>
      </c>
      <c r="F49" s="866" t="n">
        <v>4</v>
      </c>
      <c r="G49" s="866" t="n">
        <v>4</v>
      </c>
      <c r="H49" s="866" t="n">
        <v>0</v>
      </c>
      <c r="I49" s="867" t="n">
        <f aca="false">SUM(E49:H49)</f>
        <v>31</v>
      </c>
      <c r="J49" s="868"/>
      <c r="K49" s="869" t="n">
        <f aca="false">INDEX(FX!$A$3:$C$362,MATCH(B49,FX!$A$3:$A$362,0),MATCH("Monthly Curve",FX!$A$2:$C$2,0))</f>
        <v>1.40552381832433</v>
      </c>
      <c r="L49" s="869"/>
      <c r="M49" s="914" t="n">
        <v>2.768</v>
      </c>
      <c r="N49" s="915" t="n">
        <v>0.3</v>
      </c>
      <c r="O49" s="714" t="n">
        <v>0.05</v>
      </c>
      <c r="P49" s="872" t="n">
        <f aca="false">N49+O49</f>
        <v>0.35</v>
      </c>
      <c r="Q49" s="873" t="n">
        <f aca="false">SUM(M49:O49)</f>
        <v>3.118</v>
      </c>
      <c r="R49" s="974" t="n">
        <f aca="false">IF(A49="January",(R48+R48*Assumptions!$E$32),R48)</f>
        <v>0.318708070153846</v>
      </c>
      <c r="S49" s="875" t="n">
        <f aca="false">(Q49*K49)+R49</f>
        <v>4.70113133568911</v>
      </c>
      <c r="T49" s="869"/>
      <c r="V49" s="876"/>
      <c r="W49" s="876"/>
      <c r="X49" s="971"/>
      <c r="Y49" s="975" t="n">
        <f aca="false">Tables!$D$36</f>
        <v>312</v>
      </c>
      <c r="Z49" s="879" t="n">
        <f aca="false">IF($Z$10=$V$10,V49,IF($Z$10=$W$10,W49,IF($Z$10=$X$10,X49,0)))</f>
        <v>0</v>
      </c>
      <c r="AA49" s="880" t="n">
        <f aca="false">Y49*Z49</f>
        <v>0</v>
      </c>
      <c r="AB49" s="881" t="n">
        <f aca="false">AA49*K49</f>
        <v>0</v>
      </c>
      <c r="AC49" s="188"/>
      <c r="AD49" s="882" t="n">
        <f aca="false">IF(Tables!$E$30="Michigan",INDEX('Michigan Curve'!$A$4:$S$256,MATCH('Monthly Table'!B49,'Michigan Curve'!$A$4:$A$256,0),MATCH("Michigan Selected Option Value US$/month",'Michigan Curve'!$A$4:$S$4,0)),INDEX('NY Curve'!$A$4:$T$256,MATCH('Monthly Table'!B49,'NY Curve'!$A$4:$A$256,0),MATCH("New York Selected Option Value US$/month",'NY Curve'!$A$4:$T$4,0)))</f>
        <v>12110.022718247</v>
      </c>
      <c r="AE49" s="883" t="n">
        <f aca="false">AD49*K49</f>
        <v>17020.9253709449</v>
      </c>
      <c r="AF49" s="188"/>
      <c r="AG49" s="884"/>
      <c r="AH49" s="188"/>
      <c r="AI49" s="885" t="n">
        <f aca="false">Assumptions!$B$50</f>
        <v>65</v>
      </c>
      <c r="AJ49" s="916"/>
      <c r="AK49" s="887" t="n">
        <f aca="false">IF(Tables!$E$30="Custom",'Monthly Table'!AI49,IF(Tables!$E$30="New York",INDEX('NY Curve'!$A$4:$G$256,MATCH('Monthly Table'!B49,'NY Curve'!$A$4:$A$256,0),MATCH("Super Peak Curve",'NY Curve'!$A$4:$G$4,0)),IF(Tables!$E$30="New York Flat",INDEX('NY Curve'!$A$4:$G$256,MATCH('Monthly Table'!B49,'NY Curve'!$A$4:$A$256,0),MATCH("Flat NY West",'NY Curve'!$A$4:$G$4,0)),INDEX('Michigan Curve'!$A$4:$F$256,MATCH('Monthly Table'!B49,'Michigan Curve'!$A$4:$A$256,0),MATCH("Michigan Super Peak Curve US$/MWhr",'Michigan Curve'!$A$4:$F$4,0)))))</f>
        <v>25.5</v>
      </c>
      <c r="AL49" s="888" t="n">
        <f aca="false">IF(D49&lt;=Tables!$B$21,IF($AL$10=$AI$10,AI49,IF($AL$10=$AJ$10,AJ49,IF($AL$10=$AK$10,AK49,0))),0)</f>
        <v>25.5</v>
      </c>
      <c r="AM49" s="889" t="n">
        <f aca="false">+AL49*K49</f>
        <v>35.8408573672704</v>
      </c>
      <c r="AN49" s="890" t="n">
        <f aca="false">IF((AL49*K49)&gt;(CP49+$BF$4),1,0)</f>
        <v>0</v>
      </c>
      <c r="AO49" s="891"/>
      <c r="AP49" s="894"/>
      <c r="AQ49" s="892" t="n">
        <f aca="false">IF(Tables!$E$30="New York",INDEX('NY Curve'!$A$4:$L$256,MATCH('Monthly Table'!B49,'NY Curve'!$A$4:$A$256,0),MATCH("New York Shoulder Hour Curve Mon-Fri",'NY Curve'!$A$4:$L$4,0)),IF(Tables!$E$30="Michigan",INDEX('Michigan Curve'!$A$4:$K$256,MATCH('Monthly Table'!B49,'Michigan Curve'!$A$4:$A$256,0),MATCH("Michigan Shoulder Hour Curve Mon-Fri",'Michigan Curve'!$A$4:$K$4,0))))</f>
        <v>24.5</v>
      </c>
      <c r="AR49" s="889" t="n">
        <f aca="false">AQ49*K49</f>
        <v>34.4353335489461</v>
      </c>
      <c r="AS49" s="893" t="n">
        <f aca="false">IF(AR49&gt;($CP49+$BF$4),1,0)</f>
        <v>0</v>
      </c>
      <c r="AT49" s="188"/>
      <c r="AU49" s="892" t="n">
        <f aca="false">IF(Tables!$E$30="New York",INDEX('NY Curve'!$A$4:$L$256,MATCH('Monthly Table'!$B49,'NY Curve'!$A$4:$A$256,0),MATCH("New York Saturday Super Peak",'NY Curve'!$A$4:$L$4,0)),IF(Tables!$E$30="Michigan",INDEX('Michigan Curve'!$A$4:$K$256,MATCH('Monthly Table'!$B49,'Michigan Curve'!$A$4:$A$256,0),MATCH("Michigan Saturday Super Peak",'Michigan Curve'!$A$4:$K$4,0))))</f>
        <v>20.4</v>
      </c>
      <c r="AV49" s="894" t="n">
        <f aca="false">AU49*K49</f>
        <v>28.6726858938163</v>
      </c>
      <c r="AW49" s="893" t="n">
        <f aca="false">IF(AV49&gt;($CP49+$BF$4),1,0)</f>
        <v>0</v>
      </c>
      <c r="AX49" s="892" t="n">
        <f aca="false">IF(Tables!$E$30="New York",INDEX('NY Curve'!$A$4:$L$256,MATCH('Monthly Table'!$B49,'NY Curve'!$A$4:$A$256,0),MATCH("New York Saturday Shoulder Peak",'NY Curve'!$A$4:$L$4,0)),IF(Tables!$E$30="Michigan",INDEX('Michigan Curve'!$A$4:$K$256,MATCH('Monthly Table'!$B49,'Michigan Curve'!$A$4:$A$256,0),MATCH("Michigan Saturday Shoulder Peak",'Michigan Curve'!$A$4:$K$4,0))))</f>
        <v>19.6</v>
      </c>
      <c r="AY49" s="895" t="n">
        <f aca="false">AX49*K49</f>
        <v>27.5482668391569</v>
      </c>
      <c r="AZ49" s="893" t="n">
        <f aca="false">IF(AY49&gt;($CP49+$BF$4),1,0)</f>
        <v>0</v>
      </c>
      <c r="BA49" s="188"/>
      <c r="BB49" s="892" t="n">
        <f aca="false">IF(Tables!$E$30="New York",INDEX('NY Curve'!$A$4:$M$256,MATCH('Monthly Table'!$B49,'NY Curve'!$A$4:$A$256,0),MATCH("NY Sunday Super Peak",'NY Curve'!$A$4:$M$4,0)),IF(Tables!$E$30="Michigan",INDEX('Michigan Curve'!$A$4:$L$256,MATCH('Monthly Table'!$B49,'Michigan Curve'!$A$4:$A$256,0),MATCH("Michigan Sunday Super Peak",'Michigan Curve'!$A$4:$L$4,0))))</f>
        <v>19.38</v>
      </c>
      <c r="BC49" s="894" t="n">
        <f aca="false">BB49*K49</f>
        <v>27.2390515991255</v>
      </c>
      <c r="BD49" s="893" t="n">
        <f aca="false">IF(BC49&gt;($CP49+$BF$4),1,0)</f>
        <v>0</v>
      </c>
      <c r="BE49" s="188"/>
      <c r="BF49" s="896" t="n">
        <f aca="false">B49</f>
        <v>38047</v>
      </c>
      <c r="BG49" s="897" t="n">
        <f aca="false">IF($AN49=1,$E49*$BF$5,0)</f>
        <v>0</v>
      </c>
      <c r="BH49" s="976" t="n">
        <f aca="false">IF(Tables!$B$36="Combined Cycle",(BF49-BF48)*24*Assumptions!$B$21,0)</f>
        <v>0</v>
      </c>
      <c r="BI49" s="714" t="n">
        <f aca="false">IF($AN49=1,$E49*$BF$5,0)</f>
        <v>0</v>
      </c>
      <c r="BJ49" s="898" t="n">
        <f aca="false">IF('Monthly Table'!D49&lt;=Tables!$B$21,IF($BJ$10=$BG$10,BG49,IF($BJ$10=$BH$10,BH49,IF($BJ$10=$BI$10,BI49,0))),0)</f>
        <v>0</v>
      </c>
      <c r="BK49" s="288"/>
      <c r="BL49" s="898" t="n">
        <f aca="false">IF($AW49=1,$F49*$BF$5,0)</f>
        <v>0</v>
      </c>
      <c r="BM49" s="898" t="n">
        <f aca="false">IF($BD49=1,($G49+H49)*$BF$5,0)</f>
        <v>0</v>
      </c>
      <c r="BO49" s="898" t="n">
        <f aca="false">IF(AS49=1,BJ49,0)</f>
        <v>0</v>
      </c>
      <c r="BP49" s="898" t="n">
        <f aca="false">IF(AZ49=1,F49*$BF$5,0)</f>
        <v>0</v>
      </c>
      <c r="BR49" s="899" t="n">
        <f aca="false">IF(BJ49&gt;0,INDEX(OperationalDetail,MATCH("Capacity Degradation",ODColumn,0),MATCH('Monthly Table'!C49,ODRow,0)),0)</f>
        <v>0</v>
      </c>
      <c r="BS49" s="900" t="n">
        <f aca="false">BJ49*(1-BR49)*Tables!$C$36</f>
        <v>0</v>
      </c>
      <c r="BT49" s="883" t="n">
        <f aca="false">BS49*AL49/1000</f>
        <v>0</v>
      </c>
      <c r="BU49" s="883" t="n">
        <f aca="false">BT49*K49</f>
        <v>0</v>
      </c>
      <c r="BV49" s="188"/>
      <c r="BW49" s="901" t="n">
        <f aca="false">$BO49*(1-$BR49)*Tables!$C$36</f>
        <v>0</v>
      </c>
      <c r="BX49" s="902" t="n">
        <f aca="false">(BW49*AQ49)/1000</f>
        <v>0</v>
      </c>
      <c r="BY49" s="883" t="n">
        <f aca="false">BX49*K49</f>
        <v>0</v>
      </c>
      <c r="BZ49" s="188"/>
      <c r="CA49" s="901" t="n">
        <f aca="false">$BL49*(1-$BR49)*Tables!$C$36</f>
        <v>0</v>
      </c>
      <c r="CB49" s="902" t="n">
        <f aca="false">(CA49*AU49)/1000</f>
        <v>0</v>
      </c>
      <c r="CC49" s="883" t="n">
        <f aca="false">CB49*K49</f>
        <v>0</v>
      </c>
      <c r="CD49" s="901" t="n">
        <f aca="false">$BP49*(1-$BR49)*Tables!$C$36</f>
        <v>0</v>
      </c>
      <c r="CE49" s="902" t="n">
        <f aca="false">(CD49*AX49)/1000</f>
        <v>0</v>
      </c>
      <c r="CF49" s="883" t="n">
        <f aca="false">CE49*K49</f>
        <v>0</v>
      </c>
      <c r="CH49" s="901" t="n">
        <f aca="false">$BM49*(1-$BR49)*Tables!$C$36</f>
        <v>0</v>
      </c>
      <c r="CI49" s="902" t="n">
        <f aca="false">(CH49*BB49)/1000</f>
        <v>0</v>
      </c>
      <c r="CJ49" s="883" t="n">
        <f aca="false">CI49*K49</f>
        <v>0</v>
      </c>
      <c r="CK49" s="292"/>
      <c r="CL49" s="292" t="n">
        <f aca="false">C49-1</f>
        <v>2003</v>
      </c>
      <c r="CM49" s="903" t="n">
        <f aca="false">INDEX(OperationalDetail,MATCH("Degraded Heat Rate",ODColumn,0),MATCH('Monthly Table'!CL49,ODRow,0))/1000</f>
        <v>12.1321044</v>
      </c>
      <c r="CN49" s="904" t="n">
        <f aca="false">S49*CM49</f>
        <v>57.0346161626917</v>
      </c>
      <c r="CO49" s="905" t="n">
        <f aca="false">IF(A49="January",(CO48*(1+Assumptions!$E$32)),CO48)</f>
        <v>7.147899135</v>
      </c>
      <c r="CP49" s="906" t="n">
        <f aca="false">CN49+CO49</f>
        <v>64.1825152976917</v>
      </c>
      <c r="CQ49" s="292"/>
      <c r="CR49" s="856" t="str">
        <f aca="false">IF(BJ49=0,"",C49)</f>
        <v/>
      </c>
      <c r="CS49" s="856" t="str">
        <f aca="false">IF(BO49=0,"",$C49)</f>
        <v/>
      </c>
      <c r="CT49" s="856" t="str">
        <f aca="false">IF(BL49=0,"",$C49)</f>
        <v/>
      </c>
      <c r="CU49" s="856" t="str">
        <f aca="false">IF(BP49=0,"",$C49)</f>
        <v/>
      </c>
      <c r="CV49" s="856" t="str">
        <f aca="false">IF(BD49=0,"",$C49)</f>
        <v/>
      </c>
      <c r="CW49" s="907" t="n">
        <f aca="false">YEAR(BF49)</f>
        <v>2004</v>
      </c>
      <c r="CX49" s="908" t="n">
        <f aca="false">INDEX('NY Curve'!$A$4:$G$256,MATCH('Monthly Table'!B49,'NY Curve'!$A$4:$A$256,0),MATCH("New York 5 X 16",'NY Curve'!$A$4:$G$4,0))</f>
        <v>26.65</v>
      </c>
      <c r="CY49" s="909" t="n">
        <f aca="false">K49</f>
        <v>1.40552381832433</v>
      </c>
      <c r="CZ49" s="910" t="n">
        <f aca="false">CX49*CY49</f>
        <v>37.4572097583434</v>
      </c>
      <c r="DB49" s="911"/>
      <c r="DC49" s="911"/>
    </row>
    <row r="50" customFormat="false" ht="18.75" hidden="false" customHeight="true" outlineLevel="0" collapsed="false">
      <c r="A50" s="49" t="s">
        <v>813</v>
      </c>
      <c r="B50" s="863" t="n">
        <v>38078</v>
      </c>
      <c r="C50" s="288" t="n">
        <f aca="false">YEAR(B50)</f>
        <v>2004</v>
      </c>
      <c r="D50" s="864" t="n">
        <f aca="false">IF(A50="January",D49+1,D49)</f>
        <v>4</v>
      </c>
      <c r="E50" s="865" t="n">
        <v>22</v>
      </c>
      <c r="F50" s="866" t="n">
        <v>4</v>
      </c>
      <c r="G50" s="866" t="n">
        <v>4</v>
      </c>
      <c r="H50" s="866" t="n">
        <v>0</v>
      </c>
      <c r="I50" s="867" t="n">
        <f aca="false">SUM(E50:H50)</f>
        <v>30</v>
      </c>
      <c r="J50" s="868"/>
      <c r="K50" s="869" t="n">
        <f aca="false">INDEX(FX!$A$3:$C$362,MATCH(B50,FX!$A$3:$A$362,0),MATCH("Monthly Curve",FX!$A$2:$C$2,0))</f>
        <v>1.4042469732018</v>
      </c>
      <c r="L50" s="869"/>
      <c r="M50" s="914" t="n">
        <v>2.7005</v>
      </c>
      <c r="N50" s="915" t="n">
        <v>0.135</v>
      </c>
      <c r="O50" s="714" t="n">
        <v>0.05</v>
      </c>
      <c r="P50" s="872" t="n">
        <f aca="false">N50+O50</f>
        <v>0.185</v>
      </c>
      <c r="Q50" s="873" t="n">
        <f aca="false">SUM(M50:O50)</f>
        <v>2.8855</v>
      </c>
      <c r="R50" s="974" t="n">
        <f aca="false">IF(A50="January",(R49+R49*Assumptions!$E$32),R49)</f>
        <v>0.318708070153846</v>
      </c>
      <c r="S50" s="875" t="n">
        <f aca="false">(Q50*K50)+R50</f>
        <v>4.37066271132764</v>
      </c>
      <c r="T50" s="869"/>
      <c r="V50" s="876"/>
      <c r="W50" s="876"/>
      <c r="X50" s="971"/>
      <c r="Y50" s="975" t="n">
        <f aca="false">Tables!$D$36</f>
        <v>312</v>
      </c>
      <c r="Z50" s="879" t="n">
        <f aca="false">IF($Z$10=$V$10,V50,IF($Z$10=$W$10,W50,IF($Z$10=$X$10,X50,0)))</f>
        <v>0</v>
      </c>
      <c r="AA50" s="880" t="n">
        <f aca="false">Y50*Z50</f>
        <v>0</v>
      </c>
      <c r="AB50" s="881" t="n">
        <f aca="false">AA50*K50</f>
        <v>0</v>
      </c>
      <c r="AC50" s="188"/>
      <c r="AD50" s="882" t="n">
        <f aca="false">IF(Tables!$E$30="Michigan",INDEX('Michigan Curve'!$A$4:$S$256,MATCH('Monthly Table'!B50,'Michigan Curve'!$A$4:$A$256,0),MATCH("Michigan Selected Option Value US$/month",'Michigan Curve'!$A$4:$S$4,0)),INDEX('NY Curve'!$A$4:$T$256,MATCH('Monthly Table'!B50,'NY Curve'!$A$4:$A$256,0),MATCH("New York Selected Option Value US$/month",'NY Curve'!$A$4:$T$4,0)))</f>
        <v>17867.5889115186</v>
      </c>
      <c r="AE50" s="883" t="n">
        <f aca="false">AD50*K50</f>
        <v>25090.5076474141</v>
      </c>
      <c r="AF50" s="188"/>
      <c r="AG50" s="884"/>
      <c r="AH50" s="188"/>
      <c r="AI50" s="885" t="n">
        <f aca="false">Assumptions!$B$50</f>
        <v>65</v>
      </c>
      <c r="AJ50" s="916"/>
      <c r="AK50" s="887" t="n">
        <f aca="false">IF(Tables!$E$30="Custom",'Monthly Table'!AI50,IF(Tables!$E$30="New York",INDEX('NY Curve'!$A$4:$G$256,MATCH('Monthly Table'!B50,'NY Curve'!$A$4:$A$256,0),MATCH("Super Peak Curve",'NY Curve'!$A$4:$G$4,0)),IF(Tables!$E$30="New York Flat",INDEX('NY Curve'!$A$4:$G$256,MATCH('Monthly Table'!B50,'NY Curve'!$A$4:$A$256,0),MATCH("Flat NY West",'NY Curve'!$A$4:$G$4,0)),INDEX('Michigan Curve'!$A$4:$F$256,MATCH('Monthly Table'!B50,'Michigan Curve'!$A$4:$A$256,0),MATCH("Michigan Super Peak Curve US$/MWhr",'Michigan Curve'!$A$4:$F$4,0)))))</f>
        <v>25.25</v>
      </c>
      <c r="AL50" s="888" t="n">
        <f aca="false">IF(D50&lt;=Tables!$B$21,IF($AL$10=$AI$10,AI50,IF($AL$10=$AJ$10,AJ50,IF($AL$10=$AK$10,AK50,0))),0)</f>
        <v>25.25</v>
      </c>
      <c r="AM50" s="889" t="n">
        <f aca="false">+AL50*K50</f>
        <v>35.4572360733455</v>
      </c>
      <c r="AN50" s="890" t="n">
        <f aca="false">IF((AL50*K50)&gt;(CP50+$BF$4),1,0)</f>
        <v>0</v>
      </c>
      <c r="AO50" s="891"/>
      <c r="AP50" s="894"/>
      <c r="AQ50" s="892" t="n">
        <f aca="false">IF(Tables!$E$30="New York",INDEX('NY Curve'!$A$4:$L$256,MATCH('Monthly Table'!B50,'NY Curve'!$A$4:$A$256,0),MATCH("New York Shoulder Hour Curve Mon-Fri",'NY Curve'!$A$4:$L$4,0)),IF(Tables!$E$30="Michigan",INDEX('Michigan Curve'!$A$4:$K$256,MATCH('Monthly Table'!B50,'Michigan Curve'!$A$4:$A$256,0),MATCH("Michigan Shoulder Hour Curve Mon-Fri",'Michigan Curve'!$A$4:$K$4,0))))</f>
        <v>25.25</v>
      </c>
      <c r="AR50" s="889" t="n">
        <f aca="false">AQ50*K50</f>
        <v>35.4572360733455</v>
      </c>
      <c r="AS50" s="893" t="n">
        <f aca="false">IF(AR50&gt;($CP50+$BF$4),1,0)</f>
        <v>0</v>
      </c>
      <c r="AT50" s="188"/>
      <c r="AU50" s="892" t="n">
        <f aca="false">IF(Tables!$E$30="New York",INDEX('NY Curve'!$A$4:$L$256,MATCH('Monthly Table'!$B50,'NY Curve'!$A$4:$A$256,0),MATCH("New York Saturday Super Peak",'NY Curve'!$A$4:$L$4,0)),IF(Tables!$E$30="Michigan",INDEX('Michigan Curve'!$A$4:$K$256,MATCH('Monthly Table'!$B50,'Michigan Curve'!$A$4:$A$256,0),MATCH("Michigan Saturday Super Peak",'Michigan Curve'!$A$4:$K$4,0))))</f>
        <v>20</v>
      </c>
      <c r="AV50" s="894" t="n">
        <f aca="false">AU50*K50</f>
        <v>28.084939464036</v>
      </c>
      <c r="AW50" s="893" t="n">
        <f aca="false">IF(AV50&gt;($CP50+$BF$4),1,0)</f>
        <v>0</v>
      </c>
      <c r="AX50" s="892" t="n">
        <f aca="false">IF(Tables!$E$30="New York",INDEX('NY Curve'!$A$4:$L$256,MATCH('Monthly Table'!$B50,'NY Curve'!$A$4:$A$256,0),MATCH("New York Saturday Shoulder Peak",'NY Curve'!$A$4:$L$4,0)),IF(Tables!$E$30="Michigan",INDEX('Michigan Curve'!$A$4:$K$256,MATCH('Monthly Table'!$B50,'Michigan Curve'!$A$4:$A$256,0),MATCH("Michigan Saturday Shoulder Peak",'Michigan Curve'!$A$4:$K$4,0))))</f>
        <v>20</v>
      </c>
      <c r="AY50" s="895" t="n">
        <f aca="false">AX50*K50</f>
        <v>28.084939464036</v>
      </c>
      <c r="AZ50" s="893" t="n">
        <f aca="false">IF(AY50&gt;($CP50+$BF$4),1,0)</f>
        <v>0</v>
      </c>
      <c r="BA50" s="188"/>
      <c r="BB50" s="892" t="n">
        <f aca="false">IF(Tables!$E$30="New York",INDEX('NY Curve'!$A$4:$M$256,MATCH('Monthly Table'!$B50,'NY Curve'!$A$4:$A$256,0),MATCH("NY Sunday Super Peak",'NY Curve'!$A$4:$M$4,0)),IF(Tables!$E$30="Michigan",INDEX('Michigan Curve'!$A$4:$L$256,MATCH('Monthly Table'!$B50,'Michigan Curve'!$A$4:$A$256,0),MATCH("Michigan Sunday Super Peak",'Michigan Curve'!$A$4:$L$4,0))))</f>
        <v>18.9950008392334</v>
      </c>
      <c r="BC50" s="894" t="n">
        <f aca="false">BB50*K50</f>
        <v>26.6736724344592</v>
      </c>
      <c r="BD50" s="893" t="n">
        <f aca="false">IF(BC50&gt;($CP50+$BF$4),1,0)</f>
        <v>0</v>
      </c>
      <c r="BE50" s="188"/>
      <c r="BF50" s="896" t="n">
        <f aca="false">B50</f>
        <v>38078</v>
      </c>
      <c r="BG50" s="897" t="n">
        <f aca="false">IF($AN50=1,$E50*$BF$5,0)</f>
        <v>0</v>
      </c>
      <c r="BH50" s="976" t="n">
        <f aca="false">IF(Tables!$B$36="Combined Cycle",(BF50-BF49)*24*Assumptions!$B$21,0)</f>
        <v>0</v>
      </c>
      <c r="BI50" s="714" t="n">
        <f aca="false">IF($AN50=1,$E50*$BF$5,0)</f>
        <v>0</v>
      </c>
      <c r="BJ50" s="898" t="n">
        <f aca="false">IF('Monthly Table'!D50&lt;=Tables!$B$21,IF($BJ$10=$BG$10,BG50,IF($BJ$10=$BH$10,BH50,IF($BJ$10=$BI$10,BI50,0))),0)</f>
        <v>0</v>
      </c>
      <c r="BK50" s="288"/>
      <c r="BL50" s="898" t="n">
        <f aca="false">IF($AW50=1,$F50*$BF$5,0)</f>
        <v>0</v>
      </c>
      <c r="BM50" s="898" t="n">
        <f aca="false">IF($BD50=1,($G50+H50)*$BF$5,0)</f>
        <v>0</v>
      </c>
      <c r="BO50" s="898" t="n">
        <f aca="false">IF(AS50=1,BJ50,0)</f>
        <v>0</v>
      </c>
      <c r="BP50" s="898" t="n">
        <f aca="false">IF(AZ50=1,F50*$BF$5,0)</f>
        <v>0</v>
      </c>
      <c r="BR50" s="899" t="n">
        <f aca="false">IF(BJ50&gt;0,INDEX(OperationalDetail,MATCH("Capacity Degradation",ODColumn,0),MATCH('Monthly Table'!C50,ODRow,0)),0)</f>
        <v>0</v>
      </c>
      <c r="BS50" s="900" t="n">
        <f aca="false">BJ50*(1-BR50)*Tables!$C$36</f>
        <v>0</v>
      </c>
      <c r="BT50" s="883" t="n">
        <f aca="false">BS50*AL50/1000</f>
        <v>0</v>
      </c>
      <c r="BU50" s="883" t="n">
        <f aca="false">BT50*K50</f>
        <v>0</v>
      </c>
      <c r="BV50" s="188"/>
      <c r="BW50" s="901" t="n">
        <f aca="false">$BO50*(1-$BR50)*Tables!$C$36</f>
        <v>0</v>
      </c>
      <c r="BX50" s="902" t="n">
        <f aca="false">(BW50*AQ50)/1000</f>
        <v>0</v>
      </c>
      <c r="BY50" s="883" t="n">
        <f aca="false">BX50*K50</f>
        <v>0</v>
      </c>
      <c r="BZ50" s="188"/>
      <c r="CA50" s="901" t="n">
        <f aca="false">$BL50*(1-$BR50)*Tables!$C$36</f>
        <v>0</v>
      </c>
      <c r="CB50" s="902" t="n">
        <f aca="false">(CA50*AU50)/1000</f>
        <v>0</v>
      </c>
      <c r="CC50" s="883" t="n">
        <f aca="false">CB50*K50</f>
        <v>0</v>
      </c>
      <c r="CD50" s="901" t="n">
        <f aca="false">$BP50*(1-$BR50)*Tables!$C$36</f>
        <v>0</v>
      </c>
      <c r="CE50" s="902" t="n">
        <f aca="false">(CD50*AX50)/1000</f>
        <v>0</v>
      </c>
      <c r="CF50" s="883" t="n">
        <f aca="false">CE50*K50</f>
        <v>0</v>
      </c>
      <c r="CH50" s="901" t="n">
        <f aca="false">$BM50*(1-$BR50)*Tables!$C$36</f>
        <v>0</v>
      </c>
      <c r="CI50" s="902" t="n">
        <f aca="false">(CH50*BB50)/1000</f>
        <v>0</v>
      </c>
      <c r="CJ50" s="883" t="n">
        <f aca="false">CI50*K50</f>
        <v>0</v>
      </c>
      <c r="CK50" s="292"/>
      <c r="CL50" s="292" t="n">
        <f aca="false">C50-1</f>
        <v>2003</v>
      </c>
      <c r="CM50" s="903" t="n">
        <f aca="false">INDEX(OperationalDetail,MATCH("Degraded Heat Rate",ODColumn,0),MATCH('Monthly Table'!CL50,ODRow,0))/1000</f>
        <v>12.1321044</v>
      </c>
      <c r="CN50" s="904" t="n">
        <f aca="false">S50*CM50</f>
        <v>53.025336311014</v>
      </c>
      <c r="CO50" s="905" t="n">
        <f aca="false">IF(A50="January",(CO49*(1+Assumptions!$E$32)),CO49)</f>
        <v>7.147899135</v>
      </c>
      <c r="CP50" s="906" t="n">
        <f aca="false">CN50+CO50</f>
        <v>60.173235446014</v>
      </c>
      <c r="CQ50" s="292"/>
      <c r="CR50" s="856" t="str">
        <f aca="false">IF(BJ50=0,"",C50)</f>
        <v/>
      </c>
      <c r="CS50" s="856" t="str">
        <f aca="false">IF(BO50=0,"",$C50)</f>
        <v/>
      </c>
      <c r="CT50" s="856" t="str">
        <f aca="false">IF(BL50=0,"",$C50)</f>
        <v/>
      </c>
      <c r="CU50" s="856" t="str">
        <f aca="false">IF(BP50=0,"",$C50)</f>
        <v/>
      </c>
      <c r="CV50" s="856" t="str">
        <f aca="false">IF(BD50=0,"",$C50)</f>
        <v/>
      </c>
      <c r="CW50" s="907" t="n">
        <f aca="false">YEAR(BF50)</f>
        <v>2004</v>
      </c>
      <c r="CX50" s="908" t="n">
        <f aca="false">INDEX('NY Curve'!$A$4:$G$256,MATCH('Monthly Table'!B50,'NY Curve'!$A$4:$A$256,0),MATCH("New York 5 X 16",'NY Curve'!$A$4:$G$4,0))</f>
        <v>25.4</v>
      </c>
      <c r="CY50" s="909" t="n">
        <f aca="false">K50</f>
        <v>1.4042469732018</v>
      </c>
      <c r="CZ50" s="910" t="n">
        <f aca="false">CX50*CY50</f>
        <v>35.6678731193257</v>
      </c>
      <c r="DB50" s="911"/>
      <c r="DC50" s="911"/>
    </row>
    <row r="51" customFormat="false" ht="18.75" hidden="false" customHeight="true" outlineLevel="0" collapsed="false">
      <c r="A51" s="49" t="s">
        <v>814</v>
      </c>
      <c r="B51" s="863" t="n">
        <v>38108</v>
      </c>
      <c r="C51" s="288" t="n">
        <f aca="false">YEAR(B51)</f>
        <v>2004</v>
      </c>
      <c r="D51" s="864" t="n">
        <f aca="false">IF(A51="January",D50+1,D50)</f>
        <v>4</v>
      </c>
      <c r="E51" s="865" t="n">
        <v>20</v>
      </c>
      <c r="F51" s="866" t="n">
        <v>5</v>
      </c>
      <c r="G51" s="866" t="n">
        <v>5</v>
      </c>
      <c r="H51" s="866" t="n">
        <v>1</v>
      </c>
      <c r="I51" s="867" t="n">
        <f aca="false">SUM(E51:H51)</f>
        <v>31</v>
      </c>
      <c r="J51" s="868"/>
      <c r="K51" s="869" t="n">
        <f aca="false">INDEX(FX!$A$3:$C$362,MATCH(B51,FX!$A$3:$A$362,0),MATCH("Monthly Curve",FX!$A$2:$C$2,0))</f>
        <v>1.4027718067594</v>
      </c>
      <c r="L51" s="869"/>
      <c r="M51" s="914" t="n">
        <v>2.6745</v>
      </c>
      <c r="N51" s="915" t="n">
        <v>0.135</v>
      </c>
      <c r="O51" s="714" t="n">
        <v>0.05</v>
      </c>
      <c r="P51" s="872" t="n">
        <f aca="false">N51+O51</f>
        <v>0.185</v>
      </c>
      <c r="Q51" s="873" t="n">
        <f aca="false">SUM(M51:O51)</f>
        <v>2.8595</v>
      </c>
      <c r="R51" s="974" t="n">
        <f aca="false">IF(A51="January",(R50+R50*Assumptions!$E$32),R50)</f>
        <v>0.318708070153846</v>
      </c>
      <c r="S51" s="875" t="n">
        <f aca="false">(Q51*K51)+R51</f>
        <v>4.32993405158235</v>
      </c>
      <c r="T51" s="869"/>
      <c r="V51" s="897"/>
      <c r="W51" s="897"/>
      <c r="X51" s="971"/>
      <c r="Y51" s="975" t="n">
        <f aca="false">Tables!$D$36</f>
        <v>312</v>
      </c>
      <c r="Z51" s="879" t="n">
        <f aca="false">IF($Z$10=$V$10,V51,IF($Z$10=$W$10,W51,IF($Z$10=$X$10,X51,0)))</f>
        <v>0</v>
      </c>
      <c r="AA51" s="880" t="n">
        <f aca="false">Y51*Z51</f>
        <v>0</v>
      </c>
      <c r="AB51" s="881" t="n">
        <f aca="false">AA51*K51</f>
        <v>0</v>
      </c>
      <c r="AC51" s="188"/>
      <c r="AD51" s="882" t="n">
        <f aca="false">IF(Tables!$E$30="Michigan",INDEX('Michigan Curve'!$A$4:$S$256,MATCH('Monthly Table'!B51,'Michigan Curve'!$A$4:$A$256,0),MATCH("Michigan Selected Option Value US$/month",'Michigan Curve'!$A$4:$S$4,0)),INDEX('NY Curve'!$A$4:$T$256,MATCH('Monthly Table'!B51,'NY Curve'!$A$4:$A$256,0),MATCH("New York Selected Option Value US$/month",'NY Curve'!$A$4:$T$4,0)))</f>
        <v>102853.397251305</v>
      </c>
      <c r="AE51" s="883" t="n">
        <f aca="false">AD51*K51</f>
        <v>144279.845893555</v>
      </c>
      <c r="AF51" s="188"/>
      <c r="AG51" s="884"/>
      <c r="AH51" s="188"/>
      <c r="AI51" s="885" t="n">
        <f aca="false">Assumptions!$B$50</f>
        <v>65</v>
      </c>
      <c r="AJ51" s="916"/>
      <c r="AK51" s="887" t="n">
        <f aca="false">IF(Tables!$E$30="Custom",'Monthly Table'!AI51,IF(Tables!$E$30="New York",INDEX('NY Curve'!$A$4:$G$256,MATCH('Monthly Table'!B51,'NY Curve'!$A$4:$A$256,0),MATCH("Super Peak Curve",'NY Curve'!$A$4:$G$4,0)),IF(Tables!$E$30="New York Flat",INDEX('NY Curve'!$A$4:$G$256,MATCH('Monthly Table'!B51,'NY Curve'!$A$4:$A$256,0),MATCH("Flat NY West",'NY Curve'!$A$4:$G$4,0)),INDEX('Michigan Curve'!$A$4:$F$256,MATCH('Monthly Table'!B51,'Michigan Curve'!$A$4:$A$256,0),MATCH("Michigan Super Peak Curve US$/MWhr",'Michigan Curve'!$A$4:$F$4,0)))))</f>
        <v>31.211250051856</v>
      </c>
      <c r="AL51" s="888" t="n">
        <f aca="false">IF(D51&lt;=Tables!$B$21,IF($AL$10=$AI$10,AI51,IF($AL$10=$AJ$10,AJ51,IF($AL$10=$AK$10,AK51,0))),0)</f>
        <v>31.211250051856</v>
      </c>
      <c r="AM51" s="889" t="n">
        <f aca="false">+AL51*K51</f>
        <v>43.7822616264615</v>
      </c>
      <c r="AN51" s="890" t="n">
        <f aca="false">IF((AL51*K51)&gt;(CP51+$BF$4),1,0)</f>
        <v>0</v>
      </c>
      <c r="AO51" s="891"/>
      <c r="AP51" s="894"/>
      <c r="AQ51" s="892" t="n">
        <f aca="false">IF(Tables!$E$30="New York",INDEX('NY Curve'!$A$4:$L$256,MATCH('Monthly Table'!B51,'NY Curve'!$A$4:$A$256,0),MATCH("New York Shoulder Hour Curve Mon-Fri",'NY Curve'!$A$4:$L$4,0)),IF(Tables!$E$30="Michigan",INDEX('Michigan Curve'!$A$4:$K$256,MATCH('Monthly Table'!B51,'Michigan Curve'!$A$4:$A$256,0),MATCH("Michigan Shoulder Hour Curve Mon-Fri",'Michigan Curve'!$A$4:$K$4,0))))</f>
        <v>26.788749948144</v>
      </c>
      <c r="AR51" s="889" t="n">
        <f aca="false">AQ51*K51</f>
        <v>37.5785031655837</v>
      </c>
      <c r="AS51" s="893" t="n">
        <f aca="false">IF(AR51&gt;($CP51+$BF$4),1,0)</f>
        <v>0</v>
      </c>
      <c r="AT51" s="188"/>
      <c r="AU51" s="892" t="n">
        <f aca="false">IF(Tables!$E$30="New York",INDEX('NY Curve'!$A$4:$L$256,MATCH('Monthly Table'!$B51,'NY Curve'!$A$4:$A$256,0),MATCH("New York Saturday Super Peak",'NY Curve'!$A$4:$L$4,0)),IF(Tables!$E$30="Michigan",INDEX('Michigan Curve'!$A$4:$K$256,MATCH('Monthly Table'!$B51,'Michigan Curve'!$A$4:$A$256,0),MATCH("Michigan Saturday Super Peak",'Michigan Curve'!$A$4:$K$4,0))))</f>
        <v>22.6012500375509</v>
      </c>
      <c r="AV51" s="894" t="n">
        <f aca="false">AU51*K51</f>
        <v>31.7043963501963</v>
      </c>
      <c r="AW51" s="893" t="n">
        <f aca="false">IF(AV51&gt;($CP51+$BF$4),1,0)</f>
        <v>0</v>
      </c>
      <c r="AX51" s="892" t="n">
        <f aca="false">IF(Tables!$E$30="New York",INDEX('NY Curve'!$A$4:$L$256,MATCH('Monthly Table'!$B51,'NY Curve'!$A$4:$A$256,0),MATCH("New York Saturday Shoulder Peak",'NY Curve'!$A$4:$L$4,0)),IF(Tables!$E$30="Michigan",INDEX('Michigan Curve'!$A$4:$K$256,MATCH('Monthly Table'!$B51,'Michigan Curve'!$A$4:$A$256,0),MATCH("Michigan Saturday Shoulder Peak",'Michigan Curve'!$A$4:$K$4,0))))</f>
        <v>19.3987499624491</v>
      </c>
      <c r="AY51" s="895" t="n">
        <f aca="false">AX51*K51</f>
        <v>27.2120195336985</v>
      </c>
      <c r="AZ51" s="893" t="n">
        <f aca="false">IF(AY51&gt;($CP51+$BF$4),1,0)</f>
        <v>0</v>
      </c>
      <c r="BA51" s="188"/>
      <c r="BB51" s="892" t="n">
        <f aca="false">IF(Tables!$E$30="New York",INDEX('NY Curve'!$A$4:$M$256,MATCH('Monthly Table'!$B51,'NY Curve'!$A$4:$A$256,0),MATCH("NY Sunday Super Peak",'NY Curve'!$A$4:$M$4,0)),IF(Tables!$E$30="Michigan",INDEX('Michigan Curve'!$A$4:$L$256,MATCH('Monthly Table'!$B51,'Michigan Curve'!$A$4:$A$256,0),MATCH("Michigan Sunday Super Peak",'Michigan Curve'!$A$4:$L$4,0))))</f>
        <v>21.5303803825468</v>
      </c>
      <c r="BC51" s="894" t="n">
        <f aca="false">BB51*K51</f>
        <v>30.2022105894423</v>
      </c>
      <c r="BD51" s="893" t="n">
        <f aca="false">IF(BC51&gt;($CP51+$BF$4),1,0)</f>
        <v>0</v>
      </c>
      <c r="BE51" s="188"/>
      <c r="BF51" s="896" t="n">
        <f aca="false">B51</f>
        <v>38108</v>
      </c>
      <c r="BG51" s="897" t="n">
        <f aca="false">IF($AN51=1,$E51*$BF$5,0)</f>
        <v>0</v>
      </c>
      <c r="BH51" s="976" t="n">
        <f aca="false">IF(Tables!$B$36="Combined Cycle",(BF51-BF50)*24*Assumptions!$B$21,0)</f>
        <v>0</v>
      </c>
      <c r="BI51" s="714" t="n">
        <f aca="false">IF($AN51=1,$E51*$BF$5,0)</f>
        <v>0</v>
      </c>
      <c r="BJ51" s="898" t="n">
        <f aca="false">IF('Monthly Table'!D51&lt;=Tables!$B$21,IF($BJ$10=$BG$10,BG51,IF($BJ$10=$BH$10,BH51,IF($BJ$10=$BI$10,BI51,0))),0)</f>
        <v>0</v>
      </c>
      <c r="BK51" s="288"/>
      <c r="BL51" s="898" t="n">
        <f aca="false">IF($AW51=1,$F51*$BF$5,0)</f>
        <v>0</v>
      </c>
      <c r="BM51" s="898" t="n">
        <f aca="false">IF($BD51=1,($G51+H51)*$BF$5,0)</f>
        <v>0</v>
      </c>
      <c r="BO51" s="898" t="n">
        <f aca="false">IF(AS51=1,BJ51,0)</f>
        <v>0</v>
      </c>
      <c r="BP51" s="898" t="n">
        <f aca="false">IF(AZ51=1,F51*$BF$5,0)</f>
        <v>0</v>
      </c>
      <c r="BR51" s="899" t="n">
        <f aca="false">IF(BJ51&gt;0,INDEX(OperationalDetail,MATCH("Capacity Degradation",ODColumn,0),MATCH('Monthly Table'!C51,ODRow,0)),0)</f>
        <v>0</v>
      </c>
      <c r="BS51" s="900" t="n">
        <f aca="false">BJ51*(1-BR51)*Tables!$C$36</f>
        <v>0</v>
      </c>
      <c r="BT51" s="883" t="n">
        <f aca="false">BS51*AL51/1000</f>
        <v>0</v>
      </c>
      <c r="BU51" s="883" t="n">
        <f aca="false">BT51*K51</f>
        <v>0</v>
      </c>
      <c r="BV51" s="188"/>
      <c r="BW51" s="901" t="n">
        <f aca="false">$BO51*(1-$BR51)*Tables!$C$36</f>
        <v>0</v>
      </c>
      <c r="BX51" s="902" t="n">
        <f aca="false">(BW51*AQ51)/1000</f>
        <v>0</v>
      </c>
      <c r="BY51" s="883" t="n">
        <f aca="false">BX51*K51</f>
        <v>0</v>
      </c>
      <c r="BZ51" s="188"/>
      <c r="CA51" s="901" t="n">
        <f aca="false">$BL51*(1-$BR51)*Tables!$C$36</f>
        <v>0</v>
      </c>
      <c r="CB51" s="902" t="n">
        <f aca="false">(CA51*AU51)/1000</f>
        <v>0</v>
      </c>
      <c r="CC51" s="883" t="n">
        <f aca="false">CB51*K51</f>
        <v>0</v>
      </c>
      <c r="CD51" s="901" t="n">
        <f aca="false">$BP51*(1-$BR51)*Tables!$C$36</f>
        <v>0</v>
      </c>
      <c r="CE51" s="902" t="n">
        <f aca="false">(CD51*AX51)/1000</f>
        <v>0</v>
      </c>
      <c r="CF51" s="883" t="n">
        <f aca="false">CE51*K51</f>
        <v>0</v>
      </c>
      <c r="CH51" s="901" t="n">
        <f aca="false">$BM51*(1-$BR51)*Tables!$C$36</f>
        <v>0</v>
      </c>
      <c r="CI51" s="902" t="n">
        <f aca="false">(CH51*BB51)/1000</f>
        <v>0</v>
      </c>
      <c r="CJ51" s="883" t="n">
        <f aca="false">CI51*K51</f>
        <v>0</v>
      </c>
      <c r="CK51" s="292"/>
      <c r="CL51" s="292" t="n">
        <f aca="false">C51-1</f>
        <v>2003</v>
      </c>
      <c r="CM51" s="903" t="n">
        <f aca="false">INDEX(OperationalDetail,MATCH("Degraded Heat Rate",ODColumn,0),MATCH('Monthly Table'!CL51,ODRow,0))/1000</f>
        <v>12.1321044</v>
      </c>
      <c r="CN51" s="904" t="n">
        <f aca="false">S51*CM51</f>
        <v>52.531211958912</v>
      </c>
      <c r="CO51" s="905" t="n">
        <f aca="false">IF(A51="January",(CO50*(1+Assumptions!$E$32)),CO50)</f>
        <v>7.147899135</v>
      </c>
      <c r="CP51" s="906" t="n">
        <f aca="false">CN51+CO51</f>
        <v>59.679111093912</v>
      </c>
      <c r="CQ51" s="292"/>
      <c r="CR51" s="856" t="str">
        <f aca="false">IF(BJ51=0,"",C51)</f>
        <v/>
      </c>
      <c r="CS51" s="856" t="str">
        <f aca="false">IF(BO51=0,"",$C51)</f>
        <v/>
      </c>
      <c r="CT51" s="856" t="str">
        <f aca="false">IF(BL51=0,"",$C51)</f>
        <v/>
      </c>
      <c r="CU51" s="856" t="str">
        <f aca="false">IF(BP51=0,"",$C51)</f>
        <v/>
      </c>
      <c r="CV51" s="856" t="str">
        <f aca="false">IF(BD51=0,"",$C51)</f>
        <v/>
      </c>
      <c r="CW51" s="907" t="n">
        <f aca="false">YEAR(BF51)</f>
        <v>2004</v>
      </c>
      <c r="CX51" s="908" t="n">
        <f aca="false">INDEX('NY Curve'!$A$4:$G$256,MATCH('Monthly Table'!B51,'NY Curve'!$A$4:$A$256,0),MATCH("New York 5 X 16",'NY Curve'!$A$4:$G$4,0))</f>
        <v>29.65</v>
      </c>
      <c r="CY51" s="909" t="n">
        <f aca="false">K51</f>
        <v>1.4027718067594</v>
      </c>
      <c r="CZ51" s="910" t="n">
        <f aca="false">CX51*CY51</f>
        <v>41.5921840704162</v>
      </c>
      <c r="DB51" s="911"/>
      <c r="DC51" s="911"/>
    </row>
    <row r="52" customFormat="false" ht="18.75" hidden="false" customHeight="true" outlineLevel="0" collapsed="false">
      <c r="A52" s="49" t="s">
        <v>815</v>
      </c>
      <c r="B52" s="863" t="n">
        <v>38139</v>
      </c>
      <c r="C52" s="288" t="n">
        <f aca="false">YEAR(B52)</f>
        <v>2004</v>
      </c>
      <c r="D52" s="864" t="n">
        <f aca="false">IF(A52="January",D51+1,D51)</f>
        <v>4</v>
      </c>
      <c r="E52" s="865" t="n">
        <v>22</v>
      </c>
      <c r="F52" s="866" t="n">
        <v>4</v>
      </c>
      <c r="G52" s="866" t="n">
        <v>4</v>
      </c>
      <c r="H52" s="866" t="n">
        <v>0</v>
      </c>
      <c r="I52" s="867" t="n">
        <f aca="false">SUM(E52:H52)</f>
        <v>30</v>
      </c>
      <c r="J52" s="868"/>
      <c r="K52" s="869" t="n">
        <f aca="false">INDEX(FX!$A$3:$C$362,MATCH(B52,FX!$A$3:$A$362,0),MATCH("Monthly Curve",FX!$A$2:$C$2,0))</f>
        <v>1.40122808458822</v>
      </c>
      <c r="L52" s="869"/>
      <c r="M52" s="914" t="n">
        <v>2.6835</v>
      </c>
      <c r="N52" s="915" t="n">
        <v>0.135</v>
      </c>
      <c r="O52" s="714" t="n">
        <v>0.05</v>
      </c>
      <c r="P52" s="872" t="n">
        <f aca="false">N52+O52</f>
        <v>0.185</v>
      </c>
      <c r="Q52" s="873" t="n">
        <f aca="false">SUM(M52:O52)</f>
        <v>2.8685</v>
      </c>
      <c r="R52" s="974" t="n">
        <f aca="false">IF(A52="January",(R51+R51*Assumptions!$E$32),R51)</f>
        <v>0.318708070153846</v>
      </c>
      <c r="S52" s="875" t="n">
        <f aca="false">(Q52*K52)+R52</f>
        <v>4.33813083079516</v>
      </c>
      <c r="T52" s="869"/>
      <c r="U52" s="917"/>
      <c r="V52" s="876"/>
      <c r="W52" s="876"/>
      <c r="X52" s="973"/>
      <c r="Y52" s="975" t="n">
        <f aca="false">Tables!$D$36</f>
        <v>312</v>
      </c>
      <c r="Z52" s="879" t="n">
        <f aca="false">IF($Z$10=$V$10,V52,IF($Z$10=$W$10,W52,IF($Z$10=$X$10,X52,0)))</f>
        <v>0</v>
      </c>
      <c r="AA52" s="880" t="n">
        <f aca="false">Y52*Z52</f>
        <v>0</v>
      </c>
      <c r="AB52" s="881" t="n">
        <f aca="false">AA52*K52</f>
        <v>0</v>
      </c>
      <c r="AC52" s="188"/>
      <c r="AD52" s="882" t="n">
        <f aca="false">IF(Tables!$E$30="Michigan",INDEX('Michigan Curve'!$A$4:$S$256,MATCH('Monthly Table'!B52,'Michigan Curve'!$A$4:$A$256,0),MATCH("Michigan Selected Option Value US$/month",'Michigan Curve'!$A$4:$S$4,0)),INDEX('NY Curve'!$A$4:$T$256,MATCH('Monthly Table'!B52,'NY Curve'!$A$4:$A$256,0),MATCH("New York Selected Option Value US$/month",'NY Curve'!$A$4:$T$4,0)))</f>
        <v>413405.724066981</v>
      </c>
      <c r="AE52" s="883" t="n">
        <f aca="false">AD52*K52</f>
        <v>579275.710892182</v>
      </c>
      <c r="AF52" s="188"/>
      <c r="AG52" s="884"/>
      <c r="AH52" s="188"/>
      <c r="AI52" s="885" t="n">
        <f aca="false">Assumptions!$B$50</f>
        <v>65</v>
      </c>
      <c r="AJ52" s="916"/>
      <c r="AK52" s="887" t="n">
        <f aca="false">IF(Tables!$E$30="Custom",'Monthly Table'!AI52,IF(Tables!$E$30="New York",INDEX('NY Curve'!$A$4:$G$256,MATCH('Monthly Table'!B52,'NY Curve'!$A$4:$A$256,0),MATCH("Super Peak Curve",'NY Curve'!$A$4:$G$4,0)),IF(Tables!$E$30="New York Flat",INDEX('NY Curve'!$A$4:$G$256,MATCH('Monthly Table'!B52,'NY Curve'!$A$4:$A$256,0),MATCH("Flat NY West",'NY Curve'!$A$4:$G$4,0)),INDEX('Michigan Curve'!$A$4:$F$256,MATCH('Monthly Table'!B52,'Michigan Curve'!$A$4:$A$256,0),MATCH("Michigan Super Peak Curve US$/MWhr",'Michigan Curve'!$A$4:$F$4,0)))))</f>
        <v>70.9369950236904</v>
      </c>
      <c r="AL52" s="888" t="n">
        <f aca="false">IF(D52&lt;=Tables!$B$21,IF($AL$10=$AI$10,AI52,IF($AL$10=$AJ$10,AJ52,IF($AL$10=$AK$10,AK52,0))),0)</f>
        <v>70.9369950236904</v>
      </c>
      <c r="AM52" s="889" t="n">
        <f aca="false">+AL52*K52</f>
        <v>99.3989096634899</v>
      </c>
      <c r="AN52" s="890" t="n">
        <f aca="false">IF((AL52*K52)&gt;(CP52+$BF$4),1,0)</f>
        <v>1</v>
      </c>
      <c r="AO52" s="891"/>
      <c r="AP52" s="894"/>
      <c r="AQ52" s="892" t="n">
        <f aca="false">IF(Tables!$E$30="New York",INDEX('NY Curve'!$A$4:$L$256,MATCH('Monthly Table'!B52,'NY Curve'!$A$4:$A$256,0),MATCH("New York Shoulder Hour Curve Mon-Fri",'NY Curve'!$A$4:$L$4,0)),IF(Tables!$E$30="Michigan",INDEX('Michigan Curve'!$A$4:$K$256,MATCH('Monthly Table'!B52,'Michigan Curve'!$A$4:$A$256,0),MATCH("Michigan Shoulder Hour Curve Mon-Fri",'Michigan Curve'!$A$4:$K$4,0))))</f>
        <v>21.5630049763096</v>
      </c>
      <c r="AR52" s="889" t="n">
        <f aca="false">AQ52*K52</f>
        <v>30.2146881609205</v>
      </c>
      <c r="AS52" s="893" t="n">
        <f aca="false">IF(AR52&gt;($CP52+$BF$4),1,0)</f>
        <v>0</v>
      </c>
      <c r="AT52" s="188"/>
      <c r="AU52" s="892" t="n">
        <f aca="false">IF(Tables!$E$30="New York",INDEX('NY Curve'!$A$4:$L$256,MATCH('Monthly Table'!$B52,'NY Curve'!$A$4:$A$256,0),MATCH("New York Saturday Super Peak",'NY Curve'!$A$4:$L$4,0)),IF(Tables!$E$30="Michigan",INDEX('Michigan Curve'!$A$4:$K$256,MATCH('Monthly Table'!$B52,'Michigan Curve'!$A$4:$A$256,0),MATCH("Michigan Saturday Super Peak",'Michigan Curve'!$A$4:$K$4,0))))</f>
        <v>39.8780944998044</v>
      </c>
      <c r="AV52" s="894" t="n">
        <f aca="false">AU52*K52</f>
        <v>55.8783059729889</v>
      </c>
      <c r="AW52" s="893" t="n">
        <f aca="false">IF(AV52&gt;($CP52+$BF$4),1,0)</f>
        <v>0</v>
      </c>
      <c r="AX52" s="892" t="n">
        <f aca="false">IF(Tables!$E$30="New York",INDEX('NY Curve'!$A$4:$L$256,MATCH('Monthly Table'!$B52,'NY Curve'!$A$4:$A$256,0),MATCH("New York Saturday Shoulder Peak",'NY Curve'!$A$4:$L$4,0)),IF(Tables!$E$30="Michigan",INDEX('Michigan Curve'!$A$4:$K$256,MATCH('Monthly Table'!$B52,'Michigan Curve'!$A$4:$A$256,0),MATCH("Michigan Saturday Shoulder Peak",'Michigan Curve'!$A$4:$K$4,0))))</f>
        <v>12.1219055001956</v>
      </c>
      <c r="AY52" s="895" t="n">
        <f aca="false">AX52*K52</f>
        <v>16.9855544255986</v>
      </c>
      <c r="AZ52" s="893" t="n">
        <f aca="false">IF(AY52&gt;($CP52+$BF$4),1,0)</f>
        <v>0</v>
      </c>
      <c r="BA52" s="188"/>
      <c r="BB52" s="892" t="n">
        <f aca="false">IF(Tables!$E$30="New York",INDEX('NY Curve'!$A$4:$M$256,MATCH('Monthly Table'!$B52,'NY Curve'!$A$4:$A$256,0),MATCH("NY Sunday Super Peak",'NY Curve'!$A$4:$M$4,0)),IF(Tables!$E$30="Michigan",INDEX('Michigan Curve'!$A$4:$L$256,MATCH('Monthly Table'!$B52,'Michigan Curve'!$A$4:$A$256,0),MATCH("Michigan Sunday Super Peak",'Michigan Curve'!$A$4:$L$4,0))))</f>
        <v>36.8105487690502</v>
      </c>
      <c r="BC52" s="894" t="n">
        <f aca="false">BB52*K52</f>
        <v>51.5799747442974</v>
      </c>
      <c r="BD52" s="893" t="n">
        <f aca="false">IF(BC52&gt;($CP52+$BF$4),1,0)</f>
        <v>0</v>
      </c>
      <c r="BE52" s="188"/>
      <c r="BF52" s="896" t="n">
        <f aca="false">B52</f>
        <v>38139</v>
      </c>
      <c r="BG52" s="897" t="n">
        <f aca="false">IF($AN52=1,$E52*$BF$5,0)</f>
        <v>176</v>
      </c>
      <c r="BH52" s="976" t="n">
        <f aca="false">IF(Tables!$B$36="Combined Cycle",(BF52-BF51)*24*Assumptions!$B$21,0)</f>
        <v>0</v>
      </c>
      <c r="BI52" s="714" t="n">
        <f aca="false">IF($AN52=1,$E52*$BF$5,0)</f>
        <v>176</v>
      </c>
      <c r="BJ52" s="898" t="n">
        <f aca="false">IF('Monthly Table'!D52&lt;=Tables!$B$21,IF($BJ$10=$BG$10,BG52,IF($BJ$10=$BH$10,BH52,IF($BJ$10=$BI$10,BI52,0))),0)</f>
        <v>176</v>
      </c>
      <c r="BK52" s="288"/>
      <c r="BL52" s="898" t="n">
        <f aca="false">IF($AW52=1,$F52*$BF$5,0)</f>
        <v>0</v>
      </c>
      <c r="BM52" s="898" t="n">
        <f aca="false">IF($BD52=1,($G52+H52)*$BF$5,0)</f>
        <v>0</v>
      </c>
      <c r="BO52" s="898" t="n">
        <f aca="false">IF(AS52=1,BJ52,0)</f>
        <v>0</v>
      </c>
      <c r="BP52" s="898" t="n">
        <f aca="false">IF(AZ52=1,F52*$BF$5,0)</f>
        <v>0</v>
      </c>
      <c r="BR52" s="899" t="n">
        <f aca="false">IF(BJ52&gt;0,INDEX(OperationalDetail,MATCH("Capacity Degradation",ODColumn,0),MATCH('Monthly Table'!C52,ODRow,0)),0)</f>
        <v>0.01698</v>
      </c>
      <c r="BS52" s="900" t="n">
        <f aca="false">BJ52*(1-BR52)*Tables!$C$36</f>
        <v>56055.73248</v>
      </c>
      <c r="BT52" s="883" t="n">
        <f aca="false">BS52*AL52/1000</f>
        <v>3976.42521598308</v>
      </c>
      <c r="BU52" s="883" t="n">
        <f aca="false">BT52*K52</f>
        <v>5571.87868890027</v>
      </c>
      <c r="BV52" s="188"/>
      <c r="BW52" s="901" t="n">
        <f aca="false">$BO52*(1-$BR52)*Tables!$C$36</f>
        <v>0</v>
      </c>
      <c r="BX52" s="902" t="n">
        <f aca="false">(BW52*AQ52)/1000</f>
        <v>0</v>
      </c>
      <c r="BY52" s="883" t="n">
        <f aca="false">BX52*K52</f>
        <v>0</v>
      </c>
      <c r="BZ52" s="188"/>
      <c r="CA52" s="901" t="n">
        <f aca="false">$BL52*(1-$BR52)*Tables!$C$36</f>
        <v>0</v>
      </c>
      <c r="CB52" s="902" t="n">
        <f aca="false">(CA52*AU52)/1000</f>
        <v>0</v>
      </c>
      <c r="CC52" s="883" t="n">
        <f aca="false">CB52*K52</f>
        <v>0</v>
      </c>
      <c r="CD52" s="901" t="n">
        <f aca="false">$BP52*(1-$BR52)*Tables!$C$36</f>
        <v>0</v>
      </c>
      <c r="CE52" s="902" t="n">
        <f aca="false">(CD52*AX52)/1000</f>
        <v>0</v>
      </c>
      <c r="CF52" s="883" t="n">
        <f aca="false">CE52*K52</f>
        <v>0</v>
      </c>
      <c r="CH52" s="901" t="n">
        <f aca="false">$BM52*(1-$BR52)*Tables!$C$36</f>
        <v>0</v>
      </c>
      <c r="CI52" s="902" t="n">
        <f aca="false">(CH52*BB52)/1000</f>
        <v>0</v>
      </c>
      <c r="CJ52" s="883" t="n">
        <f aca="false">CI52*K52</f>
        <v>0</v>
      </c>
      <c r="CK52" s="292"/>
      <c r="CL52" s="292" t="n">
        <f aca="false">C52-1</f>
        <v>2003</v>
      </c>
      <c r="CM52" s="903" t="n">
        <f aca="false">INDEX(OperationalDetail,MATCH("Degraded Heat Rate",ODColumn,0),MATCH('Monthly Table'!CL52,ODRow,0))/1000</f>
        <v>12.1321044</v>
      </c>
      <c r="CN52" s="904" t="n">
        <f aca="false">S52*CM52</f>
        <v>52.6306561400656</v>
      </c>
      <c r="CO52" s="905" t="n">
        <f aca="false">IF(A52="January",(CO51*(1+Assumptions!$E$32)),CO51)</f>
        <v>7.147899135</v>
      </c>
      <c r="CP52" s="906" t="n">
        <f aca="false">CN52+CO52</f>
        <v>59.7785552750656</v>
      </c>
      <c r="CQ52" s="292"/>
      <c r="CR52" s="856" t="n">
        <f aca="false">IF(BJ52=0,"",C52)</f>
        <v>2004</v>
      </c>
      <c r="CS52" s="856" t="str">
        <f aca="false">IF(BO52=0,"",$C52)</f>
        <v/>
      </c>
      <c r="CT52" s="856" t="str">
        <f aca="false">IF(BL52=0,"",$C52)</f>
        <v/>
      </c>
      <c r="CU52" s="856" t="str">
        <f aca="false">IF(BP52=0,"",$C52)</f>
        <v/>
      </c>
      <c r="CV52" s="856" t="str">
        <f aca="false">IF(BD52=0,"",$C52)</f>
        <v/>
      </c>
      <c r="CW52" s="907" t="n">
        <f aca="false">YEAR(BF52)</f>
        <v>2004</v>
      </c>
      <c r="CX52" s="908" t="n">
        <f aca="false">INDEX('NY Curve'!$A$4:$G$256,MATCH('Monthly Table'!B52,'NY Curve'!$A$4:$A$256,0),MATCH("New York 5 X 16",'NY Curve'!$A$4:$G$4,0))</f>
        <v>47.75</v>
      </c>
      <c r="CY52" s="909" t="n">
        <f aca="false">K52</f>
        <v>1.40122808458822</v>
      </c>
      <c r="CZ52" s="910" t="n">
        <f aca="false">CX52*CY52</f>
        <v>66.9086410390875</v>
      </c>
      <c r="DB52" s="911"/>
      <c r="DC52" s="911"/>
    </row>
    <row r="53" customFormat="false" ht="18.75" hidden="false" customHeight="true" outlineLevel="0" collapsed="false">
      <c r="A53" s="49" t="s">
        <v>816</v>
      </c>
      <c r="B53" s="863" t="n">
        <v>38169</v>
      </c>
      <c r="C53" s="288" t="n">
        <f aca="false">YEAR(B53)</f>
        <v>2004</v>
      </c>
      <c r="D53" s="864" t="n">
        <f aca="false">IF(A53="January",D52+1,D52)</f>
        <v>4</v>
      </c>
      <c r="E53" s="865" t="n">
        <v>21</v>
      </c>
      <c r="F53" s="866" t="n">
        <v>5</v>
      </c>
      <c r="G53" s="866" t="n">
        <v>4</v>
      </c>
      <c r="H53" s="866" t="n">
        <v>1</v>
      </c>
      <c r="I53" s="867" t="n">
        <f aca="false">SUM(E53:H53)</f>
        <v>31</v>
      </c>
      <c r="J53" s="868"/>
      <c r="K53" s="869" t="n">
        <f aca="false">INDEX(FX!$A$3:$C$362,MATCH(B53,FX!$A$3:$A$362,0),MATCH("Monthly Curve",FX!$A$2:$C$2,0))</f>
        <v>1.39971546738061</v>
      </c>
      <c r="L53" s="869"/>
      <c r="M53" s="914" t="n">
        <v>2.6925</v>
      </c>
      <c r="N53" s="915" t="n">
        <v>0.135</v>
      </c>
      <c r="O53" s="714" t="n">
        <v>0.05</v>
      </c>
      <c r="P53" s="872" t="n">
        <f aca="false">N53+O53</f>
        <v>0.185</v>
      </c>
      <c r="Q53" s="873" t="n">
        <f aca="false">SUM(M53:O53)</f>
        <v>2.8775</v>
      </c>
      <c r="R53" s="974" t="n">
        <f aca="false">IF(A53="January",(R52+R52*Assumptions!$E$32),R52)</f>
        <v>0.318708070153846</v>
      </c>
      <c r="S53" s="875" t="n">
        <f aca="false">(Q53*K53)+R53</f>
        <v>4.34638932754155</v>
      </c>
      <c r="T53" s="869"/>
      <c r="V53" s="876"/>
      <c r="W53" s="876"/>
      <c r="X53" s="971"/>
      <c r="Y53" s="975" t="n">
        <f aca="false">Tables!$D$36</f>
        <v>312</v>
      </c>
      <c r="Z53" s="879" t="n">
        <f aca="false">IF($Z$10=$V$10,V53,IF($Z$10=$W$10,W53,IF($Z$10=$X$10,X53,0)))</f>
        <v>0</v>
      </c>
      <c r="AA53" s="880" t="n">
        <f aca="false">Y53*Z53</f>
        <v>0</v>
      </c>
      <c r="AB53" s="881" t="n">
        <f aca="false">AA53*K53</f>
        <v>0</v>
      </c>
      <c r="AC53" s="188"/>
      <c r="AD53" s="882" t="n">
        <f aca="false">IF(Tables!$E$30="Michigan",INDEX('Michigan Curve'!$A$4:$S$256,MATCH('Monthly Table'!B53,'Michigan Curve'!$A$4:$A$256,0),MATCH("Michigan Selected Option Value US$/month",'Michigan Curve'!$A$4:$S$4,0)),INDEX('NY Curve'!$A$4:$T$256,MATCH('Monthly Table'!B53,'NY Curve'!$A$4:$A$256,0),MATCH("New York Selected Option Value US$/month",'NY Curve'!$A$4:$T$4,0)))</f>
        <v>665965.168038763</v>
      </c>
      <c r="AE53" s="883" t="n">
        <f aca="false">AD53*K53</f>
        <v>932161.746440584</v>
      </c>
      <c r="AF53" s="188"/>
      <c r="AG53" s="884"/>
      <c r="AH53" s="188"/>
      <c r="AI53" s="885" t="n">
        <f aca="false">Assumptions!$B$50</f>
        <v>65</v>
      </c>
      <c r="AJ53" s="916"/>
      <c r="AK53" s="887" t="n">
        <f aca="false">IF(Tables!$E$30="Custom",'Monthly Table'!AI53,IF(Tables!$E$30="New York",INDEX('NY Curve'!$A$4:$G$256,MATCH('Monthly Table'!B53,'NY Curve'!$A$4:$A$256,0),MATCH("Super Peak Curve",'NY Curve'!$A$4:$G$4,0)),IF(Tables!$E$30="New York Flat",INDEX('NY Curve'!$A$4:$G$256,MATCH('Monthly Table'!B53,'NY Curve'!$A$4:$A$256,0),MATCH("Flat NY West",'NY Curve'!$A$4:$G$4,0)),INDEX('Michigan Curve'!$A$4:$F$256,MATCH('Monthly Table'!B53,'Michigan Curve'!$A$4:$A$256,0),MATCH("Michigan Super Peak Curve US$/MWhr",'Michigan Curve'!$A$4:$F$4,0)))))</f>
        <v>123.143722308232</v>
      </c>
      <c r="AL53" s="888" t="n">
        <f aca="false">IF(D53&lt;=Tables!$B$21,IF($AL$10=$AI$10,AI53,IF($AL$10=$AJ$10,AJ53,IF($AL$10=$AK$10,AK53,0))),0)</f>
        <v>123.143722308232</v>
      </c>
      <c r="AM53" s="889" t="n">
        <f aca="false">+AL53*K53</f>
        <v>172.366172825656</v>
      </c>
      <c r="AN53" s="890" t="n">
        <f aca="false">IF((AL53*K53)&gt;(CP53+$BF$4),1,0)</f>
        <v>1</v>
      </c>
      <c r="AO53" s="891"/>
      <c r="AP53" s="894"/>
      <c r="AQ53" s="892" t="n">
        <f aca="false">IF(Tables!$E$30="New York",INDEX('NY Curve'!$A$4:$L$256,MATCH('Monthly Table'!B53,'NY Curve'!$A$4:$A$256,0),MATCH("New York Shoulder Hour Curve Mon-Fri",'NY Curve'!$A$4:$L$4,0)),IF(Tables!$E$30="Michigan",INDEX('Michigan Curve'!$A$4:$K$256,MATCH('Monthly Table'!B53,'Michigan Curve'!$A$4:$A$256,0),MATCH("Michigan Shoulder Hour Curve Mon-Fri",'Michigan Curve'!$A$4:$K$4,0))))</f>
        <v>26.8562776917675</v>
      </c>
      <c r="AR53" s="889" t="n">
        <f aca="false">AQ53*K53</f>
        <v>37.5911472814359</v>
      </c>
      <c r="AS53" s="893" t="n">
        <f aca="false">IF(AR53&gt;($CP53+$BF$4),1,0)</f>
        <v>0</v>
      </c>
      <c r="AT53" s="188"/>
      <c r="AU53" s="892" t="n">
        <f aca="false">IF(Tables!$E$30="New York",INDEX('NY Curve'!$A$4:$L$256,MATCH('Monthly Table'!$B53,'NY Curve'!$A$4:$A$256,0),MATCH("New York Saturday Super Peak",'NY Curve'!$A$4:$L$4,0)),IF(Tables!$E$30="Michigan",INDEX('Michigan Curve'!$A$4:$K$256,MATCH('Monthly Table'!$B53,'Michigan Curve'!$A$4:$A$256,0),MATCH("Michigan Saturday Super Peak",'Michigan Curve'!$A$4:$K$4,0))))</f>
        <v>57.4670704105085</v>
      </c>
      <c r="AV53" s="894" t="n">
        <f aca="false">AU53*K53</f>
        <v>80.4375473186393</v>
      </c>
      <c r="AW53" s="893" t="n">
        <f aca="false">IF(AV53&gt;($CP53+$BF$4),1,0)</f>
        <v>1</v>
      </c>
      <c r="AX53" s="892" t="n">
        <f aca="false">IF(Tables!$E$30="New York",INDEX('NY Curve'!$A$4:$L$256,MATCH('Monthly Table'!$B53,'NY Curve'!$A$4:$A$256,0),MATCH("New York Saturday Shoulder Peak",'NY Curve'!$A$4:$L$4,0)),IF(Tables!$E$30="Michigan",INDEX('Michigan Curve'!$A$4:$K$256,MATCH('Monthly Table'!$B53,'Michigan Curve'!$A$4:$A$256,0),MATCH("Michigan Saturday Shoulder Peak",'Michigan Curve'!$A$4:$K$4,0))))</f>
        <v>12.5329295894915</v>
      </c>
      <c r="AY53" s="895" t="n">
        <f aca="false">AX53*K53</f>
        <v>17.5425353980034</v>
      </c>
      <c r="AZ53" s="893" t="n">
        <f aca="false">IF(AY53&gt;($CP53+$BF$4),1,0)</f>
        <v>0</v>
      </c>
      <c r="BA53" s="188"/>
      <c r="BB53" s="892" t="n">
        <f aca="false">IF(Tables!$E$30="New York",INDEX('NY Curve'!$A$4:$M$256,MATCH('Monthly Table'!$B53,'NY Curve'!$A$4:$A$256,0),MATCH("NY Sunday Super Peak",'NY Curve'!$A$4:$M$4,0)),IF(Tables!$E$30="Michigan",INDEX('Michigan Curve'!$A$4:$L$256,MATCH('Monthly Table'!$B53,'Michigan Curve'!$A$4:$A$256,0),MATCH("Michigan Sunday Super Peak",'Michigan Curve'!$A$4:$L$4,0))))</f>
        <v>50.8994020890293</v>
      </c>
      <c r="BC53" s="894" t="n">
        <f aca="false">BB53*K53</f>
        <v>71.2446803844392</v>
      </c>
      <c r="BD53" s="893" t="n">
        <f aca="false">IF(BC53&gt;($CP53+$BF$4),1,0)</f>
        <v>1</v>
      </c>
      <c r="BE53" s="188"/>
      <c r="BF53" s="896" t="n">
        <f aca="false">B53</f>
        <v>38169</v>
      </c>
      <c r="BG53" s="897" t="n">
        <f aca="false">IF($AN53=1,$E53*$BF$5,0)</f>
        <v>168</v>
      </c>
      <c r="BH53" s="976" t="n">
        <f aca="false">IF(Tables!$B$36="Combined Cycle",(BF53-BF52)*24*Assumptions!$B$21,0)</f>
        <v>0</v>
      </c>
      <c r="BI53" s="714" t="n">
        <f aca="false">IF($AN53=1,$E53*$BF$5,0)</f>
        <v>168</v>
      </c>
      <c r="BJ53" s="898" t="n">
        <f aca="false">IF('Monthly Table'!D53&lt;=Tables!$B$21,IF($BJ$10=$BG$10,BG53,IF($BJ$10=$BH$10,BH53,IF($BJ$10=$BI$10,BI53,0))),0)</f>
        <v>168</v>
      </c>
      <c r="BK53" s="288"/>
      <c r="BL53" s="898" t="n">
        <f aca="false">IF($AW53=1,$F53*$BF$5,0)</f>
        <v>40</v>
      </c>
      <c r="BM53" s="898" t="n">
        <f aca="false">IF($BD53=1,($G53+H53)*$BF$5,0)</f>
        <v>40</v>
      </c>
      <c r="BO53" s="898" t="n">
        <f aca="false">IF(AS53=1,BJ53,0)</f>
        <v>0</v>
      </c>
      <c r="BP53" s="898" t="n">
        <f aca="false">IF(AZ53=1,F53*$BF$5,0)</f>
        <v>0</v>
      </c>
      <c r="BR53" s="899" t="n">
        <f aca="false">IF(BJ53&gt;0,INDEX(OperationalDetail,MATCH("Capacity Degradation",ODColumn,0),MATCH('Monthly Table'!C53,ODRow,0)),0)</f>
        <v>0.01698</v>
      </c>
      <c r="BS53" s="900" t="n">
        <f aca="false">BJ53*(1-BR53)*Tables!$C$36</f>
        <v>53507.74464</v>
      </c>
      <c r="BT53" s="883" t="n">
        <f aca="false">BS53*AL53/1000</f>
        <v>6589.14284728797</v>
      </c>
      <c r="BU53" s="883" t="n">
        <f aca="false">BT53*K53</f>
        <v>9222.92516012929</v>
      </c>
      <c r="BV53" s="188"/>
      <c r="BW53" s="901" t="n">
        <f aca="false">$BO53*(1-$BR53)*Tables!$C$36</f>
        <v>0</v>
      </c>
      <c r="BX53" s="902" t="n">
        <f aca="false">(BW53*AQ53)/1000</f>
        <v>0</v>
      </c>
      <c r="BY53" s="883" t="n">
        <f aca="false">BX53*K53</f>
        <v>0</v>
      </c>
      <c r="BZ53" s="188"/>
      <c r="CA53" s="901" t="n">
        <f aca="false">$BL53*(1-$BR53)*Tables!$C$36</f>
        <v>12739.9392</v>
      </c>
      <c r="CB53" s="902" t="n">
        <f aca="false">(CA53*AU53)/1000</f>
        <v>732.126983031997</v>
      </c>
      <c r="CC53" s="883" t="n">
        <f aca="false">CB53*K53</f>
        <v>1024.76946223659</v>
      </c>
      <c r="CD53" s="901" t="n">
        <f aca="false">$BP53*(1-$BR53)*Tables!$C$36</f>
        <v>0</v>
      </c>
      <c r="CE53" s="902" t="n">
        <f aca="false">(CD53*AX53)/1000</f>
        <v>0</v>
      </c>
      <c r="CF53" s="883" t="n">
        <f aca="false">CE53*K53</f>
        <v>0</v>
      </c>
      <c r="CH53" s="901" t="n">
        <f aca="false">$BM53*(1-$BR53)*Tables!$C$36</f>
        <v>12739.9392</v>
      </c>
      <c r="CI53" s="902" t="n">
        <f aca="false">(CH53*BB53)/1000</f>
        <v>648.455287930586</v>
      </c>
      <c r="CJ53" s="883" t="n">
        <f aca="false">CI53*K53</f>
        <v>907.652896421188</v>
      </c>
      <c r="CK53" s="292"/>
      <c r="CL53" s="292" t="n">
        <f aca="false">C53-1</f>
        <v>2003</v>
      </c>
      <c r="CM53" s="903" t="n">
        <f aca="false">INDEX(OperationalDetail,MATCH("Degraded Heat Rate",ODColumn,0),MATCH('Monthly Table'!CL53,ODRow,0))/1000</f>
        <v>12.1321044</v>
      </c>
      <c r="CN53" s="904" t="n">
        <f aca="false">S53*CM53</f>
        <v>52.7308490847799</v>
      </c>
      <c r="CO53" s="905" t="n">
        <f aca="false">IF(A53="January",(CO52*(1+Assumptions!$E$32)),CO52)</f>
        <v>7.147899135</v>
      </c>
      <c r="CP53" s="906" t="n">
        <f aca="false">CN53+CO53</f>
        <v>59.8787482197799</v>
      </c>
      <c r="CQ53" s="292"/>
      <c r="CR53" s="856" t="n">
        <f aca="false">IF(BJ53=0,"",C53)</f>
        <v>2004</v>
      </c>
      <c r="CS53" s="856" t="str">
        <f aca="false">IF(BO53=0,"",$C53)</f>
        <v/>
      </c>
      <c r="CT53" s="856" t="n">
        <f aca="false">IF(BL53=0,"",$C53)</f>
        <v>2004</v>
      </c>
      <c r="CU53" s="856" t="str">
        <f aca="false">IF(BP53=0,"",$C53)</f>
        <v/>
      </c>
      <c r="CV53" s="856" t="n">
        <f aca="false">IF(BD53=0,"",$C53)</f>
        <v>2004</v>
      </c>
      <c r="CW53" s="907" t="n">
        <f aca="false">YEAR(BF53)</f>
        <v>2004</v>
      </c>
      <c r="CX53" s="908" t="n">
        <f aca="false">INDEX('NY Curve'!$A$4:$G$256,MATCH('Monthly Table'!B53,'NY Curve'!$A$4:$A$256,0),MATCH("New York 5 X 16",'NY Curve'!$A$4:$G$4,0))</f>
        <v>71</v>
      </c>
      <c r="CY53" s="909" t="n">
        <f aca="false">K53</f>
        <v>1.39971546738061</v>
      </c>
      <c r="CZ53" s="910" t="n">
        <f aca="false">CX53*CY53</f>
        <v>99.3797981840233</v>
      </c>
      <c r="DB53" s="911"/>
      <c r="DC53" s="911"/>
    </row>
    <row r="54" customFormat="false" ht="18.75" hidden="false" customHeight="true" outlineLevel="0" collapsed="false">
      <c r="A54" s="49" t="s">
        <v>817</v>
      </c>
      <c r="B54" s="863" t="n">
        <v>38200</v>
      </c>
      <c r="C54" s="288" t="n">
        <f aca="false">YEAR(B54)</f>
        <v>2004</v>
      </c>
      <c r="D54" s="864" t="n">
        <f aca="false">IF(A54="January",D53+1,D53)</f>
        <v>4</v>
      </c>
      <c r="E54" s="865" t="n">
        <v>22</v>
      </c>
      <c r="F54" s="866" t="n">
        <v>4</v>
      </c>
      <c r="G54" s="866" t="n">
        <v>5</v>
      </c>
      <c r="H54" s="866" t="n">
        <v>0</v>
      </c>
      <c r="I54" s="867" t="n">
        <f aca="false">SUM(E54:H54)</f>
        <v>31</v>
      </c>
      <c r="J54" s="868"/>
      <c r="K54" s="869" t="n">
        <f aca="false">INDEX(FX!$A$3:$C$362,MATCH(B54,FX!$A$3:$A$362,0),MATCH("Monthly Curve",FX!$A$2:$C$2,0))</f>
        <v>1.39813318341772</v>
      </c>
      <c r="L54" s="869"/>
      <c r="M54" s="914" t="n">
        <v>2.6995</v>
      </c>
      <c r="N54" s="915" t="n">
        <v>0.135</v>
      </c>
      <c r="O54" s="714" t="n">
        <v>0.05</v>
      </c>
      <c r="P54" s="872" t="n">
        <f aca="false">N54+O54</f>
        <v>0.185</v>
      </c>
      <c r="Q54" s="873" t="n">
        <f aca="false">SUM(M54:O54)</f>
        <v>2.8845</v>
      </c>
      <c r="R54" s="974" t="n">
        <f aca="false">IF(A54="January",(R53+R53*Assumptions!$E$32),R53)</f>
        <v>0.318708070153846</v>
      </c>
      <c r="S54" s="875" t="n">
        <f aca="false">(Q54*K54)+R54</f>
        <v>4.35162323772226</v>
      </c>
      <c r="T54" s="869"/>
      <c r="V54" s="876"/>
      <c r="W54" s="876"/>
      <c r="X54" s="971"/>
      <c r="Y54" s="975" t="n">
        <f aca="false">Tables!$D$36</f>
        <v>312</v>
      </c>
      <c r="Z54" s="879" t="n">
        <f aca="false">IF($Z$10=$V$10,V54,IF($Z$10=$W$10,W54,IF($Z$10=$X$10,X54,0)))</f>
        <v>0</v>
      </c>
      <c r="AA54" s="880" t="n">
        <f aca="false">Y54*Z54</f>
        <v>0</v>
      </c>
      <c r="AB54" s="881" t="n">
        <f aca="false">AA54*K54</f>
        <v>0</v>
      </c>
      <c r="AC54" s="188"/>
      <c r="AD54" s="882" t="n">
        <f aca="false">IF(Tables!$E$30="Michigan",INDEX('Michigan Curve'!$A$4:$S$256,MATCH('Monthly Table'!B54,'Michigan Curve'!$A$4:$A$256,0),MATCH("Michigan Selected Option Value US$/month",'Michigan Curve'!$A$4:$S$4,0)),INDEX('NY Curve'!$A$4:$T$256,MATCH('Monthly Table'!B54,'NY Curve'!$A$4:$A$256,0),MATCH("New York Selected Option Value US$/month",'NY Curve'!$A$4:$T$4,0)))</f>
        <v>661013.568076471</v>
      </c>
      <c r="AE54" s="883" t="n">
        <f aca="false">AD54*K54</f>
        <v>924185.004217062</v>
      </c>
      <c r="AF54" s="188"/>
      <c r="AG54" s="884"/>
      <c r="AH54" s="188"/>
      <c r="AI54" s="885" t="n">
        <f aca="false">Assumptions!$B$50</f>
        <v>65</v>
      </c>
      <c r="AJ54" s="916"/>
      <c r="AK54" s="887" t="n">
        <f aca="false">IF(Tables!$E$30="Custom",'Monthly Table'!AI54,IF(Tables!$E$30="New York",INDEX('NY Curve'!$A$4:$G$256,MATCH('Monthly Table'!B54,'NY Curve'!$A$4:$A$256,0),MATCH("Super Peak Curve",'NY Curve'!$A$4:$G$4,0)),IF(Tables!$E$30="New York Flat",INDEX('NY Curve'!$A$4:$G$256,MATCH('Monthly Table'!B54,'NY Curve'!$A$4:$A$256,0),MATCH("Flat NY West",'NY Curve'!$A$4:$G$4,0)),INDEX('Michigan Curve'!$A$4:$F$256,MATCH('Monthly Table'!B54,'Michigan Curve'!$A$4:$A$256,0),MATCH("Michigan Super Peak Curve US$/MWhr",'Michigan Curve'!$A$4:$F$4,0)))))</f>
        <v>123.143722308232</v>
      </c>
      <c r="AL54" s="888" t="n">
        <f aca="false">IF(D54&lt;=Tables!$B$21,IF($AL$10=$AI$10,AI54,IF($AL$10=$AJ$10,AJ54,IF($AL$10=$AK$10,AK54,0))),0)</f>
        <v>123.143722308232</v>
      </c>
      <c r="AM54" s="889" t="n">
        <f aca="false">+AL54*K54</f>
        <v>172.171324488717</v>
      </c>
      <c r="AN54" s="890" t="n">
        <f aca="false">IF((AL54*K54)&gt;(CP54+$BF$4),1,0)</f>
        <v>1</v>
      </c>
      <c r="AO54" s="891"/>
      <c r="AP54" s="894"/>
      <c r="AQ54" s="892" t="n">
        <f aca="false">IF(Tables!$E$30="New York",INDEX('NY Curve'!$A$4:$L$256,MATCH('Monthly Table'!B54,'NY Curve'!$A$4:$A$256,0),MATCH("New York Shoulder Hour Curve Mon-Fri",'NY Curve'!$A$4:$L$4,0)),IF(Tables!$E$30="Michigan",INDEX('Michigan Curve'!$A$4:$K$256,MATCH('Monthly Table'!B54,'Michigan Curve'!$A$4:$A$256,0),MATCH("Michigan Shoulder Hour Curve Mon-Fri",'Michigan Curve'!$A$4:$K$4,0))))</f>
        <v>26.8562776917675</v>
      </c>
      <c r="AR54" s="889" t="n">
        <f aca="false">AQ54*K54</f>
        <v>37.5486530239413</v>
      </c>
      <c r="AS54" s="893" t="n">
        <f aca="false">IF(AR54&gt;($CP54+$BF$4),1,0)</f>
        <v>0</v>
      </c>
      <c r="AT54" s="188"/>
      <c r="AU54" s="892" t="n">
        <f aca="false">IF(Tables!$E$30="New York",INDEX('NY Curve'!$A$4:$L$256,MATCH('Monthly Table'!$B54,'NY Curve'!$A$4:$A$256,0),MATCH("New York Saturday Super Peak",'NY Curve'!$A$4:$L$4,0)),IF(Tables!$E$30="Michigan",INDEX('Michigan Curve'!$A$4:$K$256,MATCH('Monthly Table'!$B54,'Michigan Curve'!$A$4:$A$256,0),MATCH("Michigan Saturday Super Peak",'Michigan Curve'!$A$4:$K$4,0))))</f>
        <v>57.4670766739221</v>
      </c>
      <c r="AV54" s="894" t="n">
        <f aca="false">AU54*K54</f>
        <v>80.3466268518209</v>
      </c>
      <c r="AW54" s="893" t="n">
        <f aca="false">IF(AV54&gt;($CP54+$BF$4),1,0)</f>
        <v>1</v>
      </c>
      <c r="AX54" s="892" t="n">
        <f aca="false">IF(Tables!$E$30="New York",INDEX('NY Curve'!$A$4:$L$256,MATCH('Monthly Table'!$B54,'NY Curve'!$A$4:$A$256,0),MATCH("New York Saturday Shoulder Peak",'NY Curve'!$A$4:$L$4,0)),IF(Tables!$E$30="Michigan",INDEX('Michigan Curve'!$A$4:$K$256,MATCH('Monthly Table'!$B54,'Michigan Curve'!$A$4:$A$256,0),MATCH("Michigan Saturday Shoulder Peak",'Michigan Curve'!$A$4:$K$4,0))))</f>
        <v>12.5329309554724</v>
      </c>
      <c r="AY54" s="895" t="n">
        <f aca="false">AX54*K54</f>
        <v>17.5227066543292</v>
      </c>
      <c r="AZ54" s="893" t="n">
        <f aca="false">IF(AY54&gt;($CP54+$BF$4),1,0)</f>
        <v>0</v>
      </c>
      <c r="BA54" s="188"/>
      <c r="BB54" s="892" t="n">
        <f aca="false">IF(Tables!$E$30="New York",INDEX('NY Curve'!$A$4:$M$256,MATCH('Monthly Table'!$B54,'NY Curve'!$A$4:$A$256,0),MATCH("NY Sunday Super Peak",'NY Curve'!$A$4:$M$4,0)),IF(Tables!$E$30="Michigan",INDEX('Michigan Curve'!$A$4:$L$256,MATCH('Monthly Table'!$B54,'Michigan Curve'!$A$4:$A$256,0),MATCH("Michigan Sunday Super Peak",'Michigan Curve'!$A$4:$L$4,0))))</f>
        <v>50.8994052207361</v>
      </c>
      <c r="BC54" s="894" t="n">
        <f aca="false">BB54*K54</f>
        <v>71.1641474553363</v>
      </c>
      <c r="BD54" s="893" t="n">
        <f aca="false">IF(BC54&gt;($CP54+$BF$4),1,0)</f>
        <v>1</v>
      </c>
      <c r="BE54" s="188"/>
      <c r="BF54" s="896" t="n">
        <f aca="false">B54</f>
        <v>38200</v>
      </c>
      <c r="BG54" s="897" t="n">
        <f aca="false">IF($AN54=1,$E54*$BF$5,0)</f>
        <v>176</v>
      </c>
      <c r="BH54" s="976" t="n">
        <f aca="false">IF(Tables!$B$36="Combined Cycle",(BF54-BF53)*24*Assumptions!$B$21,0)</f>
        <v>0</v>
      </c>
      <c r="BI54" s="714" t="n">
        <f aca="false">IF($AN54=1,$E54*$BF$5,0)</f>
        <v>176</v>
      </c>
      <c r="BJ54" s="898" t="n">
        <f aca="false">IF('Monthly Table'!D54&lt;=Tables!$B$21,IF($BJ$10=$BG$10,BG54,IF($BJ$10=$BH$10,BH54,IF($BJ$10=$BI$10,BI54,0))),0)</f>
        <v>176</v>
      </c>
      <c r="BK54" s="288"/>
      <c r="BL54" s="898" t="n">
        <f aca="false">IF($AW54=1,$F54*$BF$5,0)</f>
        <v>32</v>
      </c>
      <c r="BM54" s="898" t="n">
        <f aca="false">IF($BD54=1,($G54+H54)*$BF$5,0)</f>
        <v>40</v>
      </c>
      <c r="BO54" s="898" t="n">
        <f aca="false">IF(AS54=1,BJ54,0)</f>
        <v>0</v>
      </c>
      <c r="BP54" s="898" t="n">
        <f aca="false">IF(AZ54=1,F54*$BF$5,0)</f>
        <v>0</v>
      </c>
      <c r="BR54" s="899" t="n">
        <f aca="false">IF(BJ54&gt;0,INDEX(OperationalDetail,MATCH("Capacity Degradation",ODColumn,0),MATCH('Monthly Table'!C54,ODRow,0)),0)</f>
        <v>0.01698</v>
      </c>
      <c r="BS54" s="900" t="n">
        <f aca="false">BJ54*(1-BR54)*Tables!$C$36</f>
        <v>56055.73248</v>
      </c>
      <c r="BT54" s="883" t="n">
        <f aca="false">BS54*AL54/1000</f>
        <v>6902.91155430169</v>
      </c>
      <c r="BU54" s="883" t="n">
        <f aca="false">BT54*K54</f>
        <v>9651.18970626678</v>
      </c>
      <c r="BV54" s="188"/>
      <c r="BW54" s="901" t="n">
        <f aca="false">$BO54*(1-$BR54)*Tables!$C$36</f>
        <v>0</v>
      </c>
      <c r="BX54" s="902" t="n">
        <f aca="false">(BW54*AQ54)/1000</f>
        <v>0</v>
      </c>
      <c r="BY54" s="883" t="n">
        <f aca="false">BX54*K54</f>
        <v>0</v>
      </c>
      <c r="BZ54" s="188"/>
      <c r="CA54" s="901" t="n">
        <f aca="false">$BL54*(1-$BR54)*Tables!$C$36</f>
        <v>10191.95136</v>
      </c>
      <c r="CB54" s="902" t="n">
        <f aca="false">(CA54*AU54)/1000</f>
        <v>585.701650262005</v>
      </c>
      <c r="CC54" s="883" t="n">
        <f aca="false">CB54*K54</f>
        <v>818.888912813829</v>
      </c>
      <c r="CD54" s="901" t="n">
        <f aca="false">$BP54*(1-$BR54)*Tables!$C$36</f>
        <v>0</v>
      </c>
      <c r="CE54" s="902" t="n">
        <f aca="false">(CD54*AX54)/1000</f>
        <v>0</v>
      </c>
      <c r="CF54" s="883" t="n">
        <f aca="false">CE54*K54</f>
        <v>0</v>
      </c>
      <c r="CH54" s="901" t="n">
        <f aca="false">$BM54*(1-$BR54)*Tables!$C$36</f>
        <v>12739.9392</v>
      </c>
      <c r="CI54" s="902" t="n">
        <f aca="false">(CH54*BB54)/1000</f>
        <v>648.45532782834</v>
      </c>
      <c r="CJ54" s="883" t="n">
        <f aca="false">CI54*K54</f>
        <v>906.626911800819</v>
      </c>
      <c r="CK54" s="292"/>
      <c r="CL54" s="292" t="n">
        <f aca="false">C54-1</f>
        <v>2003</v>
      </c>
      <c r="CM54" s="903" t="n">
        <f aca="false">INDEX(OperationalDetail,MATCH("Degraded Heat Rate",ODColumn,0),MATCH('Monthly Table'!CL54,ODRow,0))/1000</f>
        <v>12.1321044</v>
      </c>
      <c r="CN54" s="904" t="n">
        <f aca="false">S54*CM54</f>
        <v>52.7943474295125</v>
      </c>
      <c r="CO54" s="905" t="n">
        <f aca="false">IF(A54="January",(CO53*(1+Assumptions!$E$32)),CO53)</f>
        <v>7.147899135</v>
      </c>
      <c r="CP54" s="906" t="n">
        <f aca="false">CN54+CO54</f>
        <v>59.9422465645125</v>
      </c>
      <c r="CQ54" s="292"/>
      <c r="CR54" s="856" t="n">
        <f aca="false">IF(BJ54=0,"",C54)</f>
        <v>2004</v>
      </c>
      <c r="CS54" s="856" t="str">
        <f aca="false">IF(BO54=0,"",$C54)</f>
        <v/>
      </c>
      <c r="CT54" s="856" t="n">
        <f aca="false">IF(BL54=0,"",$C54)</f>
        <v>2004</v>
      </c>
      <c r="CU54" s="856" t="str">
        <f aca="false">IF(BP54=0,"",$C54)</f>
        <v/>
      </c>
      <c r="CV54" s="856" t="n">
        <f aca="false">IF(BD54=0,"",$C54)</f>
        <v>2004</v>
      </c>
      <c r="CW54" s="907" t="n">
        <f aca="false">YEAR(BF54)</f>
        <v>2004</v>
      </c>
      <c r="CX54" s="908" t="n">
        <f aca="false">INDEX('NY Curve'!$A$4:$G$256,MATCH('Monthly Table'!B54,'NY Curve'!$A$4:$A$256,0),MATCH("New York 5 X 16",'NY Curve'!$A$4:$G$4,0))</f>
        <v>63.5</v>
      </c>
      <c r="CY54" s="909" t="n">
        <f aca="false">K54</f>
        <v>1.39813318341772</v>
      </c>
      <c r="CZ54" s="910" t="n">
        <f aca="false">CX54*CY54</f>
        <v>88.7814571470252</v>
      </c>
      <c r="DB54" s="911"/>
      <c r="DC54" s="911"/>
    </row>
    <row r="55" customFormat="false" ht="18.75" hidden="false" customHeight="true" outlineLevel="0" collapsed="false">
      <c r="A55" s="49" t="s">
        <v>818</v>
      </c>
      <c r="B55" s="863" t="n">
        <v>38231</v>
      </c>
      <c r="C55" s="288" t="n">
        <f aca="false">YEAR(B55)</f>
        <v>2004</v>
      </c>
      <c r="D55" s="864" t="n">
        <f aca="false">IF(A55="January",D54+1,D54)</f>
        <v>4</v>
      </c>
      <c r="E55" s="865" t="n">
        <v>21</v>
      </c>
      <c r="F55" s="866" t="n">
        <v>4</v>
      </c>
      <c r="G55" s="866" t="n">
        <v>4</v>
      </c>
      <c r="H55" s="866" t="n">
        <v>1</v>
      </c>
      <c r="I55" s="867" t="n">
        <f aca="false">SUM(E55:H55)</f>
        <v>30</v>
      </c>
      <c r="J55" s="868"/>
      <c r="K55" s="869" t="n">
        <f aca="false">INDEX(FX!$A$3:$C$362,MATCH(B55,FX!$A$3:$A$362,0),MATCH("Monthly Curve",FX!$A$2:$C$2,0))</f>
        <v>1.39653140912054</v>
      </c>
      <c r="L55" s="869"/>
      <c r="M55" s="914" t="n">
        <v>2.7065</v>
      </c>
      <c r="N55" s="915" t="n">
        <v>0.135</v>
      </c>
      <c r="O55" s="714" t="n">
        <v>0.05</v>
      </c>
      <c r="P55" s="872" t="n">
        <f aca="false">N55+O55</f>
        <v>0.185</v>
      </c>
      <c r="Q55" s="873" t="n">
        <f aca="false">SUM(M55:O55)</f>
        <v>2.8915</v>
      </c>
      <c r="R55" s="974" t="n">
        <f aca="false">IF(A55="January",(R54+R54*Assumptions!$E$32),R54)</f>
        <v>0.318708070153846</v>
      </c>
      <c r="S55" s="875" t="n">
        <f aca="false">(Q55*K55)+R55</f>
        <v>4.35677863962589</v>
      </c>
      <c r="T55" s="869"/>
      <c r="V55" s="876"/>
      <c r="W55" s="876"/>
      <c r="X55" s="971"/>
      <c r="Y55" s="975" t="n">
        <f aca="false">Tables!$D$36</f>
        <v>312</v>
      </c>
      <c r="Z55" s="879" t="n">
        <f aca="false">IF($Z$10=$V$10,V55,IF($Z$10=$W$10,W55,IF($Z$10=$X$10,X55,0)))</f>
        <v>0</v>
      </c>
      <c r="AA55" s="880" t="n">
        <f aca="false">Y55*Z55</f>
        <v>0</v>
      </c>
      <c r="AB55" s="881" t="n">
        <f aca="false">AA55*K55</f>
        <v>0</v>
      </c>
      <c r="AC55" s="188"/>
      <c r="AD55" s="882" t="n">
        <f aca="false">IF(Tables!$E$30="Michigan",INDEX('Michigan Curve'!$A$4:$S$256,MATCH('Monthly Table'!B55,'Michigan Curve'!$A$4:$A$256,0),MATCH("Michigan Selected Option Value US$/month",'Michigan Curve'!$A$4:$S$4,0)),INDEX('NY Curve'!$A$4:$T$256,MATCH('Monthly Table'!B55,'NY Curve'!$A$4:$A$256,0),MATCH("New York Selected Option Value US$/month",'NY Curve'!$A$4:$T$4,0)))</f>
        <v>345486.803277585</v>
      </c>
      <c r="AE55" s="883" t="n">
        <f aca="false">AD55*K55</f>
        <v>482483.172213796</v>
      </c>
      <c r="AF55" s="188"/>
      <c r="AG55" s="884"/>
      <c r="AH55" s="188"/>
      <c r="AI55" s="885" t="n">
        <f aca="false">Assumptions!$B$50</f>
        <v>65</v>
      </c>
      <c r="AJ55" s="916"/>
      <c r="AK55" s="887" t="n">
        <f aca="false">IF(Tables!$E$30="Custom",'Monthly Table'!AI55,IF(Tables!$E$30="New York",INDEX('NY Curve'!$A$4:$G$256,MATCH('Monthly Table'!B55,'NY Curve'!$A$4:$A$256,0),MATCH("Super Peak Curve",'NY Curve'!$A$4:$G$4,0)),IF(Tables!$E$30="New York Flat",INDEX('NY Curve'!$A$4:$G$256,MATCH('Monthly Table'!B55,'NY Curve'!$A$4:$A$256,0),MATCH("Flat NY West",'NY Curve'!$A$4:$G$4,0)),INDEX('Michigan Curve'!$A$4:$F$256,MATCH('Monthly Table'!B55,'Michigan Curve'!$A$4:$A$256,0),MATCH("Michigan Super Peak Curve US$/MWhr",'Michigan Curve'!$A$4:$F$4,0)))))</f>
        <v>42.9021872729063</v>
      </c>
      <c r="AL55" s="888" t="n">
        <f aca="false">IF(D55&lt;=Tables!$B$21,IF($AL$10=$AI$10,AI55,IF($AL$10=$AJ$10,AJ55,IF($AL$10=$AK$10,AK55,0))),0)</f>
        <v>42.9021872729063</v>
      </c>
      <c r="AM55" s="889" t="n">
        <f aca="false">+AL55*K55</f>
        <v>59.9142520465851</v>
      </c>
      <c r="AN55" s="890" t="n">
        <f aca="false">IF((AL55*K55)&gt;(CP55+$BF$4),1,0)</f>
        <v>0</v>
      </c>
      <c r="AO55" s="891"/>
      <c r="AP55" s="894"/>
      <c r="AQ55" s="892" t="n">
        <f aca="false">IF(Tables!$E$30="New York",INDEX('NY Curve'!$A$4:$L$256,MATCH('Monthly Table'!B55,'NY Curve'!$A$4:$A$256,0),MATCH("New York Shoulder Hour Curve Mon-Fri",'NY Curve'!$A$4:$L$4,0)),IF(Tables!$E$30="Michigan",INDEX('Michigan Curve'!$A$4:$K$256,MATCH('Monthly Table'!B55,'Michigan Curve'!$A$4:$A$256,0),MATCH("Michigan Shoulder Hour Curve Mon-Fri",'Michigan Curve'!$A$4:$K$4,0))))</f>
        <v>20.5978127270937</v>
      </c>
      <c r="AR55" s="889" t="n">
        <f aca="false">AQ55*K55</f>
        <v>28.7654924325692</v>
      </c>
      <c r="AS55" s="893" t="n">
        <f aca="false">IF(AR55&gt;($CP55+$BF$4),1,0)</f>
        <v>0</v>
      </c>
      <c r="AT55" s="188"/>
      <c r="AU55" s="892" t="n">
        <f aca="false">IF(Tables!$E$30="New York",INDEX('NY Curve'!$A$4:$L$256,MATCH('Monthly Table'!$B55,'NY Curve'!$A$4:$A$256,0),MATCH("New York Saturday Super Peak",'NY Curve'!$A$4:$L$4,0)),IF(Tables!$E$30="Michigan",INDEX('Michigan Curve'!$A$4:$K$256,MATCH('Monthly Table'!$B55,'Michigan Curve'!$A$4:$A$256,0),MATCH("Michigan Saturday Super Peak",'Michigan Curve'!$A$4:$K$4,0))))</f>
        <v>33.7812498211861</v>
      </c>
      <c r="AV55" s="894" t="n">
        <f aca="false">AU55*K55</f>
        <v>47.176576414634</v>
      </c>
      <c r="AW55" s="893" t="n">
        <f aca="false">IF(AV55&gt;($CP55+$BF$4),1,0)</f>
        <v>0</v>
      </c>
      <c r="AX55" s="892" t="n">
        <f aca="false">IF(Tables!$E$30="New York",INDEX('NY Curve'!$A$4:$L$256,MATCH('Monthly Table'!$B55,'NY Curve'!$A$4:$A$256,0),MATCH("New York Saturday Shoulder Peak",'NY Curve'!$A$4:$L$4,0)),IF(Tables!$E$30="Michigan",INDEX('Michigan Curve'!$A$4:$K$256,MATCH('Monthly Table'!$B55,'Michigan Curve'!$A$4:$A$256,0),MATCH("Michigan Saturday Shoulder Peak",'Michigan Curve'!$A$4:$K$4,0))))</f>
        <v>16.2187501788139</v>
      </c>
      <c r="AY55" s="895" t="n">
        <f aca="false">AX55*K55</f>
        <v>22.649994041393</v>
      </c>
      <c r="AZ55" s="893" t="n">
        <f aca="false">IF(AY55&gt;($CP55+$BF$4),1,0)</f>
        <v>0</v>
      </c>
      <c r="BA55" s="188"/>
      <c r="BB55" s="892" t="n">
        <f aca="false">IF(Tables!$E$30="New York",INDEX('NY Curve'!$A$4:$M$256,MATCH('Monthly Table'!$B55,'NY Curve'!$A$4:$A$256,0),MATCH("NY Sunday Super Peak",'NY Curve'!$A$4:$M$4,0)),IF(Tables!$E$30="Michigan",INDEX('Michigan Curve'!$A$4:$L$256,MATCH('Monthly Table'!$B55,'Michigan Curve'!$A$4:$A$256,0),MATCH("Michigan Sunday Super Peak",'Michigan Curve'!$A$4:$L$4,0))))</f>
        <v>32.4299998283386</v>
      </c>
      <c r="BC55" s="894" t="n">
        <f aca="false">BB55*K55</f>
        <v>45.2895133580486</v>
      </c>
      <c r="BD55" s="893" t="n">
        <f aca="false">IF(BC55&gt;($CP55+$BF$4),1,0)</f>
        <v>0</v>
      </c>
      <c r="BE55" s="188"/>
      <c r="BF55" s="896" t="n">
        <f aca="false">B55</f>
        <v>38231</v>
      </c>
      <c r="BG55" s="897" t="n">
        <f aca="false">IF($AN55=1,$E55*$BF$5,0)</f>
        <v>0</v>
      </c>
      <c r="BH55" s="976" t="n">
        <f aca="false">IF(Tables!$B$36="Combined Cycle",(BF55-BF54)*24*Assumptions!$B$21,0)</f>
        <v>0</v>
      </c>
      <c r="BI55" s="714" t="n">
        <f aca="false">IF($AN55=1,$E55*$BF$5,0)</f>
        <v>0</v>
      </c>
      <c r="BJ55" s="898" t="n">
        <f aca="false">IF('Monthly Table'!D55&lt;=Tables!$B$21,IF($BJ$10=$BG$10,BG55,IF($BJ$10=$BH$10,BH55,IF($BJ$10=$BI$10,BI55,0))),0)</f>
        <v>0</v>
      </c>
      <c r="BK55" s="288"/>
      <c r="BL55" s="898" t="n">
        <f aca="false">IF($AW55=1,$F55*$BF$5,0)</f>
        <v>0</v>
      </c>
      <c r="BM55" s="898" t="n">
        <f aca="false">IF($BD55=1,($G55+H55)*$BF$5,0)</f>
        <v>0</v>
      </c>
      <c r="BO55" s="898" t="n">
        <f aca="false">IF(AS55=1,BJ55,0)</f>
        <v>0</v>
      </c>
      <c r="BP55" s="898" t="n">
        <f aca="false">IF(AZ55=1,F55*$BF$5,0)</f>
        <v>0</v>
      </c>
      <c r="BR55" s="899" t="n">
        <f aca="false">IF(BJ55&gt;0,INDEX(OperationalDetail,MATCH("Capacity Degradation",ODColumn,0),MATCH('Monthly Table'!C55,ODRow,0)),0)</f>
        <v>0</v>
      </c>
      <c r="BS55" s="900" t="n">
        <f aca="false">BJ55*(1-BR55)*Tables!$C$36</f>
        <v>0</v>
      </c>
      <c r="BT55" s="883" t="n">
        <f aca="false">BS55*AL55/1000</f>
        <v>0</v>
      </c>
      <c r="BU55" s="883" t="n">
        <f aca="false">BT55*K55</f>
        <v>0</v>
      </c>
      <c r="BV55" s="188"/>
      <c r="BW55" s="901" t="n">
        <f aca="false">$BO55*(1-$BR55)*Tables!$C$36</f>
        <v>0</v>
      </c>
      <c r="BX55" s="902" t="n">
        <f aca="false">(BW55*AQ55)/1000</f>
        <v>0</v>
      </c>
      <c r="BY55" s="883" t="n">
        <f aca="false">BX55*K55</f>
        <v>0</v>
      </c>
      <c r="BZ55" s="188"/>
      <c r="CA55" s="901" t="n">
        <f aca="false">$BL55*(1-$BR55)*Tables!$C$36</f>
        <v>0</v>
      </c>
      <c r="CB55" s="902" t="n">
        <f aca="false">(CA55*AU55)/1000</f>
        <v>0</v>
      </c>
      <c r="CC55" s="883" t="n">
        <f aca="false">CB55*K55</f>
        <v>0</v>
      </c>
      <c r="CD55" s="901" t="n">
        <f aca="false">$BP55*(1-$BR55)*Tables!$C$36</f>
        <v>0</v>
      </c>
      <c r="CE55" s="902" t="n">
        <f aca="false">(CD55*AX55)/1000</f>
        <v>0</v>
      </c>
      <c r="CF55" s="883" t="n">
        <f aca="false">CE55*K55</f>
        <v>0</v>
      </c>
      <c r="CH55" s="901" t="n">
        <f aca="false">$BM55*(1-$BR55)*Tables!$C$36</f>
        <v>0</v>
      </c>
      <c r="CI55" s="902" t="n">
        <f aca="false">(CH55*BB55)/1000</f>
        <v>0</v>
      </c>
      <c r="CJ55" s="883" t="n">
        <f aca="false">CI55*K55</f>
        <v>0</v>
      </c>
      <c r="CK55" s="292"/>
      <c r="CL55" s="292" t="n">
        <f aca="false">C55-1</f>
        <v>2003</v>
      </c>
      <c r="CM55" s="903" t="n">
        <f aca="false">INDEX(OperationalDetail,MATCH("Degraded Heat Rate",ODColumn,0),MATCH('Monthly Table'!CL55,ODRow,0))/1000</f>
        <v>12.1321044</v>
      </c>
      <c r="CN55" s="904" t="n">
        <f aca="false">S55*CM55</f>
        <v>52.8568933036312</v>
      </c>
      <c r="CO55" s="905" t="n">
        <f aca="false">IF(A55="January",(CO54*(1+Assumptions!$E$32)),CO54)</f>
        <v>7.147899135</v>
      </c>
      <c r="CP55" s="906" t="n">
        <f aca="false">CN55+CO55</f>
        <v>60.0047924386312</v>
      </c>
      <c r="CQ55" s="292"/>
      <c r="CR55" s="856" t="str">
        <f aca="false">IF(BJ55=0,"",C55)</f>
        <v/>
      </c>
      <c r="CS55" s="856" t="str">
        <f aca="false">IF(BO55=0,"",$C55)</f>
        <v/>
      </c>
      <c r="CT55" s="856" t="str">
        <f aca="false">IF(BL55=0,"",$C55)</f>
        <v/>
      </c>
      <c r="CU55" s="856" t="str">
        <f aca="false">IF(BP55=0,"",$C55)</f>
        <v/>
      </c>
      <c r="CV55" s="856" t="str">
        <f aca="false">IF(BD55=0,"",$C55)</f>
        <v/>
      </c>
      <c r="CW55" s="907" t="n">
        <f aca="false">YEAR(BF55)</f>
        <v>2004</v>
      </c>
      <c r="CX55" s="908" t="n">
        <f aca="false">INDEX('NY Curve'!$A$4:$G$256,MATCH('Monthly Table'!B55,'NY Curve'!$A$4:$A$256,0),MATCH("New York 5 X 16",'NY Curve'!$A$4:$G$4,0))</f>
        <v>29.65</v>
      </c>
      <c r="CY55" s="909" t="n">
        <f aca="false">K55</f>
        <v>1.39653140912054</v>
      </c>
      <c r="CZ55" s="910" t="n">
        <f aca="false">CX55*CY55</f>
        <v>41.407156280424</v>
      </c>
      <c r="DB55" s="911"/>
      <c r="DC55" s="911"/>
    </row>
    <row r="56" customFormat="false" ht="18.75" hidden="false" customHeight="true" outlineLevel="0" collapsed="false">
      <c r="A56" s="49" t="s">
        <v>819</v>
      </c>
      <c r="B56" s="863" t="n">
        <v>38261</v>
      </c>
      <c r="C56" s="288" t="n">
        <f aca="false">YEAR(B56)</f>
        <v>2004</v>
      </c>
      <c r="D56" s="864" t="n">
        <f aca="false">IF(A56="January",D55+1,D55)</f>
        <v>4</v>
      </c>
      <c r="E56" s="865" t="n">
        <v>21</v>
      </c>
      <c r="F56" s="866" t="n">
        <v>5</v>
      </c>
      <c r="G56" s="866" t="n">
        <v>5</v>
      </c>
      <c r="H56" s="866" t="n">
        <v>0</v>
      </c>
      <c r="I56" s="867" t="n">
        <f aca="false">SUM(E56:H56)</f>
        <v>31</v>
      </c>
      <c r="J56" s="868"/>
      <c r="K56" s="869" t="n">
        <f aca="false">INDEX(FX!$A$3:$C$362,MATCH(B56,FX!$A$3:$A$362,0),MATCH("Monthly Curve",FX!$A$2:$C$2,0))</f>
        <v>1.39496281625372</v>
      </c>
      <c r="L56" s="869"/>
      <c r="M56" s="914" t="n">
        <v>2.7335</v>
      </c>
      <c r="N56" s="915" t="n">
        <v>0.135</v>
      </c>
      <c r="O56" s="714" t="n">
        <v>0.05</v>
      </c>
      <c r="P56" s="872" t="n">
        <f aca="false">N56+O56</f>
        <v>0.185</v>
      </c>
      <c r="Q56" s="873" t="n">
        <f aca="false">SUM(M56:O56)</f>
        <v>2.9185</v>
      </c>
      <c r="R56" s="974" t="n">
        <f aca="false">IF(A56="January",(R55+R55*Assumptions!$E$32),R55)</f>
        <v>0.318708070153846</v>
      </c>
      <c r="S56" s="875" t="n">
        <f aca="false">(Q56*K56)+R56</f>
        <v>4.38990704939033</v>
      </c>
      <c r="T56" s="869"/>
      <c r="V56" s="978"/>
      <c r="W56" s="978"/>
      <c r="X56" s="971"/>
      <c r="Y56" s="975" t="n">
        <f aca="false">Tables!$D$36</f>
        <v>312</v>
      </c>
      <c r="Z56" s="879" t="n">
        <f aca="false">IF($Z$10=$V$10,V56,IF($Z$10=$W$10,W56,IF($Z$10=$X$10,X56,0)))</f>
        <v>0</v>
      </c>
      <c r="AA56" s="880" t="n">
        <f aca="false">Y56*Z56</f>
        <v>0</v>
      </c>
      <c r="AB56" s="881" t="n">
        <f aca="false">AA56*K56</f>
        <v>0</v>
      </c>
      <c r="AC56" s="188"/>
      <c r="AD56" s="882" t="n">
        <f aca="false">IF(Tables!$E$30="Michigan",INDEX('Michigan Curve'!$A$4:$S$256,MATCH('Monthly Table'!B56,'Michigan Curve'!$A$4:$A$256,0),MATCH("Michigan Selected Option Value US$/month",'Michigan Curve'!$A$4:$S$4,0)),INDEX('NY Curve'!$A$4:$T$256,MATCH('Monthly Table'!B56,'NY Curve'!$A$4:$A$256,0),MATCH("New York Selected Option Value US$/month",'NY Curve'!$A$4:$T$4,0)))</f>
        <v>9075.85932860157</v>
      </c>
      <c r="AE56" s="883" t="n">
        <f aca="false">AD56*K56</f>
        <v>12660.4862889486</v>
      </c>
      <c r="AF56" s="188"/>
      <c r="AG56" s="884"/>
      <c r="AH56" s="188"/>
      <c r="AI56" s="885" t="n">
        <f aca="false">Assumptions!$B$50</f>
        <v>65</v>
      </c>
      <c r="AJ56" s="916"/>
      <c r="AK56" s="887" t="n">
        <f aca="false">IF(Tables!$E$30="Custom",'Monthly Table'!AI56,IF(Tables!$E$30="New York",INDEX('NY Curve'!$A$4:$G$256,MATCH('Monthly Table'!B56,'NY Curve'!$A$4:$A$256,0),MATCH("Super Peak Curve",'NY Curve'!$A$4:$G$4,0)),IF(Tables!$E$30="New York Flat",INDEX('NY Curve'!$A$4:$G$256,MATCH('Monthly Table'!B56,'NY Curve'!$A$4:$A$256,0),MATCH("Flat NY West",'NY Curve'!$A$4:$G$4,0)),INDEX('Michigan Curve'!$A$4:$F$256,MATCH('Monthly Table'!B56,'Michigan Curve'!$A$4:$A$256,0),MATCH("Michigan Super Peak Curve US$/MWhr",'Michigan Curve'!$A$4:$F$4,0)))))</f>
        <v>24.8499946594238</v>
      </c>
      <c r="AL56" s="888" t="n">
        <f aca="false">IF(D56&lt;=Tables!$B$21,IF($AL$10=$AI$10,AI56,IF($AL$10=$AJ$10,AJ56,IF($AL$10=$AK$10,AK56,0))),0)</f>
        <v>24.8499946594238</v>
      </c>
      <c r="AM56" s="889" t="n">
        <f aca="false">+AL56*K56</f>
        <v>34.6648185339998</v>
      </c>
      <c r="AN56" s="890" t="n">
        <f aca="false">IF((AL56*K56)&gt;(CP56+$BF$4),1,0)</f>
        <v>0</v>
      </c>
      <c r="AO56" s="891"/>
      <c r="AP56" s="894"/>
      <c r="AQ56" s="892" t="n">
        <f aca="false">IF(Tables!$E$30="New York",INDEX('NY Curve'!$A$4:$L$256,MATCH('Monthly Table'!B56,'NY Curve'!$A$4:$A$256,0),MATCH("New York Shoulder Hour Curve Mon-Fri",'NY Curve'!$A$4:$L$4,0)),IF(Tables!$E$30="Michigan",INDEX('Michigan Curve'!$A$4:$K$256,MATCH('Monthly Table'!B56,'Michigan Curve'!$A$4:$A$256,0),MATCH("Michigan Shoulder Hour Curve Mon-Fri",'Michigan Curve'!$A$4:$K$4,0))))</f>
        <v>24.8499946594238</v>
      </c>
      <c r="AR56" s="889" t="n">
        <f aca="false">AQ56*K56</f>
        <v>34.6648185339998</v>
      </c>
      <c r="AS56" s="893" t="n">
        <f aca="false">IF(AR56&gt;($CP56+$BF$4),1,0)</f>
        <v>0</v>
      </c>
      <c r="AT56" s="188"/>
      <c r="AU56" s="892" t="n">
        <f aca="false">IF(Tables!$E$30="New York",INDEX('NY Curve'!$A$4:$L$256,MATCH('Monthly Table'!$B56,'NY Curve'!$A$4:$A$256,0),MATCH("New York Saturday Super Peak",'NY Curve'!$A$4:$L$4,0)),IF(Tables!$E$30="Michigan",INDEX('Michigan Curve'!$A$4:$K$256,MATCH('Monthly Table'!$B56,'Michigan Curve'!$A$4:$A$256,0),MATCH("Michigan Saturday Super Peak",'Michigan Curve'!$A$4:$K$4,0))))</f>
        <v>19.996000289917</v>
      </c>
      <c r="AV56" s="894" t="n">
        <f aca="false">AU56*K56</f>
        <v>27.8936768782328</v>
      </c>
      <c r="AW56" s="893" t="n">
        <f aca="false">IF(AV56&gt;($CP56+$BF$4),1,0)</f>
        <v>0</v>
      </c>
      <c r="AX56" s="892" t="n">
        <f aca="false">IF(Tables!$E$30="New York",INDEX('NY Curve'!$A$4:$L$256,MATCH('Monthly Table'!$B56,'NY Curve'!$A$4:$A$256,0),MATCH("New York Saturday Shoulder Peak",'NY Curve'!$A$4:$L$4,0)),IF(Tables!$E$30="Michigan",INDEX('Michigan Curve'!$A$4:$K$256,MATCH('Monthly Table'!$B56,'Michigan Curve'!$A$4:$A$256,0),MATCH("Michigan Saturday Shoulder Peak",'Michigan Curve'!$A$4:$K$4,0))))</f>
        <v>19.996000289917</v>
      </c>
      <c r="AY56" s="895" t="n">
        <f aca="false">AX56*K56</f>
        <v>27.8936768782328</v>
      </c>
      <c r="AZ56" s="893" t="n">
        <f aca="false">IF(AY56&gt;($CP56+$BF$4),1,0)</f>
        <v>0</v>
      </c>
      <c r="BA56" s="188"/>
      <c r="BB56" s="892" t="n">
        <f aca="false">IF(Tables!$E$30="New York",INDEX('NY Curve'!$A$4:$M$256,MATCH('Monthly Table'!$B56,'NY Curve'!$A$4:$A$256,0),MATCH("NY Sunday Super Peak",'NY Curve'!$A$4:$M$4,0)),IF(Tables!$E$30="Michigan",INDEX('Michigan Curve'!$A$4:$L$256,MATCH('Monthly Table'!$B56,'Michigan Curve'!$A$4:$A$256,0),MATCH("Michigan Sunday Super Peak",'Michigan Curve'!$A$4:$L$4,0))))</f>
        <v>18.9965000152588</v>
      </c>
      <c r="BC56" s="894" t="n">
        <f aca="false">BB56*K56</f>
        <v>26.4994111602492</v>
      </c>
      <c r="BD56" s="893" t="n">
        <f aca="false">IF(BC56&gt;($CP56+$BF$4),1,0)</f>
        <v>0</v>
      </c>
      <c r="BE56" s="188"/>
      <c r="BF56" s="896" t="n">
        <f aca="false">B56</f>
        <v>38261</v>
      </c>
      <c r="BG56" s="897" t="n">
        <f aca="false">IF($AN56=1,$E56*$BF$5,0)</f>
        <v>0</v>
      </c>
      <c r="BH56" s="976" t="n">
        <f aca="false">IF(Tables!$B$36="Combined Cycle",(BF56-BF55)*24*Assumptions!$B$21,0)</f>
        <v>0</v>
      </c>
      <c r="BI56" s="714" t="n">
        <f aca="false">IF($AN56=1,$E56*$BF$5,0)</f>
        <v>0</v>
      </c>
      <c r="BJ56" s="898" t="n">
        <f aca="false">IF('Monthly Table'!D56&lt;=Tables!$B$21,IF($BJ$10=$BG$10,BG56,IF($BJ$10=$BH$10,BH56,IF($BJ$10=$BI$10,BI56,0))),0)</f>
        <v>0</v>
      </c>
      <c r="BK56" s="288"/>
      <c r="BL56" s="898" t="n">
        <f aca="false">IF($AW56=1,$F56*$BF$5,0)</f>
        <v>0</v>
      </c>
      <c r="BM56" s="898" t="n">
        <f aca="false">IF($BD56=1,($G56+H56)*$BF$5,0)</f>
        <v>0</v>
      </c>
      <c r="BO56" s="898" t="n">
        <f aca="false">IF(AS56=1,BJ56,0)</f>
        <v>0</v>
      </c>
      <c r="BP56" s="898" t="n">
        <f aca="false">IF(AZ56=1,F56*$BF$5,0)</f>
        <v>0</v>
      </c>
      <c r="BR56" s="899" t="n">
        <f aca="false">IF(BJ56&gt;0,INDEX(OperationalDetail,MATCH("Capacity Degradation",ODColumn,0),MATCH('Monthly Table'!C56,ODRow,0)),0)</f>
        <v>0</v>
      </c>
      <c r="BS56" s="900" t="n">
        <f aca="false">BJ56*(1-BR56)*Tables!$C$36</f>
        <v>0</v>
      </c>
      <c r="BT56" s="883" t="n">
        <f aca="false">BS56*AL56/1000</f>
        <v>0</v>
      </c>
      <c r="BU56" s="883" t="n">
        <f aca="false">BT56*K56</f>
        <v>0</v>
      </c>
      <c r="BV56" s="188"/>
      <c r="BW56" s="901" t="n">
        <f aca="false">$BO56*(1-$BR56)*Tables!$C$36</f>
        <v>0</v>
      </c>
      <c r="BX56" s="902" t="n">
        <f aca="false">(BW56*AQ56)/1000</f>
        <v>0</v>
      </c>
      <c r="BY56" s="883" t="n">
        <f aca="false">BX56*K56</f>
        <v>0</v>
      </c>
      <c r="BZ56" s="188"/>
      <c r="CA56" s="901" t="n">
        <f aca="false">$BL56*(1-$BR56)*Tables!$C$36</f>
        <v>0</v>
      </c>
      <c r="CB56" s="902" t="n">
        <f aca="false">(CA56*AU56)/1000</f>
        <v>0</v>
      </c>
      <c r="CC56" s="883" t="n">
        <f aca="false">CB56*K56</f>
        <v>0</v>
      </c>
      <c r="CD56" s="901" t="n">
        <f aca="false">$BP56*(1-$BR56)*Tables!$C$36</f>
        <v>0</v>
      </c>
      <c r="CE56" s="902" t="n">
        <f aca="false">(CD56*AX56)/1000</f>
        <v>0</v>
      </c>
      <c r="CF56" s="883" t="n">
        <f aca="false">CE56*K56</f>
        <v>0</v>
      </c>
      <c r="CH56" s="901" t="n">
        <f aca="false">$BM56*(1-$BR56)*Tables!$C$36</f>
        <v>0</v>
      </c>
      <c r="CI56" s="902" t="n">
        <f aca="false">(CH56*BB56)/1000</f>
        <v>0</v>
      </c>
      <c r="CJ56" s="883" t="n">
        <f aca="false">CI56*K56</f>
        <v>0</v>
      </c>
      <c r="CK56" s="292"/>
      <c r="CL56" s="292" t="n">
        <f aca="false">C56-1</f>
        <v>2003</v>
      </c>
      <c r="CM56" s="903" t="n">
        <f aca="false">INDEX(OperationalDetail,MATCH("Degraded Heat Rate",ODColumn,0),MATCH('Monthly Table'!CL56,ODRow,0))/1000</f>
        <v>12.1321044</v>
      </c>
      <c r="CN56" s="904" t="n">
        <f aca="false">S56*CM56</f>
        <v>53.2588106294994</v>
      </c>
      <c r="CO56" s="905" t="n">
        <f aca="false">IF(A56="January",(CO55*(1+Assumptions!$E$32)),CO55)</f>
        <v>7.147899135</v>
      </c>
      <c r="CP56" s="906" t="n">
        <f aca="false">CN56+CO56</f>
        <v>60.4067097644994</v>
      </c>
      <c r="CQ56" s="292"/>
      <c r="CR56" s="856" t="str">
        <f aca="false">IF(BJ56=0,"",C56)</f>
        <v/>
      </c>
      <c r="CS56" s="856" t="str">
        <f aca="false">IF(BO56=0,"",$C56)</f>
        <v/>
      </c>
      <c r="CT56" s="856" t="str">
        <f aca="false">IF(BL56=0,"",$C56)</f>
        <v/>
      </c>
      <c r="CU56" s="856" t="str">
        <f aca="false">IF(BP56=0,"",$C56)</f>
        <v/>
      </c>
      <c r="CV56" s="856" t="str">
        <f aca="false">IF(BD56=0,"",$C56)</f>
        <v/>
      </c>
      <c r="CW56" s="907" t="n">
        <f aca="false">YEAR(BF56)</f>
        <v>2004</v>
      </c>
      <c r="CX56" s="908" t="n">
        <f aca="false">INDEX('NY Curve'!$A$4:$G$256,MATCH('Monthly Table'!B56,'NY Curve'!$A$4:$A$256,0),MATCH("New York 5 X 16",'NY Curve'!$A$4:$G$4,0))</f>
        <v>25.4</v>
      </c>
      <c r="CY56" s="909" t="n">
        <f aca="false">K56</f>
        <v>1.39496281625372</v>
      </c>
      <c r="CZ56" s="910" t="n">
        <f aca="false">CX56*CY56</f>
        <v>35.4320555328445</v>
      </c>
      <c r="DB56" s="911"/>
      <c r="DC56" s="911"/>
    </row>
    <row r="57" customFormat="false" ht="18.75" hidden="false" customHeight="true" outlineLevel="0" collapsed="false">
      <c r="A57" s="49" t="s">
        <v>820</v>
      </c>
      <c r="B57" s="863" t="n">
        <v>38292</v>
      </c>
      <c r="C57" s="288" t="n">
        <f aca="false">YEAR(B57)</f>
        <v>2004</v>
      </c>
      <c r="D57" s="864" t="n">
        <f aca="false">IF(A57="January",D56+1,D56)</f>
        <v>4</v>
      </c>
      <c r="E57" s="865" t="n">
        <v>21</v>
      </c>
      <c r="F57" s="866" t="n">
        <v>4</v>
      </c>
      <c r="G57" s="866" t="n">
        <v>4</v>
      </c>
      <c r="H57" s="866" t="n">
        <v>1</v>
      </c>
      <c r="I57" s="867" t="n">
        <f aca="false">SUM(E57:H57)</f>
        <v>30</v>
      </c>
      <c r="J57" s="868"/>
      <c r="K57" s="869" t="n">
        <f aca="false">INDEX(FX!$A$3:$C$362,MATCH(B57,FX!$A$3:$A$362,0),MATCH("Monthly Curve",FX!$A$2:$C$2,0))</f>
        <v>1.39332290370387</v>
      </c>
      <c r="L57" s="869"/>
      <c r="M57" s="914" t="n">
        <v>2.8695</v>
      </c>
      <c r="N57" s="915" t="n">
        <v>0.22</v>
      </c>
      <c r="O57" s="714" t="n">
        <v>0.05</v>
      </c>
      <c r="P57" s="872" t="n">
        <f aca="false">N57+O57</f>
        <v>0.27</v>
      </c>
      <c r="Q57" s="873" t="n">
        <f aca="false">SUM(M57:O57)</f>
        <v>3.1395</v>
      </c>
      <c r="R57" s="974" t="n">
        <f aca="false">IF(A57="January",(R56+R56*Assumptions!$E$32),R56)</f>
        <v>0.318708070153846</v>
      </c>
      <c r="S57" s="875" t="n">
        <f aca="false">(Q57*K57)+R57</f>
        <v>4.69304532633215</v>
      </c>
      <c r="T57" s="869"/>
      <c r="V57" s="978"/>
      <c r="W57" s="978"/>
      <c r="X57" s="971"/>
      <c r="Y57" s="975" t="n">
        <f aca="false">Tables!$D$36</f>
        <v>312</v>
      </c>
      <c r="Z57" s="879" t="n">
        <f aca="false">IF($Z$10=$V$10,V57,IF($Z$10=$W$10,W57,IF($Z$10=$X$10,X57,0)))</f>
        <v>0</v>
      </c>
      <c r="AA57" s="880" t="n">
        <f aca="false">Y57*Z57</f>
        <v>0</v>
      </c>
      <c r="AB57" s="881" t="n">
        <f aca="false">AA57*K57</f>
        <v>0</v>
      </c>
      <c r="AC57" s="188"/>
      <c r="AD57" s="882" t="n">
        <f aca="false">IF(Tables!$E$30="Michigan",INDEX('Michigan Curve'!$A$4:$S$256,MATCH('Monthly Table'!B57,'Michigan Curve'!$A$4:$A$256,0),MATCH("Michigan Selected Option Value US$/month",'Michigan Curve'!$A$4:$S$4,0)),INDEX('NY Curve'!$A$4:$T$256,MATCH('Monthly Table'!B57,'NY Curve'!$A$4:$A$256,0),MATCH("New York Selected Option Value US$/month",'NY Curve'!$A$4:$T$4,0)))</f>
        <v>19071.0873451922</v>
      </c>
      <c r="AE57" s="883" t="n">
        <f aca="false">AD57*K57</f>
        <v>26572.1827965933</v>
      </c>
      <c r="AF57" s="188"/>
      <c r="AG57" s="884"/>
      <c r="AH57" s="188"/>
      <c r="AI57" s="885" t="n">
        <f aca="false">Assumptions!$B$50</f>
        <v>65</v>
      </c>
      <c r="AJ57" s="916"/>
      <c r="AK57" s="887" t="n">
        <f aca="false">IF(Tables!$E$30="Custom",'Monthly Table'!AI57,IF(Tables!$E$30="New York",INDEX('NY Curve'!$A$4:$G$256,MATCH('Monthly Table'!B57,'NY Curve'!$A$4:$A$256,0),MATCH("Super Peak Curve",'NY Curve'!$A$4:$G$4,0)),IF(Tables!$E$30="New York Flat",INDEX('NY Curve'!$A$4:$G$256,MATCH('Monthly Table'!B57,'NY Curve'!$A$4:$A$256,0),MATCH("Flat NY West",'NY Curve'!$A$4:$G$4,0)),INDEX('Michigan Curve'!$A$4:$F$256,MATCH('Monthly Table'!B57,'Michigan Curve'!$A$4:$A$256,0),MATCH("Michigan Super Peak Curve US$/MWhr",'Michigan Curve'!$A$4:$F$4,0)))))</f>
        <v>26.7083953857422</v>
      </c>
      <c r="AL57" s="888" t="n">
        <f aca="false">IF(D57&lt;=Tables!$B$21,IF($AL$10=$AI$10,AI57,IF($AL$10=$AJ$10,AJ57,IF($AL$10=$AK$10,AK57,0))),0)</f>
        <v>26.7083953857422</v>
      </c>
      <c r="AM57" s="889" t="n">
        <f aca="false">+AL57*K57</f>
        <v>37.2134190121334</v>
      </c>
      <c r="AN57" s="890" t="n">
        <f aca="false">IF((AL57*K57)&gt;(CP57+$BF$4),1,0)</f>
        <v>0</v>
      </c>
      <c r="AO57" s="891"/>
      <c r="AP57" s="894"/>
      <c r="AQ57" s="892" t="n">
        <f aca="false">IF(Tables!$E$30="New York",INDEX('NY Curve'!$A$4:$L$256,MATCH('Monthly Table'!B57,'NY Curve'!$A$4:$A$256,0),MATCH("New York Shoulder Hour Curve Mon-Fri",'NY Curve'!$A$4:$L$4,0)),IF(Tables!$E$30="Michigan",INDEX('Michigan Curve'!$A$4:$K$256,MATCH('Monthly Table'!B57,'Michigan Curve'!$A$4:$A$256,0),MATCH("Michigan Shoulder Hour Curve Mon-Fri",'Michigan Curve'!$A$4:$K$4,0))))</f>
        <v>22.7515960693359</v>
      </c>
      <c r="AR57" s="889" t="n">
        <f aca="false">AQ57*K57</f>
        <v>31.7003198992247</v>
      </c>
      <c r="AS57" s="893" t="n">
        <f aca="false">IF(AR57&gt;($CP57+$BF$4),1,0)</f>
        <v>0</v>
      </c>
      <c r="AT57" s="188"/>
      <c r="AU57" s="892" t="n">
        <f aca="false">IF(Tables!$E$30="New York",INDEX('NY Curve'!$A$4:$L$256,MATCH('Monthly Table'!$B57,'NY Curve'!$A$4:$A$256,0),MATCH("New York Saturday Super Peak",'NY Curve'!$A$4:$L$4,0)),IF(Tables!$E$30="Michigan",INDEX('Michigan Curve'!$A$4:$K$256,MATCH('Monthly Table'!$B57,'Michigan Curve'!$A$4:$A$256,0),MATCH("Michigan Saturday Super Peak",'Michigan Curve'!$A$4:$K$4,0))))</f>
        <v>21.6</v>
      </c>
      <c r="AV57" s="894" t="n">
        <f aca="false">AU57*K57</f>
        <v>30.0957747200036</v>
      </c>
      <c r="AW57" s="893" t="n">
        <f aca="false">IF(AV57&gt;($CP57+$BF$4),1,0)</f>
        <v>0</v>
      </c>
      <c r="AX57" s="892" t="n">
        <f aca="false">IF(Tables!$E$30="New York",INDEX('NY Curve'!$A$4:$L$256,MATCH('Monthly Table'!$B57,'NY Curve'!$A$4:$A$256,0),MATCH("New York Saturday Shoulder Peak",'NY Curve'!$A$4:$L$4,0)),IF(Tables!$E$30="Michigan",INDEX('Michigan Curve'!$A$4:$K$256,MATCH('Monthly Table'!$B57,'Michigan Curve'!$A$4:$A$256,0),MATCH("Michigan Saturday Shoulder Peak",'Michigan Curve'!$A$4:$K$4,0))))</f>
        <v>18.4</v>
      </c>
      <c r="AY57" s="895" t="n">
        <f aca="false">AX57*K57</f>
        <v>25.6371414281512</v>
      </c>
      <c r="AZ57" s="893" t="n">
        <f aca="false">IF(AY57&gt;($CP57+$BF$4),1,0)</f>
        <v>0</v>
      </c>
      <c r="BA57" s="188"/>
      <c r="BB57" s="892" t="n">
        <f aca="false">IF(Tables!$E$30="New York",INDEX('NY Curve'!$A$4:$M$256,MATCH('Monthly Table'!$B57,'NY Curve'!$A$4:$A$256,0),MATCH("NY Sunday Super Peak",'NY Curve'!$A$4:$M$4,0)),IF(Tables!$E$30="Michigan",INDEX('Michigan Curve'!$A$4:$L$256,MATCH('Monthly Table'!$B57,'Michigan Curve'!$A$4:$A$256,0),MATCH("Michigan Sunday Super Peak",'Michigan Curve'!$A$4:$L$4,0))))</f>
        <v>20.52</v>
      </c>
      <c r="BC57" s="894" t="n">
        <f aca="false">BB57*K57</f>
        <v>28.5909859840034</v>
      </c>
      <c r="BD57" s="893" t="n">
        <f aca="false">IF(BC57&gt;($CP57+$BF$4),1,0)</f>
        <v>0</v>
      </c>
      <c r="BE57" s="188"/>
      <c r="BF57" s="896" t="n">
        <f aca="false">B57</f>
        <v>38292</v>
      </c>
      <c r="BG57" s="897" t="n">
        <f aca="false">IF($AN57=1,$E57*$BF$5,0)</f>
        <v>0</v>
      </c>
      <c r="BH57" s="976" t="n">
        <f aca="false">IF(Tables!$B$36="Combined Cycle",(BF57-BF56)*24*Assumptions!$B$21,0)</f>
        <v>0</v>
      </c>
      <c r="BI57" s="714" t="n">
        <f aca="false">IF($AN57=1,$E57*$BF$5,0)</f>
        <v>0</v>
      </c>
      <c r="BJ57" s="898" t="n">
        <f aca="false">IF('Monthly Table'!D57&lt;=Tables!$B$21,IF($BJ$10=$BG$10,BG57,IF($BJ$10=$BH$10,BH57,IF($BJ$10=$BI$10,BI57,0))),0)</f>
        <v>0</v>
      </c>
      <c r="BK57" s="288"/>
      <c r="BL57" s="898" t="n">
        <f aca="false">IF($AW57=1,$F57*$BF$5,0)</f>
        <v>0</v>
      </c>
      <c r="BM57" s="898" t="n">
        <f aca="false">IF($BD57=1,($G57+H57)*$BF$5,0)</f>
        <v>0</v>
      </c>
      <c r="BO57" s="898" t="n">
        <f aca="false">IF(AS57=1,BJ57,0)</f>
        <v>0</v>
      </c>
      <c r="BP57" s="898" t="n">
        <f aca="false">IF(AZ57=1,F57*$BF$5,0)</f>
        <v>0</v>
      </c>
      <c r="BR57" s="899" t="n">
        <f aca="false">IF(BJ57&gt;0,INDEX(OperationalDetail,MATCH("Capacity Degradation",ODColumn,0),MATCH('Monthly Table'!C57,ODRow,0)),0)</f>
        <v>0</v>
      </c>
      <c r="BS57" s="900" t="n">
        <f aca="false">BJ57*(1-BR57)*Tables!$C$36</f>
        <v>0</v>
      </c>
      <c r="BT57" s="883" t="n">
        <f aca="false">BS57*AL57/1000</f>
        <v>0</v>
      </c>
      <c r="BU57" s="883" t="n">
        <f aca="false">BT57*K57</f>
        <v>0</v>
      </c>
      <c r="BV57" s="188"/>
      <c r="BW57" s="901" t="n">
        <f aca="false">$BO57*(1-$BR57)*Tables!$C$36</f>
        <v>0</v>
      </c>
      <c r="BX57" s="902" t="n">
        <f aca="false">(BW57*AQ57)/1000</f>
        <v>0</v>
      </c>
      <c r="BY57" s="883" t="n">
        <f aca="false">BX57*K57</f>
        <v>0</v>
      </c>
      <c r="BZ57" s="188"/>
      <c r="CA57" s="901" t="n">
        <f aca="false">$BL57*(1-$BR57)*Tables!$C$36</f>
        <v>0</v>
      </c>
      <c r="CB57" s="902" t="n">
        <f aca="false">(CA57*AU57)/1000</f>
        <v>0</v>
      </c>
      <c r="CC57" s="883" t="n">
        <f aca="false">CB57*K57</f>
        <v>0</v>
      </c>
      <c r="CD57" s="901" t="n">
        <f aca="false">$BP57*(1-$BR57)*Tables!$C$36</f>
        <v>0</v>
      </c>
      <c r="CE57" s="902" t="n">
        <f aca="false">(CD57*AX57)/1000</f>
        <v>0</v>
      </c>
      <c r="CF57" s="883" t="n">
        <f aca="false">CE57*K57</f>
        <v>0</v>
      </c>
      <c r="CH57" s="901" t="n">
        <f aca="false">$BM57*(1-$BR57)*Tables!$C$36</f>
        <v>0</v>
      </c>
      <c r="CI57" s="902" t="n">
        <f aca="false">(CH57*BB57)/1000</f>
        <v>0</v>
      </c>
      <c r="CJ57" s="883" t="n">
        <f aca="false">CI57*K57</f>
        <v>0</v>
      </c>
      <c r="CK57" s="292"/>
      <c r="CL57" s="292" t="n">
        <f aca="false">C57-1</f>
        <v>2003</v>
      </c>
      <c r="CM57" s="903" t="n">
        <f aca="false">INDEX(OperationalDetail,MATCH("Degraded Heat Rate",ODColumn,0),MATCH('Monthly Table'!CL57,ODRow,0))/1000</f>
        <v>12.1321044</v>
      </c>
      <c r="CN57" s="904" t="n">
        <f aca="false">S57*CM57</f>
        <v>56.9365158529937</v>
      </c>
      <c r="CO57" s="905" t="n">
        <f aca="false">IF(A57="January",(CO56*(1+Assumptions!$E$32)),CO56)</f>
        <v>7.147899135</v>
      </c>
      <c r="CP57" s="906" t="n">
        <f aca="false">CN57+CO57</f>
        <v>64.0844149879937</v>
      </c>
      <c r="CQ57" s="292"/>
      <c r="CR57" s="856" t="str">
        <f aca="false">IF(BJ57=0,"",C57)</f>
        <v/>
      </c>
      <c r="CS57" s="856" t="str">
        <f aca="false">IF(BO57=0,"",$C57)</f>
        <v/>
      </c>
      <c r="CT57" s="856" t="str">
        <f aca="false">IF(BL57=0,"",$C57)</f>
        <v/>
      </c>
      <c r="CU57" s="856" t="str">
        <f aca="false">IF(BP57=0,"",$C57)</f>
        <v/>
      </c>
      <c r="CV57" s="856" t="str">
        <f aca="false">IF(BD57=0,"",$C57)</f>
        <v/>
      </c>
      <c r="CW57" s="907" t="n">
        <f aca="false">YEAR(BF57)</f>
        <v>2004</v>
      </c>
      <c r="CX57" s="908" t="n">
        <f aca="false">INDEX('NY Curve'!$A$4:$G$256,MATCH('Monthly Table'!B57,'NY Curve'!$A$4:$A$256,0),MATCH("New York 5 X 16",'NY Curve'!$A$4:$G$4,0))</f>
        <v>25.9</v>
      </c>
      <c r="CY57" s="909" t="n">
        <f aca="false">K57</f>
        <v>1.39332290370387</v>
      </c>
      <c r="CZ57" s="910" t="n">
        <f aca="false">CX57*CY57</f>
        <v>36.0870632059302</v>
      </c>
      <c r="DB57" s="911"/>
      <c r="DC57" s="911"/>
    </row>
    <row r="58" customFormat="false" ht="18.75" hidden="false" customHeight="true" outlineLevel="0" collapsed="false">
      <c r="A58" s="110" t="s">
        <v>821</v>
      </c>
      <c r="B58" s="918" t="n">
        <v>38322</v>
      </c>
      <c r="C58" s="917" t="n">
        <f aca="false">YEAR(B58)</f>
        <v>2004</v>
      </c>
      <c r="D58" s="919" t="n">
        <f aca="false">IF(A58="January",D57+1,D57)</f>
        <v>4</v>
      </c>
      <c r="E58" s="865" t="n">
        <v>23</v>
      </c>
      <c r="F58" s="866" t="n">
        <v>3</v>
      </c>
      <c r="G58" s="866" t="n">
        <v>4</v>
      </c>
      <c r="H58" s="866" t="n">
        <v>1</v>
      </c>
      <c r="I58" s="867" t="n">
        <f aca="false">SUM(E58:H58)</f>
        <v>31</v>
      </c>
      <c r="J58" s="923"/>
      <c r="K58" s="924" t="n">
        <f aca="false">INDEX(FX!$A$3:$C$362,MATCH(B58,FX!$A$3:$A$362,0),MATCH("Monthly Curve",FX!$A$2:$C$2,0))</f>
        <v>1.39171754168102</v>
      </c>
      <c r="L58" s="924"/>
      <c r="M58" s="925" t="n">
        <v>2.9955</v>
      </c>
      <c r="N58" s="926" t="n">
        <v>0.26</v>
      </c>
      <c r="O58" s="927" t="n">
        <v>0.05</v>
      </c>
      <c r="P58" s="928" t="n">
        <f aca="false">N58+O58</f>
        <v>0.31</v>
      </c>
      <c r="Q58" s="929" t="n">
        <f aca="false">SUM(M58:O58)</f>
        <v>3.3055</v>
      </c>
      <c r="R58" s="979" t="n">
        <f aca="false">IF(A58="January",(R57+R57*Assumptions!$E$32),R57)</f>
        <v>0.318708070153846</v>
      </c>
      <c r="S58" s="931" t="n">
        <f aca="false">(Q58*K58)+R58</f>
        <v>4.91903040418046</v>
      </c>
      <c r="T58" s="924"/>
      <c r="U58" s="917"/>
      <c r="V58" s="980"/>
      <c r="W58" s="980"/>
      <c r="X58" s="972"/>
      <c r="Y58" s="981" t="n">
        <f aca="false">Tables!$D$36</f>
        <v>312</v>
      </c>
      <c r="Z58" s="935" t="n">
        <f aca="false">IF($Z$10=$V$10,V58,IF($Z$10=$W$10,W58,IF($Z$10=$X$10,X58,0)))</f>
        <v>0</v>
      </c>
      <c r="AA58" s="936" t="n">
        <f aca="false">Y58*Z58</f>
        <v>0</v>
      </c>
      <c r="AB58" s="937" t="n">
        <f aca="false">AA58*K58</f>
        <v>0</v>
      </c>
      <c r="AC58" s="938"/>
      <c r="AD58" s="882" t="n">
        <f aca="false">IF(Tables!$E$30="Michigan",INDEX('Michigan Curve'!$A$4:$S$256,MATCH('Monthly Table'!B58,'Michigan Curve'!$A$4:$A$256,0),MATCH("Michigan Selected Option Value US$/month",'Michigan Curve'!$A$4:$S$4,0)),INDEX('NY Curve'!$A$4:$T$256,MATCH('Monthly Table'!B58,'NY Curve'!$A$4:$A$256,0),MATCH("New York Selected Option Value US$/month",'NY Curve'!$A$4:$T$4,0)))</f>
        <v>10029.7157840006</v>
      </c>
      <c r="AE58" s="883" t="n">
        <f aca="false">AD58*K58</f>
        <v>13958.5313946687</v>
      </c>
      <c r="AF58" s="938"/>
      <c r="AG58" s="939"/>
      <c r="AH58" s="938"/>
      <c r="AI58" s="885" t="n">
        <f aca="false">Assumptions!$B$50</f>
        <v>65</v>
      </c>
      <c r="AJ58" s="940"/>
      <c r="AK58" s="887" t="n">
        <f aca="false">IF(Tables!$E$30="Custom",'Monthly Table'!AI58,IF(Tables!$E$30="New York",INDEX('NY Curve'!$A$4:$G$256,MATCH('Monthly Table'!B58,'NY Curve'!$A$4:$A$256,0),MATCH("Super Peak Curve",'NY Curve'!$A$4:$G$4,0)),IF(Tables!$E$30="New York Flat",INDEX('NY Curve'!$A$4:$G$256,MATCH('Monthly Table'!B58,'NY Curve'!$A$4:$A$256,0),MATCH("Flat NY West",'NY Curve'!$A$4:$G$4,0)),INDEX('Michigan Curve'!$A$4:$F$256,MATCH('Monthly Table'!B58,'Michigan Curve'!$A$4:$A$256,0),MATCH("Michigan Super Peak Curve US$/MWhr",'Michigan Curve'!$A$4:$F$4,0)))))</f>
        <v>25.7039949417114</v>
      </c>
      <c r="AL58" s="941" t="n">
        <f aca="false">IF(D58&lt;=Tables!$B$21,IF($AL$10=$AI$10,AI58,IF($AL$10=$AJ$10,AJ58,IF($AL$10=$AK$10,AK58,0))),0)</f>
        <v>25.7039949417114</v>
      </c>
      <c r="AM58" s="942" t="n">
        <f aca="false">+AL58*K58</f>
        <v>35.77270065166</v>
      </c>
      <c r="AN58" s="943" t="n">
        <f aca="false">IF((AL58*K58)&gt;(CP58+$BF$4),1,0)</f>
        <v>0</v>
      </c>
      <c r="AO58" s="944"/>
      <c r="AP58" s="894"/>
      <c r="AQ58" s="892" t="n">
        <f aca="false">IF(Tables!$E$30="New York",INDEX('NY Curve'!$A$4:$L$256,MATCH('Monthly Table'!B58,'NY Curve'!$A$4:$A$256,0),MATCH("New York Shoulder Hour Curve Mon-Fri",'NY Curve'!$A$4:$L$4,0)),IF(Tables!$E$30="Michigan",INDEX('Michigan Curve'!$A$4:$K$256,MATCH('Monthly Table'!B58,'Michigan Curve'!$A$4:$A$256,0),MATCH("Michigan Shoulder Hour Curve Mon-Fri",'Michigan Curve'!$A$4:$K$4,0))))</f>
        <v>24.6959951400757</v>
      </c>
      <c r="AR58" s="889" t="n">
        <f aca="false">AQ58*K58</f>
        <v>34.3698496457126</v>
      </c>
      <c r="AS58" s="893" t="n">
        <f aca="false">IF(AR58&gt;($CP58+$BF$4),1,0)</f>
        <v>0</v>
      </c>
      <c r="AT58" s="938"/>
      <c r="AU58" s="892" t="n">
        <f aca="false">IF(Tables!$E$30="New York",INDEX('NY Curve'!$A$4:$L$256,MATCH('Monthly Table'!$B58,'NY Curve'!$A$4:$A$256,0),MATCH("New York Saturday Super Peak",'NY Curve'!$A$4:$L$4,0)),IF(Tables!$E$30="Michigan",INDEX('Michigan Curve'!$A$4:$K$256,MATCH('Monthly Table'!$B58,'Michigan Curve'!$A$4:$A$256,0),MATCH("Michigan Saturday Super Peak",'Michigan Curve'!$A$4:$K$4,0))))</f>
        <v>20.4</v>
      </c>
      <c r="AV58" s="894" t="n">
        <f aca="false">AU58*K58</f>
        <v>28.3910378502928</v>
      </c>
      <c r="AW58" s="893" t="n">
        <f aca="false">IF(AV58&gt;($CP58+$BF$4),1,0)</f>
        <v>0</v>
      </c>
      <c r="AX58" s="892" t="n">
        <f aca="false">IF(Tables!$E$30="New York",INDEX('NY Curve'!$A$4:$L$256,MATCH('Monthly Table'!$B58,'NY Curve'!$A$4:$A$256,0),MATCH("New York Saturday Shoulder Peak",'NY Curve'!$A$4:$L$4,0)),IF(Tables!$E$30="Michigan",INDEX('Michigan Curve'!$A$4:$K$256,MATCH('Monthly Table'!$B58,'Michigan Curve'!$A$4:$A$256,0),MATCH("Michigan Saturday Shoulder Peak",'Michigan Curve'!$A$4:$K$4,0))))</f>
        <v>19.6</v>
      </c>
      <c r="AY58" s="895" t="n">
        <f aca="false">AX58*K58</f>
        <v>27.277663816948</v>
      </c>
      <c r="AZ58" s="893" t="n">
        <f aca="false">IF(AY58&gt;($CP58+$BF$4),1,0)</f>
        <v>0</v>
      </c>
      <c r="BA58" s="938"/>
      <c r="BB58" s="892" t="n">
        <f aca="false">IF(Tables!$E$30="New York",INDEX('NY Curve'!$A$4:$M$256,MATCH('Monthly Table'!$B58,'NY Curve'!$A$4:$A$256,0),MATCH("NY Sunday Super Peak",'NY Curve'!$A$4:$M$4,0)),IF(Tables!$E$30="Michigan",INDEX('Michigan Curve'!$A$4:$L$256,MATCH('Monthly Table'!$B58,'Michigan Curve'!$A$4:$A$256,0),MATCH("Michigan Sunday Super Peak",'Michigan Curve'!$A$4:$L$4,0))))</f>
        <v>19.38</v>
      </c>
      <c r="BC58" s="894" t="n">
        <f aca="false">BB58*K58</f>
        <v>26.9714859577782</v>
      </c>
      <c r="BD58" s="893" t="n">
        <f aca="false">IF(BC58&gt;($CP58+$BF$4),1,0)</f>
        <v>0</v>
      </c>
      <c r="BE58" s="938"/>
      <c r="BF58" s="948" t="n">
        <f aca="false">B58</f>
        <v>38322</v>
      </c>
      <c r="BG58" s="897" t="n">
        <f aca="false">IF($AN58=1,$E58*$BF$5,0)</f>
        <v>0</v>
      </c>
      <c r="BH58" s="982" t="n">
        <f aca="false">IF(Tables!$B$36="Combined Cycle",(BF58-BF57)*24*Assumptions!$B$21,0)</f>
        <v>0</v>
      </c>
      <c r="BI58" s="714" t="n">
        <f aca="false">IF($AN58=1,$E58*$BF$5,0)</f>
        <v>0</v>
      </c>
      <c r="BJ58" s="950" t="n">
        <f aca="false">IF('Monthly Table'!D58&lt;=Tables!$B$21,IF($BJ$10=$BG$10,BG58,IF($BJ$10=$BH$10,BH58,IF($BJ$10=$BI$10,BI58,0))),0)</f>
        <v>0</v>
      </c>
      <c r="BK58" s="288"/>
      <c r="BL58" s="898" t="n">
        <f aca="false">IF($AW58=1,$F58*$BF$5,0)</f>
        <v>0</v>
      </c>
      <c r="BM58" s="898" t="n">
        <f aca="false">IF($BD58=1,($G58+H58)*$BF$5,0)</f>
        <v>0</v>
      </c>
      <c r="BO58" s="898" t="n">
        <f aca="false">IF(AS58=1,BJ58,0)</f>
        <v>0</v>
      </c>
      <c r="BP58" s="898" t="n">
        <f aca="false">IF(AZ58=1,F58*$BF$5,0)</f>
        <v>0</v>
      </c>
      <c r="BR58" s="951" t="n">
        <f aca="false">IF(BJ58&gt;0,INDEX(OperationalDetail,MATCH("Capacity Degradation",ODColumn,0),MATCH('Monthly Table'!C58,ODRow,0)),0)</f>
        <v>0</v>
      </c>
      <c r="BS58" s="900" t="n">
        <f aca="false">BJ58*(1-BR58)*Tables!$C$36</f>
        <v>0</v>
      </c>
      <c r="BT58" s="953" t="n">
        <f aca="false">BS58*AL58/1000</f>
        <v>0</v>
      </c>
      <c r="BU58" s="953" t="n">
        <f aca="false">BT58*K58</f>
        <v>0</v>
      </c>
      <c r="BV58" s="188"/>
      <c r="BW58" s="901" t="n">
        <f aca="false">$BO58*(1-$BR58)*Tables!$C$36</f>
        <v>0</v>
      </c>
      <c r="BX58" s="902" t="n">
        <f aca="false">(BW58*AQ58)/1000</f>
        <v>0</v>
      </c>
      <c r="BY58" s="883" t="n">
        <f aca="false">BX58*K58</f>
        <v>0</v>
      </c>
      <c r="BZ58" s="938"/>
      <c r="CA58" s="901" t="n">
        <f aca="false">$BL58*(1-$BR58)*Tables!$C$36</f>
        <v>0</v>
      </c>
      <c r="CB58" s="902" t="n">
        <f aca="false">(CA58*AU58)/1000</f>
        <v>0</v>
      </c>
      <c r="CC58" s="883" t="n">
        <f aca="false">CB58*K58</f>
        <v>0</v>
      </c>
      <c r="CD58" s="901" t="n">
        <f aca="false">$BP58*(1-$BR58)*Tables!$C$36</f>
        <v>0</v>
      </c>
      <c r="CE58" s="902" t="n">
        <f aca="false">(CD58*AX58)/1000</f>
        <v>0</v>
      </c>
      <c r="CF58" s="883" t="n">
        <f aca="false">CE58*K58</f>
        <v>0</v>
      </c>
      <c r="CG58" s="110"/>
      <c r="CH58" s="901" t="n">
        <f aca="false">$BM58*(1-$BR58)*Tables!$C$36</f>
        <v>0</v>
      </c>
      <c r="CI58" s="902" t="n">
        <f aca="false">(CH58*BB58)/1000</f>
        <v>0</v>
      </c>
      <c r="CJ58" s="883" t="n">
        <f aca="false">CI58*K58</f>
        <v>0</v>
      </c>
      <c r="CK58" s="956"/>
      <c r="CL58" s="292" t="n">
        <f aca="false">C58-1</f>
        <v>2003</v>
      </c>
      <c r="CM58" s="903" t="n">
        <f aca="false">INDEX(OperationalDetail,MATCH("Degraded Heat Rate",ODColumn,0),MATCH('Monthly Table'!CL58,ODRow,0))/1000</f>
        <v>12.1321044</v>
      </c>
      <c r="CN58" s="958" t="n">
        <f aca="false">S58*CM58</f>
        <v>59.6781904102915</v>
      </c>
      <c r="CO58" s="959" t="n">
        <f aca="false">IF(A58="January",(CO57*(1+Assumptions!$E$32)),CO57)</f>
        <v>7.147899135</v>
      </c>
      <c r="CP58" s="960" t="n">
        <f aca="false">CN58+CO58</f>
        <v>66.8260895452915</v>
      </c>
      <c r="CQ58" s="956"/>
      <c r="CR58" s="961" t="str">
        <f aca="false">IF(BJ58=0,"",C58)</f>
        <v/>
      </c>
      <c r="CS58" s="856" t="str">
        <f aca="false">IF(BO58=0,"",$C58)</f>
        <v/>
      </c>
      <c r="CT58" s="856" t="str">
        <f aca="false">IF(BL58=0,"",$C58)</f>
        <v/>
      </c>
      <c r="CU58" s="856" t="str">
        <f aca="false">IF(BP58=0,"",$C58)</f>
        <v/>
      </c>
      <c r="CV58" s="856" t="str">
        <f aca="false">IF(BD58=0,"",$C58)</f>
        <v/>
      </c>
      <c r="CW58" s="962" t="n">
        <f aca="false">YEAR(BF58)</f>
        <v>2004</v>
      </c>
      <c r="CX58" s="963" t="n">
        <f aca="false">INDEX('NY Curve'!$A$4:$G$256,MATCH('Monthly Table'!B58,'NY Curve'!$A$4:$A$256,0),MATCH("New York 5 X 16",'NY Curve'!$A$4:$G$4,0))</f>
        <v>26.4</v>
      </c>
      <c r="CY58" s="964" t="n">
        <f aca="false">K58</f>
        <v>1.39171754168102</v>
      </c>
      <c r="CZ58" s="965" t="n">
        <f aca="false">CX58*CY58</f>
        <v>36.7413431003789</v>
      </c>
      <c r="DA58" s="110"/>
      <c r="DB58" s="966"/>
      <c r="DC58" s="966"/>
      <c r="DD58" s="110"/>
      <c r="DE58" s="110"/>
      <c r="DF58" s="110"/>
      <c r="DG58" s="110"/>
      <c r="DH58" s="110"/>
    </row>
    <row r="59" customFormat="false" ht="18.75" hidden="false" customHeight="true" outlineLevel="0" collapsed="false">
      <c r="A59" s="49" t="s">
        <v>810</v>
      </c>
      <c r="B59" s="863" t="n">
        <v>38353</v>
      </c>
      <c r="C59" s="288" t="n">
        <f aca="false">YEAR(B59)</f>
        <v>2005</v>
      </c>
      <c r="D59" s="864" t="n">
        <f aca="false">IF(A59="January",D58+1,D58)</f>
        <v>5</v>
      </c>
      <c r="E59" s="865" t="n">
        <v>21</v>
      </c>
      <c r="F59" s="866" t="n">
        <v>4</v>
      </c>
      <c r="G59" s="866" t="n">
        <v>5</v>
      </c>
      <c r="H59" s="866" t="n">
        <v>1</v>
      </c>
      <c r="I59" s="867" t="n">
        <f aca="false">SUM(E59:H59)</f>
        <v>31</v>
      </c>
      <c r="J59" s="868"/>
      <c r="K59" s="869" t="n">
        <f aca="false">INDEX(FX!$A$3:$C$362,MATCH(B59,FX!$A$3:$A$362,0),MATCH("Monthly Curve",FX!$A$2:$C$2,0))</f>
        <v>1.39003977930415</v>
      </c>
      <c r="L59" s="869"/>
      <c r="M59" s="914" t="n">
        <v>3.046</v>
      </c>
      <c r="N59" s="915" t="n">
        <v>0.27</v>
      </c>
      <c r="O59" s="714" t="n">
        <v>0.05</v>
      </c>
      <c r="P59" s="872" t="n">
        <f aca="false">N59+O59</f>
        <v>0.32</v>
      </c>
      <c r="Q59" s="873" t="n">
        <f aca="false">SUM(M59:O59)</f>
        <v>3.366</v>
      </c>
      <c r="R59" s="974" t="n">
        <f aca="false">IF(A59="January",(R58+R58*Assumptions!$E$32),R58)</f>
        <v>0.325082231556923</v>
      </c>
      <c r="S59" s="875" t="n">
        <f aca="false">(Q59*K59)+R59</f>
        <v>5.00395612869469</v>
      </c>
      <c r="T59" s="869"/>
      <c r="V59" s="978"/>
      <c r="W59" s="978"/>
      <c r="X59" s="971"/>
      <c r="Y59" s="975" t="n">
        <f aca="false">Tables!$D$36</f>
        <v>312</v>
      </c>
      <c r="Z59" s="879" t="n">
        <f aca="false">IF($Z$10=$V$10,V59,IF($Z$10=$W$10,W59,IF($Z$10=$X$10,X59,0)))</f>
        <v>0</v>
      </c>
      <c r="AA59" s="880" t="n">
        <f aca="false">Y59*Z59</f>
        <v>0</v>
      </c>
      <c r="AB59" s="881" t="n">
        <f aca="false">AA59*K59</f>
        <v>0</v>
      </c>
      <c r="AC59" s="188"/>
      <c r="AD59" s="882" t="n">
        <f aca="false">IF(Tables!$E$30="Michigan",INDEX('Michigan Curve'!$A$4:$S$256,MATCH('Monthly Table'!B59,'Michigan Curve'!$A$4:$A$256,0),MATCH("Michigan Selected Option Value US$/month",'Michigan Curve'!$A$4:$S$4,0)),INDEX('NY Curve'!$A$4:$T$256,MATCH('Monthly Table'!B59,'NY Curve'!$A$4:$A$256,0),MATCH("New York Selected Option Value US$/month",'NY Curve'!$A$4:$T$4,0)))</f>
        <v>60668.3225300483</v>
      </c>
      <c r="AE59" s="883" t="n">
        <f aca="false">AD59*K59</f>
        <v>84331.3816604213</v>
      </c>
      <c r="AF59" s="188"/>
      <c r="AG59" s="884"/>
      <c r="AH59" s="188"/>
      <c r="AI59" s="885" t="n">
        <f aca="false">Assumptions!$B$50</f>
        <v>65</v>
      </c>
      <c r="AJ59" s="916"/>
      <c r="AK59" s="887" t="n">
        <f aca="false">IF(Tables!$E$30="Custom",'Monthly Table'!AI59,IF(Tables!$E$30="New York",INDEX('NY Curve'!$A$4:$G$256,MATCH('Monthly Table'!B59,'NY Curve'!$A$4:$A$256,0),MATCH("Super Peak Curve",'NY Curve'!$A$4:$G$4,0)),IF(Tables!$E$30="New York Flat",INDEX('NY Curve'!$A$4:$G$256,MATCH('Monthly Table'!B59,'NY Curve'!$A$4:$A$256,0),MATCH("Flat NY West",'NY Curve'!$A$4:$G$4,0)),INDEX('Michigan Curve'!$A$4:$F$256,MATCH('Monthly Table'!B59,'Michigan Curve'!$A$4:$A$256,0),MATCH("Michigan Super Peak Curve US$/MWhr",'Michigan Curve'!$A$4:$F$4,0)))))</f>
        <v>31.3140003890991</v>
      </c>
      <c r="AL59" s="888" t="n">
        <f aca="false">IF(D59&lt;=Tables!$B$21,IF($AL$10=$AI$10,AI59,IF($AL$10=$AJ$10,AJ59,IF($AL$10=$AK$10,AK59,0))),0)</f>
        <v>31.3140003890991</v>
      </c>
      <c r="AM59" s="889" t="n">
        <f aca="false">+AL59*K59</f>
        <v>43.5277061899934</v>
      </c>
      <c r="AN59" s="890" t="n">
        <f aca="false">IF((AL59*K59)&gt;(CP59+$BF$4),1,0)</f>
        <v>0</v>
      </c>
      <c r="AO59" s="891"/>
      <c r="AP59" s="894"/>
      <c r="AQ59" s="892" t="n">
        <f aca="false">IF(Tables!$E$30="New York",INDEX('NY Curve'!$A$4:$L$256,MATCH('Monthly Table'!B59,'NY Curve'!$A$4:$A$256,0),MATCH("New York Shoulder Hour Curve Mon-Fri",'NY Curve'!$A$4:$L$4,0)),IF(Tables!$E$30="Michigan",INDEX('Michigan Curve'!$A$4:$K$256,MATCH('Monthly Table'!B59,'Michigan Curve'!$A$4:$A$256,0),MATCH("Michigan Shoulder Hour Curve Mon-Fri",'Michigan Curve'!$A$4:$K$4,0))))</f>
        <v>30.0860003738403</v>
      </c>
      <c r="AR59" s="889" t="n">
        <f aca="false">AQ59*K59</f>
        <v>41.8207373197976</v>
      </c>
      <c r="AS59" s="893" t="n">
        <f aca="false">IF(AR59&gt;($CP59+$BF$4),1,0)</f>
        <v>0</v>
      </c>
      <c r="AT59" s="188"/>
      <c r="AU59" s="892" t="n">
        <f aca="false">IF(Tables!$E$30="New York",INDEX('NY Curve'!$A$4:$L$256,MATCH('Monthly Table'!$B59,'NY Curve'!$A$4:$A$256,0),MATCH("New York Saturday Super Peak",'NY Curve'!$A$4:$L$4,0)),IF(Tables!$E$30="Michigan",INDEX('Michigan Curve'!$A$4:$K$256,MATCH('Monthly Table'!$B59,'Michigan Curve'!$A$4:$A$256,0),MATCH("Michigan Saturday Super Peak",'Michigan Curve'!$A$4:$K$4,0))))</f>
        <v>22.44</v>
      </c>
      <c r="AV59" s="894" t="n">
        <f aca="false">AU59*K59</f>
        <v>31.1924926475851</v>
      </c>
      <c r="AW59" s="893" t="n">
        <f aca="false">IF(AV59&gt;($CP59+$BF$4),1,0)</f>
        <v>0</v>
      </c>
      <c r="AX59" s="892" t="n">
        <f aca="false">IF(Tables!$E$30="New York",INDEX('NY Curve'!$A$4:$L$256,MATCH('Monthly Table'!$B59,'NY Curve'!$A$4:$A$256,0),MATCH("New York Saturday Shoulder Peak",'NY Curve'!$A$4:$L$4,0)),IF(Tables!$E$30="Michigan",INDEX('Michigan Curve'!$A$4:$K$256,MATCH('Monthly Table'!$B59,'Michigan Curve'!$A$4:$A$256,0),MATCH("Michigan Saturday Shoulder Peak",'Michigan Curve'!$A$4:$K$4,0))))</f>
        <v>21.56</v>
      </c>
      <c r="AY59" s="895" t="n">
        <f aca="false">AX59*K59</f>
        <v>29.9692576417975</v>
      </c>
      <c r="AZ59" s="893" t="n">
        <f aca="false">IF(AY59&gt;($CP59+$BF$4),1,0)</f>
        <v>0</v>
      </c>
      <c r="BA59" s="188"/>
      <c r="BB59" s="892" t="n">
        <f aca="false">IF(Tables!$E$30="New York",INDEX('NY Curve'!$A$4:$M$256,MATCH('Monthly Table'!$B59,'NY Curve'!$A$4:$A$256,0),MATCH("NY Sunday Super Peak",'NY Curve'!$A$4:$M$4,0)),IF(Tables!$E$30="Michigan",INDEX('Michigan Curve'!$A$4:$L$256,MATCH('Monthly Table'!$B59,'Michigan Curve'!$A$4:$A$256,0),MATCH("Michigan Sunday Super Peak",'Michigan Curve'!$A$4:$L$4,0))))</f>
        <v>21.42</v>
      </c>
      <c r="BC59" s="894" t="n">
        <f aca="false">BB59*K59</f>
        <v>29.7746520726949</v>
      </c>
      <c r="BD59" s="893" t="n">
        <f aca="false">IF(BC59&gt;($CP59+$BF$4),1,0)</f>
        <v>0</v>
      </c>
      <c r="BE59" s="188"/>
      <c r="BF59" s="896" t="n">
        <f aca="false">B59</f>
        <v>38353</v>
      </c>
      <c r="BG59" s="897" t="n">
        <f aca="false">IF($AN59=1,$E59*$BF$5,0)</f>
        <v>0</v>
      </c>
      <c r="BH59" s="976" t="n">
        <f aca="false">IF(Tables!$B$36="Combined Cycle",(BF59-BF58)*24*Assumptions!$B$21,0)</f>
        <v>0</v>
      </c>
      <c r="BI59" s="714" t="n">
        <f aca="false">IF($AN59=1,$E59*$BF$5,0)</f>
        <v>0</v>
      </c>
      <c r="BJ59" s="898" t="n">
        <f aca="false">IF('Monthly Table'!D59&lt;=Tables!$B$21,IF($BJ$10=$BG$10,BG59,IF($BJ$10=$BH$10,BH59,IF($BJ$10=$BI$10,BI59,0))),0)</f>
        <v>0</v>
      </c>
      <c r="BK59" s="288"/>
      <c r="BL59" s="898" t="n">
        <f aca="false">IF($AW59=1,$F59*$BF$5,0)</f>
        <v>0</v>
      </c>
      <c r="BM59" s="898" t="n">
        <f aca="false">IF($BD59=1,($G59+H59)*$BF$5,0)</f>
        <v>0</v>
      </c>
      <c r="BO59" s="898" t="n">
        <f aca="false">IF(AS59=1,BJ59,0)</f>
        <v>0</v>
      </c>
      <c r="BP59" s="898" t="n">
        <f aca="false">IF(AZ59=1,F59*$BF$5,0)</f>
        <v>0</v>
      </c>
      <c r="BR59" s="899" t="n">
        <f aca="false">IF(BJ59&gt;0,INDEX(OperationalDetail,MATCH("Capacity Degradation",ODColumn,0),MATCH('Monthly Table'!C59,ODRow,0)),0)</f>
        <v>0</v>
      </c>
      <c r="BS59" s="900" t="n">
        <f aca="false">BJ59*(1-BR59)*Tables!$C$36</f>
        <v>0</v>
      </c>
      <c r="BT59" s="883" t="n">
        <f aca="false">BS59*AL59/1000</f>
        <v>0</v>
      </c>
      <c r="BU59" s="883" t="n">
        <f aca="false">BT59*K59</f>
        <v>0</v>
      </c>
      <c r="BV59" s="188"/>
      <c r="BW59" s="901" t="n">
        <f aca="false">$BO59*(1-$BR59)*Tables!$C$36</f>
        <v>0</v>
      </c>
      <c r="BX59" s="902" t="n">
        <f aca="false">(BW59*AQ59)/1000</f>
        <v>0</v>
      </c>
      <c r="BY59" s="883" t="n">
        <f aca="false">BX59*K59</f>
        <v>0</v>
      </c>
      <c r="BZ59" s="188"/>
      <c r="CA59" s="901" t="n">
        <f aca="false">$BL59*(1-$BR59)*Tables!$C$36</f>
        <v>0</v>
      </c>
      <c r="CB59" s="902" t="n">
        <f aca="false">(CA59*AU59)/1000</f>
        <v>0</v>
      </c>
      <c r="CC59" s="883" t="n">
        <f aca="false">CB59*K59</f>
        <v>0</v>
      </c>
      <c r="CD59" s="901" t="n">
        <f aca="false">$BP59*(1-$BR59)*Tables!$C$36</f>
        <v>0</v>
      </c>
      <c r="CE59" s="902" t="n">
        <f aca="false">(CD59*AX59)/1000</f>
        <v>0</v>
      </c>
      <c r="CF59" s="883" t="n">
        <f aca="false">CE59*K59</f>
        <v>0</v>
      </c>
      <c r="CH59" s="901" t="n">
        <f aca="false">$BM59*(1-$BR59)*Tables!$C$36</f>
        <v>0</v>
      </c>
      <c r="CI59" s="902" t="n">
        <f aca="false">(CH59*BB59)/1000</f>
        <v>0</v>
      </c>
      <c r="CJ59" s="883" t="n">
        <f aca="false">CI59*K59</f>
        <v>0</v>
      </c>
      <c r="CK59" s="292"/>
      <c r="CL59" s="292" t="n">
        <f aca="false">C59-1</f>
        <v>2004</v>
      </c>
      <c r="CM59" s="903" t="n">
        <f aca="false">INDEX(OperationalDetail,MATCH("Degraded Heat Rate",ODColumn,0),MATCH('Monthly Table'!CL59,ODRow,0))/1000</f>
        <v>12.1630808</v>
      </c>
      <c r="CN59" s="904" t="n">
        <f aca="false">S59*CM59</f>
        <v>60.8635227129687</v>
      </c>
      <c r="CO59" s="905" t="n">
        <f aca="false">IF(A59="January",(CO58*(1+Assumptions!$E$32)),CO58)</f>
        <v>7.2908571177</v>
      </c>
      <c r="CP59" s="906" t="n">
        <f aca="false">CN59+CO59</f>
        <v>68.1543798306687</v>
      </c>
      <c r="CQ59" s="292"/>
      <c r="CR59" s="856" t="str">
        <f aca="false">IF(BJ59=0,"",C59)</f>
        <v/>
      </c>
      <c r="CS59" s="856" t="str">
        <f aca="false">IF(BO59=0,"",$C59)</f>
        <v/>
      </c>
      <c r="CT59" s="856" t="str">
        <f aca="false">IF(BL59=0,"",$C59)</f>
        <v/>
      </c>
      <c r="CU59" s="856" t="str">
        <f aca="false">IF(BP59=0,"",$C59)</f>
        <v/>
      </c>
      <c r="CV59" s="856" t="str">
        <f aca="false">IF(BD59=0,"",$C59)</f>
        <v/>
      </c>
      <c r="CW59" s="907" t="n">
        <f aca="false">YEAR(BF59)</f>
        <v>2005</v>
      </c>
      <c r="CX59" s="908" t="n">
        <f aca="false">INDEX('NY Curve'!$A$4:$G$256,MATCH('Monthly Table'!B59,'NY Curve'!$A$4:$A$256,0),MATCH("New York 5 X 16",'NY Curve'!$A$4:$G$4,0))</f>
        <v>31.75</v>
      </c>
      <c r="CY59" s="909" t="n">
        <f aca="false">K59</f>
        <v>1.39003977930415</v>
      </c>
      <c r="CZ59" s="910" t="n">
        <f aca="false">CX59*CY59</f>
        <v>44.1337629929068</v>
      </c>
      <c r="DB59" s="911"/>
      <c r="DC59" s="911"/>
    </row>
    <row r="60" customFormat="false" ht="18.75" hidden="false" customHeight="true" outlineLevel="0" collapsed="false">
      <c r="A60" s="49" t="s">
        <v>811</v>
      </c>
      <c r="B60" s="863" t="n">
        <v>38384</v>
      </c>
      <c r="C60" s="288" t="n">
        <f aca="false">YEAR(B60)</f>
        <v>2005</v>
      </c>
      <c r="D60" s="864" t="n">
        <f aca="false">IF(A60="January",D59+1,D59)</f>
        <v>5</v>
      </c>
      <c r="E60" s="865" t="n">
        <v>20</v>
      </c>
      <c r="F60" s="866" t="n">
        <v>4</v>
      </c>
      <c r="G60" s="866" t="n">
        <v>4</v>
      </c>
      <c r="H60" s="866" t="n">
        <v>0</v>
      </c>
      <c r="I60" s="867" t="n">
        <f aca="false">SUM(E60:H60)</f>
        <v>28</v>
      </c>
      <c r="J60" s="868"/>
      <c r="K60" s="869" t="n">
        <f aca="false">INDEX(FX!$A$3:$C$362,MATCH(B60,FX!$A$3:$A$362,0),MATCH("Monthly Curve",FX!$A$2:$C$2,0))</f>
        <v>1.38834289421658</v>
      </c>
      <c r="L60" s="869"/>
      <c r="M60" s="914" t="n">
        <v>2.933</v>
      </c>
      <c r="N60" s="915" t="n">
        <v>0.3</v>
      </c>
      <c r="O60" s="714" t="n">
        <v>0.05</v>
      </c>
      <c r="P60" s="872" t="n">
        <f aca="false">N60+O60</f>
        <v>0.35</v>
      </c>
      <c r="Q60" s="873" t="n">
        <f aca="false">SUM(M60:O60)</f>
        <v>3.283</v>
      </c>
      <c r="R60" s="974" t="n">
        <f aca="false">IF(A60="January",(R59+R59*Assumptions!$E$32),R59)</f>
        <v>0.325082231556923</v>
      </c>
      <c r="S60" s="875" t="n">
        <f aca="false">(Q60*K60)+R60</f>
        <v>4.88301195326996</v>
      </c>
      <c r="T60" s="869"/>
      <c r="V60" s="978"/>
      <c r="W60" s="978"/>
      <c r="X60" s="971"/>
      <c r="Y60" s="975" t="n">
        <f aca="false">Tables!$D$36</f>
        <v>312</v>
      </c>
      <c r="Z60" s="879" t="n">
        <f aca="false">IF($Z$10=$V$10,V60,IF($Z$10=$W$10,W60,IF($Z$10=$X$10,X60,0)))</f>
        <v>0</v>
      </c>
      <c r="AA60" s="880" t="n">
        <f aca="false">Y60*Z60</f>
        <v>0</v>
      </c>
      <c r="AB60" s="881" t="n">
        <f aca="false">AA60*K60</f>
        <v>0</v>
      </c>
      <c r="AC60" s="188"/>
      <c r="AD60" s="882" t="n">
        <f aca="false">IF(Tables!$E$30="Michigan",INDEX('Michigan Curve'!$A$4:$S$256,MATCH('Monthly Table'!B60,'Michigan Curve'!$A$4:$A$256,0),MATCH("Michigan Selected Option Value US$/month",'Michigan Curve'!$A$4:$S$4,0)),INDEX('NY Curve'!$A$4:$T$256,MATCH('Monthly Table'!B60,'NY Curve'!$A$4:$A$256,0),MATCH("New York Selected Option Value US$/month",'NY Curve'!$A$4:$T$4,0)))</f>
        <v>60498.3229619452</v>
      </c>
      <c r="AE60" s="883" t="n">
        <f aca="false">AD60*K60</f>
        <v>83992.4167962364</v>
      </c>
      <c r="AF60" s="188"/>
      <c r="AG60" s="884"/>
      <c r="AH60" s="188"/>
      <c r="AI60" s="885" t="n">
        <f aca="false">Assumptions!$B$50</f>
        <v>65</v>
      </c>
      <c r="AJ60" s="916"/>
      <c r="AK60" s="887" t="n">
        <f aca="false">IF(Tables!$E$30="Custom",'Monthly Table'!AI60,IF(Tables!$E$30="New York",INDEX('NY Curve'!$A$4:$G$256,MATCH('Monthly Table'!B60,'NY Curve'!$A$4:$A$256,0),MATCH("Super Peak Curve",'NY Curve'!$A$4:$G$4,0)),IF(Tables!$E$30="New York Flat",INDEX('NY Curve'!$A$4:$G$256,MATCH('Monthly Table'!B60,'NY Curve'!$A$4:$A$256,0),MATCH("Flat NY West",'NY Curve'!$A$4:$G$4,0)),INDEX('Michigan Curve'!$A$4:$F$256,MATCH('Monthly Table'!B60,'Michigan Curve'!$A$4:$A$256,0),MATCH("Michigan Super Peak Curve US$/MWhr",'Michigan Curve'!$A$4:$F$4,0)))))</f>
        <v>31.3139984436035</v>
      </c>
      <c r="AL60" s="888" t="n">
        <f aca="false">IF(D60&lt;=Tables!$B$21,IF($AL$10=$AI$10,AI60,IF($AL$10=$AJ$10,AJ60,IF($AL$10=$AK$10,AK60,0))),0)</f>
        <v>31.3139984436035</v>
      </c>
      <c r="AM60" s="889" t="n">
        <f aca="false">+AL60*K60</f>
        <v>43.474567228686</v>
      </c>
      <c r="AN60" s="890" t="n">
        <f aca="false">IF((AL60*K60)&gt;(CP60+$BF$4),1,0)</f>
        <v>0</v>
      </c>
      <c r="AO60" s="891"/>
      <c r="AP60" s="894"/>
      <c r="AQ60" s="892" t="n">
        <f aca="false">IF(Tables!$E$30="New York",INDEX('NY Curve'!$A$4:$L$256,MATCH('Monthly Table'!B60,'NY Curve'!$A$4:$A$256,0),MATCH("New York Shoulder Hour Curve Mon-Fri",'NY Curve'!$A$4:$L$4,0)),IF(Tables!$E$30="Michigan",INDEX('Michigan Curve'!$A$4:$K$256,MATCH('Monthly Table'!B60,'Michigan Curve'!$A$4:$A$256,0),MATCH("Michigan Shoulder Hour Curve Mon-Fri",'Michigan Curve'!$A$4:$K$4,0))))</f>
        <v>30.0859985046387</v>
      </c>
      <c r="AR60" s="889" t="n">
        <f aca="false">AQ60*K60</f>
        <v>41.7696822393258</v>
      </c>
      <c r="AS60" s="893" t="n">
        <f aca="false">IF(AR60&gt;($CP60+$BF$4),1,0)</f>
        <v>0</v>
      </c>
      <c r="AT60" s="188"/>
      <c r="AU60" s="892" t="n">
        <f aca="false">IF(Tables!$E$30="New York",INDEX('NY Curve'!$A$4:$L$256,MATCH('Monthly Table'!$B60,'NY Curve'!$A$4:$A$256,0),MATCH("New York Saturday Super Peak",'NY Curve'!$A$4:$L$4,0)),IF(Tables!$E$30="Michigan",INDEX('Michigan Curve'!$A$4:$K$256,MATCH('Monthly Table'!$B60,'Michigan Curve'!$A$4:$A$256,0),MATCH("Michigan Saturday Super Peak",'Michigan Curve'!$A$4:$K$4,0))))</f>
        <v>22.4359202957153</v>
      </c>
      <c r="AV60" s="894" t="n">
        <f aca="false">AU60*K60</f>
        <v>31.1487505177659</v>
      </c>
      <c r="AW60" s="893" t="n">
        <f aca="false">IF(AV60&gt;($CP60+$BF$4),1,0)</f>
        <v>0</v>
      </c>
      <c r="AX60" s="892" t="n">
        <f aca="false">IF(Tables!$E$30="New York",INDEX('NY Curve'!$A$4:$L$256,MATCH('Monthly Table'!$B60,'NY Curve'!$A$4:$A$256,0),MATCH("New York Saturday Shoulder Peak",'NY Curve'!$A$4:$L$4,0)),IF(Tables!$E$30="Michigan",INDEX('Michigan Curve'!$A$4:$K$256,MATCH('Monthly Table'!$B60,'Michigan Curve'!$A$4:$A$256,0),MATCH("Michigan Saturday Shoulder Peak",'Michigan Curve'!$A$4:$K$4,0))))</f>
        <v>21.5560802841187</v>
      </c>
      <c r="AY60" s="895" t="n">
        <f aca="false">AX60*K60</f>
        <v>29.9272308896183</v>
      </c>
      <c r="AZ60" s="893" t="n">
        <f aca="false">IF(AY60&gt;($CP60+$BF$4),1,0)</f>
        <v>0</v>
      </c>
      <c r="BA60" s="188"/>
      <c r="BB60" s="892" t="n">
        <f aca="false">IF(Tables!$E$30="New York",INDEX('NY Curve'!$A$4:$M$256,MATCH('Monthly Table'!$B60,'NY Curve'!$A$4:$A$256,0),MATCH("NY Sunday Super Peak",'NY Curve'!$A$4:$M$4,0)),IF(Tables!$E$30="Michigan",INDEX('Michigan Curve'!$A$4:$L$256,MATCH('Monthly Table'!$B60,'Michigan Curve'!$A$4:$A$256,0),MATCH("Michigan Sunday Super Peak",'Michigan Curve'!$A$4:$L$4,0))))</f>
        <v>21.4164319610596</v>
      </c>
      <c r="BC60" s="894" t="n">
        <f aca="false">BB60*K60</f>
        <v>29.7333511326099</v>
      </c>
      <c r="BD60" s="893" t="n">
        <f aca="false">IF(BC60&gt;($CP60+$BF$4),1,0)</f>
        <v>0</v>
      </c>
      <c r="BE60" s="188"/>
      <c r="BF60" s="896" t="n">
        <f aca="false">B60</f>
        <v>38384</v>
      </c>
      <c r="BG60" s="897" t="n">
        <f aca="false">IF($AN60=1,$E60*$BF$5,0)</f>
        <v>0</v>
      </c>
      <c r="BH60" s="976" t="n">
        <f aca="false">IF(Tables!$B$36="Combined Cycle",(BF60-BF59)*24*Assumptions!$B$21,0)</f>
        <v>0</v>
      </c>
      <c r="BI60" s="714" t="n">
        <f aca="false">IF($AN60=1,$E60*$BF$5,0)</f>
        <v>0</v>
      </c>
      <c r="BJ60" s="898" t="n">
        <f aca="false">IF('Monthly Table'!D60&lt;=Tables!$B$21,IF($BJ$10=$BG$10,BG60,IF($BJ$10=$BH$10,BH60,IF($BJ$10=$BI$10,BI60,0))),0)</f>
        <v>0</v>
      </c>
      <c r="BK60" s="288"/>
      <c r="BL60" s="898" t="n">
        <f aca="false">IF($AW60=1,$F60*$BF$5,0)</f>
        <v>0</v>
      </c>
      <c r="BM60" s="898" t="n">
        <f aca="false">IF($BD60=1,($G60+H60)*$BF$5,0)</f>
        <v>0</v>
      </c>
      <c r="BO60" s="898" t="n">
        <f aca="false">IF(AS60=1,BJ60,0)</f>
        <v>0</v>
      </c>
      <c r="BP60" s="898" t="n">
        <f aca="false">IF(AZ60=1,F60*$BF$5,0)</f>
        <v>0</v>
      </c>
      <c r="BR60" s="899" t="n">
        <f aca="false">IF(BJ60&gt;0,INDEX(OperationalDetail,MATCH("Capacity Degradation",ODColumn,0),MATCH('Monthly Table'!C60,ODRow,0)),0)</f>
        <v>0</v>
      </c>
      <c r="BS60" s="900" t="n">
        <f aca="false">BJ60*(1-BR60)*Tables!$C$36</f>
        <v>0</v>
      </c>
      <c r="BT60" s="883" t="n">
        <f aca="false">BS60*AL60/1000</f>
        <v>0</v>
      </c>
      <c r="BU60" s="883" t="n">
        <f aca="false">BT60*K60</f>
        <v>0</v>
      </c>
      <c r="BV60" s="188"/>
      <c r="BW60" s="901" t="n">
        <f aca="false">$BO60*(1-$BR60)*Tables!$C$36</f>
        <v>0</v>
      </c>
      <c r="BX60" s="902" t="n">
        <f aca="false">(BW60*AQ60)/1000</f>
        <v>0</v>
      </c>
      <c r="BY60" s="883" t="n">
        <f aca="false">BX60*K60</f>
        <v>0</v>
      </c>
      <c r="BZ60" s="188"/>
      <c r="CA60" s="901" t="n">
        <f aca="false">$BL60*(1-$BR60)*Tables!$C$36</f>
        <v>0</v>
      </c>
      <c r="CB60" s="902" t="n">
        <f aca="false">(CA60*AU60)/1000</f>
        <v>0</v>
      </c>
      <c r="CC60" s="883" t="n">
        <f aca="false">CB60*K60</f>
        <v>0</v>
      </c>
      <c r="CD60" s="901" t="n">
        <f aca="false">$BP60*(1-$BR60)*Tables!$C$36</f>
        <v>0</v>
      </c>
      <c r="CE60" s="902" t="n">
        <f aca="false">(CD60*AX60)/1000</f>
        <v>0</v>
      </c>
      <c r="CF60" s="883" t="n">
        <f aca="false">CE60*K60</f>
        <v>0</v>
      </c>
      <c r="CH60" s="901" t="n">
        <f aca="false">$BM60*(1-$BR60)*Tables!$C$36</f>
        <v>0</v>
      </c>
      <c r="CI60" s="902" t="n">
        <f aca="false">(CH60*BB60)/1000</f>
        <v>0</v>
      </c>
      <c r="CJ60" s="883" t="n">
        <f aca="false">CI60*K60</f>
        <v>0</v>
      </c>
      <c r="CK60" s="292"/>
      <c r="CL60" s="292" t="n">
        <f aca="false">C60-1</f>
        <v>2004</v>
      </c>
      <c r="CM60" s="903" t="n">
        <f aca="false">INDEX(OperationalDetail,MATCH("Degraded Heat Rate",ODColumn,0),MATCH('Monthly Table'!CL60,ODRow,0))/1000</f>
        <v>12.1630808</v>
      </c>
      <c r="CN60" s="904" t="n">
        <f aca="false">S60*CM60</f>
        <v>59.3924689349883</v>
      </c>
      <c r="CO60" s="905" t="n">
        <f aca="false">IF(A60="January",(CO59*(1+Assumptions!$E$32)),CO59)</f>
        <v>7.2908571177</v>
      </c>
      <c r="CP60" s="906" t="n">
        <f aca="false">CN60+CO60</f>
        <v>66.6833260526883</v>
      </c>
      <c r="CQ60" s="292"/>
      <c r="CR60" s="856" t="str">
        <f aca="false">IF(BJ60=0,"",C60)</f>
        <v/>
      </c>
      <c r="CS60" s="856" t="str">
        <f aca="false">IF(BO60=0,"",$C60)</f>
        <v/>
      </c>
      <c r="CT60" s="856" t="str">
        <f aca="false">IF(BL60=0,"",$C60)</f>
        <v/>
      </c>
      <c r="CU60" s="856" t="str">
        <f aca="false">IF(BP60=0,"",$C60)</f>
        <v/>
      </c>
      <c r="CV60" s="856" t="str">
        <f aca="false">IF(BD60=0,"",$C60)</f>
        <v/>
      </c>
      <c r="CW60" s="907" t="n">
        <f aca="false">YEAR(BF60)</f>
        <v>2005</v>
      </c>
      <c r="CX60" s="908" t="n">
        <f aca="false">INDEX('NY Curve'!$A$4:$G$256,MATCH('Monthly Table'!B60,'NY Curve'!$A$4:$A$256,0),MATCH("New York 5 X 16",'NY Curve'!$A$4:$G$4,0))</f>
        <v>31.75</v>
      </c>
      <c r="CY60" s="909" t="n">
        <f aca="false">K60</f>
        <v>1.38834289421658</v>
      </c>
      <c r="CZ60" s="910" t="n">
        <f aca="false">CX60*CY60</f>
        <v>44.0798868913764</v>
      </c>
      <c r="DB60" s="911"/>
      <c r="DC60" s="911"/>
    </row>
    <row r="61" customFormat="false" ht="18.75" hidden="false" customHeight="true" outlineLevel="0" collapsed="false">
      <c r="A61" s="49" t="s">
        <v>812</v>
      </c>
      <c r="B61" s="863" t="n">
        <v>38412</v>
      </c>
      <c r="C61" s="288" t="n">
        <f aca="false">YEAR(B61)</f>
        <v>2005</v>
      </c>
      <c r="D61" s="864" t="n">
        <f aca="false">IF(A61="January",D60+1,D60)</f>
        <v>5</v>
      </c>
      <c r="E61" s="865" t="n">
        <v>23</v>
      </c>
      <c r="F61" s="866" t="n">
        <v>4</v>
      </c>
      <c r="G61" s="866" t="n">
        <v>4</v>
      </c>
      <c r="H61" s="866" t="n">
        <v>0</v>
      </c>
      <c r="I61" s="867" t="n">
        <f aca="false">SUM(E61:H61)</f>
        <v>31</v>
      </c>
      <c r="J61" s="868"/>
      <c r="K61" s="869" t="n">
        <f aca="false">INDEX(FX!$A$3:$C$362,MATCH(B61,FX!$A$3:$A$362,0),MATCH("Monthly Curve",FX!$A$2:$C$2,0))</f>
        <v>1.38679385130795</v>
      </c>
      <c r="L61" s="869"/>
      <c r="M61" s="914" t="n">
        <v>2.818</v>
      </c>
      <c r="N61" s="915" t="n">
        <v>0.3</v>
      </c>
      <c r="O61" s="714" t="n">
        <v>0.05</v>
      </c>
      <c r="P61" s="872" t="n">
        <f aca="false">N61+O61</f>
        <v>0.35</v>
      </c>
      <c r="Q61" s="873" t="n">
        <f aca="false">SUM(M61:O61)</f>
        <v>3.168</v>
      </c>
      <c r="R61" s="974" t="n">
        <f aca="false">IF(A61="January",(R60+R60*Assumptions!$E$32),R60)</f>
        <v>0.325082231556923</v>
      </c>
      <c r="S61" s="875" t="n">
        <f aca="false">(Q61*K61)+R61</f>
        <v>4.71844515250051</v>
      </c>
      <c r="T61" s="869"/>
      <c r="V61" s="978"/>
      <c r="W61" s="978"/>
      <c r="X61" s="971"/>
      <c r="Y61" s="975" t="n">
        <f aca="false">Tables!$D$36</f>
        <v>312</v>
      </c>
      <c r="Z61" s="879" t="n">
        <f aca="false">IF($Z$10=$V$10,V61,IF($Z$10=$W$10,W61,IF($Z$10=$X$10,X61,0)))</f>
        <v>0</v>
      </c>
      <c r="AA61" s="880" t="n">
        <f aca="false">Y61*Z61</f>
        <v>0</v>
      </c>
      <c r="AB61" s="881" t="n">
        <f aca="false">AA61*K61</f>
        <v>0</v>
      </c>
      <c r="AC61" s="188"/>
      <c r="AD61" s="882" t="n">
        <f aca="false">IF(Tables!$E$30="Michigan",INDEX('Michigan Curve'!$A$4:$S$256,MATCH('Monthly Table'!B61,'Michigan Curve'!$A$4:$A$256,0),MATCH("Michigan Selected Option Value US$/month",'Michigan Curve'!$A$4:$S$4,0)),INDEX('NY Curve'!$A$4:$T$256,MATCH('Monthly Table'!B61,'NY Curve'!$A$4:$A$256,0),MATCH("New York Selected Option Value US$/month",'NY Curve'!$A$4:$T$4,0)))</f>
        <v>22030.5233394771</v>
      </c>
      <c r="AE61" s="883" t="n">
        <f aca="false">AD61*K61</f>
        <v>30551.7943082832</v>
      </c>
      <c r="AF61" s="188"/>
      <c r="AG61" s="884"/>
      <c r="AH61" s="188"/>
      <c r="AI61" s="885" t="n">
        <f aca="false">Assumptions!$B$50</f>
        <v>65</v>
      </c>
      <c r="AJ61" s="916"/>
      <c r="AK61" s="887" t="n">
        <f aca="false">IF(Tables!$E$30="Custom",'Monthly Table'!AI61,IF(Tables!$E$30="New York",INDEX('NY Curve'!$A$4:$G$256,MATCH('Monthly Table'!B61,'NY Curve'!$A$4:$A$256,0),MATCH("Super Peak Curve",'NY Curve'!$A$4:$G$4,0)),IF(Tables!$E$30="New York Flat",INDEX('NY Curve'!$A$4:$G$256,MATCH('Monthly Table'!B61,'NY Curve'!$A$4:$A$256,0),MATCH("Flat NY West",'NY Curve'!$A$4:$G$4,0)),INDEX('Michigan Curve'!$A$4:$F$256,MATCH('Monthly Table'!B61,'Michigan Curve'!$A$4:$A$256,0),MATCH("Michigan Super Peak Curve US$/MWhr",'Michigan Curve'!$A$4:$F$4,0)))))</f>
        <v>26.01</v>
      </c>
      <c r="AL61" s="888" t="n">
        <f aca="false">IF(D61&lt;=Tables!$B$21,IF($AL$10=$AI$10,AI61,IF($AL$10=$AJ$10,AJ61,IF($AL$10=$AK$10,AK61,0))),0)</f>
        <v>26.01</v>
      </c>
      <c r="AM61" s="889" t="n">
        <f aca="false">+AL61*K61</f>
        <v>36.0705080725198</v>
      </c>
      <c r="AN61" s="890" t="n">
        <f aca="false">IF((AL61*K61)&gt;(CP61+$BF$4),1,0)</f>
        <v>0</v>
      </c>
      <c r="AO61" s="891"/>
      <c r="AP61" s="894"/>
      <c r="AQ61" s="892" t="n">
        <f aca="false">IF(Tables!$E$30="New York",INDEX('NY Curve'!$A$4:$L$256,MATCH('Monthly Table'!B61,'NY Curve'!$A$4:$A$256,0),MATCH("New York Shoulder Hour Curve Mon-Fri",'NY Curve'!$A$4:$L$4,0)),IF(Tables!$E$30="Michigan",INDEX('Michigan Curve'!$A$4:$K$256,MATCH('Monthly Table'!B61,'Michigan Curve'!$A$4:$A$256,0),MATCH("Michigan Shoulder Hour Curve Mon-Fri",'Michigan Curve'!$A$4:$K$4,0))))</f>
        <v>24.99</v>
      </c>
      <c r="AR61" s="889" t="n">
        <f aca="false">AQ61*K61</f>
        <v>34.6559783441857</v>
      </c>
      <c r="AS61" s="893" t="n">
        <f aca="false">IF(AR61&gt;($CP61+$BF$4),1,0)</f>
        <v>0</v>
      </c>
      <c r="AT61" s="188"/>
      <c r="AU61" s="892" t="n">
        <f aca="false">IF(Tables!$E$30="New York",INDEX('NY Curve'!$A$4:$L$256,MATCH('Monthly Table'!$B61,'NY Curve'!$A$4:$A$256,0),MATCH("New York Saturday Super Peak",'NY Curve'!$A$4:$L$4,0)),IF(Tables!$E$30="Michigan",INDEX('Michigan Curve'!$A$4:$K$256,MATCH('Monthly Table'!$B61,'Michigan Curve'!$A$4:$A$256,0),MATCH("Michigan Saturday Super Peak",'Michigan Curve'!$A$4:$K$4,0))))</f>
        <v>20.4</v>
      </c>
      <c r="AV61" s="894" t="n">
        <f aca="false">AU61*K61</f>
        <v>28.2905945666822</v>
      </c>
      <c r="AW61" s="893" t="n">
        <f aca="false">IF(AV61&gt;($CP61+$BF$4),1,0)</f>
        <v>0</v>
      </c>
      <c r="AX61" s="892" t="n">
        <f aca="false">IF(Tables!$E$30="New York",INDEX('NY Curve'!$A$4:$L$256,MATCH('Monthly Table'!$B61,'NY Curve'!$A$4:$A$256,0),MATCH("New York Saturday Shoulder Peak",'NY Curve'!$A$4:$L$4,0)),IF(Tables!$E$30="Michigan",INDEX('Michigan Curve'!$A$4:$K$256,MATCH('Monthly Table'!$B61,'Michigan Curve'!$A$4:$A$256,0),MATCH("Michigan Saturday Shoulder Peak",'Michigan Curve'!$A$4:$K$4,0))))</f>
        <v>19.6</v>
      </c>
      <c r="AY61" s="895" t="n">
        <f aca="false">AX61*K61</f>
        <v>27.1811594856358</v>
      </c>
      <c r="AZ61" s="893" t="n">
        <f aca="false">IF(AY61&gt;($CP61+$BF$4),1,0)</f>
        <v>0</v>
      </c>
      <c r="BA61" s="188"/>
      <c r="BB61" s="892" t="n">
        <f aca="false">IF(Tables!$E$30="New York",INDEX('NY Curve'!$A$4:$M$256,MATCH('Monthly Table'!$B61,'NY Curve'!$A$4:$A$256,0),MATCH("NY Sunday Super Peak",'NY Curve'!$A$4:$M$4,0)),IF(Tables!$E$30="Michigan",INDEX('Michigan Curve'!$A$4:$L$256,MATCH('Monthly Table'!$B61,'Michigan Curve'!$A$4:$A$256,0),MATCH("Michigan Sunday Super Peak",'Michigan Curve'!$A$4:$L$4,0))))</f>
        <v>19.38</v>
      </c>
      <c r="BC61" s="894" t="n">
        <f aca="false">BB61*K61</f>
        <v>26.8760648383481</v>
      </c>
      <c r="BD61" s="893" t="n">
        <f aca="false">IF(BC61&gt;($CP61+$BF$4),1,0)</f>
        <v>0</v>
      </c>
      <c r="BE61" s="188"/>
      <c r="BF61" s="896" t="n">
        <f aca="false">B61</f>
        <v>38412</v>
      </c>
      <c r="BG61" s="897" t="n">
        <f aca="false">IF($AN61=1,$E61*$BF$5,0)</f>
        <v>0</v>
      </c>
      <c r="BH61" s="976" t="n">
        <f aca="false">IF(Tables!$B$36="Combined Cycle",(BF61-BF60)*24*Assumptions!$B$21,0)</f>
        <v>0</v>
      </c>
      <c r="BI61" s="714" t="n">
        <f aca="false">IF($AN61=1,$E61*$BF$5,0)</f>
        <v>0</v>
      </c>
      <c r="BJ61" s="898" t="n">
        <f aca="false">IF('Monthly Table'!D61&lt;=Tables!$B$21,IF($BJ$10=$BG$10,BG61,IF($BJ$10=$BH$10,BH61,IF($BJ$10=$BI$10,BI61,0))),0)</f>
        <v>0</v>
      </c>
      <c r="BK61" s="288"/>
      <c r="BL61" s="898" t="n">
        <f aca="false">IF($AW61=1,$F61*$BF$5,0)</f>
        <v>0</v>
      </c>
      <c r="BM61" s="898" t="n">
        <f aca="false">IF($BD61=1,($G61+H61)*$BF$5,0)</f>
        <v>0</v>
      </c>
      <c r="BO61" s="898" t="n">
        <f aca="false">IF(AS61=1,BJ61,0)</f>
        <v>0</v>
      </c>
      <c r="BP61" s="898" t="n">
        <f aca="false">IF(AZ61=1,F61*$BF$5,0)</f>
        <v>0</v>
      </c>
      <c r="BR61" s="899" t="n">
        <f aca="false">IF(BJ61&gt;0,INDEX(OperationalDetail,MATCH("Capacity Degradation",ODColumn,0),MATCH('Monthly Table'!C61,ODRow,0)),0)</f>
        <v>0</v>
      </c>
      <c r="BS61" s="900" t="n">
        <f aca="false">BJ61*(1-BR61)*Tables!$C$36</f>
        <v>0</v>
      </c>
      <c r="BT61" s="883" t="n">
        <f aca="false">BS61*AL61/1000</f>
        <v>0</v>
      </c>
      <c r="BU61" s="883" t="n">
        <f aca="false">BT61*K61</f>
        <v>0</v>
      </c>
      <c r="BV61" s="188"/>
      <c r="BW61" s="901" t="n">
        <f aca="false">$BO61*(1-$BR61)*Tables!$C$36</f>
        <v>0</v>
      </c>
      <c r="BX61" s="902" t="n">
        <f aca="false">(BW61*AQ61)/1000</f>
        <v>0</v>
      </c>
      <c r="BY61" s="883" t="n">
        <f aca="false">BX61*K61</f>
        <v>0</v>
      </c>
      <c r="BZ61" s="188"/>
      <c r="CA61" s="901" t="n">
        <f aca="false">$BL61*(1-$BR61)*Tables!$C$36</f>
        <v>0</v>
      </c>
      <c r="CB61" s="902" t="n">
        <f aca="false">(CA61*AU61)/1000</f>
        <v>0</v>
      </c>
      <c r="CC61" s="883" t="n">
        <f aca="false">CB61*K61</f>
        <v>0</v>
      </c>
      <c r="CD61" s="901" t="n">
        <f aca="false">$BP61*(1-$BR61)*Tables!$C$36</f>
        <v>0</v>
      </c>
      <c r="CE61" s="902" t="n">
        <f aca="false">(CD61*AX61)/1000</f>
        <v>0</v>
      </c>
      <c r="CF61" s="883" t="n">
        <f aca="false">CE61*K61</f>
        <v>0</v>
      </c>
      <c r="CH61" s="901" t="n">
        <f aca="false">$BM61*(1-$BR61)*Tables!$C$36</f>
        <v>0</v>
      </c>
      <c r="CI61" s="902" t="n">
        <f aca="false">(CH61*BB61)/1000</f>
        <v>0</v>
      </c>
      <c r="CJ61" s="883" t="n">
        <f aca="false">CI61*K61</f>
        <v>0</v>
      </c>
      <c r="CK61" s="292"/>
      <c r="CL61" s="292" t="n">
        <f aca="false">C61-1</f>
        <v>2004</v>
      </c>
      <c r="CM61" s="903" t="n">
        <f aca="false">INDEX(OperationalDetail,MATCH("Degraded Heat Rate",ODColumn,0),MATCH('Monthly Table'!CL61,ODRow,0))/1000</f>
        <v>12.1630808</v>
      </c>
      <c r="CN61" s="904" t="n">
        <f aca="false">S61*CM61</f>
        <v>57.390829640232</v>
      </c>
      <c r="CO61" s="905" t="n">
        <f aca="false">IF(A61="January",(CO60*(1+Assumptions!$E$32)),CO60)</f>
        <v>7.2908571177</v>
      </c>
      <c r="CP61" s="906" t="n">
        <f aca="false">CN61+CO61</f>
        <v>64.681686757932</v>
      </c>
      <c r="CQ61" s="292"/>
      <c r="CR61" s="856" t="str">
        <f aca="false">IF(BJ61=0,"",C61)</f>
        <v/>
      </c>
      <c r="CS61" s="856" t="str">
        <f aca="false">IF(BO61=0,"",$C61)</f>
        <v/>
      </c>
      <c r="CT61" s="856" t="str">
        <f aca="false">IF(BL61=0,"",$C61)</f>
        <v/>
      </c>
      <c r="CU61" s="856" t="str">
        <f aca="false">IF(BP61=0,"",$C61)</f>
        <v/>
      </c>
      <c r="CV61" s="856" t="str">
        <f aca="false">IF(BD61=0,"",$C61)</f>
        <v/>
      </c>
      <c r="CW61" s="907" t="n">
        <f aca="false">YEAR(BF61)</f>
        <v>2005</v>
      </c>
      <c r="CX61" s="908" t="n">
        <f aca="false">INDEX('NY Curve'!$A$4:$G$256,MATCH('Monthly Table'!B61,'NY Curve'!$A$4:$A$256,0),MATCH("New York 5 X 16",'NY Curve'!$A$4:$G$4,0))</f>
        <v>26.75</v>
      </c>
      <c r="CY61" s="909" t="n">
        <f aca="false">K61</f>
        <v>1.38679385130795</v>
      </c>
      <c r="CZ61" s="910" t="n">
        <f aca="false">CX61*CY61</f>
        <v>37.0967355224877</v>
      </c>
      <c r="DB61" s="911"/>
      <c r="DC61" s="911"/>
    </row>
    <row r="62" customFormat="false" ht="18.75" hidden="false" customHeight="true" outlineLevel="0" collapsed="false">
      <c r="A62" s="49" t="s">
        <v>813</v>
      </c>
      <c r="B62" s="863" t="n">
        <v>38443</v>
      </c>
      <c r="C62" s="288" t="n">
        <f aca="false">YEAR(B62)</f>
        <v>2005</v>
      </c>
      <c r="D62" s="864" t="n">
        <f aca="false">IF(A62="January",D61+1,D61)</f>
        <v>5</v>
      </c>
      <c r="E62" s="865" t="n">
        <v>21</v>
      </c>
      <c r="F62" s="866" t="n">
        <v>5</v>
      </c>
      <c r="G62" s="866" t="n">
        <v>4</v>
      </c>
      <c r="H62" s="866" t="n">
        <v>0</v>
      </c>
      <c r="I62" s="867" t="n">
        <f aca="false">SUM(E62:H62)</f>
        <v>30</v>
      </c>
      <c r="J62" s="868"/>
      <c r="K62" s="869" t="n">
        <f aca="false">INDEX(FX!$A$3:$C$362,MATCH(B62,FX!$A$3:$A$362,0),MATCH("Monthly Curve",FX!$A$2:$C$2,0))</f>
        <v>1.38506078421694</v>
      </c>
      <c r="L62" s="869"/>
      <c r="M62" s="914" t="n">
        <v>2.7505</v>
      </c>
      <c r="N62" s="915" t="n">
        <v>0.135</v>
      </c>
      <c r="O62" s="714" t="n">
        <v>0.05</v>
      </c>
      <c r="P62" s="872" t="n">
        <f aca="false">N62+O62</f>
        <v>0.185</v>
      </c>
      <c r="Q62" s="873" t="n">
        <f aca="false">SUM(M62:O62)</f>
        <v>2.9355</v>
      </c>
      <c r="R62" s="974" t="n">
        <f aca="false">IF(A62="January",(R61+R61*Assumptions!$E$32),R61)</f>
        <v>0.325082231556923</v>
      </c>
      <c r="S62" s="875" t="n">
        <f aca="false">(Q62*K62)+R62</f>
        <v>4.39092816362575</v>
      </c>
      <c r="T62" s="869"/>
      <c r="V62" s="978"/>
      <c r="W62" s="978"/>
      <c r="X62" s="971"/>
      <c r="Y62" s="975" t="n">
        <f aca="false">Tables!$D$36</f>
        <v>312</v>
      </c>
      <c r="Z62" s="879" t="n">
        <f aca="false">IF($Z$10=$V$10,V62,IF($Z$10=$W$10,W62,IF($Z$10=$X$10,X62,0)))</f>
        <v>0</v>
      </c>
      <c r="AA62" s="880" t="n">
        <f aca="false">Y62*Z62</f>
        <v>0</v>
      </c>
      <c r="AB62" s="881" t="n">
        <f aca="false">AA62*K62</f>
        <v>0</v>
      </c>
      <c r="AC62" s="188"/>
      <c r="AD62" s="882" t="n">
        <f aca="false">IF(Tables!$E$30="Michigan",INDEX('Michigan Curve'!$A$4:$S$256,MATCH('Monthly Table'!B62,'Michigan Curve'!$A$4:$A$256,0),MATCH("Michigan Selected Option Value US$/month",'Michigan Curve'!$A$4:$S$4,0)),INDEX('NY Curve'!$A$4:$T$256,MATCH('Monthly Table'!B62,'NY Curve'!$A$4:$A$256,0),MATCH("New York Selected Option Value US$/month",'NY Curve'!$A$4:$T$4,0)))</f>
        <v>28609.3134053742</v>
      </c>
      <c r="AE62" s="883" t="n">
        <f aca="false">AD62*K62</f>
        <v>39625.6380611558</v>
      </c>
      <c r="AF62" s="188"/>
      <c r="AG62" s="884"/>
      <c r="AH62" s="188"/>
      <c r="AI62" s="885" t="n">
        <f aca="false">Assumptions!$B$50</f>
        <v>65</v>
      </c>
      <c r="AJ62" s="916"/>
      <c r="AK62" s="887" t="n">
        <f aca="false">IF(Tables!$E$30="Custom",'Monthly Table'!AI62,IF(Tables!$E$30="New York",INDEX('NY Curve'!$A$4:$G$256,MATCH('Monthly Table'!B62,'NY Curve'!$A$4:$A$256,0),MATCH("Super Peak Curve",'NY Curve'!$A$4:$G$4,0)),IF(Tables!$E$30="New York Flat",INDEX('NY Curve'!$A$4:$G$256,MATCH('Monthly Table'!B62,'NY Curve'!$A$4:$A$256,0),MATCH("Flat NY West",'NY Curve'!$A$4:$G$4,0)),INDEX('Michigan Curve'!$A$4:$F$256,MATCH('Monthly Table'!B62,'Michigan Curve'!$A$4:$A$256,0),MATCH("Michigan Super Peak Curve US$/MWhr",'Michigan Curve'!$A$4:$F$4,0)))))</f>
        <v>25.75</v>
      </c>
      <c r="AL62" s="888" t="n">
        <f aca="false">IF(D62&lt;=Tables!$B$21,IF($AL$10=$AI$10,AI62,IF($AL$10=$AJ$10,AJ62,IF($AL$10=$AK$10,AK62,0))),0)</f>
        <v>25.75</v>
      </c>
      <c r="AM62" s="889" t="n">
        <f aca="false">+AL62*K62</f>
        <v>35.6653151935862</v>
      </c>
      <c r="AN62" s="890" t="n">
        <f aca="false">IF((AL62*K62)&gt;(CP62+$BF$4),1,0)</f>
        <v>0</v>
      </c>
      <c r="AO62" s="891"/>
      <c r="AP62" s="894"/>
      <c r="AQ62" s="892" t="n">
        <f aca="false">IF(Tables!$E$30="New York",INDEX('NY Curve'!$A$4:$L$256,MATCH('Monthly Table'!B62,'NY Curve'!$A$4:$A$256,0),MATCH("New York Shoulder Hour Curve Mon-Fri",'NY Curve'!$A$4:$L$4,0)),IF(Tables!$E$30="Michigan",INDEX('Michigan Curve'!$A$4:$K$256,MATCH('Monthly Table'!B62,'Michigan Curve'!$A$4:$A$256,0),MATCH("Michigan Shoulder Hour Curve Mon-Fri",'Michigan Curve'!$A$4:$K$4,0))))</f>
        <v>25.75</v>
      </c>
      <c r="AR62" s="889" t="n">
        <f aca="false">AQ62*K62</f>
        <v>35.6653151935862</v>
      </c>
      <c r="AS62" s="893" t="n">
        <f aca="false">IF(AR62&gt;($CP62+$BF$4),1,0)</f>
        <v>0</v>
      </c>
      <c r="AT62" s="188"/>
      <c r="AU62" s="892" t="n">
        <f aca="false">IF(Tables!$E$30="New York",INDEX('NY Curve'!$A$4:$L$256,MATCH('Monthly Table'!$B62,'NY Curve'!$A$4:$A$256,0),MATCH("New York Saturday Super Peak",'NY Curve'!$A$4:$L$4,0)),IF(Tables!$E$30="Michigan",INDEX('Michigan Curve'!$A$4:$K$256,MATCH('Monthly Table'!$B62,'Michigan Curve'!$A$4:$A$256,0),MATCH("Michigan Saturday Super Peak",'Michigan Curve'!$A$4:$K$4,0))))</f>
        <v>20</v>
      </c>
      <c r="AV62" s="894" t="n">
        <f aca="false">AU62*K62</f>
        <v>27.7012156843388</v>
      </c>
      <c r="AW62" s="893" t="n">
        <f aca="false">IF(AV62&gt;($CP62+$BF$4),1,0)</f>
        <v>0</v>
      </c>
      <c r="AX62" s="892" t="n">
        <f aca="false">IF(Tables!$E$30="New York",INDEX('NY Curve'!$A$4:$L$256,MATCH('Monthly Table'!$B62,'NY Curve'!$A$4:$A$256,0),MATCH("New York Saturday Shoulder Peak",'NY Curve'!$A$4:$L$4,0)),IF(Tables!$E$30="Michigan",INDEX('Michigan Curve'!$A$4:$K$256,MATCH('Monthly Table'!$B62,'Michigan Curve'!$A$4:$A$256,0),MATCH("Michigan Saturday Shoulder Peak",'Michigan Curve'!$A$4:$K$4,0))))</f>
        <v>20</v>
      </c>
      <c r="AY62" s="895" t="n">
        <f aca="false">AX62*K62</f>
        <v>27.7012156843388</v>
      </c>
      <c r="AZ62" s="893" t="n">
        <f aca="false">IF(AY62&gt;($CP62+$BF$4),1,0)</f>
        <v>0</v>
      </c>
      <c r="BA62" s="188"/>
      <c r="BB62" s="892" t="n">
        <f aca="false">IF(Tables!$E$30="New York",INDEX('NY Curve'!$A$4:$M$256,MATCH('Monthly Table'!$B62,'NY Curve'!$A$4:$A$256,0),MATCH("NY Sunday Super Peak",'NY Curve'!$A$4:$M$4,0)),IF(Tables!$E$30="Michigan",INDEX('Michigan Curve'!$A$4:$L$256,MATCH('Monthly Table'!$B62,'Michigan Curve'!$A$4:$A$256,0),MATCH("Michigan Sunday Super Peak",'Michigan Curve'!$A$4:$L$4,0))))</f>
        <v>18.9950008392334</v>
      </c>
      <c r="BC62" s="894" t="n">
        <f aca="false">BB62*K62</f>
        <v>26.30923075859</v>
      </c>
      <c r="BD62" s="893" t="n">
        <f aca="false">IF(BC62&gt;($CP62+$BF$4),1,0)</f>
        <v>0</v>
      </c>
      <c r="BE62" s="188"/>
      <c r="BF62" s="896" t="n">
        <f aca="false">B62</f>
        <v>38443</v>
      </c>
      <c r="BG62" s="897" t="n">
        <f aca="false">IF($AN62=1,$E62*$BF$5,0)</f>
        <v>0</v>
      </c>
      <c r="BH62" s="976" t="n">
        <f aca="false">IF(Tables!$B$36="Combined Cycle",(BF62-BF61)*24*Assumptions!$B$21,0)</f>
        <v>0</v>
      </c>
      <c r="BI62" s="714" t="n">
        <f aca="false">IF($AN62=1,$E62*$BF$5,0)</f>
        <v>0</v>
      </c>
      <c r="BJ62" s="898" t="n">
        <f aca="false">IF('Monthly Table'!D62&lt;=Tables!$B$21,IF($BJ$10=$BG$10,BG62,IF($BJ$10=$BH$10,BH62,IF($BJ$10=$BI$10,BI62,0))),0)</f>
        <v>0</v>
      </c>
      <c r="BK62" s="288"/>
      <c r="BL62" s="898" t="n">
        <f aca="false">IF($AW62=1,$F62*$BF$5,0)</f>
        <v>0</v>
      </c>
      <c r="BM62" s="898" t="n">
        <f aca="false">IF($BD62=1,($G62+H62)*$BF$5,0)</f>
        <v>0</v>
      </c>
      <c r="BO62" s="898" t="n">
        <f aca="false">IF(AS62=1,BJ62,0)</f>
        <v>0</v>
      </c>
      <c r="BP62" s="898" t="n">
        <f aca="false">IF(AZ62=1,F62*$BF$5,0)</f>
        <v>0</v>
      </c>
      <c r="BR62" s="899" t="n">
        <f aca="false">IF(BJ62&gt;0,INDEX(OperationalDetail,MATCH("Capacity Degradation",ODColumn,0),MATCH('Monthly Table'!C62,ODRow,0)),0)</f>
        <v>0</v>
      </c>
      <c r="BS62" s="900" t="n">
        <f aca="false">BJ62*(1-BR62)*Tables!$C$36</f>
        <v>0</v>
      </c>
      <c r="BT62" s="883" t="n">
        <f aca="false">BS62*AL62/1000</f>
        <v>0</v>
      </c>
      <c r="BU62" s="883" t="n">
        <f aca="false">BT62*K62</f>
        <v>0</v>
      </c>
      <c r="BV62" s="188"/>
      <c r="BW62" s="901" t="n">
        <f aca="false">$BO62*(1-$BR62)*Tables!$C$36</f>
        <v>0</v>
      </c>
      <c r="BX62" s="902" t="n">
        <f aca="false">(BW62*AQ62)/1000</f>
        <v>0</v>
      </c>
      <c r="BY62" s="883" t="n">
        <f aca="false">BX62*K62</f>
        <v>0</v>
      </c>
      <c r="BZ62" s="188"/>
      <c r="CA62" s="901" t="n">
        <f aca="false">$BL62*(1-$BR62)*Tables!$C$36</f>
        <v>0</v>
      </c>
      <c r="CB62" s="902" t="n">
        <f aca="false">(CA62*AU62)/1000</f>
        <v>0</v>
      </c>
      <c r="CC62" s="883" t="n">
        <f aca="false">CB62*K62</f>
        <v>0</v>
      </c>
      <c r="CD62" s="901" t="n">
        <f aca="false">$BP62*(1-$BR62)*Tables!$C$36</f>
        <v>0</v>
      </c>
      <c r="CE62" s="902" t="n">
        <f aca="false">(CD62*AX62)/1000</f>
        <v>0</v>
      </c>
      <c r="CF62" s="883" t="n">
        <f aca="false">CE62*K62</f>
        <v>0</v>
      </c>
      <c r="CH62" s="901" t="n">
        <f aca="false">$BM62*(1-$BR62)*Tables!$C$36</f>
        <v>0</v>
      </c>
      <c r="CI62" s="902" t="n">
        <f aca="false">(CH62*BB62)/1000</f>
        <v>0</v>
      </c>
      <c r="CJ62" s="883" t="n">
        <f aca="false">CI62*K62</f>
        <v>0</v>
      </c>
      <c r="CK62" s="292"/>
      <c r="CL62" s="292" t="n">
        <f aca="false">C62-1</f>
        <v>2004</v>
      </c>
      <c r="CM62" s="903" t="n">
        <f aca="false">INDEX(OperationalDetail,MATCH("Degraded Heat Rate",ODColumn,0),MATCH('Monthly Table'!CL62,ODRow,0))/1000</f>
        <v>12.1630808</v>
      </c>
      <c r="CN62" s="904" t="n">
        <f aca="false">S62*CM62</f>
        <v>53.4072140411756</v>
      </c>
      <c r="CO62" s="905" t="n">
        <f aca="false">IF(A62="January",(CO61*(1+Assumptions!$E$32)),CO61)</f>
        <v>7.2908571177</v>
      </c>
      <c r="CP62" s="906" t="n">
        <f aca="false">CN62+CO62</f>
        <v>60.6980711588756</v>
      </c>
      <c r="CQ62" s="292"/>
      <c r="CR62" s="856" t="str">
        <f aca="false">IF(BJ62=0,"",C62)</f>
        <v/>
      </c>
      <c r="CS62" s="856" t="str">
        <f aca="false">IF(BO62=0,"",$C62)</f>
        <v/>
      </c>
      <c r="CT62" s="856" t="str">
        <f aca="false">IF(BL62=0,"",$C62)</f>
        <v/>
      </c>
      <c r="CU62" s="856" t="str">
        <f aca="false">IF(BP62=0,"",$C62)</f>
        <v/>
      </c>
      <c r="CV62" s="856" t="str">
        <f aca="false">IF(BD62=0,"",$C62)</f>
        <v/>
      </c>
      <c r="CW62" s="907" t="n">
        <f aca="false">YEAR(BF62)</f>
        <v>2005</v>
      </c>
      <c r="CX62" s="908" t="n">
        <f aca="false">INDEX('NY Curve'!$A$4:$G$256,MATCH('Monthly Table'!B62,'NY Curve'!$A$4:$A$256,0),MATCH("New York 5 X 16",'NY Curve'!$A$4:$G$4,0))</f>
        <v>25.5</v>
      </c>
      <c r="CY62" s="909" t="n">
        <f aca="false">K62</f>
        <v>1.38506078421694</v>
      </c>
      <c r="CZ62" s="910" t="n">
        <f aca="false">CX62*CY62</f>
        <v>35.319049997532</v>
      </c>
      <c r="DB62" s="911"/>
      <c r="DC62" s="911"/>
    </row>
    <row r="63" customFormat="false" ht="18.75" hidden="false" customHeight="true" outlineLevel="0" collapsed="false">
      <c r="A63" s="49" t="s">
        <v>814</v>
      </c>
      <c r="B63" s="863" t="n">
        <v>38473</v>
      </c>
      <c r="C63" s="288" t="n">
        <f aca="false">YEAR(B63)</f>
        <v>2005</v>
      </c>
      <c r="D63" s="864" t="n">
        <f aca="false">IF(A63="January",D62+1,D62)</f>
        <v>5</v>
      </c>
      <c r="E63" s="865" t="n">
        <v>21</v>
      </c>
      <c r="F63" s="866" t="n">
        <v>4</v>
      </c>
      <c r="G63" s="866" t="n">
        <v>5</v>
      </c>
      <c r="H63" s="866" t="n">
        <v>1</v>
      </c>
      <c r="I63" s="867" t="n">
        <f aca="false">SUM(E63:H63)</f>
        <v>31</v>
      </c>
      <c r="J63" s="868"/>
      <c r="K63" s="869" t="n">
        <f aca="false">INDEX(FX!$A$3:$C$362,MATCH(B63,FX!$A$3:$A$362,0),MATCH("Monthly Curve",FX!$A$2:$C$2,0))</f>
        <v>1.38388335471907</v>
      </c>
      <c r="L63" s="869"/>
      <c r="M63" s="914" t="n">
        <v>2.7245</v>
      </c>
      <c r="N63" s="915" t="n">
        <v>0.135</v>
      </c>
      <c r="O63" s="714" t="n">
        <v>0.05</v>
      </c>
      <c r="P63" s="872" t="n">
        <f aca="false">N63+O63</f>
        <v>0.185</v>
      </c>
      <c r="Q63" s="873" t="n">
        <f aca="false">SUM(M63:O63)</f>
        <v>2.9095</v>
      </c>
      <c r="R63" s="974" t="n">
        <f aca="false">IF(A63="January",(R62+R62*Assumptions!$E$32),R62)</f>
        <v>0.325082231556923</v>
      </c>
      <c r="S63" s="875" t="n">
        <f aca="false">(Q63*K63)+R63</f>
        <v>4.35149085211206</v>
      </c>
      <c r="T63" s="869"/>
      <c r="V63" s="978"/>
      <c r="W63" s="978"/>
      <c r="X63" s="971"/>
      <c r="Y63" s="975" t="n">
        <f aca="false">Tables!$D$36</f>
        <v>312</v>
      </c>
      <c r="Z63" s="879" t="n">
        <f aca="false">IF($Z$10=$V$10,V63,IF($Z$10=$W$10,W63,IF($Z$10=$X$10,X63,0)))</f>
        <v>0</v>
      </c>
      <c r="AA63" s="880" t="n">
        <f aca="false">Y63*Z63</f>
        <v>0</v>
      </c>
      <c r="AB63" s="881" t="n">
        <f aca="false">AA63*K63</f>
        <v>0</v>
      </c>
      <c r="AC63" s="188"/>
      <c r="AD63" s="882" t="n">
        <f aca="false">IF(Tables!$E$30="Michigan",INDEX('Michigan Curve'!$A$4:$S$256,MATCH('Monthly Table'!B63,'Michigan Curve'!$A$4:$A$256,0),MATCH("Michigan Selected Option Value US$/month",'Michigan Curve'!$A$4:$S$4,0)),INDEX('NY Curve'!$A$4:$T$256,MATCH('Monthly Table'!B63,'NY Curve'!$A$4:$A$256,0),MATCH("New York Selected Option Value US$/month",'NY Curve'!$A$4:$T$4,0)))</f>
        <v>88315.1760373594</v>
      </c>
      <c r="AE63" s="883" t="n">
        <f aca="false">AD63*K63</f>
        <v>122217.902087186</v>
      </c>
      <c r="AF63" s="188"/>
      <c r="AG63" s="884"/>
      <c r="AH63" s="188"/>
      <c r="AI63" s="885" t="n">
        <f aca="false">Assumptions!$B$50</f>
        <v>65</v>
      </c>
      <c r="AJ63" s="916"/>
      <c r="AK63" s="887" t="n">
        <f aca="false">IF(Tables!$E$30="Custom",'Monthly Table'!AI63,IF(Tables!$E$30="New York",INDEX('NY Curve'!$A$4:$G$256,MATCH('Monthly Table'!B63,'NY Curve'!$A$4:$A$256,0),MATCH("Super Peak Curve",'NY Curve'!$A$4:$G$4,0)),IF(Tables!$E$30="New York Flat",INDEX('NY Curve'!$A$4:$G$256,MATCH('Monthly Table'!B63,'NY Curve'!$A$4:$A$256,0),MATCH("Flat NY West",'NY Curve'!$A$4:$G$4,0)),INDEX('Michigan Curve'!$A$4:$F$256,MATCH('Monthly Table'!B63,'Michigan Curve'!$A$4:$A$256,0),MATCH("Michigan Super Peak Curve US$/MWhr",'Michigan Curve'!$A$4:$F$4,0)))))</f>
        <v>31.7493750527501</v>
      </c>
      <c r="AL63" s="888" t="n">
        <f aca="false">IF(D63&lt;=Tables!$B$21,IF($AL$10=$AI$10,AI63,IF($AL$10=$AJ$10,AJ63,IF($AL$10=$AK$10,AK63,0))),0)</f>
        <v>31.7493750527501</v>
      </c>
      <c r="AM63" s="889" t="n">
        <f aca="false">+AL63*K63</f>
        <v>43.9374316582338</v>
      </c>
      <c r="AN63" s="890" t="n">
        <f aca="false">IF((AL63*K63)&gt;(CP63+$BF$4),1,0)</f>
        <v>0</v>
      </c>
      <c r="AO63" s="891"/>
      <c r="AP63" s="894"/>
      <c r="AQ63" s="892" t="n">
        <f aca="false">IF(Tables!$E$30="New York",INDEX('NY Curve'!$A$4:$L$256,MATCH('Monthly Table'!B63,'NY Curve'!$A$4:$A$256,0),MATCH("New York Shoulder Hour Curve Mon-Fri",'NY Curve'!$A$4:$L$4,0)),IF(Tables!$E$30="Michigan",INDEX('Michigan Curve'!$A$4:$K$256,MATCH('Monthly Table'!B63,'Michigan Curve'!$A$4:$A$256,0),MATCH("Michigan Shoulder Hour Curve Mon-Fri",'Michigan Curve'!$A$4:$K$4,0))))</f>
        <v>27.2506249472499</v>
      </c>
      <c r="AR63" s="889" t="n">
        <f aca="false">AQ63*K63</f>
        <v>37.7116862701914</v>
      </c>
      <c r="AS63" s="893" t="n">
        <f aca="false">IF(AR63&gt;($CP63+$BF$4),1,0)</f>
        <v>0</v>
      </c>
      <c r="AT63" s="188"/>
      <c r="AU63" s="892" t="n">
        <f aca="false">IF(Tables!$E$30="New York",INDEX('NY Curve'!$A$4:$L$256,MATCH('Monthly Table'!$B63,'NY Curve'!$A$4:$A$256,0),MATCH("New York Saturday Super Peak",'NY Curve'!$A$4:$L$4,0)),IF(Tables!$E$30="Michigan",INDEX('Michigan Curve'!$A$4:$K$256,MATCH('Monthly Table'!$B63,'Michigan Curve'!$A$4:$A$256,0),MATCH("Michigan Saturday Super Peak",'Michigan Curve'!$A$4:$K$4,0))))</f>
        <v>22.6012500375509</v>
      </c>
      <c r="AV63" s="894" t="n">
        <f aca="false">AU63*K63</f>
        <v>31.2774937228105</v>
      </c>
      <c r="AW63" s="893" t="n">
        <f aca="false">IF(AV63&gt;($CP63+$BF$4),1,0)</f>
        <v>0</v>
      </c>
      <c r="AX63" s="892" t="n">
        <f aca="false">IF(Tables!$E$30="New York",INDEX('NY Curve'!$A$4:$L$256,MATCH('Monthly Table'!$B63,'NY Curve'!$A$4:$A$256,0),MATCH("New York Saturday Shoulder Peak",'NY Curve'!$A$4:$L$4,0)),IF(Tables!$E$30="Michigan",INDEX('Michigan Curve'!$A$4:$K$256,MATCH('Monthly Table'!$B63,'Michigan Curve'!$A$4:$A$256,0),MATCH("Michigan Saturday Shoulder Peak",'Michigan Curve'!$A$4:$K$4,0))))</f>
        <v>19.3987499624491</v>
      </c>
      <c r="AY63" s="895" t="n">
        <f aca="false">AX63*K63</f>
        <v>26.8456071753905</v>
      </c>
      <c r="AZ63" s="893" t="n">
        <f aca="false">IF(AY63&gt;($CP63+$BF$4),1,0)</f>
        <v>0</v>
      </c>
      <c r="BA63" s="188"/>
      <c r="BB63" s="892" t="n">
        <f aca="false">IF(Tables!$E$30="New York",INDEX('NY Curve'!$A$4:$M$256,MATCH('Monthly Table'!$B63,'NY Curve'!$A$4:$A$256,0),MATCH("NY Sunday Super Peak",'NY Curve'!$A$4:$M$4,0)),IF(Tables!$E$30="Michigan",INDEX('Michigan Curve'!$A$4:$L$256,MATCH('Monthly Table'!$B63,'Michigan Curve'!$A$4:$A$256,0),MATCH("Michigan Sunday Super Peak",'Michigan Curve'!$A$4:$L$4,0))))</f>
        <v>21.5303803825468</v>
      </c>
      <c r="BC63" s="894" t="n">
        <f aca="false">BB63*K63</f>
        <v>29.7955350321765</v>
      </c>
      <c r="BD63" s="893" t="n">
        <f aca="false">IF(BC63&gt;($CP63+$BF$4),1,0)</f>
        <v>0</v>
      </c>
      <c r="BE63" s="188"/>
      <c r="BF63" s="896" t="n">
        <f aca="false">B63</f>
        <v>38473</v>
      </c>
      <c r="BG63" s="897" t="n">
        <f aca="false">IF($AN63=1,$E63*$BF$5,0)</f>
        <v>0</v>
      </c>
      <c r="BH63" s="976" t="n">
        <f aca="false">IF(Tables!$B$36="Combined Cycle",(BF63-BF62)*24*Assumptions!$B$21,0)</f>
        <v>0</v>
      </c>
      <c r="BI63" s="714" t="n">
        <f aca="false">IF($AN63=1,$E63*$BF$5,0)</f>
        <v>0</v>
      </c>
      <c r="BJ63" s="898" t="n">
        <f aca="false">IF('Monthly Table'!D63&lt;=Tables!$B$21,IF($BJ$10=$BG$10,BG63,IF($BJ$10=$BH$10,BH63,IF($BJ$10=$BI$10,BI63,0))),0)</f>
        <v>0</v>
      </c>
      <c r="BK63" s="288"/>
      <c r="BL63" s="898" t="n">
        <f aca="false">IF($AW63=1,$F63*$BF$5,0)</f>
        <v>0</v>
      </c>
      <c r="BM63" s="898" t="n">
        <f aca="false">IF($BD63=1,($G63+H63)*$BF$5,0)</f>
        <v>0</v>
      </c>
      <c r="BO63" s="898" t="n">
        <f aca="false">IF(AS63=1,BJ63,0)</f>
        <v>0</v>
      </c>
      <c r="BP63" s="898" t="n">
        <f aca="false">IF(AZ63=1,F63*$BF$5,0)</f>
        <v>0</v>
      </c>
      <c r="BR63" s="899" t="n">
        <f aca="false">IF(BJ63&gt;0,INDEX(OperationalDetail,MATCH("Capacity Degradation",ODColumn,0),MATCH('Monthly Table'!C63,ODRow,0)),0)</f>
        <v>0</v>
      </c>
      <c r="BS63" s="900" t="n">
        <f aca="false">BJ63*(1-BR63)*Tables!$C$36</f>
        <v>0</v>
      </c>
      <c r="BT63" s="883" t="n">
        <f aca="false">BS63*AL63/1000</f>
        <v>0</v>
      </c>
      <c r="BU63" s="883" t="n">
        <f aca="false">BT63*K63</f>
        <v>0</v>
      </c>
      <c r="BV63" s="188"/>
      <c r="BW63" s="901" t="n">
        <f aca="false">$BO63*(1-$BR63)*Tables!$C$36</f>
        <v>0</v>
      </c>
      <c r="BX63" s="902" t="n">
        <f aca="false">(BW63*AQ63)/1000</f>
        <v>0</v>
      </c>
      <c r="BY63" s="883" t="n">
        <f aca="false">BX63*K63</f>
        <v>0</v>
      </c>
      <c r="BZ63" s="188"/>
      <c r="CA63" s="901" t="n">
        <f aca="false">$BL63*(1-$BR63)*Tables!$C$36</f>
        <v>0</v>
      </c>
      <c r="CB63" s="902" t="n">
        <f aca="false">(CA63*AU63)/1000</f>
        <v>0</v>
      </c>
      <c r="CC63" s="883" t="n">
        <f aca="false">CB63*K63</f>
        <v>0</v>
      </c>
      <c r="CD63" s="901" t="n">
        <f aca="false">$BP63*(1-$BR63)*Tables!$C$36</f>
        <v>0</v>
      </c>
      <c r="CE63" s="902" t="n">
        <f aca="false">(CD63*AX63)/1000</f>
        <v>0</v>
      </c>
      <c r="CF63" s="883" t="n">
        <f aca="false">CE63*K63</f>
        <v>0</v>
      </c>
      <c r="CH63" s="901" t="n">
        <f aca="false">$BM63*(1-$BR63)*Tables!$C$36</f>
        <v>0</v>
      </c>
      <c r="CI63" s="902" t="n">
        <f aca="false">(CH63*BB63)/1000</f>
        <v>0</v>
      </c>
      <c r="CJ63" s="883" t="n">
        <f aca="false">CI63*K63</f>
        <v>0</v>
      </c>
      <c r="CK63" s="292"/>
      <c r="CL63" s="292" t="n">
        <f aca="false">C63-1</f>
        <v>2004</v>
      </c>
      <c r="CM63" s="903" t="n">
        <f aca="false">INDEX(OperationalDetail,MATCH("Degraded Heat Rate",ODColumn,0),MATCH('Monthly Table'!CL63,ODRow,0))/1000</f>
        <v>12.1630808</v>
      </c>
      <c r="CN63" s="904" t="n">
        <f aca="false">S63*CM63</f>
        <v>52.9275348346998</v>
      </c>
      <c r="CO63" s="905" t="n">
        <f aca="false">IF(A63="January",(CO62*(1+Assumptions!$E$32)),CO62)</f>
        <v>7.2908571177</v>
      </c>
      <c r="CP63" s="906" t="n">
        <f aca="false">CN63+CO63</f>
        <v>60.2183919523998</v>
      </c>
      <c r="CQ63" s="292"/>
      <c r="CR63" s="856" t="str">
        <f aca="false">IF(BJ63=0,"",C63)</f>
        <v/>
      </c>
      <c r="CS63" s="856" t="str">
        <f aca="false">IF(BO63=0,"",$C63)</f>
        <v/>
      </c>
      <c r="CT63" s="856" t="str">
        <f aca="false">IF(BL63=0,"",$C63)</f>
        <v/>
      </c>
      <c r="CU63" s="856" t="str">
        <f aca="false">IF(BP63=0,"",$C63)</f>
        <v/>
      </c>
      <c r="CV63" s="856" t="str">
        <f aca="false">IF(BD63=0,"",$C63)</f>
        <v/>
      </c>
      <c r="CW63" s="907" t="n">
        <f aca="false">YEAR(BF63)</f>
        <v>2005</v>
      </c>
      <c r="CX63" s="908" t="n">
        <f aca="false">INDEX('NY Curve'!$A$4:$G$256,MATCH('Monthly Table'!B63,'NY Curve'!$A$4:$A$256,0),MATCH("New York 5 X 16",'NY Curve'!$A$4:$G$4,0))</f>
        <v>29.75</v>
      </c>
      <c r="CY63" s="909" t="n">
        <f aca="false">K63</f>
        <v>1.38388335471907</v>
      </c>
      <c r="CZ63" s="910" t="n">
        <f aca="false">CX63*CY63</f>
        <v>41.1705298028923</v>
      </c>
      <c r="DB63" s="911"/>
      <c r="DC63" s="911"/>
    </row>
    <row r="64" customFormat="false" ht="18.75" hidden="false" customHeight="true" outlineLevel="0" collapsed="false">
      <c r="A64" s="49" t="s">
        <v>815</v>
      </c>
      <c r="B64" s="863" t="n">
        <v>38504</v>
      </c>
      <c r="C64" s="288" t="n">
        <f aca="false">YEAR(B64)</f>
        <v>2005</v>
      </c>
      <c r="D64" s="864" t="n">
        <f aca="false">IF(A64="January",D63+1,D63)</f>
        <v>5</v>
      </c>
      <c r="E64" s="865" t="n">
        <v>22</v>
      </c>
      <c r="F64" s="866" t="n">
        <v>4</v>
      </c>
      <c r="G64" s="866" t="n">
        <v>4</v>
      </c>
      <c r="H64" s="866" t="n">
        <v>0</v>
      </c>
      <c r="I64" s="867" t="n">
        <f aca="false">SUM(E64:H64)</f>
        <v>30</v>
      </c>
      <c r="J64" s="868"/>
      <c r="K64" s="869" t="n">
        <f aca="false">INDEX(FX!$A$3:$C$362,MATCH(B64,FX!$A$3:$A$362,0),MATCH("Monthly Curve",FX!$A$2:$C$2,0))</f>
        <v>1.38276924468592</v>
      </c>
      <c r="L64" s="869"/>
      <c r="M64" s="914" t="n">
        <v>2.7335</v>
      </c>
      <c r="N64" s="915" t="n">
        <v>0.135</v>
      </c>
      <c r="O64" s="714" t="n">
        <v>0.05</v>
      </c>
      <c r="P64" s="872" t="n">
        <f aca="false">N64+O64</f>
        <v>0.185</v>
      </c>
      <c r="Q64" s="873" t="n">
        <f aca="false">SUM(M64:O64)</f>
        <v>2.9185</v>
      </c>
      <c r="R64" s="974" t="n">
        <f aca="false">IF(A64="January",(R63+R63*Assumptions!$E$32),R63)</f>
        <v>0.325082231556923</v>
      </c>
      <c r="S64" s="875" t="n">
        <f aca="false">(Q64*K64)+R64</f>
        <v>4.36069427217278</v>
      </c>
      <c r="T64" s="869"/>
      <c r="U64" s="917"/>
      <c r="V64" s="876"/>
      <c r="W64" s="876"/>
      <c r="X64" s="973"/>
      <c r="Y64" s="975" t="n">
        <f aca="false">Tables!$D$36</f>
        <v>312</v>
      </c>
      <c r="Z64" s="879" t="n">
        <f aca="false">IF($Z$10=$V$10,V64,IF($Z$10=$W$10,W64,IF($Z$10=$X$10,X64,0)))</f>
        <v>0</v>
      </c>
      <c r="AA64" s="880" t="n">
        <f aca="false">Y64*Z64</f>
        <v>0</v>
      </c>
      <c r="AB64" s="881" t="n">
        <f aca="false">AA64*K64</f>
        <v>0</v>
      </c>
      <c r="AC64" s="188"/>
      <c r="AD64" s="882" t="n">
        <f aca="false">IF(Tables!$E$30="Michigan",INDEX('Michigan Curve'!$A$4:$S$256,MATCH('Monthly Table'!B64,'Michigan Curve'!$A$4:$A$256,0),MATCH("Michigan Selected Option Value US$/month",'Michigan Curve'!$A$4:$S$4,0)),INDEX('NY Curve'!$A$4:$T$256,MATCH('Monthly Table'!B64,'NY Curve'!$A$4:$A$256,0),MATCH("New York Selected Option Value US$/month",'NY Curve'!$A$4:$T$4,0)))</f>
        <v>286853.753332474</v>
      </c>
      <c r="AE64" s="883" t="n">
        <f aca="false">AD64*K64</f>
        <v>396652.547830866</v>
      </c>
      <c r="AF64" s="188"/>
      <c r="AG64" s="884"/>
      <c r="AH64" s="188"/>
      <c r="AI64" s="885" t="n">
        <f aca="false">Assumptions!$B$50</f>
        <v>65</v>
      </c>
      <c r="AJ64" s="916"/>
      <c r="AK64" s="887" t="n">
        <f aca="false">IF(Tables!$E$30="Custom",'Monthly Table'!AI64,IF(Tables!$E$30="New York",INDEX('NY Curve'!$A$4:$G$256,MATCH('Monthly Table'!B64,'NY Curve'!$A$4:$A$256,0),MATCH("Super Peak Curve",'NY Curve'!$A$4:$G$4,0)),IF(Tables!$E$30="New York Flat",INDEX('NY Curve'!$A$4:$G$256,MATCH('Monthly Table'!B64,'NY Curve'!$A$4:$A$256,0),MATCH("Flat NY West",'NY Curve'!$A$4:$G$4,0)),INDEX('Michigan Curve'!$A$4:$F$256,MATCH('Monthly Table'!B64,'Michigan Curve'!$A$4:$A$256,0),MATCH("Michigan Super Peak Curve US$/MWhr",'Michigan Curve'!$A$4:$F$4,0)))))</f>
        <v>70.9369950236904</v>
      </c>
      <c r="AL64" s="888" t="n">
        <f aca="false">IF(D64&lt;=Tables!$B$21,IF($AL$10=$AI$10,AI64,IF($AL$10=$AJ$10,AJ64,IF($AL$10=$AK$10,AK64,0))),0)</f>
        <v>70.9369950236904</v>
      </c>
      <c r="AM64" s="889" t="n">
        <f aca="false">+AL64*K64</f>
        <v>98.0894950291973</v>
      </c>
      <c r="AN64" s="890" t="n">
        <f aca="false">IF((AL64*K64)&gt;(CP64+$BF$4),1,0)</f>
        <v>1</v>
      </c>
      <c r="AO64" s="891"/>
      <c r="AP64" s="894"/>
      <c r="AQ64" s="892" t="n">
        <f aca="false">IF(Tables!$E$30="New York",INDEX('NY Curve'!$A$4:$L$256,MATCH('Monthly Table'!B64,'NY Curve'!$A$4:$A$256,0),MATCH("New York Shoulder Hour Curve Mon-Fri",'NY Curve'!$A$4:$L$4,0)),IF(Tables!$E$30="Michigan",INDEX('Michigan Curve'!$A$4:$K$256,MATCH('Monthly Table'!B64,'Michigan Curve'!$A$4:$A$256,0),MATCH("Michigan Shoulder Hour Curve Mon-Fri",'Michigan Curve'!$A$4:$K$4,0))))</f>
        <v>21.5630049763096</v>
      </c>
      <c r="AR64" s="889" t="n">
        <f aca="false">AQ64*K64</f>
        <v>29.8166601042503</v>
      </c>
      <c r="AS64" s="893" t="n">
        <f aca="false">IF(AR64&gt;($CP64+$BF$4),1,0)</f>
        <v>0</v>
      </c>
      <c r="AT64" s="188"/>
      <c r="AU64" s="892" t="n">
        <f aca="false">IF(Tables!$E$30="New York",INDEX('NY Curve'!$A$4:$L$256,MATCH('Monthly Table'!$B64,'NY Curve'!$A$4:$A$256,0),MATCH("New York Saturday Super Peak",'NY Curve'!$A$4:$L$4,0)),IF(Tables!$E$30="Michigan",INDEX('Michigan Curve'!$A$4:$K$256,MATCH('Monthly Table'!$B64,'Michigan Curve'!$A$4:$A$256,0),MATCH("Michigan Saturday Super Peak",'Michigan Curve'!$A$4:$K$4,0))))</f>
        <v>39.8780944998044</v>
      </c>
      <c r="AV64" s="894" t="n">
        <f aca="false">AU64*K64</f>
        <v>55.1422026110082</v>
      </c>
      <c r="AW64" s="893" t="n">
        <f aca="false">IF(AV64&gt;($CP64+$BF$4),1,0)</f>
        <v>0</v>
      </c>
      <c r="AX64" s="892" t="n">
        <f aca="false">IF(Tables!$E$30="New York",INDEX('NY Curve'!$A$4:$L$256,MATCH('Monthly Table'!$B64,'NY Curve'!$A$4:$A$256,0),MATCH("New York Saturday Shoulder Peak",'NY Curve'!$A$4:$L$4,0)),IF(Tables!$E$30="Michigan",INDEX('Michigan Curve'!$A$4:$K$256,MATCH('Monthly Table'!$B64,'Michigan Curve'!$A$4:$A$256,0),MATCH("Michigan Saturday Shoulder Peak",'Michigan Curve'!$A$4:$K$4,0))))</f>
        <v>12.1219055001956</v>
      </c>
      <c r="AY64" s="895" t="n">
        <f aca="false">AX64*K64</f>
        <v>16.7617981126596</v>
      </c>
      <c r="AZ64" s="893" t="n">
        <f aca="false">IF(AY64&gt;($CP64+$BF$4),1,0)</f>
        <v>0</v>
      </c>
      <c r="BA64" s="188"/>
      <c r="BB64" s="892" t="n">
        <f aca="false">IF(Tables!$E$30="New York",INDEX('NY Curve'!$A$4:$M$256,MATCH('Monthly Table'!$B64,'NY Curve'!$A$4:$A$256,0),MATCH("NY Sunday Super Peak",'NY Curve'!$A$4:$M$4,0)),IF(Tables!$E$30="Michigan",INDEX('Michigan Curve'!$A$4:$L$256,MATCH('Monthly Table'!$B64,'Michigan Curve'!$A$4:$A$256,0),MATCH("Michigan Sunday Super Peak",'Michigan Curve'!$A$4:$L$4,0))))</f>
        <v>36.8105487690502</v>
      </c>
      <c r="BC64" s="894" t="n">
        <f aca="false">BB64*K64</f>
        <v>50.9004947178537</v>
      </c>
      <c r="BD64" s="893" t="n">
        <f aca="false">IF(BC64&gt;($CP64+$BF$4),1,0)</f>
        <v>0</v>
      </c>
      <c r="BE64" s="188"/>
      <c r="BF64" s="896" t="n">
        <f aca="false">B64</f>
        <v>38504</v>
      </c>
      <c r="BG64" s="897" t="n">
        <f aca="false">IF($AN64=1,$E64*$BF$5,0)</f>
        <v>176</v>
      </c>
      <c r="BH64" s="976" t="n">
        <f aca="false">IF(Tables!$B$36="Combined Cycle",(BF64-BF63)*24*Assumptions!$B$21,0)</f>
        <v>0</v>
      </c>
      <c r="BI64" s="714" t="n">
        <f aca="false">IF($AN64=1,$E64*$BF$5,0)</f>
        <v>176</v>
      </c>
      <c r="BJ64" s="898" t="n">
        <f aca="false">IF('Monthly Table'!D64&lt;=Tables!$B$21,IF($BJ$10=$BG$10,BG64,IF($BJ$10=$BH$10,BH64,IF($BJ$10=$BI$10,BI64,0))),0)</f>
        <v>176</v>
      </c>
      <c r="BK64" s="288"/>
      <c r="BL64" s="898" t="n">
        <f aca="false">IF($AW64=1,$F64*$BF$5,0)</f>
        <v>0</v>
      </c>
      <c r="BM64" s="898" t="n">
        <f aca="false">IF($BD64=1,($G64+H64)*$BF$5,0)</f>
        <v>0</v>
      </c>
      <c r="BO64" s="898" t="n">
        <f aca="false">IF(AS64=1,BJ64,0)</f>
        <v>0</v>
      </c>
      <c r="BP64" s="898" t="n">
        <f aca="false">IF(AZ64=1,F64*$BF$5,0)</f>
        <v>0</v>
      </c>
      <c r="BR64" s="899" t="n">
        <f aca="false">IF(BJ64&gt;0,INDEX(OperationalDetail,MATCH("Capacity Degradation",ODColumn,0),MATCH('Monthly Table'!C64,ODRow,0)),0)</f>
        <v>0.01957</v>
      </c>
      <c r="BS64" s="900" t="n">
        <f aca="false">BJ64*(1-BR64)*Tables!$C$36</f>
        <v>55908.04032</v>
      </c>
      <c r="BT64" s="883" t="n">
        <f aca="false">BS64*AL64/1000</f>
        <v>3965.94837796412</v>
      </c>
      <c r="BU64" s="883" t="n">
        <f aca="false">BT64*K64</f>
        <v>5483.9914430608</v>
      </c>
      <c r="BV64" s="188"/>
      <c r="BW64" s="901" t="n">
        <f aca="false">$BO64*(1-$BR64)*Tables!$C$36</f>
        <v>0</v>
      </c>
      <c r="BX64" s="902" t="n">
        <f aca="false">(BW64*AQ64)/1000</f>
        <v>0</v>
      </c>
      <c r="BY64" s="883" t="n">
        <f aca="false">BX64*K64</f>
        <v>0</v>
      </c>
      <c r="BZ64" s="188"/>
      <c r="CA64" s="901" t="n">
        <f aca="false">$BL64*(1-$BR64)*Tables!$C$36</f>
        <v>0</v>
      </c>
      <c r="CB64" s="902" t="n">
        <f aca="false">(CA64*AU64)/1000</f>
        <v>0</v>
      </c>
      <c r="CC64" s="883" t="n">
        <f aca="false">CB64*K64</f>
        <v>0</v>
      </c>
      <c r="CD64" s="901" t="n">
        <f aca="false">$BP64*(1-$BR64)*Tables!$C$36</f>
        <v>0</v>
      </c>
      <c r="CE64" s="902" t="n">
        <f aca="false">(CD64*AX64)/1000</f>
        <v>0</v>
      </c>
      <c r="CF64" s="883" t="n">
        <f aca="false">CE64*K64</f>
        <v>0</v>
      </c>
      <c r="CH64" s="901" t="n">
        <f aca="false">$BM64*(1-$BR64)*Tables!$C$36</f>
        <v>0</v>
      </c>
      <c r="CI64" s="902" t="n">
        <f aca="false">(CH64*BB64)/1000</f>
        <v>0</v>
      </c>
      <c r="CJ64" s="883" t="n">
        <f aca="false">CI64*K64</f>
        <v>0</v>
      </c>
      <c r="CK64" s="292"/>
      <c r="CL64" s="292" t="n">
        <f aca="false">C64-1</f>
        <v>2004</v>
      </c>
      <c r="CM64" s="903" t="n">
        <f aca="false">INDEX(OperationalDetail,MATCH("Degraded Heat Rate",ODColumn,0),MATCH('Monthly Table'!CL64,ODRow,0))/1000</f>
        <v>12.1630808</v>
      </c>
      <c r="CN64" s="904" t="n">
        <f aca="false">S64*CM64</f>
        <v>53.0394767765347</v>
      </c>
      <c r="CO64" s="905" t="n">
        <f aca="false">IF(A64="January",(CO63*(1+Assumptions!$E$32)),CO63)</f>
        <v>7.2908571177</v>
      </c>
      <c r="CP64" s="906" t="n">
        <f aca="false">CN64+CO64</f>
        <v>60.3303338942347</v>
      </c>
      <c r="CQ64" s="292"/>
      <c r="CR64" s="856" t="n">
        <f aca="false">IF(BJ64=0,"",C64)</f>
        <v>2005</v>
      </c>
      <c r="CS64" s="856" t="str">
        <f aca="false">IF(BO64=0,"",$C64)</f>
        <v/>
      </c>
      <c r="CT64" s="856" t="str">
        <f aca="false">IF(BL64=0,"",$C64)</f>
        <v/>
      </c>
      <c r="CU64" s="856" t="str">
        <f aca="false">IF(BP64=0,"",$C64)</f>
        <v/>
      </c>
      <c r="CV64" s="856" t="str">
        <f aca="false">IF(BD64=0,"",$C64)</f>
        <v/>
      </c>
      <c r="CW64" s="907" t="n">
        <f aca="false">YEAR(BF64)</f>
        <v>2005</v>
      </c>
      <c r="CX64" s="908" t="n">
        <f aca="false">INDEX('NY Curve'!$A$4:$G$256,MATCH('Monthly Table'!B64,'NY Curve'!$A$4:$A$256,0),MATCH("New York 5 X 16",'NY Curve'!$A$4:$G$4,0))</f>
        <v>47.75</v>
      </c>
      <c r="CY64" s="909" t="n">
        <f aca="false">K64</f>
        <v>1.38276924468592</v>
      </c>
      <c r="CZ64" s="910" t="n">
        <f aca="false">CX64*CY64</f>
        <v>66.0272314337527</v>
      </c>
      <c r="DB64" s="911"/>
      <c r="DC64" s="911"/>
    </row>
    <row r="65" customFormat="false" ht="18.75" hidden="false" customHeight="true" outlineLevel="0" collapsed="false">
      <c r="A65" s="49" t="s">
        <v>816</v>
      </c>
      <c r="B65" s="863" t="n">
        <v>38534</v>
      </c>
      <c r="C65" s="288" t="n">
        <f aca="false">YEAR(B65)</f>
        <v>2005</v>
      </c>
      <c r="D65" s="864" t="n">
        <f aca="false">IF(A65="January",D64+1,D64)</f>
        <v>5</v>
      </c>
      <c r="E65" s="865" t="n">
        <v>20</v>
      </c>
      <c r="F65" s="866" t="n">
        <v>5</v>
      </c>
      <c r="G65" s="866" t="n">
        <v>5</v>
      </c>
      <c r="H65" s="866" t="n">
        <v>1</v>
      </c>
      <c r="I65" s="867" t="n">
        <f aca="false">SUM(E65:H65)</f>
        <v>31</v>
      </c>
      <c r="J65" s="868"/>
      <c r="K65" s="869" t="n">
        <f aca="false">INDEX(FX!$A$3:$C$362,MATCH(B65,FX!$A$3:$A$362,0),MATCH("Monthly Curve",FX!$A$2:$C$2,0))</f>
        <v>1.38169215950328</v>
      </c>
      <c r="L65" s="869"/>
      <c r="M65" s="914" t="n">
        <v>2.7425</v>
      </c>
      <c r="N65" s="915" t="n">
        <v>0.135</v>
      </c>
      <c r="O65" s="714" t="n">
        <v>0.05</v>
      </c>
      <c r="P65" s="872" t="n">
        <f aca="false">N65+O65</f>
        <v>0.185</v>
      </c>
      <c r="Q65" s="873" t="n">
        <f aca="false">SUM(M65:O65)</f>
        <v>2.9275</v>
      </c>
      <c r="R65" s="974" t="n">
        <f aca="false">IF(A65="January",(R64+R64*Assumptions!$E$32),R64)</f>
        <v>0.325082231556923</v>
      </c>
      <c r="S65" s="875" t="n">
        <f aca="false">(Q65*K65)+R65</f>
        <v>4.36998602850278</v>
      </c>
      <c r="T65" s="869"/>
      <c r="V65" s="876"/>
      <c r="W65" s="876"/>
      <c r="X65" s="971"/>
      <c r="Y65" s="975" t="n">
        <f aca="false">Tables!$D$36</f>
        <v>312</v>
      </c>
      <c r="Z65" s="879" t="n">
        <f aca="false">IF($Z$10=$V$10,V65,IF($Z$10=$W$10,W65,IF($Z$10=$X$10,X65,0)))</f>
        <v>0</v>
      </c>
      <c r="AA65" s="880" t="n">
        <f aca="false">Y65*Z65</f>
        <v>0</v>
      </c>
      <c r="AB65" s="881" t="n">
        <f aca="false">AA65*K65</f>
        <v>0</v>
      </c>
      <c r="AC65" s="188"/>
      <c r="AD65" s="882" t="n">
        <f aca="false">IF(Tables!$E$30="Michigan",INDEX('Michigan Curve'!$A$4:$S$256,MATCH('Monthly Table'!B65,'Michigan Curve'!$A$4:$A$256,0),MATCH("Michigan Selected Option Value US$/month",'Michigan Curve'!$A$4:$S$4,0)),INDEX('NY Curve'!$A$4:$T$256,MATCH('Monthly Table'!B65,'NY Curve'!$A$4:$A$256,0),MATCH("New York Selected Option Value US$/month",'NY Curve'!$A$4:$T$4,0)))</f>
        <v>524302.496500793</v>
      </c>
      <c r="AE65" s="883" t="n">
        <f aca="false">AD65*K65</f>
        <v>724424.648623142</v>
      </c>
      <c r="AF65" s="188"/>
      <c r="AG65" s="884"/>
      <c r="AH65" s="188"/>
      <c r="AI65" s="885" t="n">
        <f aca="false">Assumptions!$B$50</f>
        <v>65</v>
      </c>
      <c r="AJ65" s="916"/>
      <c r="AK65" s="887" t="n">
        <f aca="false">IF(Tables!$E$30="Custom",'Monthly Table'!AI65,IF(Tables!$E$30="New York",INDEX('NY Curve'!$A$4:$G$256,MATCH('Monthly Table'!B65,'NY Curve'!$A$4:$A$256,0),MATCH("Super Peak Curve",'NY Curve'!$A$4:$G$4,0)),IF(Tables!$E$30="New York Flat",INDEX('NY Curve'!$A$4:$G$256,MATCH('Monthly Table'!B65,'NY Curve'!$A$4:$A$256,0),MATCH("Flat NY West",'NY Curve'!$A$4:$G$4,0)),INDEX('Michigan Curve'!$A$4:$F$256,MATCH('Monthly Table'!B65,'Michigan Curve'!$A$4:$A$256,0),MATCH("Michigan Super Peak Curve US$/MWhr",'Michigan Curve'!$A$4:$F$4,0)))))</f>
        <v>115.757612589635</v>
      </c>
      <c r="AL65" s="888" t="n">
        <f aca="false">IF(D65&lt;=Tables!$B$21,IF($AL$10=$AI$10,AI65,IF($AL$10=$AJ$10,AJ65,IF($AL$10=$AK$10,AK65,0))),0)</f>
        <v>115.757612589635</v>
      </c>
      <c r="AM65" s="889" t="n">
        <f aca="false">+AL65*K65</f>
        <v>159.941385717916</v>
      </c>
      <c r="AN65" s="890" t="n">
        <f aca="false">IF((AL65*K65)&gt;(CP65+$BF$4),1,0)</f>
        <v>1</v>
      </c>
      <c r="AO65" s="891"/>
      <c r="AP65" s="894"/>
      <c r="AQ65" s="892" t="n">
        <f aca="false">IF(Tables!$E$30="New York",INDEX('NY Curve'!$A$4:$L$256,MATCH('Monthly Table'!B65,'NY Curve'!$A$4:$A$256,0),MATCH("New York Shoulder Hour Curve Mon-Fri",'NY Curve'!$A$4:$L$4,0)),IF(Tables!$E$30="Michigan",INDEX('Michigan Curve'!$A$4:$K$256,MATCH('Monthly Table'!B65,'Michigan Curve'!$A$4:$A$256,0),MATCH("Michigan Shoulder Hour Curve Mon-Fri",'Michigan Curve'!$A$4:$K$4,0))))</f>
        <v>26.2423874103653</v>
      </c>
      <c r="AR65" s="889" t="n">
        <f aca="false">AQ65*K65</f>
        <v>36.2589009315494</v>
      </c>
      <c r="AS65" s="893" t="n">
        <f aca="false">IF(AR65&gt;($CP65+$BF$4),1,0)</f>
        <v>0</v>
      </c>
      <c r="AT65" s="188"/>
      <c r="AU65" s="892" t="n">
        <f aca="false">IF(Tables!$E$30="New York",INDEX('NY Curve'!$A$4:$L$256,MATCH('Monthly Table'!$B65,'NY Curve'!$A$4:$A$256,0),MATCH("New York Saturday Super Peak",'NY Curve'!$A$4:$L$4,0)),IF(Tables!$E$30="Michigan",INDEX('Michigan Curve'!$A$4:$K$256,MATCH('Monthly Table'!$B65,'Michigan Curve'!$A$4:$A$256,0),MATCH("Michigan Saturday Super Peak",'Michigan Curve'!$A$4:$K$4,0))))</f>
        <v>57.0636118399608</v>
      </c>
      <c r="AV65" s="894" t="n">
        <f aca="false">AU65*K65</f>
        <v>78.8443450722123</v>
      </c>
      <c r="AW65" s="893" t="n">
        <f aca="false">IF(AV65&gt;($CP65+$BF$4),1,0)</f>
        <v>1</v>
      </c>
      <c r="AX65" s="892" t="n">
        <f aca="false">IF(Tables!$E$30="New York",INDEX('NY Curve'!$A$4:$L$256,MATCH('Monthly Table'!$B65,'NY Curve'!$A$4:$A$256,0),MATCH("New York Saturday Shoulder Peak",'NY Curve'!$A$4:$L$4,0)),IF(Tables!$E$30="Michigan",INDEX('Michigan Curve'!$A$4:$K$256,MATCH('Monthly Table'!$B65,'Michigan Curve'!$A$4:$A$256,0),MATCH("Michigan Saturday Shoulder Peak",'Michigan Curve'!$A$4:$K$4,0))))</f>
        <v>12.9363881600392</v>
      </c>
      <c r="AY65" s="895" t="n">
        <f aca="false">AX65*K65</f>
        <v>17.8741060930173</v>
      </c>
      <c r="AZ65" s="893" t="n">
        <f aca="false">IF(AY65&gt;($CP65+$BF$4),1,0)</f>
        <v>0</v>
      </c>
      <c r="BA65" s="188"/>
      <c r="BB65" s="892" t="n">
        <f aca="false">IF(Tables!$E$30="New York",INDEX('NY Curve'!$A$4:$M$256,MATCH('Monthly Table'!$B65,'NY Curve'!$A$4:$A$256,0),MATCH("NY Sunday Super Peak",'NY Curve'!$A$4:$M$4,0)),IF(Tables!$E$30="Michigan",INDEX('Michigan Curve'!$A$4:$L$256,MATCH('Monthly Table'!$B65,'Michigan Curve'!$A$4:$A$256,0),MATCH("Michigan Sunday Super Peak",'Michigan Curve'!$A$4:$L$4,0))))</f>
        <v>50.542053091388</v>
      </c>
      <c r="BC65" s="894" t="n">
        <f aca="false">BB65*K65</f>
        <v>69.8335584815694</v>
      </c>
      <c r="BD65" s="893" t="n">
        <f aca="false">IF(BC65&gt;($CP65+$BF$4),1,0)</f>
        <v>1</v>
      </c>
      <c r="BE65" s="188"/>
      <c r="BF65" s="896" t="n">
        <f aca="false">B65</f>
        <v>38534</v>
      </c>
      <c r="BG65" s="897" t="n">
        <f aca="false">IF($AN65=1,$E65*$BF$5,0)</f>
        <v>160</v>
      </c>
      <c r="BH65" s="976" t="n">
        <f aca="false">IF(Tables!$B$36="Combined Cycle",(BF65-BF64)*24*Assumptions!$B$21,0)</f>
        <v>0</v>
      </c>
      <c r="BI65" s="714" t="n">
        <f aca="false">IF($AN65=1,$E65*$BF$5,0)</f>
        <v>160</v>
      </c>
      <c r="BJ65" s="898" t="n">
        <f aca="false">IF('Monthly Table'!D65&lt;=Tables!$B$21,IF($BJ$10=$BG$10,BG65,IF($BJ$10=$BH$10,BH65,IF($BJ$10=$BI$10,BI65,0))),0)</f>
        <v>160</v>
      </c>
      <c r="BK65" s="288"/>
      <c r="BL65" s="898" t="n">
        <f aca="false">IF($AW65=1,$F65*$BF$5,0)</f>
        <v>40</v>
      </c>
      <c r="BM65" s="898" t="n">
        <f aca="false">IF($BD65=1,($G65+H65)*$BF$5,0)</f>
        <v>48</v>
      </c>
      <c r="BO65" s="898" t="n">
        <f aca="false">IF(AS65=1,BJ65,0)</f>
        <v>0</v>
      </c>
      <c r="BP65" s="898" t="n">
        <f aca="false">IF(AZ65=1,F65*$BF$5,0)</f>
        <v>0</v>
      </c>
      <c r="BR65" s="899" t="n">
        <f aca="false">IF(BJ65&gt;0,INDEX(OperationalDetail,MATCH("Capacity Degradation",ODColumn,0),MATCH('Monthly Table'!C65,ODRow,0)),0)</f>
        <v>0.01957</v>
      </c>
      <c r="BS65" s="900" t="n">
        <f aca="false">BJ65*(1-BR65)*Tables!$C$36</f>
        <v>50825.4912</v>
      </c>
      <c r="BT65" s="883" t="n">
        <f aca="false">BS65*AL65/1000</f>
        <v>5883.43752000749</v>
      </c>
      <c r="BU65" s="883" t="n">
        <f aca="false">BT65*K65</f>
        <v>8129.09949232177</v>
      </c>
      <c r="BV65" s="188"/>
      <c r="BW65" s="901" t="n">
        <f aca="false">$BO65*(1-$BR65)*Tables!$C$36</f>
        <v>0</v>
      </c>
      <c r="BX65" s="902" t="n">
        <f aca="false">(BW65*AQ65)/1000</f>
        <v>0</v>
      </c>
      <c r="BY65" s="883" t="n">
        <f aca="false">BX65*K65</f>
        <v>0</v>
      </c>
      <c r="BZ65" s="188"/>
      <c r="CA65" s="901" t="n">
        <f aca="false">$BL65*(1-$BR65)*Tables!$C$36</f>
        <v>12706.3728</v>
      </c>
      <c r="CB65" s="902" t="n">
        <f aca="false">(CA65*AU65)/1000</f>
        <v>725.071525353035</v>
      </c>
      <c r="CC65" s="883" t="n">
        <f aca="false">CB65*K65</f>
        <v>1001.82564165937</v>
      </c>
      <c r="CD65" s="901" t="n">
        <f aca="false">$BP65*(1-$BR65)*Tables!$C$36</f>
        <v>0</v>
      </c>
      <c r="CE65" s="902" t="n">
        <f aca="false">(CD65*AX65)/1000</f>
        <v>0</v>
      </c>
      <c r="CF65" s="883" t="n">
        <f aca="false">CE65*K65</f>
        <v>0</v>
      </c>
      <c r="CH65" s="901" t="n">
        <f aca="false">$BM65*(1-$BR65)*Tables!$C$36</f>
        <v>15247.64736</v>
      </c>
      <c r="CI65" s="902" t="n">
        <f aca="false">(CH65*BB65)/1000</f>
        <v>770.647402387883</v>
      </c>
      <c r="CJ65" s="883" t="n">
        <f aca="false">CI65*K65</f>
        <v>1064.79747362091</v>
      </c>
      <c r="CK65" s="292"/>
      <c r="CL65" s="292" t="n">
        <f aca="false">C65-1</f>
        <v>2004</v>
      </c>
      <c r="CM65" s="903" t="n">
        <f aca="false">INDEX(OperationalDetail,MATCH("Degraded Heat Rate",ODColumn,0),MATCH('Monthly Table'!CL65,ODRow,0))/1000</f>
        <v>12.1630808</v>
      </c>
      <c r="CN65" s="904" t="n">
        <f aca="false">S65*CM65</f>
        <v>53.1524931595504</v>
      </c>
      <c r="CO65" s="905" t="n">
        <f aca="false">IF(A65="January",(CO64*(1+Assumptions!$E$32)),CO64)</f>
        <v>7.2908571177</v>
      </c>
      <c r="CP65" s="906" t="n">
        <f aca="false">CN65+CO65</f>
        <v>60.4433502772504</v>
      </c>
      <c r="CQ65" s="292"/>
      <c r="CR65" s="856" t="n">
        <f aca="false">IF(BJ65=0,"",C65)</f>
        <v>2005</v>
      </c>
      <c r="CS65" s="856" t="str">
        <f aca="false">IF(BO65=0,"",$C65)</f>
        <v/>
      </c>
      <c r="CT65" s="856" t="n">
        <f aca="false">IF(BL65=0,"",$C65)</f>
        <v>2005</v>
      </c>
      <c r="CU65" s="856" t="str">
        <f aca="false">IF(BP65=0,"",$C65)</f>
        <v/>
      </c>
      <c r="CV65" s="856" t="n">
        <f aca="false">IF(BD65=0,"",$C65)</f>
        <v>2005</v>
      </c>
      <c r="CW65" s="907" t="n">
        <f aca="false">YEAR(BF65)</f>
        <v>2005</v>
      </c>
      <c r="CX65" s="908" t="n">
        <f aca="false">INDEX('NY Curve'!$A$4:$G$256,MATCH('Monthly Table'!B65,'NY Curve'!$A$4:$A$256,0),MATCH("New York 5 X 16",'NY Curve'!$A$4:$G$4,0))</f>
        <v>71</v>
      </c>
      <c r="CY65" s="909" t="n">
        <f aca="false">K65</f>
        <v>1.38169215950328</v>
      </c>
      <c r="CZ65" s="910" t="n">
        <f aca="false">CX65*CY65</f>
        <v>98.1001433247329</v>
      </c>
      <c r="DB65" s="911"/>
      <c r="DC65" s="911"/>
    </row>
    <row r="66" customFormat="false" ht="18.75" hidden="false" customHeight="true" outlineLevel="0" collapsed="false">
      <c r="A66" s="49" t="s">
        <v>817</v>
      </c>
      <c r="B66" s="863" t="n">
        <v>38565</v>
      </c>
      <c r="C66" s="288" t="n">
        <f aca="false">YEAR(B66)</f>
        <v>2005</v>
      </c>
      <c r="D66" s="864" t="n">
        <f aca="false">IF(A66="January",D65+1,D65)</f>
        <v>5</v>
      </c>
      <c r="E66" s="865" t="n">
        <v>23</v>
      </c>
      <c r="F66" s="866" t="n">
        <v>4</v>
      </c>
      <c r="G66" s="866" t="n">
        <v>4</v>
      </c>
      <c r="H66" s="866" t="n">
        <v>0</v>
      </c>
      <c r="I66" s="867" t="n">
        <f aca="false">SUM(E66:H66)</f>
        <v>31</v>
      </c>
      <c r="J66" s="868"/>
      <c r="K66" s="869" t="n">
        <f aca="false">INDEX(FX!$A$3:$C$362,MATCH(B66,FX!$A$3:$A$362,0),MATCH("Monthly Curve",FX!$A$2:$C$2,0))</f>
        <v>1.38058029221068</v>
      </c>
      <c r="L66" s="869"/>
      <c r="M66" s="914" t="n">
        <v>2.7495</v>
      </c>
      <c r="N66" s="915" t="n">
        <v>0.135</v>
      </c>
      <c r="O66" s="714" t="n">
        <v>0.05</v>
      </c>
      <c r="P66" s="872" t="n">
        <f aca="false">N66+O66</f>
        <v>0.185</v>
      </c>
      <c r="Q66" s="873" t="n">
        <f aca="false">SUM(M66:O66)</f>
        <v>2.9345</v>
      </c>
      <c r="R66" s="974" t="n">
        <f aca="false">IF(A66="January",(R65+R65*Assumptions!$E$32),R65)</f>
        <v>0.325082231556923</v>
      </c>
      <c r="S66" s="875" t="n">
        <f aca="false">(Q66*K66)+R66</f>
        <v>4.37639509904916</v>
      </c>
      <c r="T66" s="869"/>
      <c r="V66" s="876"/>
      <c r="W66" s="876"/>
      <c r="X66" s="971"/>
      <c r="Y66" s="975" t="n">
        <f aca="false">Tables!$D$36</f>
        <v>312</v>
      </c>
      <c r="Z66" s="879" t="n">
        <f aca="false">IF($Z$10=$V$10,V66,IF($Z$10=$W$10,W66,IF($Z$10=$X$10,X66,0)))</f>
        <v>0</v>
      </c>
      <c r="AA66" s="880" t="n">
        <f aca="false">Y66*Z66</f>
        <v>0</v>
      </c>
      <c r="AB66" s="881" t="n">
        <f aca="false">AA66*K66</f>
        <v>0</v>
      </c>
      <c r="AC66" s="188"/>
      <c r="AD66" s="882" t="n">
        <f aca="false">IF(Tables!$E$30="Michigan",INDEX('Michigan Curve'!$A$4:$S$256,MATCH('Monthly Table'!B66,'Michigan Curve'!$A$4:$A$256,0),MATCH("Michigan Selected Option Value US$/month",'Michigan Curve'!$A$4:$S$4,0)),INDEX('NY Curve'!$A$4:$T$256,MATCH('Monthly Table'!B66,'NY Curve'!$A$4:$A$256,0),MATCH("New York Selected Option Value US$/month",'NY Curve'!$A$4:$T$4,0)))</f>
        <v>490762.429667186</v>
      </c>
      <c r="AE66" s="883" t="n">
        <f aca="false">AD66*K66</f>
        <v>677536.938555948</v>
      </c>
      <c r="AF66" s="188"/>
      <c r="AG66" s="884"/>
      <c r="AH66" s="188"/>
      <c r="AI66" s="885" t="n">
        <f aca="false">Assumptions!$B$50</f>
        <v>65</v>
      </c>
      <c r="AJ66" s="916"/>
      <c r="AK66" s="887" t="n">
        <f aca="false">IF(Tables!$E$30="Custom",'Monthly Table'!AI66,IF(Tables!$E$30="New York",INDEX('NY Curve'!$A$4:$G$256,MATCH('Monthly Table'!B66,'NY Curve'!$A$4:$A$256,0),MATCH("Super Peak Curve",'NY Curve'!$A$4:$G$4,0)),IF(Tables!$E$30="New York Flat",INDEX('NY Curve'!$A$4:$G$256,MATCH('Monthly Table'!B66,'NY Curve'!$A$4:$A$256,0),MATCH("Flat NY West",'NY Curve'!$A$4:$G$4,0)),INDEX('Michigan Curve'!$A$4:$F$256,MATCH('Monthly Table'!B66,'Michigan Curve'!$A$4:$A$256,0),MATCH("Michigan Super Peak Curve US$/MWhr",'Michigan Curve'!$A$4:$F$4,0)))))</f>
        <v>115.757612589635</v>
      </c>
      <c r="AL66" s="888" t="n">
        <f aca="false">IF(D66&lt;=Tables!$B$21,IF($AL$10=$AI$10,AI66,IF($AL$10=$AJ$10,AJ66,IF($AL$10=$AK$10,AK66,0))),0)</f>
        <v>115.757612589635</v>
      </c>
      <c r="AM66" s="889" t="n">
        <f aca="false">+AL66*K66</f>
        <v>159.812678614609</v>
      </c>
      <c r="AN66" s="890" t="n">
        <f aca="false">IF((AL66*K66)&gt;(CP66+$BF$4),1,0)</f>
        <v>1</v>
      </c>
      <c r="AO66" s="891"/>
      <c r="AP66" s="894"/>
      <c r="AQ66" s="892" t="n">
        <f aca="false">IF(Tables!$E$30="New York",INDEX('NY Curve'!$A$4:$L$256,MATCH('Monthly Table'!B66,'NY Curve'!$A$4:$A$256,0),MATCH("New York Shoulder Hour Curve Mon-Fri",'NY Curve'!$A$4:$L$4,0)),IF(Tables!$E$30="Michigan",INDEX('Michigan Curve'!$A$4:$K$256,MATCH('Monthly Table'!B66,'Michigan Curve'!$A$4:$A$256,0),MATCH("Michigan Shoulder Hour Curve Mon-Fri",'Michigan Curve'!$A$4:$K$4,0))))</f>
        <v>26.2423874103653</v>
      </c>
      <c r="AR66" s="889" t="n">
        <f aca="false">AQ66*K66</f>
        <v>36.229722879308</v>
      </c>
      <c r="AS66" s="893" t="n">
        <f aca="false">IF(AR66&gt;($CP66+$BF$4),1,0)</f>
        <v>0</v>
      </c>
      <c r="AT66" s="188"/>
      <c r="AU66" s="892" t="n">
        <f aca="false">IF(Tables!$E$30="New York",INDEX('NY Curve'!$A$4:$L$256,MATCH('Monthly Table'!$B66,'NY Curve'!$A$4:$A$256,0),MATCH("New York Saturday Super Peak",'NY Curve'!$A$4:$L$4,0)),IF(Tables!$E$30="Michigan",INDEX('Michigan Curve'!$A$4:$K$256,MATCH('Monthly Table'!$B66,'Michigan Curve'!$A$4:$A$256,0),MATCH("Michigan Saturday Super Peak",'Michigan Curve'!$A$4:$K$4,0))))</f>
        <v>57.0636180594009</v>
      </c>
      <c r="AV66" s="894" t="n">
        <f aca="false">AU66*K66</f>
        <v>78.7809064950463</v>
      </c>
      <c r="AW66" s="893" t="n">
        <f aca="false">IF(AV66&gt;($CP66+$BF$4),1,0)</f>
        <v>1</v>
      </c>
      <c r="AX66" s="892" t="n">
        <f aca="false">IF(Tables!$E$30="New York",INDEX('NY Curve'!$A$4:$L$256,MATCH('Monthly Table'!$B66,'NY Curve'!$A$4:$A$256,0),MATCH("New York Saturday Shoulder Peak",'NY Curve'!$A$4:$L$4,0)),IF(Tables!$E$30="Michigan",INDEX('Michigan Curve'!$A$4:$K$256,MATCH('Monthly Table'!$B66,'Michigan Curve'!$A$4:$A$256,0),MATCH("Michigan Saturday Shoulder Peak",'Michigan Curve'!$A$4:$K$4,0))))</f>
        <v>12.9363895699937</v>
      </c>
      <c r="AY66" s="895" t="n">
        <f aca="false">AX66*K66</f>
        <v>17.859724492693</v>
      </c>
      <c r="AZ66" s="893" t="n">
        <f aca="false">IF(AY66&gt;($CP66+$BF$4),1,0)</f>
        <v>0</v>
      </c>
      <c r="BA66" s="188"/>
      <c r="BB66" s="892" t="n">
        <f aca="false">IF(Tables!$E$30="New York",INDEX('NY Curve'!$A$4:$M$256,MATCH('Monthly Table'!$B66,'NY Curve'!$A$4:$A$256,0),MATCH("NY Sunday Super Peak",'NY Curve'!$A$4:$M$4,0)),IF(Tables!$E$30="Michigan",INDEX('Michigan Curve'!$A$4:$L$256,MATCH('Monthly Table'!$B66,'Michigan Curve'!$A$4:$A$256,0),MATCH("Michigan Sunday Super Peak",'Michigan Curve'!$A$4:$L$4,0))))</f>
        <v>50.5420562011081</v>
      </c>
      <c r="BC66" s="894" t="n">
        <f aca="false">BB66*K66</f>
        <v>69.7773667190544</v>
      </c>
      <c r="BD66" s="893" t="n">
        <f aca="false">IF(BC66&gt;($CP66+$BF$4),1,0)</f>
        <v>1</v>
      </c>
      <c r="BE66" s="188"/>
      <c r="BF66" s="896" t="n">
        <f aca="false">B66</f>
        <v>38565</v>
      </c>
      <c r="BG66" s="897" t="n">
        <f aca="false">IF($AN66=1,$E66*$BF$5,0)</f>
        <v>184</v>
      </c>
      <c r="BH66" s="976" t="n">
        <f aca="false">IF(Tables!$B$36="Combined Cycle",(BF66-BF65)*24*Assumptions!$B$21,0)</f>
        <v>0</v>
      </c>
      <c r="BI66" s="714" t="n">
        <f aca="false">IF($AN66=1,$E66*$BF$5,0)</f>
        <v>184</v>
      </c>
      <c r="BJ66" s="898" t="n">
        <f aca="false">IF('Monthly Table'!D66&lt;=Tables!$B$21,IF($BJ$10=$BG$10,BG66,IF($BJ$10=$BH$10,BH66,IF($BJ$10=$BI$10,BI66,0))),0)</f>
        <v>184</v>
      </c>
      <c r="BK66" s="288"/>
      <c r="BL66" s="898" t="n">
        <f aca="false">IF($AW66=1,$F66*$BF$5,0)</f>
        <v>32</v>
      </c>
      <c r="BM66" s="898" t="n">
        <f aca="false">IF($BD66=1,($G66+H66)*$BF$5,0)</f>
        <v>32</v>
      </c>
      <c r="BO66" s="898" t="n">
        <f aca="false">IF(AS66=1,BJ66,0)</f>
        <v>0</v>
      </c>
      <c r="BP66" s="898" t="n">
        <f aca="false">IF(AZ66=1,F66*$BF$5,0)</f>
        <v>0</v>
      </c>
      <c r="BR66" s="899" t="n">
        <f aca="false">IF(BJ66&gt;0,INDEX(OperationalDetail,MATCH("Capacity Degradation",ODColumn,0),MATCH('Monthly Table'!C66,ODRow,0)),0)</f>
        <v>0.01957</v>
      </c>
      <c r="BS66" s="900" t="n">
        <f aca="false">BJ66*(1-BR66)*Tables!$C$36</f>
        <v>58449.31488</v>
      </c>
      <c r="BT66" s="883" t="n">
        <f aca="false">BS66*AL66/1000</f>
        <v>6765.95314800861</v>
      </c>
      <c r="BU66" s="883" t="n">
        <f aca="false">BT66*K66</f>
        <v>9340.9415741615</v>
      </c>
      <c r="BV66" s="188"/>
      <c r="BW66" s="901" t="n">
        <f aca="false">$BO66*(1-$BR66)*Tables!$C$36</f>
        <v>0</v>
      </c>
      <c r="BX66" s="902" t="n">
        <f aca="false">(BW66*AQ66)/1000</f>
        <v>0</v>
      </c>
      <c r="BY66" s="883" t="n">
        <f aca="false">BX66*K66</f>
        <v>0</v>
      </c>
      <c r="BZ66" s="188"/>
      <c r="CA66" s="901" t="n">
        <f aca="false">$BL66*(1-$BR66)*Tables!$C$36</f>
        <v>10165.09824</v>
      </c>
      <c r="CB66" s="902" t="n">
        <f aca="false">(CA66*AU66)/1000</f>
        <v>580.057283503648</v>
      </c>
      <c r="CC66" s="883" t="n">
        <f aca="false">CB66*K66</f>
        <v>800.8156539584</v>
      </c>
      <c r="CD66" s="901" t="n">
        <f aca="false">$BP66*(1-$BR66)*Tables!$C$36</f>
        <v>0</v>
      </c>
      <c r="CE66" s="902" t="n">
        <f aca="false">(CD66*AX66)/1000</f>
        <v>0</v>
      </c>
      <c r="CF66" s="883" t="n">
        <f aca="false">CE66*K66</f>
        <v>0</v>
      </c>
      <c r="CH66" s="901" t="n">
        <f aca="false">$BM66*(1-$BR66)*Tables!$C$36</f>
        <v>10165.09824</v>
      </c>
      <c r="CI66" s="902" t="n">
        <f aca="false">(CH66*BB66)/1000</f>
        <v>513.764966535865</v>
      </c>
      <c r="CJ66" s="883" t="n">
        <f aca="false">CI66*K66</f>
        <v>709.293787627695</v>
      </c>
      <c r="CK66" s="292"/>
      <c r="CL66" s="292" t="n">
        <f aca="false">C66-1</f>
        <v>2004</v>
      </c>
      <c r="CM66" s="903" t="n">
        <f aca="false">INDEX(OperationalDetail,MATCH("Degraded Heat Rate",ODColumn,0),MATCH('Monthly Table'!CL66,ODRow,0))/1000</f>
        <v>12.1630808</v>
      </c>
      <c r="CN66" s="904" t="n">
        <f aca="false">S66*CM66</f>
        <v>53.230447202459</v>
      </c>
      <c r="CO66" s="905" t="n">
        <f aca="false">IF(A66="January",(CO65*(1+Assumptions!$E$32)),CO65)</f>
        <v>7.2908571177</v>
      </c>
      <c r="CP66" s="906" t="n">
        <f aca="false">CN66+CO66</f>
        <v>60.521304320159</v>
      </c>
      <c r="CQ66" s="292"/>
      <c r="CR66" s="856" t="n">
        <f aca="false">IF(BJ66=0,"",C66)</f>
        <v>2005</v>
      </c>
      <c r="CS66" s="856" t="str">
        <f aca="false">IF(BO66=0,"",$C66)</f>
        <v/>
      </c>
      <c r="CT66" s="856" t="n">
        <f aca="false">IF(BL66=0,"",$C66)</f>
        <v>2005</v>
      </c>
      <c r="CU66" s="856" t="str">
        <f aca="false">IF(BP66=0,"",$C66)</f>
        <v/>
      </c>
      <c r="CV66" s="856" t="n">
        <f aca="false">IF(BD66=0,"",$C66)</f>
        <v>2005</v>
      </c>
      <c r="CW66" s="907" t="n">
        <f aca="false">YEAR(BF66)</f>
        <v>2005</v>
      </c>
      <c r="CX66" s="908" t="n">
        <f aca="false">INDEX('NY Curve'!$A$4:$G$256,MATCH('Monthly Table'!B66,'NY Curve'!$A$4:$A$256,0),MATCH("New York 5 X 16",'NY Curve'!$A$4:$G$4,0))</f>
        <v>63.5</v>
      </c>
      <c r="CY66" s="909" t="n">
        <f aca="false">K66</f>
        <v>1.38058029221068</v>
      </c>
      <c r="CZ66" s="910" t="n">
        <f aca="false">CX66*CY66</f>
        <v>87.6668485553782</v>
      </c>
      <c r="DB66" s="911"/>
      <c r="DC66" s="911"/>
    </row>
    <row r="67" customFormat="false" ht="18.75" hidden="false" customHeight="true" outlineLevel="0" collapsed="false">
      <c r="A67" s="49" t="s">
        <v>818</v>
      </c>
      <c r="B67" s="863" t="n">
        <v>38596</v>
      </c>
      <c r="C67" s="288" t="n">
        <f aca="false">YEAR(B67)</f>
        <v>2005</v>
      </c>
      <c r="D67" s="864" t="n">
        <f aca="false">IF(A67="January",D66+1,D66)</f>
        <v>5</v>
      </c>
      <c r="E67" s="865" t="n">
        <v>21</v>
      </c>
      <c r="F67" s="866" t="n">
        <v>4</v>
      </c>
      <c r="G67" s="866" t="n">
        <v>4</v>
      </c>
      <c r="H67" s="866" t="n">
        <v>1</v>
      </c>
      <c r="I67" s="867" t="n">
        <f aca="false">SUM(E67:H67)</f>
        <v>30</v>
      </c>
      <c r="J67" s="868"/>
      <c r="K67" s="869" t="n">
        <f aca="false">INDEX(FX!$A$3:$C$362,MATCH(B67,FX!$A$3:$A$362,0),MATCH("Monthly Curve",FX!$A$2:$C$2,0))</f>
        <v>1.37946956271916</v>
      </c>
      <c r="L67" s="869"/>
      <c r="M67" s="914" t="n">
        <v>2.7565</v>
      </c>
      <c r="N67" s="915" t="n">
        <v>0.135</v>
      </c>
      <c r="O67" s="714" t="n">
        <v>0.05</v>
      </c>
      <c r="P67" s="872" t="n">
        <f aca="false">N67+O67</f>
        <v>0.185</v>
      </c>
      <c r="Q67" s="873" t="n">
        <f aca="false">SUM(M67:O67)</f>
        <v>2.9415</v>
      </c>
      <c r="R67" s="974" t="n">
        <f aca="false">IF(A67="January",(R66+R66*Assumptions!$E$32),R66)</f>
        <v>0.325082231556923</v>
      </c>
      <c r="S67" s="875" t="n">
        <f aca="false">(Q67*K67)+R67</f>
        <v>4.38279195029533</v>
      </c>
      <c r="T67" s="869"/>
      <c r="V67" s="876"/>
      <c r="W67" s="876"/>
      <c r="X67" s="971"/>
      <c r="Y67" s="975" t="n">
        <f aca="false">Tables!$D$36</f>
        <v>312</v>
      </c>
      <c r="Z67" s="879" t="n">
        <f aca="false">IF($Z$10=$V$10,V67,IF($Z$10=$W$10,W67,IF($Z$10=$X$10,X67,0)))</f>
        <v>0</v>
      </c>
      <c r="AA67" s="880" t="n">
        <f aca="false">Y67*Z67</f>
        <v>0</v>
      </c>
      <c r="AB67" s="881" t="n">
        <f aca="false">AA67*K67</f>
        <v>0</v>
      </c>
      <c r="AC67" s="188"/>
      <c r="AD67" s="882" t="n">
        <f aca="false">IF(Tables!$E$30="Michigan",INDEX('Michigan Curve'!$A$4:$S$256,MATCH('Monthly Table'!B67,'Michigan Curve'!$A$4:$A$256,0),MATCH("Michigan Selected Option Value US$/month",'Michigan Curve'!$A$4:$S$4,0)),INDEX('NY Curve'!$A$4:$T$256,MATCH('Monthly Table'!B67,'NY Curve'!$A$4:$A$256,0),MATCH("New York Selected Option Value US$/month",'NY Curve'!$A$4:$T$4,0)))</f>
        <v>310109.668743165</v>
      </c>
      <c r="AE67" s="883" t="n">
        <f aca="false">AD67*K67</f>
        <v>427786.849136117</v>
      </c>
      <c r="AF67" s="188"/>
      <c r="AG67" s="884"/>
      <c r="AH67" s="188"/>
      <c r="AI67" s="885" t="n">
        <f aca="false">Assumptions!$B$50</f>
        <v>65</v>
      </c>
      <c r="AJ67" s="916"/>
      <c r="AK67" s="887" t="n">
        <f aca="false">IF(Tables!$E$30="Custom",'Monthly Table'!AI67,IF(Tables!$E$30="New York",INDEX('NY Curve'!$A$4:$G$256,MATCH('Monthly Table'!B67,'NY Curve'!$A$4:$A$256,0),MATCH("Super Peak Curve",'NY Curve'!$A$4:$G$4,0)),IF(Tables!$E$30="New York Flat",INDEX('NY Curve'!$A$4:$G$256,MATCH('Monthly Table'!B67,'NY Curve'!$A$4:$A$256,0),MATCH("Flat NY West",'NY Curve'!$A$4:$G$4,0)),INDEX('Michigan Curve'!$A$4:$F$256,MATCH('Monthly Table'!B67,'Michigan Curve'!$A$4:$A$256,0),MATCH("Michigan Super Peak Curve US$/MWhr",'Michigan Curve'!$A$4:$F$4,0)))))</f>
        <v>43.57781226933</v>
      </c>
      <c r="AL67" s="888" t="n">
        <f aca="false">IF(D67&lt;=Tables!$B$21,IF($AL$10=$AI$10,AI67,IF($AL$10=$AJ$10,AJ67,IF($AL$10=$AK$10,AK67,0))),0)</f>
        <v>43.57781226933</v>
      </c>
      <c r="AM67" s="889" t="n">
        <f aca="false">+AL67*K67</f>
        <v>60.1142656354303</v>
      </c>
      <c r="AN67" s="890" t="n">
        <f aca="false">IF((AL67*K67)&gt;(CP67+$BF$4),1,0)</f>
        <v>0</v>
      </c>
      <c r="AO67" s="891"/>
      <c r="AP67" s="894"/>
      <c r="AQ67" s="892" t="n">
        <f aca="false">IF(Tables!$E$30="New York",INDEX('NY Curve'!$A$4:$L$256,MATCH('Monthly Table'!B67,'NY Curve'!$A$4:$A$256,0),MATCH("New York Shoulder Hour Curve Mon-Fri",'NY Curve'!$A$4:$L$4,0)),IF(Tables!$E$30="Michigan",INDEX('Michigan Curve'!$A$4:$K$256,MATCH('Monthly Table'!B67,'Michigan Curve'!$A$4:$A$256,0),MATCH("Michigan Shoulder Hour Curve Mon-Fri",'Michigan Curve'!$A$4:$K$4,0))))</f>
        <v>20.92218773067</v>
      </c>
      <c r="AR67" s="889" t="n">
        <f aca="false">AQ67*K67</f>
        <v>28.8615211599555</v>
      </c>
      <c r="AS67" s="893" t="n">
        <f aca="false">IF(AR67&gt;($CP67+$BF$4),1,0)</f>
        <v>0</v>
      </c>
      <c r="AT67" s="188"/>
      <c r="AU67" s="892" t="n">
        <f aca="false">IF(Tables!$E$30="New York",INDEX('NY Curve'!$A$4:$L$256,MATCH('Monthly Table'!$B67,'NY Curve'!$A$4:$A$256,0),MATCH("New York Saturday Super Peak",'NY Curve'!$A$4:$L$4,0)),IF(Tables!$E$30="Michigan",INDEX('Michigan Curve'!$A$4:$K$256,MATCH('Monthly Table'!$B67,'Michigan Curve'!$A$4:$A$256,0),MATCH("Michigan Saturday Super Peak",'Michigan Curve'!$A$4:$K$4,0))))</f>
        <v>33.7812498211861</v>
      </c>
      <c r="AV67" s="894" t="n">
        <f aca="false">AU67*K67</f>
        <v>46.6002059189382</v>
      </c>
      <c r="AW67" s="893" t="n">
        <f aca="false">IF(AV67&gt;($CP67+$BF$4),1,0)</f>
        <v>0</v>
      </c>
      <c r="AX67" s="892" t="n">
        <f aca="false">IF(Tables!$E$30="New York",INDEX('NY Curve'!$A$4:$L$256,MATCH('Monthly Table'!$B67,'NY Curve'!$A$4:$A$256,0),MATCH("New York Saturday Shoulder Peak",'NY Curve'!$A$4:$L$4,0)),IF(Tables!$E$30="Michigan",INDEX('Michigan Curve'!$A$4:$K$256,MATCH('Monthly Table'!$B67,'Michigan Curve'!$A$4:$A$256,0),MATCH("Michigan Saturday Shoulder Peak",'Michigan Curve'!$A$4:$K$4,0))))</f>
        <v>16.2187501788139</v>
      </c>
      <c r="AY67" s="895" t="n">
        <f aca="false">AX67*K67</f>
        <v>22.3732722170198</v>
      </c>
      <c r="AZ67" s="893" t="n">
        <f aca="false">IF(AY67&gt;($CP67+$BF$4),1,0)</f>
        <v>0</v>
      </c>
      <c r="BA67" s="188"/>
      <c r="BB67" s="892" t="n">
        <f aca="false">IF(Tables!$E$30="New York",INDEX('NY Curve'!$A$4:$M$256,MATCH('Monthly Table'!$B67,'NY Curve'!$A$4:$A$256,0),MATCH("NY Sunday Super Peak",'NY Curve'!$A$4:$M$4,0)),IF(Tables!$E$30="Michigan",INDEX('Michigan Curve'!$A$4:$L$256,MATCH('Monthly Table'!$B67,'Michigan Curve'!$A$4:$A$256,0),MATCH("Michigan Sunday Super Peak",'Michigan Curve'!$A$4:$L$4,0))))</f>
        <v>32.4299998283386</v>
      </c>
      <c r="BC67" s="894" t="n">
        <f aca="false">BB67*K67</f>
        <v>44.7361976821807</v>
      </c>
      <c r="BD67" s="893" t="n">
        <f aca="false">IF(BC67&gt;($CP67+$BF$4),1,0)</f>
        <v>0</v>
      </c>
      <c r="BE67" s="188"/>
      <c r="BF67" s="896" t="n">
        <f aca="false">B67</f>
        <v>38596</v>
      </c>
      <c r="BG67" s="897" t="n">
        <f aca="false">IF($AN67=1,$E67*$BF$5,0)</f>
        <v>0</v>
      </c>
      <c r="BH67" s="976" t="n">
        <f aca="false">IF(Tables!$B$36="Combined Cycle",(BF67-BF66)*24*Assumptions!$B$21,0)</f>
        <v>0</v>
      </c>
      <c r="BI67" s="714" t="n">
        <f aca="false">IF($AN67=1,$E67*$BF$5,0)</f>
        <v>0</v>
      </c>
      <c r="BJ67" s="898" t="n">
        <f aca="false">IF('Monthly Table'!D67&lt;=Tables!$B$21,IF($BJ$10=$BG$10,BG67,IF($BJ$10=$BH$10,BH67,IF($BJ$10=$BI$10,BI67,0))),0)</f>
        <v>0</v>
      </c>
      <c r="BK67" s="288"/>
      <c r="BL67" s="898" t="n">
        <f aca="false">IF($AW67=1,$F67*$BF$5,0)</f>
        <v>0</v>
      </c>
      <c r="BM67" s="898" t="n">
        <f aca="false">IF($BD67=1,($G67+H67)*$BF$5,0)</f>
        <v>0</v>
      </c>
      <c r="BO67" s="898" t="n">
        <f aca="false">IF(AS67=1,BJ67,0)</f>
        <v>0</v>
      </c>
      <c r="BP67" s="898" t="n">
        <f aca="false">IF(AZ67=1,F67*$BF$5,0)</f>
        <v>0</v>
      </c>
      <c r="BR67" s="899" t="n">
        <f aca="false">IF(BJ67&gt;0,INDEX(OperationalDetail,MATCH("Capacity Degradation",ODColumn,0),MATCH('Monthly Table'!C67,ODRow,0)),0)</f>
        <v>0</v>
      </c>
      <c r="BS67" s="900" t="n">
        <f aca="false">BJ67*(1-BR67)*Tables!$C$36</f>
        <v>0</v>
      </c>
      <c r="BT67" s="883" t="n">
        <f aca="false">BS67*AL67/1000</f>
        <v>0</v>
      </c>
      <c r="BU67" s="883" t="n">
        <f aca="false">BT67*K67</f>
        <v>0</v>
      </c>
      <c r="BV67" s="188"/>
      <c r="BW67" s="901" t="n">
        <f aca="false">$BO67*(1-$BR67)*Tables!$C$36</f>
        <v>0</v>
      </c>
      <c r="BX67" s="902" t="n">
        <f aca="false">(BW67*AQ67)/1000</f>
        <v>0</v>
      </c>
      <c r="BY67" s="883" t="n">
        <f aca="false">BX67*K67</f>
        <v>0</v>
      </c>
      <c r="BZ67" s="188"/>
      <c r="CA67" s="901" t="n">
        <f aca="false">$BL67*(1-$BR67)*Tables!$C$36</f>
        <v>0</v>
      </c>
      <c r="CB67" s="902" t="n">
        <f aca="false">(CA67*AU67)/1000</f>
        <v>0</v>
      </c>
      <c r="CC67" s="883" t="n">
        <f aca="false">CB67*K67</f>
        <v>0</v>
      </c>
      <c r="CD67" s="901" t="n">
        <f aca="false">$BP67*(1-$BR67)*Tables!$C$36</f>
        <v>0</v>
      </c>
      <c r="CE67" s="902" t="n">
        <f aca="false">(CD67*AX67)/1000</f>
        <v>0</v>
      </c>
      <c r="CF67" s="883" t="n">
        <f aca="false">CE67*K67</f>
        <v>0</v>
      </c>
      <c r="CH67" s="901" t="n">
        <f aca="false">$BM67*(1-$BR67)*Tables!$C$36</f>
        <v>0</v>
      </c>
      <c r="CI67" s="902" t="n">
        <f aca="false">(CH67*BB67)/1000</f>
        <v>0</v>
      </c>
      <c r="CJ67" s="883" t="n">
        <f aca="false">CI67*K67</f>
        <v>0</v>
      </c>
      <c r="CK67" s="292"/>
      <c r="CL67" s="292" t="n">
        <f aca="false">C67-1</f>
        <v>2004</v>
      </c>
      <c r="CM67" s="903" t="n">
        <f aca="false">INDEX(OperationalDetail,MATCH("Degraded Heat Rate",ODColumn,0),MATCH('Monthly Table'!CL67,ODRow,0))/1000</f>
        <v>12.1630808</v>
      </c>
      <c r="CN67" s="904" t="n">
        <f aca="false">S67*CM67</f>
        <v>53.3082526210317</v>
      </c>
      <c r="CO67" s="905" t="n">
        <f aca="false">IF(A67="January",(CO66*(1+Assumptions!$E$32)),CO66)</f>
        <v>7.2908571177</v>
      </c>
      <c r="CP67" s="906" t="n">
        <f aca="false">CN67+CO67</f>
        <v>60.5991097387317</v>
      </c>
      <c r="CQ67" s="292"/>
      <c r="CR67" s="856" t="str">
        <f aca="false">IF(BJ67=0,"",C67)</f>
        <v/>
      </c>
      <c r="CS67" s="856" t="str">
        <f aca="false">IF(BO67=0,"",$C67)</f>
        <v/>
      </c>
      <c r="CT67" s="856" t="str">
        <f aca="false">IF(BL67=0,"",$C67)</f>
        <v/>
      </c>
      <c r="CU67" s="856" t="str">
        <f aca="false">IF(BP67=0,"",$C67)</f>
        <v/>
      </c>
      <c r="CV67" s="856" t="str">
        <f aca="false">IF(BD67=0,"",$C67)</f>
        <v/>
      </c>
      <c r="CW67" s="907" t="n">
        <f aca="false">YEAR(BF67)</f>
        <v>2005</v>
      </c>
      <c r="CX67" s="908" t="n">
        <f aca="false">INDEX('NY Curve'!$A$4:$G$256,MATCH('Monthly Table'!B67,'NY Curve'!$A$4:$A$256,0),MATCH("New York 5 X 16",'NY Curve'!$A$4:$G$4,0))</f>
        <v>29.75</v>
      </c>
      <c r="CY67" s="909" t="n">
        <f aca="false">K67</f>
        <v>1.37946956271916</v>
      </c>
      <c r="CZ67" s="910" t="n">
        <f aca="false">CX67*CY67</f>
        <v>41.039219490895</v>
      </c>
      <c r="DB67" s="911"/>
      <c r="DC67" s="911"/>
    </row>
    <row r="68" customFormat="false" ht="18.75" hidden="false" customHeight="true" outlineLevel="0" collapsed="false">
      <c r="A68" s="49" t="s">
        <v>819</v>
      </c>
      <c r="B68" s="863" t="n">
        <v>38626</v>
      </c>
      <c r="C68" s="288" t="n">
        <f aca="false">YEAR(B68)</f>
        <v>2005</v>
      </c>
      <c r="D68" s="864" t="n">
        <f aca="false">IF(A68="January",D67+1,D67)</f>
        <v>5</v>
      </c>
      <c r="E68" s="865" t="n">
        <v>21</v>
      </c>
      <c r="F68" s="866" t="n">
        <v>5</v>
      </c>
      <c r="G68" s="866" t="n">
        <v>5</v>
      </c>
      <c r="H68" s="866" t="n">
        <v>0</v>
      </c>
      <c r="I68" s="867" t="n">
        <f aca="false">SUM(E68:H68)</f>
        <v>31</v>
      </c>
      <c r="J68" s="868"/>
      <c r="K68" s="869" t="n">
        <f aca="false">INDEX(FX!$A$3:$C$362,MATCH(B68,FX!$A$3:$A$362,0),MATCH("Monthly Curve",FX!$A$2:$C$2,0))</f>
        <v>1.37839574531224</v>
      </c>
      <c r="L68" s="869"/>
      <c r="M68" s="914" t="n">
        <v>2.7835</v>
      </c>
      <c r="N68" s="915" t="n">
        <v>0.135</v>
      </c>
      <c r="O68" s="714" t="n">
        <v>0.05</v>
      </c>
      <c r="P68" s="872" t="n">
        <f aca="false">N68+O68</f>
        <v>0.185</v>
      </c>
      <c r="Q68" s="873" t="n">
        <f aca="false">SUM(M68:O68)</f>
        <v>2.9685</v>
      </c>
      <c r="R68" s="974" t="n">
        <f aca="false">IF(A68="January",(R67+R67*Assumptions!$E$32),R67)</f>
        <v>0.325082231556923</v>
      </c>
      <c r="S68" s="875" t="n">
        <f aca="false">(Q68*K68)+R68</f>
        <v>4.41685000151631</v>
      </c>
      <c r="T68" s="869"/>
      <c r="V68" s="978"/>
      <c r="W68" s="978"/>
      <c r="X68" s="971"/>
      <c r="Y68" s="975" t="n">
        <f aca="false">Tables!$D$36</f>
        <v>312</v>
      </c>
      <c r="Z68" s="879" t="n">
        <f aca="false">IF($Z$10=$V$10,V68,IF($Z$10=$W$10,W68,IF($Z$10=$X$10,X68,0)))</f>
        <v>0</v>
      </c>
      <c r="AA68" s="880" t="n">
        <f aca="false">Y68*Z68</f>
        <v>0</v>
      </c>
      <c r="AB68" s="881" t="n">
        <f aca="false">AA68*K68</f>
        <v>0</v>
      </c>
      <c r="AC68" s="188"/>
      <c r="AD68" s="882" t="n">
        <f aca="false">IF(Tables!$E$30="Michigan",INDEX('Michigan Curve'!$A$4:$S$256,MATCH('Monthly Table'!B68,'Michigan Curve'!$A$4:$A$256,0),MATCH("Michigan Selected Option Value US$/month",'Michigan Curve'!$A$4:$S$4,0)),INDEX('NY Curve'!$A$4:$T$256,MATCH('Monthly Table'!B68,'NY Curve'!$A$4:$A$256,0),MATCH("New York Selected Option Value US$/month",'NY Curve'!$A$4:$T$4,0)))</f>
        <v>17057.2004636207</v>
      </c>
      <c r="AE68" s="883" t="n">
        <f aca="false">AD68*K68</f>
        <v>23511.5725459927</v>
      </c>
      <c r="AF68" s="188"/>
      <c r="AG68" s="884"/>
      <c r="AH68" s="188"/>
      <c r="AI68" s="885" t="n">
        <f aca="false">Assumptions!$B$50</f>
        <v>65</v>
      </c>
      <c r="AJ68" s="916"/>
      <c r="AK68" s="887" t="n">
        <f aca="false">IF(Tables!$E$30="Custom",'Monthly Table'!AI68,IF(Tables!$E$30="New York",INDEX('NY Curve'!$A$4:$G$256,MATCH('Monthly Table'!B68,'NY Curve'!$A$4:$A$256,0),MATCH("Super Peak Curve",'NY Curve'!$A$4:$G$4,0)),IF(Tables!$E$30="New York Flat",INDEX('NY Curve'!$A$4:$G$256,MATCH('Monthly Table'!B68,'NY Curve'!$A$4:$A$256,0),MATCH("Flat NY West",'NY Curve'!$A$4:$G$4,0)),INDEX('Michigan Curve'!$A$4:$F$256,MATCH('Monthly Table'!B68,'Michigan Curve'!$A$4:$A$256,0),MATCH("Michigan Super Peak Curve US$/MWhr",'Michigan Curve'!$A$4:$F$4,0)))))</f>
        <v>25.3499946594238</v>
      </c>
      <c r="AL68" s="888" t="n">
        <f aca="false">IF(D68&lt;=Tables!$B$21,IF($AL$10=$AI$10,AI68,IF($AL$10=$AJ$10,AJ68,IF($AL$10=$AK$10,AK68,0))),0)</f>
        <v>25.3499946594238</v>
      </c>
      <c r="AM68" s="889" t="n">
        <f aca="false">+AL68*K68</f>
        <v>34.9423247822378</v>
      </c>
      <c r="AN68" s="890" t="n">
        <f aca="false">IF((AL68*K68)&gt;(CP68+$BF$4),1,0)</f>
        <v>0</v>
      </c>
      <c r="AO68" s="891"/>
      <c r="AP68" s="894"/>
      <c r="AQ68" s="892" t="n">
        <f aca="false">IF(Tables!$E$30="New York",INDEX('NY Curve'!$A$4:$L$256,MATCH('Monthly Table'!B68,'NY Curve'!$A$4:$A$256,0),MATCH("New York Shoulder Hour Curve Mon-Fri",'NY Curve'!$A$4:$L$4,0)),IF(Tables!$E$30="Michigan",INDEX('Michigan Curve'!$A$4:$K$256,MATCH('Monthly Table'!B68,'Michigan Curve'!$A$4:$A$256,0),MATCH("Michigan Shoulder Hour Curve Mon-Fri",'Michigan Curve'!$A$4:$K$4,0))))</f>
        <v>25.3499946594238</v>
      </c>
      <c r="AR68" s="889" t="n">
        <f aca="false">AQ68*K68</f>
        <v>34.9423247822378</v>
      </c>
      <c r="AS68" s="893" t="n">
        <f aca="false">IF(AR68&gt;($CP68+$BF$4),1,0)</f>
        <v>0</v>
      </c>
      <c r="AT68" s="188"/>
      <c r="AU68" s="892" t="n">
        <f aca="false">IF(Tables!$E$30="New York",INDEX('NY Curve'!$A$4:$L$256,MATCH('Monthly Table'!$B68,'NY Curve'!$A$4:$A$256,0),MATCH("New York Saturday Super Peak",'NY Curve'!$A$4:$L$4,0)),IF(Tables!$E$30="Michigan",INDEX('Michigan Curve'!$A$4:$K$256,MATCH('Monthly Table'!$B68,'Michigan Curve'!$A$4:$A$256,0),MATCH("Michigan Saturday Super Peak",'Michigan Curve'!$A$4:$K$4,0))))</f>
        <v>19.996000289917</v>
      </c>
      <c r="AV68" s="894" t="n">
        <f aca="false">AU68*K68</f>
        <v>27.5624017228839</v>
      </c>
      <c r="AW68" s="893" t="n">
        <f aca="false">IF(AV68&gt;($CP68+$BF$4),1,0)</f>
        <v>0</v>
      </c>
      <c r="AX68" s="892" t="n">
        <f aca="false">IF(Tables!$E$30="New York",INDEX('NY Curve'!$A$4:$L$256,MATCH('Monthly Table'!$B68,'NY Curve'!$A$4:$A$256,0),MATCH("New York Saturday Shoulder Peak",'NY Curve'!$A$4:$L$4,0)),IF(Tables!$E$30="Michigan",INDEX('Michigan Curve'!$A$4:$K$256,MATCH('Monthly Table'!$B68,'Michigan Curve'!$A$4:$A$256,0),MATCH("Michigan Saturday Shoulder Peak",'Michigan Curve'!$A$4:$K$4,0))))</f>
        <v>19.996000289917</v>
      </c>
      <c r="AY68" s="895" t="n">
        <f aca="false">AX68*K68</f>
        <v>27.5624017228839</v>
      </c>
      <c r="AZ68" s="893" t="n">
        <f aca="false">IF(AY68&gt;($CP68+$BF$4),1,0)</f>
        <v>0</v>
      </c>
      <c r="BA68" s="188"/>
      <c r="BB68" s="892" t="n">
        <f aca="false">IF(Tables!$E$30="New York",INDEX('NY Curve'!$A$4:$M$256,MATCH('Monthly Table'!$B68,'NY Curve'!$A$4:$A$256,0),MATCH("NY Sunday Super Peak",'NY Curve'!$A$4:$M$4,0)),IF(Tables!$E$30="Michigan",INDEX('Michigan Curve'!$A$4:$L$256,MATCH('Monthly Table'!$B68,'Michigan Curve'!$A$4:$A$256,0),MATCH("Michigan Sunday Super Peak",'Michigan Curve'!$A$4:$L$4,0))))</f>
        <v>18.9965000152588</v>
      </c>
      <c r="BC68" s="894" t="n">
        <f aca="false">BB68*K68</f>
        <v>26.1846947968566</v>
      </c>
      <c r="BD68" s="893" t="n">
        <f aca="false">IF(BC68&gt;($CP68+$BF$4),1,0)</f>
        <v>0</v>
      </c>
      <c r="BE68" s="188"/>
      <c r="BF68" s="896" t="n">
        <f aca="false">B68</f>
        <v>38626</v>
      </c>
      <c r="BG68" s="897" t="n">
        <f aca="false">IF($AN68=1,$E68*$BF$5,0)</f>
        <v>0</v>
      </c>
      <c r="BH68" s="976" t="n">
        <f aca="false">IF(Tables!$B$36="Combined Cycle",(BF68-BF67)*24*Assumptions!$B$21,0)</f>
        <v>0</v>
      </c>
      <c r="BI68" s="714" t="n">
        <f aca="false">IF($AN68=1,$E68*$BF$5,0)</f>
        <v>0</v>
      </c>
      <c r="BJ68" s="898" t="n">
        <f aca="false">IF('Monthly Table'!D68&lt;=Tables!$B$21,IF($BJ$10=$BG$10,BG68,IF($BJ$10=$BH$10,BH68,IF($BJ$10=$BI$10,BI68,0))),0)</f>
        <v>0</v>
      </c>
      <c r="BK68" s="288"/>
      <c r="BL68" s="898" t="n">
        <f aca="false">IF($AW68=1,$F68*$BF$5,0)</f>
        <v>0</v>
      </c>
      <c r="BM68" s="898" t="n">
        <f aca="false">IF($BD68=1,($G68+H68)*$BF$5,0)</f>
        <v>0</v>
      </c>
      <c r="BO68" s="898" t="n">
        <f aca="false">IF(AS68=1,BJ68,0)</f>
        <v>0</v>
      </c>
      <c r="BP68" s="898" t="n">
        <f aca="false">IF(AZ68=1,F68*$BF$5,0)</f>
        <v>0</v>
      </c>
      <c r="BR68" s="899" t="n">
        <f aca="false">IF(BJ68&gt;0,INDEX(OperationalDetail,MATCH("Capacity Degradation",ODColumn,0),MATCH('Monthly Table'!C68,ODRow,0)),0)</f>
        <v>0</v>
      </c>
      <c r="BS68" s="900" t="n">
        <f aca="false">BJ68*(1-BR68)*Tables!$C$36</f>
        <v>0</v>
      </c>
      <c r="BT68" s="883" t="n">
        <f aca="false">BS68*AL68/1000</f>
        <v>0</v>
      </c>
      <c r="BU68" s="883" t="n">
        <f aca="false">BT68*K68</f>
        <v>0</v>
      </c>
      <c r="BV68" s="188"/>
      <c r="BW68" s="901" t="n">
        <f aca="false">$BO68*(1-$BR68)*Tables!$C$36</f>
        <v>0</v>
      </c>
      <c r="BX68" s="902" t="n">
        <f aca="false">(BW68*AQ68)/1000</f>
        <v>0</v>
      </c>
      <c r="BY68" s="883" t="n">
        <f aca="false">BX68*K68</f>
        <v>0</v>
      </c>
      <c r="BZ68" s="188"/>
      <c r="CA68" s="901" t="n">
        <f aca="false">$BL68*(1-$BR68)*Tables!$C$36</f>
        <v>0</v>
      </c>
      <c r="CB68" s="902" t="n">
        <f aca="false">(CA68*AU68)/1000</f>
        <v>0</v>
      </c>
      <c r="CC68" s="883" t="n">
        <f aca="false">CB68*K68</f>
        <v>0</v>
      </c>
      <c r="CD68" s="901" t="n">
        <f aca="false">$BP68*(1-$BR68)*Tables!$C$36</f>
        <v>0</v>
      </c>
      <c r="CE68" s="902" t="n">
        <f aca="false">(CD68*AX68)/1000</f>
        <v>0</v>
      </c>
      <c r="CF68" s="883" t="n">
        <f aca="false">CE68*K68</f>
        <v>0</v>
      </c>
      <c r="CH68" s="901" t="n">
        <f aca="false">$BM68*(1-$BR68)*Tables!$C$36</f>
        <v>0</v>
      </c>
      <c r="CI68" s="902" t="n">
        <f aca="false">(CH68*BB68)/1000</f>
        <v>0</v>
      </c>
      <c r="CJ68" s="883" t="n">
        <f aca="false">CI68*K68</f>
        <v>0</v>
      </c>
      <c r="CK68" s="292"/>
      <c r="CL68" s="292" t="n">
        <f aca="false">C68-1</f>
        <v>2004</v>
      </c>
      <c r="CM68" s="903" t="n">
        <f aca="false">INDEX(OperationalDetail,MATCH("Degraded Heat Rate",ODColumn,0),MATCH('Monthly Table'!CL68,ODRow,0))/1000</f>
        <v>12.1630808</v>
      </c>
      <c r="CN68" s="904" t="n">
        <f aca="false">S68*CM68</f>
        <v>53.722503449923</v>
      </c>
      <c r="CO68" s="905" t="n">
        <f aca="false">IF(A68="January",(CO67*(1+Assumptions!$E$32)),CO67)</f>
        <v>7.2908571177</v>
      </c>
      <c r="CP68" s="906" t="n">
        <f aca="false">CN68+CO68</f>
        <v>61.013360567623</v>
      </c>
      <c r="CQ68" s="292"/>
      <c r="CR68" s="856" t="str">
        <f aca="false">IF(BJ68=0,"",C68)</f>
        <v/>
      </c>
      <c r="CS68" s="856" t="str">
        <f aca="false">IF(BO68=0,"",$C68)</f>
        <v/>
      </c>
      <c r="CT68" s="856" t="str">
        <f aca="false">IF(BL68=0,"",$C68)</f>
        <v/>
      </c>
      <c r="CU68" s="856" t="str">
        <f aca="false">IF(BP68=0,"",$C68)</f>
        <v/>
      </c>
      <c r="CV68" s="856" t="str">
        <f aca="false">IF(BD68=0,"",$C68)</f>
        <v/>
      </c>
      <c r="CW68" s="907" t="n">
        <f aca="false">YEAR(BF68)</f>
        <v>2005</v>
      </c>
      <c r="CX68" s="908" t="n">
        <f aca="false">INDEX('NY Curve'!$A$4:$G$256,MATCH('Monthly Table'!B68,'NY Curve'!$A$4:$A$256,0),MATCH("New York 5 X 16",'NY Curve'!$A$4:$G$4,0))</f>
        <v>25.5</v>
      </c>
      <c r="CY68" s="909" t="n">
        <f aca="false">K68</f>
        <v>1.37839574531224</v>
      </c>
      <c r="CZ68" s="910" t="n">
        <f aca="false">CX68*CY68</f>
        <v>35.1490915054621</v>
      </c>
      <c r="DB68" s="911"/>
      <c r="DC68" s="911"/>
    </row>
    <row r="69" customFormat="false" ht="18.75" hidden="false" customHeight="true" outlineLevel="0" collapsed="false">
      <c r="A69" s="49" t="s">
        <v>820</v>
      </c>
      <c r="B69" s="863" t="n">
        <v>38657</v>
      </c>
      <c r="C69" s="288" t="n">
        <f aca="false">YEAR(B69)</f>
        <v>2005</v>
      </c>
      <c r="D69" s="864" t="n">
        <f aca="false">IF(A69="January",D68+1,D68)</f>
        <v>5</v>
      </c>
      <c r="E69" s="865" t="n">
        <v>21</v>
      </c>
      <c r="F69" s="866" t="n">
        <v>4</v>
      </c>
      <c r="G69" s="866" t="n">
        <v>4</v>
      </c>
      <c r="H69" s="866" t="n">
        <v>1</v>
      </c>
      <c r="I69" s="867" t="n">
        <f aca="false">SUM(E69:H69)</f>
        <v>30</v>
      </c>
      <c r="J69" s="868"/>
      <c r="K69" s="869" t="n">
        <f aca="false">INDEX(FX!$A$3:$C$362,MATCH(B69,FX!$A$3:$A$362,0),MATCH("Monthly Curve",FX!$A$2:$C$2,0))</f>
        <v>1.37728725088601</v>
      </c>
      <c r="L69" s="869"/>
      <c r="M69" s="914" t="n">
        <v>2.9195</v>
      </c>
      <c r="N69" s="915" t="n">
        <v>0.22</v>
      </c>
      <c r="O69" s="714" t="n">
        <v>0.05</v>
      </c>
      <c r="P69" s="872" t="n">
        <f aca="false">N69+O69</f>
        <v>0.27</v>
      </c>
      <c r="Q69" s="873" t="n">
        <f aca="false">SUM(M69:O69)</f>
        <v>3.1895</v>
      </c>
      <c r="R69" s="974" t="n">
        <f aca="false">IF(A69="January",(R68+R68*Assumptions!$E$32),R68)</f>
        <v>0.325082231556923</v>
      </c>
      <c r="S69" s="875" t="n">
        <f aca="false">(Q69*K69)+R69</f>
        <v>4.71793991825785</v>
      </c>
      <c r="T69" s="869"/>
      <c r="V69" s="978"/>
      <c r="W69" s="978"/>
      <c r="X69" s="971"/>
      <c r="Y69" s="975" t="n">
        <f aca="false">Tables!$D$36</f>
        <v>312</v>
      </c>
      <c r="Z69" s="879" t="n">
        <f aca="false">IF($Z$10=$V$10,V69,IF($Z$10=$W$10,W69,IF($Z$10=$X$10,X69,0)))</f>
        <v>0</v>
      </c>
      <c r="AA69" s="880" t="n">
        <f aca="false">Y69*Z69</f>
        <v>0</v>
      </c>
      <c r="AB69" s="881" t="n">
        <f aca="false">AA69*K69</f>
        <v>0</v>
      </c>
      <c r="AC69" s="188"/>
      <c r="AD69" s="882" t="n">
        <f aca="false">IF(Tables!$E$30="Michigan",INDEX('Michigan Curve'!$A$4:$S$256,MATCH('Monthly Table'!B69,'Michigan Curve'!$A$4:$A$256,0),MATCH("Michigan Selected Option Value US$/month",'Michigan Curve'!$A$4:$S$4,0)),INDEX('NY Curve'!$A$4:$T$256,MATCH('Monthly Table'!B69,'NY Curve'!$A$4:$A$256,0),MATCH("New York Selected Option Value US$/month",'NY Curve'!$A$4:$T$4,0)))</f>
        <v>32481.4450116665</v>
      </c>
      <c r="AE69" s="883" t="n">
        <f aca="false">AD69*K69</f>
        <v>44736.2801049233</v>
      </c>
      <c r="AF69" s="188"/>
      <c r="AG69" s="884"/>
      <c r="AH69" s="188"/>
      <c r="AI69" s="885" t="n">
        <f aca="false">Assumptions!$B$50</f>
        <v>65</v>
      </c>
      <c r="AJ69" s="916"/>
      <c r="AK69" s="887" t="n">
        <f aca="false">IF(Tables!$E$30="Custom",'Monthly Table'!AI69,IF(Tables!$E$30="New York",INDEX('NY Curve'!$A$4:$G$256,MATCH('Monthly Table'!B69,'NY Curve'!$A$4:$A$256,0),MATCH("Super Peak Curve",'NY Curve'!$A$4:$G$4,0)),IF(Tables!$E$30="New York Flat",INDEX('NY Curve'!$A$4:$G$256,MATCH('Monthly Table'!B69,'NY Curve'!$A$4:$A$256,0),MATCH("Flat NY West",'NY Curve'!$A$4:$G$4,0)),INDEX('Michigan Curve'!$A$4:$F$256,MATCH('Monthly Table'!B69,'Michigan Curve'!$A$4:$A$256,0),MATCH("Michigan Super Peak Curve US$/MWhr",'Michigan Curve'!$A$4:$F$4,0)))))</f>
        <v>27.2483953857422</v>
      </c>
      <c r="AL69" s="888" t="n">
        <f aca="false">IF(D69&lt;=Tables!$B$21,IF($AL$10=$AI$10,AI69,IF($AL$10=$AJ$10,AJ69,IF($AL$10=$AK$10,AK69,0))),0)</f>
        <v>27.2483953857422</v>
      </c>
      <c r="AM69" s="889" t="n">
        <f aca="false">+AL69*K69</f>
        <v>37.5288675718839</v>
      </c>
      <c r="AN69" s="890" t="n">
        <f aca="false">IF((AL69*K69)&gt;(CP69+$BF$4),1,0)</f>
        <v>0</v>
      </c>
      <c r="AO69" s="891"/>
      <c r="AP69" s="894"/>
      <c r="AQ69" s="892" t="n">
        <f aca="false">IF(Tables!$E$30="New York",INDEX('NY Curve'!$A$4:$L$256,MATCH('Monthly Table'!B69,'NY Curve'!$A$4:$A$256,0),MATCH("New York Shoulder Hour Curve Mon-Fri",'NY Curve'!$A$4:$L$4,0)),IF(Tables!$E$30="Michigan",INDEX('Michigan Curve'!$A$4:$K$256,MATCH('Monthly Table'!B69,'Michigan Curve'!$A$4:$A$256,0),MATCH("Michigan Shoulder Hour Curve Mon-Fri",'Michigan Curve'!$A$4:$K$4,0))))</f>
        <v>23.2115960693359</v>
      </c>
      <c r="AR69" s="889" t="n">
        <f aca="false">AQ69*K69</f>
        <v>31.9690353390122</v>
      </c>
      <c r="AS69" s="893" t="n">
        <f aca="false">IF(AR69&gt;($CP69+$BF$4),1,0)</f>
        <v>0</v>
      </c>
      <c r="AT69" s="188"/>
      <c r="AU69" s="892" t="n">
        <f aca="false">IF(Tables!$E$30="New York",INDEX('NY Curve'!$A$4:$L$256,MATCH('Monthly Table'!$B69,'NY Curve'!$A$4:$A$256,0),MATCH("New York Saturday Super Peak",'NY Curve'!$A$4:$L$4,0)),IF(Tables!$E$30="Michigan",INDEX('Michigan Curve'!$A$4:$K$256,MATCH('Monthly Table'!$B69,'Michigan Curve'!$A$4:$A$256,0),MATCH("Michigan Saturday Super Peak",'Michigan Curve'!$A$4:$K$4,0))))</f>
        <v>21.6</v>
      </c>
      <c r="AV69" s="894" t="n">
        <f aca="false">AU69*K69</f>
        <v>29.7494046191378</v>
      </c>
      <c r="AW69" s="893" t="n">
        <f aca="false">IF(AV69&gt;($CP69+$BF$4),1,0)</f>
        <v>0</v>
      </c>
      <c r="AX69" s="892" t="n">
        <f aca="false">IF(Tables!$E$30="New York",INDEX('NY Curve'!$A$4:$L$256,MATCH('Monthly Table'!$B69,'NY Curve'!$A$4:$A$256,0),MATCH("New York Saturday Shoulder Peak",'NY Curve'!$A$4:$L$4,0)),IF(Tables!$E$30="Michigan",INDEX('Michigan Curve'!$A$4:$K$256,MATCH('Monthly Table'!$B69,'Michigan Curve'!$A$4:$A$256,0),MATCH("Michigan Saturday Shoulder Peak",'Michigan Curve'!$A$4:$K$4,0))))</f>
        <v>18.4</v>
      </c>
      <c r="AY69" s="895" t="n">
        <f aca="false">AX69*K69</f>
        <v>25.3420854163026</v>
      </c>
      <c r="AZ69" s="893" t="n">
        <f aca="false">IF(AY69&gt;($CP69+$BF$4),1,0)</f>
        <v>0</v>
      </c>
      <c r="BA69" s="188"/>
      <c r="BB69" s="892" t="n">
        <f aca="false">IF(Tables!$E$30="New York",INDEX('NY Curve'!$A$4:$M$256,MATCH('Monthly Table'!$B69,'NY Curve'!$A$4:$A$256,0),MATCH("NY Sunday Super Peak",'NY Curve'!$A$4:$M$4,0)),IF(Tables!$E$30="Michigan",INDEX('Michigan Curve'!$A$4:$L$256,MATCH('Monthly Table'!$B69,'Michigan Curve'!$A$4:$A$256,0),MATCH("Michigan Sunday Super Peak",'Michigan Curve'!$A$4:$L$4,0))))</f>
        <v>20.52</v>
      </c>
      <c r="BC69" s="894" t="n">
        <f aca="false">BB69*K69</f>
        <v>28.2619343881809</v>
      </c>
      <c r="BD69" s="893" t="n">
        <f aca="false">IF(BC69&gt;($CP69+$BF$4),1,0)</f>
        <v>0</v>
      </c>
      <c r="BE69" s="188"/>
      <c r="BF69" s="896" t="n">
        <f aca="false">B69</f>
        <v>38657</v>
      </c>
      <c r="BG69" s="897" t="n">
        <f aca="false">IF($AN69=1,$E69*$BF$5,0)</f>
        <v>0</v>
      </c>
      <c r="BH69" s="976" t="n">
        <f aca="false">IF(Tables!$B$36="Combined Cycle",(BF69-BF68)*24*Assumptions!$B$21,0)</f>
        <v>0</v>
      </c>
      <c r="BI69" s="714" t="n">
        <f aca="false">IF($AN69=1,$E69*$BF$5,0)</f>
        <v>0</v>
      </c>
      <c r="BJ69" s="898" t="n">
        <f aca="false">IF('Monthly Table'!D69&lt;=Tables!$B$21,IF($BJ$10=$BG$10,BG69,IF($BJ$10=$BH$10,BH69,IF($BJ$10=$BI$10,BI69,0))),0)</f>
        <v>0</v>
      </c>
      <c r="BK69" s="288"/>
      <c r="BL69" s="898" t="n">
        <f aca="false">IF($AW69=1,$F69*$BF$5,0)</f>
        <v>0</v>
      </c>
      <c r="BM69" s="898" t="n">
        <f aca="false">IF($BD69=1,($G69+H69)*$BF$5,0)</f>
        <v>0</v>
      </c>
      <c r="BO69" s="898" t="n">
        <f aca="false">IF(AS69=1,BJ69,0)</f>
        <v>0</v>
      </c>
      <c r="BP69" s="898" t="n">
        <f aca="false">IF(AZ69=1,F69*$BF$5,0)</f>
        <v>0</v>
      </c>
      <c r="BR69" s="899" t="n">
        <f aca="false">IF(BJ69&gt;0,INDEX(OperationalDetail,MATCH("Capacity Degradation",ODColumn,0),MATCH('Monthly Table'!C69,ODRow,0)),0)</f>
        <v>0</v>
      </c>
      <c r="BS69" s="900" t="n">
        <f aca="false">BJ69*(1-BR69)*Tables!$C$36</f>
        <v>0</v>
      </c>
      <c r="BT69" s="883" t="n">
        <f aca="false">BS69*AL69/1000</f>
        <v>0</v>
      </c>
      <c r="BU69" s="883" t="n">
        <f aca="false">BT69*K69</f>
        <v>0</v>
      </c>
      <c r="BV69" s="188"/>
      <c r="BW69" s="901" t="n">
        <f aca="false">$BO69*(1-$BR69)*Tables!$C$36</f>
        <v>0</v>
      </c>
      <c r="BX69" s="902" t="n">
        <f aca="false">(BW69*AQ69)/1000</f>
        <v>0</v>
      </c>
      <c r="BY69" s="883" t="n">
        <f aca="false">BX69*K69</f>
        <v>0</v>
      </c>
      <c r="BZ69" s="188"/>
      <c r="CA69" s="901" t="n">
        <f aca="false">$BL69*(1-$BR69)*Tables!$C$36</f>
        <v>0</v>
      </c>
      <c r="CB69" s="902" t="n">
        <f aca="false">(CA69*AU69)/1000</f>
        <v>0</v>
      </c>
      <c r="CC69" s="883" t="n">
        <f aca="false">CB69*K69</f>
        <v>0</v>
      </c>
      <c r="CD69" s="901" t="n">
        <f aca="false">$BP69*(1-$BR69)*Tables!$C$36</f>
        <v>0</v>
      </c>
      <c r="CE69" s="902" t="n">
        <f aca="false">(CD69*AX69)/1000</f>
        <v>0</v>
      </c>
      <c r="CF69" s="883" t="n">
        <f aca="false">CE69*K69</f>
        <v>0</v>
      </c>
      <c r="CH69" s="901" t="n">
        <f aca="false">$BM69*(1-$BR69)*Tables!$C$36</f>
        <v>0</v>
      </c>
      <c r="CI69" s="902" t="n">
        <f aca="false">(CH69*BB69)/1000</f>
        <v>0</v>
      </c>
      <c r="CJ69" s="883" t="n">
        <f aca="false">CI69*K69</f>
        <v>0</v>
      </c>
      <c r="CK69" s="292"/>
      <c r="CL69" s="292" t="n">
        <f aca="false">C69-1</f>
        <v>2004</v>
      </c>
      <c r="CM69" s="903" t="n">
        <f aca="false">INDEX(OperationalDetail,MATCH("Degraded Heat Rate",ODColumn,0),MATCH('Monthly Table'!CL69,ODRow,0))/1000</f>
        <v>12.1630808</v>
      </c>
      <c r="CN69" s="904" t="n">
        <f aca="false">S69*CM69</f>
        <v>57.3846844353156</v>
      </c>
      <c r="CO69" s="905" t="n">
        <f aca="false">IF(A69="January",(CO68*(1+Assumptions!$E$32)),CO68)</f>
        <v>7.2908571177</v>
      </c>
      <c r="CP69" s="906" t="n">
        <f aca="false">CN69+CO69</f>
        <v>64.6755415530157</v>
      </c>
      <c r="CQ69" s="292"/>
      <c r="CR69" s="856" t="str">
        <f aca="false">IF(BJ69=0,"",C69)</f>
        <v/>
      </c>
      <c r="CS69" s="856" t="str">
        <f aca="false">IF(BO69=0,"",$C69)</f>
        <v/>
      </c>
      <c r="CT69" s="856" t="str">
        <f aca="false">IF(BL69=0,"",$C69)</f>
        <v/>
      </c>
      <c r="CU69" s="856" t="str">
        <f aca="false">IF(BP69=0,"",$C69)</f>
        <v/>
      </c>
      <c r="CV69" s="856" t="str">
        <f aca="false">IF(BD69=0,"",$C69)</f>
        <v/>
      </c>
      <c r="CW69" s="907" t="n">
        <f aca="false">YEAR(BF69)</f>
        <v>2005</v>
      </c>
      <c r="CX69" s="908" t="n">
        <f aca="false">INDEX('NY Curve'!$A$4:$G$256,MATCH('Monthly Table'!B69,'NY Curve'!$A$4:$A$256,0),MATCH("New York 5 X 16",'NY Curve'!$A$4:$G$4,0))</f>
        <v>26</v>
      </c>
      <c r="CY69" s="909" t="n">
        <f aca="false">K69</f>
        <v>1.37728725088601</v>
      </c>
      <c r="CZ69" s="910" t="n">
        <f aca="false">CX69*CY69</f>
        <v>35.8094685230363</v>
      </c>
      <c r="DB69" s="911"/>
      <c r="DC69" s="911"/>
    </row>
    <row r="70" customFormat="false" ht="18.75" hidden="false" customHeight="true" outlineLevel="0" collapsed="false">
      <c r="A70" s="110" t="s">
        <v>821</v>
      </c>
      <c r="B70" s="918" t="n">
        <v>38687</v>
      </c>
      <c r="C70" s="917" t="n">
        <f aca="false">YEAR(B70)</f>
        <v>2005</v>
      </c>
      <c r="D70" s="919" t="n">
        <f aca="false">IF(A70="January",D69+1,D69)</f>
        <v>5</v>
      </c>
      <c r="E70" s="865" t="n">
        <v>21</v>
      </c>
      <c r="F70" s="866" t="n">
        <v>5</v>
      </c>
      <c r="G70" s="866" t="n">
        <v>4</v>
      </c>
      <c r="H70" s="866" t="n">
        <v>1</v>
      </c>
      <c r="I70" s="867" t="n">
        <f aca="false">SUM(E70:H70)</f>
        <v>31</v>
      </c>
      <c r="J70" s="923"/>
      <c r="K70" s="924" t="n">
        <f aca="false">INDEX(FX!$A$3:$C$362,MATCH(B70,FX!$A$3:$A$362,0),MATCH("Monthly Curve",FX!$A$2:$C$2,0))</f>
        <v>1.37621559398927</v>
      </c>
      <c r="L70" s="924"/>
      <c r="M70" s="925" t="n">
        <v>3.0455</v>
      </c>
      <c r="N70" s="926" t="n">
        <v>0.26</v>
      </c>
      <c r="O70" s="927" t="n">
        <v>0.05</v>
      </c>
      <c r="P70" s="928" t="n">
        <f aca="false">N70+O70</f>
        <v>0.31</v>
      </c>
      <c r="Q70" s="929" t="n">
        <f aca="false">SUM(M70:O70)</f>
        <v>3.3555</v>
      </c>
      <c r="R70" s="979" t="n">
        <f aca="false">IF(A70="January",(R69+R69*Assumptions!$E$32),R69)</f>
        <v>0.325082231556923</v>
      </c>
      <c r="S70" s="931" t="n">
        <f aca="false">(Q70*K70)+R70</f>
        <v>4.94297365718792</v>
      </c>
      <c r="T70" s="924"/>
      <c r="U70" s="983"/>
      <c r="V70" s="980"/>
      <c r="W70" s="980"/>
      <c r="X70" s="972"/>
      <c r="Y70" s="981" t="n">
        <f aca="false">Tables!$D$36</f>
        <v>312</v>
      </c>
      <c r="Z70" s="935" t="n">
        <f aca="false">IF($Z$10=$V$10,V70,IF($Z$10=$W$10,W70,IF($Z$10=$X$10,X70,0)))</f>
        <v>0</v>
      </c>
      <c r="AA70" s="936" t="n">
        <f aca="false">Y70*Z70</f>
        <v>0</v>
      </c>
      <c r="AB70" s="937" t="n">
        <f aca="false">AA70*K70</f>
        <v>0</v>
      </c>
      <c r="AC70" s="938"/>
      <c r="AD70" s="882" t="n">
        <f aca="false">IF(Tables!$E$30="Michigan",INDEX('Michigan Curve'!$A$4:$S$256,MATCH('Monthly Table'!B70,'Michigan Curve'!$A$4:$A$256,0),MATCH("Michigan Selected Option Value US$/month",'Michigan Curve'!$A$4:$S$4,0)),INDEX('NY Curve'!$A$4:$T$256,MATCH('Monthly Table'!B70,'NY Curve'!$A$4:$A$256,0),MATCH("New York Selected Option Value US$/month",'NY Curve'!$A$4:$T$4,0)))</f>
        <v>18913.9291876157</v>
      </c>
      <c r="AE70" s="883" t="n">
        <f aca="false">AD70*K70</f>
        <v>26029.6442916055</v>
      </c>
      <c r="AF70" s="938"/>
      <c r="AG70" s="939"/>
      <c r="AH70" s="938"/>
      <c r="AI70" s="885" t="n">
        <f aca="false">Assumptions!$B$50</f>
        <v>65</v>
      </c>
      <c r="AJ70" s="940"/>
      <c r="AK70" s="887" t="n">
        <f aca="false">IF(Tables!$E$30="Custom",'Monthly Table'!AI70,IF(Tables!$E$30="New York",INDEX('NY Curve'!$A$4:$G$256,MATCH('Monthly Table'!B70,'NY Curve'!$A$4:$A$256,0),MATCH("Super Peak Curve",'NY Curve'!$A$4:$G$4,0)),IF(Tables!$E$30="New York Flat",INDEX('NY Curve'!$A$4:$G$256,MATCH('Monthly Table'!B70,'NY Curve'!$A$4:$A$256,0),MATCH("Flat NY West",'NY Curve'!$A$4:$G$4,0)),INDEX('Michigan Curve'!$A$4:$F$256,MATCH('Monthly Table'!B70,'Michigan Curve'!$A$4:$A$256,0),MATCH("Michigan Super Peak Curve US$/MWhr",'Michigan Curve'!$A$4:$F$4,0)))))</f>
        <v>26.2139949417114</v>
      </c>
      <c r="AL70" s="941" t="n">
        <f aca="false">IF(D70&lt;=Tables!$B$21,IF($AL$10=$AI$10,AI70,IF($AL$10=$AJ$10,AJ70,IF($AL$10=$AK$10,AK70,0))),0)</f>
        <v>26.2139949417114</v>
      </c>
      <c r="AM70" s="942" t="n">
        <f aca="false">+AL70*K70</f>
        <v>36.0761086195391</v>
      </c>
      <c r="AN70" s="943" t="n">
        <f aca="false">IF((AL70*K70)&gt;(CP70+$BF$4),1,0)</f>
        <v>0</v>
      </c>
      <c r="AO70" s="944"/>
      <c r="AP70" s="894"/>
      <c r="AQ70" s="892" t="n">
        <f aca="false">IF(Tables!$E$30="New York",INDEX('NY Curve'!$A$4:$L$256,MATCH('Monthly Table'!B70,'NY Curve'!$A$4:$A$256,0),MATCH("New York Shoulder Hour Curve Mon-Fri",'NY Curve'!$A$4:$L$4,0)),IF(Tables!$E$30="Michigan",INDEX('Michigan Curve'!$A$4:$K$256,MATCH('Monthly Table'!B70,'Michigan Curve'!$A$4:$A$256,0),MATCH("Michigan Shoulder Hour Curve Mon-Fri",'Michigan Curve'!$A$4:$K$4,0))))</f>
        <v>25.1859951400757</v>
      </c>
      <c r="AR70" s="889" t="n">
        <f aca="false">AQ70*K70</f>
        <v>34.6613592619101</v>
      </c>
      <c r="AS70" s="893" t="n">
        <f aca="false">IF(AR70&gt;($CP70+$BF$4),1,0)</f>
        <v>0</v>
      </c>
      <c r="AT70" s="938"/>
      <c r="AU70" s="892" t="n">
        <f aca="false">IF(Tables!$E$30="New York",INDEX('NY Curve'!$A$4:$L$256,MATCH('Monthly Table'!$B70,'NY Curve'!$A$4:$A$256,0),MATCH("New York Saturday Super Peak",'NY Curve'!$A$4:$L$4,0)),IF(Tables!$E$30="Michigan",INDEX('Michigan Curve'!$A$4:$K$256,MATCH('Monthly Table'!$B70,'Michigan Curve'!$A$4:$A$256,0),MATCH("Michigan Saturday Super Peak",'Michigan Curve'!$A$4:$K$4,0))))</f>
        <v>20.4</v>
      </c>
      <c r="AV70" s="894" t="n">
        <f aca="false">AU70*K70</f>
        <v>28.0747981173811</v>
      </c>
      <c r="AW70" s="893" t="n">
        <f aca="false">IF(AV70&gt;($CP70+$BF$4),1,0)</f>
        <v>0</v>
      </c>
      <c r="AX70" s="892" t="n">
        <f aca="false">IF(Tables!$E$30="New York",INDEX('NY Curve'!$A$4:$L$256,MATCH('Monthly Table'!$B70,'NY Curve'!$A$4:$A$256,0),MATCH("New York Saturday Shoulder Peak",'NY Curve'!$A$4:$L$4,0)),IF(Tables!$E$30="Michigan",INDEX('Michigan Curve'!$A$4:$K$256,MATCH('Monthly Table'!$B70,'Michigan Curve'!$A$4:$A$256,0),MATCH("Michigan Saturday Shoulder Peak",'Michigan Curve'!$A$4:$K$4,0))))</f>
        <v>19.6</v>
      </c>
      <c r="AY70" s="895" t="n">
        <f aca="false">AX70*K70</f>
        <v>26.9738256421897</v>
      </c>
      <c r="AZ70" s="893" t="n">
        <f aca="false">IF(AY70&gt;($CP70+$BF$4),1,0)</f>
        <v>0</v>
      </c>
      <c r="BA70" s="938"/>
      <c r="BB70" s="892" t="n">
        <f aca="false">IF(Tables!$E$30="New York",INDEX('NY Curve'!$A$4:$M$256,MATCH('Monthly Table'!$B70,'NY Curve'!$A$4:$A$256,0),MATCH("NY Sunday Super Peak",'NY Curve'!$A$4:$M$4,0)),IF(Tables!$E$30="Michigan",INDEX('Michigan Curve'!$A$4:$L$256,MATCH('Monthly Table'!$B70,'Michigan Curve'!$A$4:$A$256,0),MATCH("Michigan Sunday Super Peak",'Michigan Curve'!$A$4:$L$4,0))))</f>
        <v>19.38</v>
      </c>
      <c r="BC70" s="894" t="n">
        <f aca="false">BB70*K70</f>
        <v>26.6710582115121</v>
      </c>
      <c r="BD70" s="893" t="n">
        <f aca="false">IF(BC70&gt;($CP70+$BF$4),1,0)</f>
        <v>0</v>
      </c>
      <c r="BE70" s="938"/>
      <c r="BF70" s="948" t="n">
        <f aca="false">B70</f>
        <v>38687</v>
      </c>
      <c r="BG70" s="897" t="n">
        <f aca="false">IF($AN70=1,$E70*$BF$5,0)</f>
        <v>0</v>
      </c>
      <c r="BH70" s="982" t="n">
        <f aca="false">IF(Tables!$B$36="Combined Cycle",(BF70-BF69)*24*Assumptions!$B$21,0)</f>
        <v>0</v>
      </c>
      <c r="BI70" s="714" t="n">
        <f aca="false">IF($AN70=1,$E70*$BF$5,0)</f>
        <v>0</v>
      </c>
      <c r="BJ70" s="950" t="n">
        <f aca="false">IF('Monthly Table'!D70&lt;=Tables!$B$21,IF($BJ$10=$BG$10,BG70,IF($BJ$10=$BH$10,BH70,IF($BJ$10=$BI$10,BI70,0))),0)</f>
        <v>0</v>
      </c>
      <c r="BK70" s="288"/>
      <c r="BL70" s="898" t="n">
        <f aca="false">IF($AW70=1,$F70*$BF$5,0)</f>
        <v>0</v>
      </c>
      <c r="BM70" s="898" t="n">
        <f aca="false">IF($BD70=1,($G70+H70)*$BF$5,0)</f>
        <v>0</v>
      </c>
      <c r="BO70" s="898" t="n">
        <f aca="false">IF(AS70=1,BJ70,0)</f>
        <v>0</v>
      </c>
      <c r="BP70" s="898" t="n">
        <f aca="false">IF(AZ70=1,F70*$BF$5,0)</f>
        <v>0</v>
      </c>
      <c r="BR70" s="951" t="n">
        <f aca="false">IF(BJ70&gt;0,INDEX(OperationalDetail,MATCH("Capacity Degradation",ODColumn,0),MATCH('Monthly Table'!C70,ODRow,0)),0)</f>
        <v>0</v>
      </c>
      <c r="BS70" s="900" t="n">
        <f aca="false">BJ70*(1-BR70)*Tables!$C$36</f>
        <v>0</v>
      </c>
      <c r="BT70" s="953" t="n">
        <f aca="false">BS70*AL70/1000</f>
        <v>0</v>
      </c>
      <c r="BU70" s="953" t="n">
        <f aca="false">BT70*K70</f>
        <v>0</v>
      </c>
      <c r="BV70" s="188"/>
      <c r="BW70" s="901" t="n">
        <f aca="false">$BO70*(1-$BR70)*Tables!$C$36</f>
        <v>0</v>
      </c>
      <c r="BX70" s="902" t="n">
        <f aca="false">(BW70*AQ70)/1000</f>
        <v>0</v>
      </c>
      <c r="BY70" s="883" t="n">
        <f aca="false">BX70*K70</f>
        <v>0</v>
      </c>
      <c r="BZ70" s="938"/>
      <c r="CA70" s="901" t="n">
        <f aca="false">$BL70*(1-$BR70)*Tables!$C$36</f>
        <v>0</v>
      </c>
      <c r="CB70" s="902" t="n">
        <f aca="false">(CA70*AU70)/1000</f>
        <v>0</v>
      </c>
      <c r="CC70" s="883" t="n">
        <f aca="false">CB70*K70</f>
        <v>0</v>
      </c>
      <c r="CD70" s="901" t="n">
        <f aca="false">$BP70*(1-$BR70)*Tables!$C$36</f>
        <v>0</v>
      </c>
      <c r="CE70" s="902" t="n">
        <f aca="false">(CD70*AX70)/1000</f>
        <v>0</v>
      </c>
      <c r="CF70" s="883" t="n">
        <f aca="false">CE70*K70</f>
        <v>0</v>
      </c>
      <c r="CG70" s="110"/>
      <c r="CH70" s="901" t="n">
        <f aca="false">$BM70*(1-$BR70)*Tables!$C$36</f>
        <v>0</v>
      </c>
      <c r="CI70" s="902" t="n">
        <f aca="false">(CH70*BB70)/1000</f>
        <v>0</v>
      </c>
      <c r="CJ70" s="883" t="n">
        <f aca="false">CI70*K70</f>
        <v>0</v>
      </c>
      <c r="CK70" s="956"/>
      <c r="CL70" s="292" t="n">
        <f aca="false">C70-1</f>
        <v>2004</v>
      </c>
      <c r="CM70" s="903" t="n">
        <f aca="false">INDEX(OperationalDetail,MATCH("Degraded Heat Rate",ODColumn,0),MATCH('Monthly Table'!CL70,ODRow,0))/1000</f>
        <v>12.1630808</v>
      </c>
      <c r="CN70" s="958" t="n">
        <f aca="false">S70*CM70</f>
        <v>60.1217879846482</v>
      </c>
      <c r="CO70" s="959" t="n">
        <f aca="false">IF(A70="January",(CO69*(1+Assumptions!$E$32)),CO69)</f>
        <v>7.2908571177</v>
      </c>
      <c r="CP70" s="960" t="n">
        <f aca="false">CN70+CO70</f>
        <v>67.4126451023482</v>
      </c>
      <c r="CQ70" s="956"/>
      <c r="CR70" s="961" t="str">
        <f aca="false">IF(BJ70=0,"",C70)</f>
        <v/>
      </c>
      <c r="CS70" s="856" t="str">
        <f aca="false">IF(BO70=0,"",$C70)</f>
        <v/>
      </c>
      <c r="CT70" s="856" t="str">
        <f aca="false">IF(BL70=0,"",$C70)</f>
        <v/>
      </c>
      <c r="CU70" s="856" t="str">
        <f aca="false">IF(BP70=0,"",$C70)</f>
        <v/>
      </c>
      <c r="CV70" s="856" t="str">
        <f aca="false">IF(BD70=0,"",$C70)</f>
        <v/>
      </c>
      <c r="CW70" s="962" t="n">
        <f aca="false">YEAR(BF70)</f>
        <v>2005</v>
      </c>
      <c r="CX70" s="963" t="n">
        <f aca="false">INDEX('NY Curve'!$A$4:$G$256,MATCH('Monthly Table'!B70,'NY Curve'!$A$4:$A$256,0),MATCH("New York 5 X 16",'NY Curve'!$A$4:$G$4,0))</f>
        <v>26.5</v>
      </c>
      <c r="CY70" s="964" t="n">
        <f aca="false">K70</f>
        <v>1.37621559398927</v>
      </c>
      <c r="CZ70" s="965" t="n">
        <f aca="false">CX70*CY70</f>
        <v>36.4697132407157</v>
      </c>
      <c r="DA70" s="110"/>
      <c r="DB70" s="966"/>
      <c r="DC70" s="966"/>
      <c r="DD70" s="110"/>
      <c r="DE70" s="110"/>
      <c r="DF70" s="110"/>
      <c r="DG70" s="110"/>
      <c r="DH70" s="110"/>
    </row>
    <row r="71" customFormat="false" ht="18.75" hidden="false" customHeight="true" outlineLevel="0" collapsed="false">
      <c r="A71" s="49" t="s">
        <v>810</v>
      </c>
      <c r="B71" s="863" t="n">
        <v>38718</v>
      </c>
      <c r="C71" s="288" t="n">
        <f aca="false">YEAR(B71)</f>
        <v>2006</v>
      </c>
      <c r="D71" s="864" t="n">
        <f aca="false">IF(A71="January",D70+1,D70)</f>
        <v>6</v>
      </c>
      <c r="E71" s="865" t="n">
        <v>21</v>
      </c>
      <c r="F71" s="866" t="n">
        <v>4</v>
      </c>
      <c r="G71" s="866" t="n">
        <v>5</v>
      </c>
      <c r="H71" s="866" t="n">
        <v>1</v>
      </c>
      <c r="I71" s="867" t="n">
        <f aca="false">SUM(E71:H71)</f>
        <v>31</v>
      </c>
      <c r="J71" s="868"/>
      <c r="K71" s="869" t="n">
        <f aca="false">INDEX(FX!$A$3:$C$362,MATCH(B71,FX!$A$3:$A$362,0),MATCH("Monthly Curve",FX!$A$2:$C$2,0))</f>
        <v>1.3751093295553</v>
      </c>
      <c r="L71" s="869"/>
      <c r="M71" s="914" t="n">
        <v>3.101</v>
      </c>
      <c r="N71" s="915" t="n">
        <v>0.27</v>
      </c>
      <c r="O71" s="714" t="n">
        <v>0.05</v>
      </c>
      <c r="P71" s="872" t="n">
        <f aca="false">N71+O71</f>
        <v>0.32</v>
      </c>
      <c r="Q71" s="873" t="n">
        <f aca="false">SUM(M71:O71)</f>
        <v>3.421</v>
      </c>
      <c r="R71" s="974" t="n">
        <f aca="false">IF(A71="January",(R70+R70*Assumptions!$E$32),R70)</f>
        <v>0.331583876188062</v>
      </c>
      <c r="S71" s="875" t="n">
        <f aca="false">(Q71*K71)+R71</f>
        <v>5.03583289259674</v>
      </c>
      <c r="T71" s="869"/>
      <c r="U71" s="984"/>
      <c r="V71" s="978"/>
      <c r="W71" s="978"/>
      <c r="X71" s="971"/>
      <c r="Y71" s="975" t="n">
        <f aca="false">Tables!$D$36</f>
        <v>312</v>
      </c>
      <c r="Z71" s="879" t="n">
        <f aca="false">IF($Z$10=$V$10,V71,IF($Z$10=$W$10,W71,IF($Z$10=$X$10,X71,0)))</f>
        <v>0</v>
      </c>
      <c r="AA71" s="880" t="n">
        <f aca="false">Y71*Z71</f>
        <v>0</v>
      </c>
      <c r="AB71" s="881" t="n">
        <f aca="false">AA71*K71</f>
        <v>0</v>
      </c>
      <c r="AC71" s="188"/>
      <c r="AD71" s="882" t="n">
        <f aca="false">IF(Tables!$E$30="Michigan",INDEX('Michigan Curve'!$A$4:$S$256,MATCH('Monthly Table'!B71,'Michigan Curve'!$A$4:$A$256,0),MATCH("Michigan Selected Option Value US$/month",'Michigan Curve'!$A$4:$S$4,0)),INDEX('NY Curve'!$A$4:$T$256,MATCH('Monthly Table'!B71,'NY Curve'!$A$4:$A$256,0),MATCH("New York Selected Option Value US$/month",'NY Curve'!$A$4:$T$4,0)))</f>
        <v>76344.747675459</v>
      </c>
      <c r="AE71" s="883" t="n">
        <f aca="false">AD71*K71</f>
        <v>104982.374791069</v>
      </c>
      <c r="AF71" s="188"/>
      <c r="AG71" s="884"/>
      <c r="AH71" s="188"/>
      <c r="AI71" s="885" t="n">
        <f aca="false">Assumptions!$B$50</f>
        <v>65</v>
      </c>
      <c r="AJ71" s="916"/>
      <c r="AK71" s="887" t="n">
        <f aca="false">IF(Tables!$E$30="Custom",'Monthly Table'!AI71,IF(Tables!$E$30="New York",INDEX('NY Curve'!$A$4:$G$256,MATCH('Monthly Table'!B71,'NY Curve'!$A$4:$A$256,0),MATCH("Super Peak Curve",'NY Curve'!$A$4:$G$4,0)),IF(Tables!$E$30="New York Flat",INDEX('NY Curve'!$A$4:$G$256,MATCH('Monthly Table'!B71,'NY Curve'!$A$4:$A$256,0),MATCH("Flat NY West",'NY Curve'!$A$4:$G$4,0)),INDEX('Michigan Curve'!$A$4:$F$256,MATCH('Monthly Table'!B71,'Michigan Curve'!$A$4:$A$256,0),MATCH("Michigan Super Peak Curve US$/MWhr",'Michigan Curve'!$A$4:$F$4,0)))))</f>
        <v>31.8240003890991</v>
      </c>
      <c r="AL71" s="888" t="n">
        <f aca="false">IF(D71&lt;=Tables!$B$21,IF($AL$10=$AI$10,AI71,IF($AL$10=$AJ$10,AJ71,IF($AL$10=$AK$10,AK71,0))),0)</f>
        <v>31.8240003890991</v>
      </c>
      <c r="AM71" s="889" t="n">
        <f aca="false">+AL71*K71</f>
        <v>43.7614798388217</v>
      </c>
      <c r="AN71" s="890" t="n">
        <f aca="false">IF((AL71*K71)&gt;(CP71+$BF$4),1,0)</f>
        <v>0</v>
      </c>
      <c r="AO71" s="891"/>
      <c r="AP71" s="894"/>
      <c r="AQ71" s="892" t="n">
        <f aca="false">IF(Tables!$E$30="New York",INDEX('NY Curve'!$A$4:$L$256,MATCH('Monthly Table'!B71,'NY Curve'!$A$4:$A$256,0),MATCH("New York Shoulder Hour Curve Mon-Fri",'NY Curve'!$A$4:$L$4,0)),IF(Tables!$E$30="Michigan",INDEX('Michigan Curve'!$A$4:$K$256,MATCH('Monthly Table'!B71,'Michigan Curve'!$A$4:$A$256,0),MATCH("Michigan Shoulder Hour Curve Mon-Fri",'Michigan Curve'!$A$4:$K$4,0))))</f>
        <v>30.5760003738403</v>
      </c>
      <c r="AR71" s="889" t="n">
        <f aca="false">AQ71*K71</f>
        <v>42.0453433745542</v>
      </c>
      <c r="AS71" s="893" t="n">
        <f aca="false">IF(AR71&gt;($CP71+$BF$4),1,0)</f>
        <v>0</v>
      </c>
      <c r="AT71" s="188"/>
      <c r="AU71" s="892" t="n">
        <f aca="false">IF(Tables!$E$30="New York",INDEX('NY Curve'!$A$4:$L$256,MATCH('Monthly Table'!$B71,'NY Curve'!$A$4:$A$256,0),MATCH("New York Saturday Super Peak",'NY Curve'!$A$4:$L$4,0)),IF(Tables!$E$30="Michigan",INDEX('Michigan Curve'!$A$4:$K$256,MATCH('Monthly Table'!$B71,'Michigan Curve'!$A$4:$A$256,0),MATCH("Michigan Saturday Super Peak",'Michigan Curve'!$A$4:$K$4,0))))</f>
        <v>22.44</v>
      </c>
      <c r="AV71" s="894" t="n">
        <f aca="false">AU71*K71</f>
        <v>30.8574533552209</v>
      </c>
      <c r="AW71" s="893" t="n">
        <f aca="false">IF(AV71&gt;($CP71+$BF$4),1,0)</f>
        <v>0</v>
      </c>
      <c r="AX71" s="892" t="n">
        <f aca="false">IF(Tables!$E$30="New York",INDEX('NY Curve'!$A$4:$L$256,MATCH('Monthly Table'!$B71,'NY Curve'!$A$4:$A$256,0),MATCH("New York Saturday Shoulder Peak",'NY Curve'!$A$4:$L$4,0)),IF(Tables!$E$30="Michigan",INDEX('Michigan Curve'!$A$4:$K$256,MATCH('Monthly Table'!$B71,'Michigan Curve'!$A$4:$A$256,0),MATCH("Michigan Saturday Shoulder Peak",'Michigan Curve'!$A$4:$K$4,0))))</f>
        <v>21.56</v>
      </c>
      <c r="AY71" s="895" t="n">
        <f aca="false">AX71*K71</f>
        <v>29.6473571452123</v>
      </c>
      <c r="AZ71" s="893" t="n">
        <f aca="false">IF(AY71&gt;($CP71+$BF$4),1,0)</f>
        <v>0</v>
      </c>
      <c r="BA71" s="188"/>
      <c r="BB71" s="892" t="n">
        <f aca="false">IF(Tables!$E$30="New York",INDEX('NY Curve'!$A$4:$M$256,MATCH('Monthly Table'!$B71,'NY Curve'!$A$4:$A$256,0),MATCH("NY Sunday Super Peak",'NY Curve'!$A$4:$M$4,0)),IF(Tables!$E$30="Michigan",INDEX('Michigan Curve'!$A$4:$L$256,MATCH('Monthly Table'!$B71,'Michigan Curve'!$A$4:$A$256,0),MATCH("Michigan Sunday Super Peak",'Michigan Curve'!$A$4:$L$4,0))))</f>
        <v>21.42</v>
      </c>
      <c r="BC71" s="894" t="n">
        <f aca="false">BB71*K71</f>
        <v>29.4548418390745</v>
      </c>
      <c r="BD71" s="893" t="n">
        <f aca="false">IF(BC71&gt;($CP71+$BF$4),1,0)</f>
        <v>0</v>
      </c>
      <c r="BE71" s="188"/>
      <c r="BF71" s="896" t="n">
        <f aca="false">B71</f>
        <v>38718</v>
      </c>
      <c r="BG71" s="897" t="n">
        <f aca="false">IF($AN71=1,$E71*$BF$5,0)</f>
        <v>0</v>
      </c>
      <c r="BH71" s="976" t="n">
        <f aca="false">IF(Tables!$B$36="Combined Cycle",(BF71-BF70)*24*Assumptions!$B$21,0)</f>
        <v>0</v>
      </c>
      <c r="BI71" s="714" t="n">
        <f aca="false">IF($AN71=1,$E71*$BF$5,0)</f>
        <v>0</v>
      </c>
      <c r="BJ71" s="898" t="n">
        <f aca="false">IF('Monthly Table'!D71&lt;=Tables!$B$21,IF($BJ$10=$BG$10,BG71,IF($BJ$10=$BH$10,BH71,IF($BJ$10=$BI$10,BI71,0))),0)</f>
        <v>0</v>
      </c>
      <c r="BK71" s="288"/>
      <c r="BL71" s="898" t="n">
        <f aca="false">IF($AW71=1,$F71*$BF$5,0)</f>
        <v>0</v>
      </c>
      <c r="BM71" s="898" t="n">
        <f aca="false">IF($BD71=1,($G71+H71)*$BF$5,0)</f>
        <v>0</v>
      </c>
      <c r="BO71" s="898" t="n">
        <f aca="false">IF(AS71=1,BJ71,0)</f>
        <v>0</v>
      </c>
      <c r="BP71" s="898" t="n">
        <f aca="false">IF(AZ71=1,F71*$BF$5,0)</f>
        <v>0</v>
      </c>
      <c r="BR71" s="899" t="n">
        <f aca="false">IF(BJ71&gt;0,INDEX(OperationalDetail,MATCH("Capacity Degradation",ODColumn,0),MATCH('Monthly Table'!C71,ODRow,0)),0)</f>
        <v>0</v>
      </c>
      <c r="BS71" s="900" t="n">
        <f aca="false">BJ71*(1-BR71)*Tables!$C$36</f>
        <v>0</v>
      </c>
      <c r="BT71" s="883" t="n">
        <f aca="false">BS71*AL71/1000</f>
        <v>0</v>
      </c>
      <c r="BU71" s="883" t="n">
        <f aca="false">BT71*K71</f>
        <v>0</v>
      </c>
      <c r="BV71" s="188"/>
      <c r="BW71" s="901" t="n">
        <f aca="false">$BO71*(1-$BR71)*Tables!$C$36</f>
        <v>0</v>
      </c>
      <c r="BX71" s="902" t="n">
        <f aca="false">(BW71*AQ71)/1000</f>
        <v>0</v>
      </c>
      <c r="BY71" s="883" t="n">
        <f aca="false">BX71*K71</f>
        <v>0</v>
      </c>
      <c r="BZ71" s="188"/>
      <c r="CA71" s="901" t="n">
        <f aca="false">$BL71*(1-$BR71)*Tables!$C$36</f>
        <v>0</v>
      </c>
      <c r="CB71" s="902" t="n">
        <f aca="false">(CA71*AU71)/1000</f>
        <v>0</v>
      </c>
      <c r="CC71" s="883" t="n">
        <f aca="false">CB71*K71</f>
        <v>0</v>
      </c>
      <c r="CD71" s="901" t="n">
        <f aca="false">$BP71*(1-$BR71)*Tables!$C$36</f>
        <v>0</v>
      </c>
      <c r="CE71" s="902" t="n">
        <f aca="false">(CD71*AX71)/1000</f>
        <v>0</v>
      </c>
      <c r="CF71" s="883" t="n">
        <f aca="false">CE71*K71</f>
        <v>0</v>
      </c>
      <c r="CH71" s="901" t="n">
        <f aca="false">$BM71*(1-$BR71)*Tables!$C$36</f>
        <v>0</v>
      </c>
      <c r="CI71" s="902" t="n">
        <f aca="false">(CH71*BB71)/1000</f>
        <v>0</v>
      </c>
      <c r="CJ71" s="883" t="n">
        <f aca="false">CI71*K71</f>
        <v>0</v>
      </c>
      <c r="CK71" s="292"/>
      <c r="CL71" s="292" t="n">
        <f aca="false">C71-1</f>
        <v>2005</v>
      </c>
      <c r="CM71" s="903" t="n">
        <f aca="false">INDEX(OperationalDetail,MATCH("Degraded Heat Rate",ODColumn,0),MATCH('Monthly Table'!CL71,ODRow,0))/1000</f>
        <v>12.1940572</v>
      </c>
      <c r="CN71" s="904" t="n">
        <f aca="false">S71*CM71</f>
        <v>61.4072343419662</v>
      </c>
      <c r="CO71" s="905" t="n">
        <f aca="false">IF(A71="January",(CO70*(1+Assumptions!$E$32)),CO70)</f>
        <v>7.436674260054</v>
      </c>
      <c r="CP71" s="906" t="n">
        <f aca="false">CN71+CO71</f>
        <v>68.8439086020202</v>
      </c>
      <c r="CQ71" s="292"/>
      <c r="CR71" s="856" t="str">
        <f aca="false">IF(BJ71=0,"",C71)</f>
        <v/>
      </c>
      <c r="CS71" s="856" t="str">
        <f aca="false">IF(BO71=0,"",$C71)</f>
        <v/>
      </c>
      <c r="CT71" s="856" t="str">
        <f aca="false">IF(BL71=0,"",$C71)</f>
        <v/>
      </c>
      <c r="CU71" s="856" t="str">
        <f aca="false">IF(BP71=0,"",$C71)</f>
        <v/>
      </c>
      <c r="CV71" s="856" t="str">
        <f aca="false">IF(BD71=0,"",$C71)</f>
        <v/>
      </c>
      <c r="CW71" s="907" t="n">
        <f aca="false">YEAR(BF71)</f>
        <v>2006</v>
      </c>
      <c r="CX71" s="908" t="n">
        <f aca="false">INDEX('NY Curve'!$A$4:$G$256,MATCH('Monthly Table'!B71,'NY Curve'!$A$4:$A$256,0),MATCH("New York 5 X 16",'NY Curve'!$A$4:$G$4,0))</f>
        <v>31.85</v>
      </c>
      <c r="CY71" s="909" t="n">
        <f aca="false">K71</f>
        <v>1.3751093295553</v>
      </c>
      <c r="CZ71" s="910" t="n">
        <f aca="false">CX71*CY71</f>
        <v>43.7972321463363</v>
      </c>
      <c r="DB71" s="911"/>
      <c r="DC71" s="911"/>
    </row>
    <row r="72" customFormat="false" ht="18.75" hidden="false" customHeight="true" outlineLevel="0" collapsed="false">
      <c r="A72" s="49" t="s">
        <v>811</v>
      </c>
      <c r="B72" s="863" t="n">
        <v>38749</v>
      </c>
      <c r="C72" s="288" t="n">
        <f aca="false">YEAR(B72)</f>
        <v>2006</v>
      </c>
      <c r="D72" s="864" t="n">
        <f aca="false">IF(A72="January",D71+1,D71)</f>
        <v>6</v>
      </c>
      <c r="E72" s="865" t="n">
        <v>20</v>
      </c>
      <c r="F72" s="866" t="n">
        <v>4</v>
      </c>
      <c r="G72" s="866" t="n">
        <v>4</v>
      </c>
      <c r="H72" s="866" t="n">
        <v>0</v>
      </c>
      <c r="I72" s="867" t="n">
        <f aca="false">SUM(E72:H72)</f>
        <v>28</v>
      </c>
      <c r="J72" s="868"/>
      <c r="K72" s="869" t="n">
        <f aca="false">INDEX(FX!$A$3:$C$362,MATCH(B72,FX!$A$3:$A$362,0),MATCH("Monthly Curve",FX!$A$2:$C$2,0))</f>
        <v>1.37400419645603</v>
      </c>
      <c r="L72" s="869"/>
      <c r="M72" s="914" t="n">
        <v>2.988</v>
      </c>
      <c r="N72" s="915" t="n">
        <v>0.3</v>
      </c>
      <c r="O72" s="714" t="n">
        <v>0.05</v>
      </c>
      <c r="P72" s="872" t="n">
        <f aca="false">N72+O72</f>
        <v>0.35</v>
      </c>
      <c r="Q72" s="873" t="n">
        <f aca="false">SUM(M72:O72)</f>
        <v>3.338</v>
      </c>
      <c r="R72" s="974" t="n">
        <f aca="false">IF(A72="January",(R71+R71*Assumptions!$E$32),R71)</f>
        <v>0.331583876188062</v>
      </c>
      <c r="S72" s="875" t="n">
        <f aca="false">(Q72*K72)+R72</f>
        <v>4.91800988395829</v>
      </c>
      <c r="T72" s="869"/>
      <c r="U72" s="984"/>
      <c r="V72" s="978"/>
      <c r="W72" s="978"/>
      <c r="X72" s="971"/>
      <c r="Y72" s="975" t="n">
        <f aca="false">Tables!$D$36</f>
        <v>312</v>
      </c>
      <c r="Z72" s="879" t="n">
        <f aca="false">IF($Z$10=$V$10,V72,IF($Z$10=$W$10,W72,IF($Z$10=$X$10,X72,0)))</f>
        <v>0</v>
      </c>
      <c r="AA72" s="880" t="n">
        <f aca="false">Y72*Z72</f>
        <v>0</v>
      </c>
      <c r="AB72" s="881" t="n">
        <f aca="false">AA72*K72</f>
        <v>0</v>
      </c>
      <c r="AC72" s="188"/>
      <c r="AD72" s="882" t="n">
        <f aca="false">IF(Tables!$E$30="Michigan",INDEX('Michigan Curve'!$A$4:$S$256,MATCH('Monthly Table'!B72,'Michigan Curve'!$A$4:$A$256,0),MATCH("Michigan Selected Option Value US$/month",'Michigan Curve'!$A$4:$S$4,0)),INDEX('NY Curve'!$A$4:$T$256,MATCH('Monthly Table'!B72,'NY Curve'!$A$4:$A$256,0),MATCH("New York Selected Option Value US$/month",'NY Curve'!$A$4:$T$4,0)))</f>
        <v>75393.2865269532</v>
      </c>
      <c r="AE72" s="883" t="n">
        <f aca="false">AD72*K72</f>
        <v>103590.692072646</v>
      </c>
      <c r="AF72" s="188"/>
      <c r="AG72" s="884"/>
      <c r="AH72" s="188"/>
      <c r="AI72" s="885" t="n">
        <f aca="false">Assumptions!$B$50</f>
        <v>65</v>
      </c>
      <c r="AJ72" s="916"/>
      <c r="AK72" s="887" t="n">
        <f aca="false">IF(Tables!$E$30="Custom",'Monthly Table'!AI72,IF(Tables!$E$30="New York",INDEX('NY Curve'!$A$4:$G$256,MATCH('Monthly Table'!B72,'NY Curve'!$A$4:$A$256,0),MATCH("Super Peak Curve",'NY Curve'!$A$4:$G$4,0)),IF(Tables!$E$30="New York Flat",INDEX('NY Curve'!$A$4:$G$256,MATCH('Monthly Table'!B72,'NY Curve'!$A$4:$A$256,0),MATCH("Flat NY West",'NY Curve'!$A$4:$G$4,0)),INDEX('Michigan Curve'!$A$4:$F$256,MATCH('Monthly Table'!B72,'Michigan Curve'!$A$4:$A$256,0),MATCH("Michigan Super Peak Curve US$/MWhr",'Michigan Curve'!$A$4:$F$4,0)))))</f>
        <v>31.8239984436035</v>
      </c>
      <c r="AL72" s="888" t="n">
        <f aca="false">IF(D72&lt;=Tables!$B$21,IF($AL$10=$AI$10,AI72,IF($AL$10=$AJ$10,AJ72,IF($AL$10=$AK$10,AK72,0))),0)</f>
        <v>31.8239984436035</v>
      </c>
      <c r="AM72" s="889" t="n">
        <f aca="false">+AL72*K72</f>
        <v>43.7263074095214</v>
      </c>
      <c r="AN72" s="890" t="n">
        <f aca="false">IF((AL72*K72)&gt;(CP72+$BF$4),1,0)</f>
        <v>0</v>
      </c>
      <c r="AO72" s="891"/>
      <c r="AP72" s="894"/>
      <c r="AQ72" s="892" t="n">
        <f aca="false">IF(Tables!$E$30="New York",INDEX('NY Curve'!$A$4:$L$256,MATCH('Monthly Table'!B72,'NY Curve'!$A$4:$A$256,0),MATCH("New York Shoulder Hour Curve Mon-Fri",'NY Curve'!$A$4:$L$4,0)),IF(Tables!$E$30="Michigan",INDEX('Michigan Curve'!$A$4:$K$256,MATCH('Monthly Table'!B72,'Michigan Curve'!$A$4:$A$256,0),MATCH("Michigan Shoulder Hour Curve Mon-Fri",'Michigan Curve'!$A$4:$K$4,0))))</f>
        <v>30.5759985046387</v>
      </c>
      <c r="AR72" s="889" t="n">
        <f aca="false">AQ72*K72</f>
        <v>42.0115502562068</v>
      </c>
      <c r="AS72" s="893" t="n">
        <f aca="false">IF(AR72&gt;($CP72+$BF$4),1,0)</f>
        <v>0</v>
      </c>
      <c r="AT72" s="188"/>
      <c r="AU72" s="892" t="n">
        <f aca="false">IF(Tables!$E$30="New York",INDEX('NY Curve'!$A$4:$L$256,MATCH('Monthly Table'!$B72,'NY Curve'!$A$4:$A$256,0),MATCH("New York Saturday Super Peak",'NY Curve'!$A$4:$L$4,0)),IF(Tables!$E$30="Michigan",INDEX('Michigan Curve'!$A$4:$K$256,MATCH('Monthly Table'!$B72,'Michigan Curve'!$A$4:$A$256,0),MATCH("Michigan Saturday Super Peak",'Michigan Curve'!$A$4:$K$4,0))))</f>
        <v>22.4359202957153</v>
      </c>
      <c r="AV72" s="894" t="n">
        <f aca="false">AU72*K72</f>
        <v>30.8270486376659</v>
      </c>
      <c r="AW72" s="893" t="n">
        <f aca="false">IF(AV72&gt;($CP72+$BF$4),1,0)</f>
        <v>0</v>
      </c>
      <c r="AX72" s="892" t="n">
        <f aca="false">IF(Tables!$E$30="New York",INDEX('NY Curve'!$A$4:$L$256,MATCH('Monthly Table'!$B72,'NY Curve'!$A$4:$A$256,0),MATCH("New York Saturday Shoulder Peak",'NY Curve'!$A$4:$L$4,0)),IF(Tables!$E$30="Michigan",INDEX('Michigan Curve'!$A$4:$K$256,MATCH('Monthly Table'!$B72,'Michigan Curve'!$A$4:$A$256,0),MATCH("Michigan Saturday Shoulder Peak",'Michigan Curve'!$A$4:$K$4,0))))</f>
        <v>21.5560802841187</v>
      </c>
      <c r="AY72" s="895" t="n">
        <f aca="false">AX72*K72</f>
        <v>29.6181447695221</v>
      </c>
      <c r="AZ72" s="893" t="n">
        <f aca="false">IF(AY72&gt;($CP72+$BF$4),1,0)</f>
        <v>0</v>
      </c>
      <c r="BA72" s="188"/>
      <c r="BB72" s="892" t="n">
        <f aca="false">IF(Tables!$E$30="New York",INDEX('NY Curve'!$A$4:$M$256,MATCH('Monthly Table'!$B72,'NY Curve'!$A$4:$A$256,0),MATCH("NY Sunday Super Peak",'NY Curve'!$A$4:$M$4,0)),IF(Tables!$E$30="Michigan",INDEX('Michigan Curve'!$A$4:$L$256,MATCH('Monthly Table'!$B72,'Michigan Curve'!$A$4:$A$256,0),MATCH("Michigan Sunday Super Peak",'Michigan Curve'!$A$4:$L$4,0))))</f>
        <v>21.4164319610596</v>
      </c>
      <c r="BC72" s="894" t="n">
        <f aca="false">BB72*K72</f>
        <v>29.4262673876109</v>
      </c>
      <c r="BD72" s="893" t="n">
        <f aca="false">IF(BC72&gt;($CP72+$BF$4),1,0)</f>
        <v>0</v>
      </c>
      <c r="BE72" s="188"/>
      <c r="BF72" s="896" t="n">
        <f aca="false">B72</f>
        <v>38749</v>
      </c>
      <c r="BG72" s="897" t="n">
        <f aca="false">IF($AN72=1,$E72*$BF$5,0)</f>
        <v>0</v>
      </c>
      <c r="BH72" s="976" t="n">
        <f aca="false">IF(Tables!$B$36="Combined Cycle",(BF72-BF71)*24*Assumptions!$B$21,0)</f>
        <v>0</v>
      </c>
      <c r="BI72" s="714" t="n">
        <f aca="false">IF($AN72=1,$E72*$BF$5,0)</f>
        <v>0</v>
      </c>
      <c r="BJ72" s="898" t="n">
        <f aca="false">IF('Monthly Table'!D72&lt;=Tables!$B$21,IF($BJ$10=$BG$10,BG72,IF($BJ$10=$BH$10,BH72,IF($BJ$10=$BI$10,BI72,0))),0)</f>
        <v>0</v>
      </c>
      <c r="BK72" s="288"/>
      <c r="BL72" s="898" t="n">
        <f aca="false">IF($AW72=1,$F72*$BF$5,0)</f>
        <v>0</v>
      </c>
      <c r="BM72" s="898" t="n">
        <f aca="false">IF($BD72=1,($G72+H72)*$BF$5,0)</f>
        <v>0</v>
      </c>
      <c r="BO72" s="898" t="n">
        <f aca="false">IF(AS72=1,BJ72,0)</f>
        <v>0</v>
      </c>
      <c r="BP72" s="898" t="n">
        <f aca="false">IF(AZ72=1,F72*$BF$5,0)</f>
        <v>0</v>
      </c>
      <c r="BR72" s="899" t="n">
        <f aca="false">IF(BJ72&gt;0,INDEX(OperationalDetail,MATCH("Capacity Degradation",ODColumn,0),MATCH('Monthly Table'!C72,ODRow,0)),0)</f>
        <v>0</v>
      </c>
      <c r="BS72" s="900" t="n">
        <f aca="false">BJ72*(1-BR72)*Tables!$C$36</f>
        <v>0</v>
      </c>
      <c r="BT72" s="883" t="n">
        <f aca="false">BS72*AL72/1000</f>
        <v>0</v>
      </c>
      <c r="BU72" s="883" t="n">
        <f aca="false">BT72*K72</f>
        <v>0</v>
      </c>
      <c r="BV72" s="188"/>
      <c r="BW72" s="901" t="n">
        <f aca="false">$BO72*(1-$BR72)*Tables!$C$36</f>
        <v>0</v>
      </c>
      <c r="BX72" s="902" t="n">
        <f aca="false">(BW72*AQ72)/1000</f>
        <v>0</v>
      </c>
      <c r="BY72" s="883" t="n">
        <f aca="false">BX72*K72</f>
        <v>0</v>
      </c>
      <c r="BZ72" s="188"/>
      <c r="CA72" s="901" t="n">
        <f aca="false">$BL72*(1-$BR72)*Tables!$C$36</f>
        <v>0</v>
      </c>
      <c r="CB72" s="902" t="n">
        <f aca="false">(CA72*AU72)/1000</f>
        <v>0</v>
      </c>
      <c r="CC72" s="883" t="n">
        <f aca="false">CB72*K72</f>
        <v>0</v>
      </c>
      <c r="CD72" s="901" t="n">
        <f aca="false">$BP72*(1-$BR72)*Tables!$C$36</f>
        <v>0</v>
      </c>
      <c r="CE72" s="902" t="n">
        <f aca="false">(CD72*AX72)/1000</f>
        <v>0</v>
      </c>
      <c r="CF72" s="883" t="n">
        <f aca="false">CE72*K72</f>
        <v>0</v>
      </c>
      <c r="CH72" s="901" t="n">
        <f aca="false">$BM72*(1-$BR72)*Tables!$C$36</f>
        <v>0</v>
      </c>
      <c r="CI72" s="902" t="n">
        <f aca="false">(CH72*BB72)/1000</f>
        <v>0</v>
      </c>
      <c r="CJ72" s="883" t="n">
        <f aca="false">CI72*K72</f>
        <v>0</v>
      </c>
      <c r="CK72" s="292"/>
      <c r="CL72" s="292" t="n">
        <f aca="false">C72-1</f>
        <v>2005</v>
      </c>
      <c r="CM72" s="903" t="n">
        <f aca="false">INDEX(OperationalDetail,MATCH("Degraded Heat Rate",ODColumn,0),MATCH('Monthly Table'!CL72,ODRow,0))/1000</f>
        <v>12.1940572</v>
      </c>
      <c r="CN72" s="904" t="n">
        <f aca="false">S72*CM72</f>
        <v>59.9704938351528</v>
      </c>
      <c r="CO72" s="905" t="n">
        <f aca="false">IF(A72="January",(CO71*(1+Assumptions!$E$32)),CO71)</f>
        <v>7.436674260054</v>
      </c>
      <c r="CP72" s="906" t="n">
        <f aca="false">CN72+CO72</f>
        <v>67.4071680952068</v>
      </c>
      <c r="CQ72" s="292"/>
      <c r="CR72" s="856" t="str">
        <f aca="false">IF(BJ72=0,"",C72)</f>
        <v/>
      </c>
      <c r="CS72" s="856" t="str">
        <f aca="false">IF(BO72=0,"",$C72)</f>
        <v/>
      </c>
      <c r="CT72" s="856" t="str">
        <f aca="false">IF(BL72=0,"",$C72)</f>
        <v/>
      </c>
      <c r="CU72" s="856" t="str">
        <f aca="false">IF(BP72=0,"",$C72)</f>
        <v/>
      </c>
      <c r="CV72" s="856" t="str">
        <f aca="false">IF(BD72=0,"",$C72)</f>
        <v/>
      </c>
      <c r="CW72" s="907" t="n">
        <f aca="false">YEAR(BF72)</f>
        <v>2006</v>
      </c>
      <c r="CX72" s="908" t="n">
        <f aca="false">INDEX('NY Curve'!$A$4:$G$256,MATCH('Monthly Table'!B72,'NY Curve'!$A$4:$A$256,0),MATCH("New York 5 X 16",'NY Curve'!$A$4:$G$4,0))</f>
        <v>31.85</v>
      </c>
      <c r="CY72" s="909" t="n">
        <f aca="false">K72</f>
        <v>1.37400419645603</v>
      </c>
      <c r="CZ72" s="910" t="n">
        <f aca="false">CX72*CY72</f>
        <v>43.7620336571246</v>
      </c>
      <c r="DB72" s="911"/>
      <c r="DC72" s="911"/>
    </row>
    <row r="73" customFormat="false" ht="18.75" hidden="false" customHeight="true" outlineLevel="0" collapsed="false">
      <c r="A73" s="49" t="s">
        <v>812</v>
      </c>
      <c r="B73" s="863" t="n">
        <v>38777</v>
      </c>
      <c r="C73" s="288" t="n">
        <f aca="false">YEAR(B73)</f>
        <v>2006</v>
      </c>
      <c r="D73" s="864" t="n">
        <f aca="false">IF(A73="January",D72+1,D72)</f>
        <v>6</v>
      </c>
      <c r="E73" s="865" t="n">
        <v>23</v>
      </c>
      <c r="F73" s="866" t="n">
        <v>4</v>
      </c>
      <c r="G73" s="866" t="n">
        <v>4</v>
      </c>
      <c r="H73" s="866" t="n">
        <v>0</v>
      </c>
      <c r="I73" s="867" t="n">
        <f aca="false">SUM(E73:H73)</f>
        <v>31</v>
      </c>
      <c r="J73" s="868"/>
      <c r="K73" s="869" t="n">
        <f aca="false">INDEX(FX!$A$3:$C$362,MATCH(B73,FX!$A$3:$A$362,0),MATCH("Monthly Curve",FX!$A$2:$C$2,0))</f>
        <v>1.37300698304178</v>
      </c>
      <c r="L73" s="869"/>
      <c r="M73" s="914" t="n">
        <v>2.873</v>
      </c>
      <c r="N73" s="915" t="n">
        <v>0.3</v>
      </c>
      <c r="O73" s="714" t="n">
        <v>0.05</v>
      </c>
      <c r="P73" s="872" t="n">
        <f aca="false">N73+O73</f>
        <v>0.35</v>
      </c>
      <c r="Q73" s="873" t="n">
        <f aca="false">SUM(M73:O73)</f>
        <v>3.223</v>
      </c>
      <c r="R73" s="974" t="n">
        <f aca="false">IF(A73="January",(R72+R72*Assumptions!$E$32),R72)</f>
        <v>0.331583876188062</v>
      </c>
      <c r="S73" s="875" t="n">
        <f aca="false">(Q73*K73)+R73</f>
        <v>4.75678538253172</v>
      </c>
      <c r="T73" s="869"/>
      <c r="U73" s="984"/>
      <c r="V73" s="978"/>
      <c r="W73" s="978"/>
      <c r="X73" s="971"/>
      <c r="Y73" s="975" t="n">
        <f aca="false">Tables!$D$36</f>
        <v>312</v>
      </c>
      <c r="Z73" s="879" t="n">
        <f aca="false">IF($Z$10=$V$10,V73,IF($Z$10=$W$10,W73,IF($Z$10=$X$10,X73,0)))</f>
        <v>0</v>
      </c>
      <c r="AA73" s="880" t="n">
        <f aca="false">Y73*Z73</f>
        <v>0</v>
      </c>
      <c r="AB73" s="881" t="n">
        <f aca="false">AA73*K73</f>
        <v>0</v>
      </c>
      <c r="AC73" s="188"/>
      <c r="AD73" s="882" t="n">
        <f aca="false">IF(Tables!$E$30="Michigan",INDEX('Michigan Curve'!$A$4:$S$256,MATCH('Monthly Table'!B73,'Michigan Curve'!$A$4:$A$256,0),MATCH("Michigan Selected Option Value US$/month",'Michigan Curve'!$A$4:$S$4,0)),INDEX('NY Curve'!$A$4:$T$256,MATCH('Monthly Table'!B73,'NY Curve'!$A$4:$A$256,0),MATCH("New York Selected Option Value US$/month",'NY Curve'!$A$4:$T$4,0)))</f>
        <v>30968.9742063196</v>
      </c>
      <c r="AE73" s="883" t="n">
        <f aca="false">AD73*K73</f>
        <v>42520.6178429176</v>
      </c>
      <c r="AF73" s="188"/>
      <c r="AG73" s="884"/>
      <c r="AH73" s="188"/>
      <c r="AI73" s="885" t="n">
        <f aca="false">Assumptions!$B$50</f>
        <v>65</v>
      </c>
      <c r="AJ73" s="916"/>
      <c r="AK73" s="887" t="n">
        <f aca="false">IF(Tables!$E$30="Custom",'Monthly Table'!AI73,IF(Tables!$E$30="New York",INDEX('NY Curve'!$A$4:$G$256,MATCH('Monthly Table'!B73,'NY Curve'!$A$4:$A$256,0),MATCH("Super Peak Curve",'NY Curve'!$A$4:$G$4,0)),IF(Tables!$E$30="New York Flat",INDEX('NY Curve'!$A$4:$G$256,MATCH('Monthly Table'!B73,'NY Curve'!$A$4:$A$256,0),MATCH("Flat NY West",'NY Curve'!$A$4:$G$4,0)),INDEX('Michigan Curve'!$A$4:$F$256,MATCH('Monthly Table'!B73,'Michigan Curve'!$A$4:$A$256,0),MATCH("Michigan Super Peak Curve US$/MWhr",'Michigan Curve'!$A$4:$F$4,0)))))</f>
        <v>26.52</v>
      </c>
      <c r="AL73" s="888" t="n">
        <f aca="false">IF(D73&lt;=Tables!$B$21,IF($AL$10=$AI$10,AI73,IF($AL$10=$AJ$10,AJ73,IF($AL$10=$AK$10,AK73,0))),0)</f>
        <v>26.52</v>
      </c>
      <c r="AM73" s="889" t="n">
        <f aca="false">+AL73*K73</f>
        <v>36.412145190268</v>
      </c>
      <c r="AN73" s="890" t="n">
        <f aca="false">IF((AL73*K73)&gt;(CP73+$BF$4),1,0)</f>
        <v>0</v>
      </c>
      <c r="AO73" s="891"/>
      <c r="AP73" s="894"/>
      <c r="AQ73" s="892" t="n">
        <f aca="false">IF(Tables!$E$30="New York",INDEX('NY Curve'!$A$4:$L$256,MATCH('Monthly Table'!B73,'NY Curve'!$A$4:$A$256,0),MATCH("New York Shoulder Hour Curve Mon-Fri",'NY Curve'!$A$4:$L$4,0)),IF(Tables!$E$30="Michigan",INDEX('Michigan Curve'!$A$4:$K$256,MATCH('Monthly Table'!B73,'Michigan Curve'!$A$4:$A$256,0),MATCH("Michigan Shoulder Hour Curve Mon-Fri",'Michigan Curve'!$A$4:$K$4,0))))</f>
        <v>25.48</v>
      </c>
      <c r="AR73" s="889" t="n">
        <f aca="false">AQ73*K73</f>
        <v>34.9842179279046</v>
      </c>
      <c r="AS73" s="893" t="n">
        <f aca="false">IF(AR73&gt;($CP73+$BF$4),1,0)</f>
        <v>0</v>
      </c>
      <c r="AT73" s="188"/>
      <c r="AU73" s="892" t="n">
        <f aca="false">IF(Tables!$E$30="New York",INDEX('NY Curve'!$A$4:$L$256,MATCH('Monthly Table'!$B73,'NY Curve'!$A$4:$A$256,0),MATCH("New York Saturday Super Peak",'NY Curve'!$A$4:$L$4,0)),IF(Tables!$E$30="Michigan",INDEX('Michigan Curve'!$A$4:$K$256,MATCH('Monthly Table'!$B73,'Michigan Curve'!$A$4:$A$256,0),MATCH("Michigan Saturday Super Peak",'Michigan Curve'!$A$4:$K$4,0))))</f>
        <v>20.4</v>
      </c>
      <c r="AV73" s="894" t="n">
        <f aca="false">AU73*K73</f>
        <v>28.0093424540523</v>
      </c>
      <c r="AW73" s="893" t="n">
        <f aca="false">IF(AV73&gt;($CP73+$BF$4),1,0)</f>
        <v>0</v>
      </c>
      <c r="AX73" s="892" t="n">
        <f aca="false">IF(Tables!$E$30="New York",INDEX('NY Curve'!$A$4:$L$256,MATCH('Monthly Table'!$B73,'NY Curve'!$A$4:$A$256,0),MATCH("New York Saturday Shoulder Peak",'NY Curve'!$A$4:$L$4,0)),IF(Tables!$E$30="Michigan",INDEX('Michigan Curve'!$A$4:$K$256,MATCH('Monthly Table'!$B73,'Michigan Curve'!$A$4:$A$256,0),MATCH("Michigan Saturday Shoulder Peak",'Michigan Curve'!$A$4:$K$4,0))))</f>
        <v>19.6</v>
      </c>
      <c r="AY73" s="895" t="n">
        <f aca="false">AX73*K73</f>
        <v>26.9109368676189</v>
      </c>
      <c r="AZ73" s="893" t="n">
        <f aca="false">IF(AY73&gt;($CP73+$BF$4),1,0)</f>
        <v>0</v>
      </c>
      <c r="BA73" s="188"/>
      <c r="BB73" s="892" t="n">
        <f aca="false">IF(Tables!$E$30="New York",INDEX('NY Curve'!$A$4:$M$256,MATCH('Monthly Table'!$B73,'NY Curve'!$A$4:$A$256,0),MATCH("NY Sunday Super Peak",'NY Curve'!$A$4:$M$4,0)),IF(Tables!$E$30="Michigan",INDEX('Michigan Curve'!$A$4:$L$256,MATCH('Monthly Table'!$B73,'Michigan Curve'!$A$4:$A$256,0),MATCH("Michigan Sunday Super Peak",'Michigan Curve'!$A$4:$L$4,0))))</f>
        <v>19.38</v>
      </c>
      <c r="BC73" s="894" t="n">
        <f aca="false">BB73*K73</f>
        <v>26.6088753313497</v>
      </c>
      <c r="BD73" s="893" t="n">
        <f aca="false">IF(BC73&gt;($CP73+$BF$4),1,0)</f>
        <v>0</v>
      </c>
      <c r="BE73" s="188"/>
      <c r="BF73" s="896" t="n">
        <f aca="false">B73</f>
        <v>38777</v>
      </c>
      <c r="BG73" s="897" t="n">
        <f aca="false">IF($AN73=1,$E73*$BF$5,0)</f>
        <v>0</v>
      </c>
      <c r="BH73" s="976" t="n">
        <f aca="false">IF(Tables!$B$36="Combined Cycle",(BF73-BF72)*24*Assumptions!$B$21,0)</f>
        <v>0</v>
      </c>
      <c r="BI73" s="714" t="n">
        <f aca="false">IF($AN73=1,$E73*$BF$5,0)</f>
        <v>0</v>
      </c>
      <c r="BJ73" s="898" t="n">
        <f aca="false">IF('Monthly Table'!D73&lt;=Tables!$B$21,IF($BJ$10=$BG$10,BG73,IF($BJ$10=$BH$10,BH73,IF($BJ$10=$BI$10,BI73,0))),0)</f>
        <v>0</v>
      </c>
      <c r="BK73" s="288"/>
      <c r="BL73" s="898" t="n">
        <f aca="false">IF($AW73=1,$F73*$BF$5,0)</f>
        <v>0</v>
      </c>
      <c r="BM73" s="898" t="n">
        <f aca="false">IF($BD73=1,($G73+H73)*$BF$5,0)</f>
        <v>0</v>
      </c>
      <c r="BO73" s="898" t="n">
        <f aca="false">IF(AS73=1,BJ73,0)</f>
        <v>0</v>
      </c>
      <c r="BP73" s="898" t="n">
        <f aca="false">IF(AZ73=1,F73*$BF$5,0)</f>
        <v>0</v>
      </c>
      <c r="BR73" s="899" t="n">
        <f aca="false">IF(BJ73&gt;0,INDEX(OperationalDetail,MATCH("Capacity Degradation",ODColumn,0),MATCH('Monthly Table'!C73,ODRow,0)),0)</f>
        <v>0</v>
      </c>
      <c r="BS73" s="900" t="n">
        <f aca="false">BJ73*(1-BR73)*Tables!$C$36</f>
        <v>0</v>
      </c>
      <c r="BT73" s="883" t="n">
        <f aca="false">BS73*AL73/1000</f>
        <v>0</v>
      </c>
      <c r="BU73" s="883" t="n">
        <f aca="false">BT73*K73</f>
        <v>0</v>
      </c>
      <c r="BV73" s="188"/>
      <c r="BW73" s="901" t="n">
        <f aca="false">$BO73*(1-$BR73)*Tables!$C$36</f>
        <v>0</v>
      </c>
      <c r="BX73" s="902" t="n">
        <f aca="false">(BW73*AQ73)/1000</f>
        <v>0</v>
      </c>
      <c r="BY73" s="883" t="n">
        <f aca="false">BX73*K73</f>
        <v>0</v>
      </c>
      <c r="BZ73" s="188"/>
      <c r="CA73" s="901" t="n">
        <f aca="false">$BL73*(1-$BR73)*Tables!$C$36</f>
        <v>0</v>
      </c>
      <c r="CB73" s="902" t="n">
        <f aca="false">(CA73*AU73)/1000</f>
        <v>0</v>
      </c>
      <c r="CC73" s="883" t="n">
        <f aca="false">CB73*K73</f>
        <v>0</v>
      </c>
      <c r="CD73" s="901" t="n">
        <f aca="false">$BP73*(1-$BR73)*Tables!$C$36</f>
        <v>0</v>
      </c>
      <c r="CE73" s="902" t="n">
        <f aca="false">(CD73*AX73)/1000</f>
        <v>0</v>
      </c>
      <c r="CF73" s="883" t="n">
        <f aca="false">CE73*K73</f>
        <v>0</v>
      </c>
      <c r="CH73" s="901" t="n">
        <f aca="false">$BM73*(1-$BR73)*Tables!$C$36</f>
        <v>0</v>
      </c>
      <c r="CI73" s="902" t="n">
        <f aca="false">(CH73*BB73)/1000</f>
        <v>0</v>
      </c>
      <c r="CJ73" s="883" t="n">
        <f aca="false">CI73*K73</f>
        <v>0</v>
      </c>
      <c r="CK73" s="292"/>
      <c r="CL73" s="292" t="n">
        <f aca="false">C73-1</f>
        <v>2005</v>
      </c>
      <c r="CM73" s="903" t="n">
        <f aca="false">INDEX(OperationalDetail,MATCH("Degraded Heat Rate",ODColumn,0),MATCH('Monthly Table'!CL73,ODRow,0))/1000</f>
        <v>12.1940572</v>
      </c>
      <c r="CN73" s="904" t="n">
        <f aca="false">S73*CM73</f>
        <v>58.0045130427157</v>
      </c>
      <c r="CO73" s="905" t="n">
        <f aca="false">IF(A73="January",(CO72*(1+Assumptions!$E$32)),CO72)</f>
        <v>7.436674260054</v>
      </c>
      <c r="CP73" s="906" t="n">
        <f aca="false">CN73+CO73</f>
        <v>65.4411873027697</v>
      </c>
      <c r="CQ73" s="292"/>
      <c r="CR73" s="856" t="str">
        <f aca="false">IF(BJ73=0,"",C73)</f>
        <v/>
      </c>
      <c r="CS73" s="856" t="str">
        <f aca="false">IF(BO73=0,"",$C73)</f>
        <v/>
      </c>
      <c r="CT73" s="856" t="str">
        <f aca="false">IF(BL73=0,"",$C73)</f>
        <v/>
      </c>
      <c r="CU73" s="856" t="str">
        <f aca="false">IF(BP73=0,"",$C73)</f>
        <v/>
      </c>
      <c r="CV73" s="856" t="str">
        <f aca="false">IF(BD73=0,"",$C73)</f>
        <v/>
      </c>
      <c r="CW73" s="907" t="n">
        <f aca="false">YEAR(BF73)</f>
        <v>2006</v>
      </c>
      <c r="CX73" s="908" t="n">
        <f aca="false">INDEX('NY Curve'!$A$4:$G$256,MATCH('Monthly Table'!B73,'NY Curve'!$A$4:$A$256,0),MATCH("New York 5 X 16",'NY Curve'!$A$4:$G$4,0))</f>
        <v>26.85</v>
      </c>
      <c r="CY73" s="909" t="n">
        <f aca="false">K73</f>
        <v>1.37300698304178</v>
      </c>
      <c r="CZ73" s="910" t="n">
        <f aca="false">CX73*CY73</f>
        <v>36.8652374946718</v>
      </c>
      <c r="DB73" s="911"/>
      <c r="DC73" s="911"/>
    </row>
    <row r="74" customFormat="false" ht="18.75" hidden="false" customHeight="true" outlineLevel="0" collapsed="false">
      <c r="A74" s="49" t="s">
        <v>813</v>
      </c>
      <c r="B74" s="863" t="n">
        <v>38808</v>
      </c>
      <c r="C74" s="288" t="n">
        <f aca="false">YEAR(B74)</f>
        <v>2006</v>
      </c>
      <c r="D74" s="864" t="n">
        <f aca="false">IF(A74="January",D73+1,D73)</f>
        <v>6</v>
      </c>
      <c r="E74" s="865" t="n">
        <v>20</v>
      </c>
      <c r="F74" s="866" t="n">
        <v>5</v>
      </c>
      <c r="G74" s="866" t="n">
        <v>5</v>
      </c>
      <c r="H74" s="866" t="n">
        <v>0</v>
      </c>
      <c r="I74" s="867" t="n">
        <f aca="false">SUM(E74:H74)</f>
        <v>30</v>
      </c>
      <c r="J74" s="868"/>
      <c r="K74" s="869" t="n">
        <f aca="false">INDEX(FX!$A$3:$C$362,MATCH(B74,FX!$A$3:$A$362,0),MATCH("Monthly Curve",FX!$A$2:$C$2,0))</f>
        <v>1.37190399952323</v>
      </c>
      <c r="L74" s="869"/>
      <c r="M74" s="914" t="n">
        <v>2.8055</v>
      </c>
      <c r="N74" s="915" t="n">
        <v>0.135</v>
      </c>
      <c r="O74" s="714" t="n">
        <v>0.05</v>
      </c>
      <c r="P74" s="872" t="n">
        <f aca="false">N74+O74</f>
        <v>0.185</v>
      </c>
      <c r="Q74" s="873" t="n">
        <f aca="false">SUM(M74:O74)</f>
        <v>2.9905</v>
      </c>
      <c r="R74" s="974" t="n">
        <f aca="false">IF(A74="January",(R73+R73*Assumptions!$E$32),R73)</f>
        <v>0.331583876188062</v>
      </c>
      <c r="S74" s="875" t="n">
        <f aca="false">(Q74*K74)+R74</f>
        <v>4.43426278676228</v>
      </c>
      <c r="T74" s="869"/>
      <c r="U74" s="984"/>
      <c r="V74" s="978"/>
      <c r="W74" s="978"/>
      <c r="X74" s="971"/>
      <c r="Y74" s="975" t="n">
        <f aca="false">Tables!$D$36</f>
        <v>312</v>
      </c>
      <c r="Z74" s="879" t="n">
        <f aca="false">IF($Z$10=$V$10,V74,IF($Z$10=$W$10,W74,IF($Z$10=$X$10,X74,0)))</f>
        <v>0</v>
      </c>
      <c r="AA74" s="880" t="n">
        <f aca="false">Y74*Z74</f>
        <v>0</v>
      </c>
      <c r="AB74" s="881" t="n">
        <f aca="false">AA74*K74</f>
        <v>0</v>
      </c>
      <c r="AC74" s="188"/>
      <c r="AD74" s="882" t="n">
        <f aca="false">IF(Tables!$E$30="Michigan",INDEX('Michigan Curve'!$A$4:$S$256,MATCH('Monthly Table'!B74,'Michigan Curve'!$A$4:$A$256,0),MATCH("Michigan Selected Option Value US$/month",'Michigan Curve'!$A$4:$S$4,0)),INDEX('NY Curve'!$A$4:$T$256,MATCH('Monthly Table'!B74,'NY Curve'!$A$4:$A$256,0),MATCH("New York Selected Option Value US$/month",'NY Curve'!$A$4:$T$4,0)))</f>
        <v>37393.2537762546</v>
      </c>
      <c r="AE74" s="883" t="n">
        <f aca="false">AD74*K74</f>
        <v>51299.9544108308</v>
      </c>
      <c r="AF74" s="188"/>
      <c r="AG74" s="884"/>
      <c r="AH74" s="188"/>
      <c r="AI74" s="885" t="n">
        <f aca="false">Assumptions!$B$50</f>
        <v>65</v>
      </c>
      <c r="AJ74" s="916"/>
      <c r="AK74" s="887" t="n">
        <f aca="false">IF(Tables!$E$30="Custom",'Monthly Table'!AI74,IF(Tables!$E$30="New York",INDEX('NY Curve'!$A$4:$G$256,MATCH('Monthly Table'!B74,'NY Curve'!$A$4:$A$256,0),MATCH("Super Peak Curve",'NY Curve'!$A$4:$G$4,0)),IF(Tables!$E$30="New York Flat",INDEX('NY Curve'!$A$4:$G$256,MATCH('Monthly Table'!B74,'NY Curve'!$A$4:$A$256,0),MATCH("Flat NY West",'NY Curve'!$A$4:$G$4,0)),INDEX('Michigan Curve'!$A$4:$F$256,MATCH('Monthly Table'!B74,'Michigan Curve'!$A$4:$A$256,0),MATCH("Michigan Super Peak Curve US$/MWhr",'Michigan Curve'!$A$4:$F$4,0)))))</f>
        <v>26.25</v>
      </c>
      <c r="AL74" s="888" t="n">
        <f aca="false">IF(D74&lt;=Tables!$B$21,IF($AL$10=$AI$10,AI74,IF($AL$10=$AJ$10,AJ74,IF($AL$10=$AK$10,AK74,0))),0)</f>
        <v>26.25</v>
      </c>
      <c r="AM74" s="889" t="n">
        <f aca="false">+AL74*K74</f>
        <v>36.0124799874848</v>
      </c>
      <c r="AN74" s="890" t="n">
        <f aca="false">IF((AL74*K74)&gt;(CP74+$BF$4),1,0)</f>
        <v>0</v>
      </c>
      <c r="AO74" s="891"/>
      <c r="AP74" s="894"/>
      <c r="AQ74" s="892" t="n">
        <f aca="false">IF(Tables!$E$30="New York",INDEX('NY Curve'!$A$4:$L$256,MATCH('Monthly Table'!B74,'NY Curve'!$A$4:$A$256,0),MATCH("New York Shoulder Hour Curve Mon-Fri",'NY Curve'!$A$4:$L$4,0)),IF(Tables!$E$30="Michigan",INDEX('Michigan Curve'!$A$4:$K$256,MATCH('Monthly Table'!B74,'Michigan Curve'!$A$4:$A$256,0),MATCH("Michigan Shoulder Hour Curve Mon-Fri",'Michigan Curve'!$A$4:$K$4,0))))</f>
        <v>26.25</v>
      </c>
      <c r="AR74" s="889" t="n">
        <f aca="false">AQ74*K74</f>
        <v>36.0124799874848</v>
      </c>
      <c r="AS74" s="893" t="n">
        <f aca="false">IF(AR74&gt;($CP74+$BF$4),1,0)</f>
        <v>0</v>
      </c>
      <c r="AT74" s="188"/>
      <c r="AU74" s="892" t="n">
        <f aca="false">IF(Tables!$E$30="New York",INDEX('NY Curve'!$A$4:$L$256,MATCH('Monthly Table'!$B74,'NY Curve'!$A$4:$A$256,0),MATCH("New York Saturday Super Peak",'NY Curve'!$A$4:$L$4,0)),IF(Tables!$E$30="Michigan",INDEX('Michigan Curve'!$A$4:$K$256,MATCH('Monthly Table'!$B74,'Michigan Curve'!$A$4:$A$256,0),MATCH("Michigan Saturday Super Peak",'Michigan Curve'!$A$4:$K$4,0))))</f>
        <v>20</v>
      </c>
      <c r="AV74" s="894" t="n">
        <f aca="false">AU74*K74</f>
        <v>27.4380799904646</v>
      </c>
      <c r="AW74" s="893" t="n">
        <f aca="false">IF(AV74&gt;($CP74+$BF$4),1,0)</f>
        <v>0</v>
      </c>
      <c r="AX74" s="892" t="n">
        <f aca="false">IF(Tables!$E$30="New York",INDEX('NY Curve'!$A$4:$L$256,MATCH('Monthly Table'!$B74,'NY Curve'!$A$4:$A$256,0),MATCH("New York Saturday Shoulder Peak",'NY Curve'!$A$4:$L$4,0)),IF(Tables!$E$30="Michigan",INDEX('Michigan Curve'!$A$4:$K$256,MATCH('Monthly Table'!$B74,'Michigan Curve'!$A$4:$A$256,0),MATCH("Michigan Saturday Shoulder Peak",'Michigan Curve'!$A$4:$K$4,0))))</f>
        <v>20</v>
      </c>
      <c r="AY74" s="895" t="n">
        <f aca="false">AX74*K74</f>
        <v>27.4380799904646</v>
      </c>
      <c r="AZ74" s="893" t="n">
        <f aca="false">IF(AY74&gt;($CP74+$BF$4),1,0)</f>
        <v>0</v>
      </c>
      <c r="BA74" s="188"/>
      <c r="BB74" s="892" t="n">
        <f aca="false">IF(Tables!$E$30="New York",INDEX('NY Curve'!$A$4:$M$256,MATCH('Monthly Table'!$B74,'NY Curve'!$A$4:$A$256,0),MATCH("NY Sunday Super Peak",'NY Curve'!$A$4:$M$4,0)),IF(Tables!$E$30="Michigan",INDEX('Michigan Curve'!$A$4:$L$256,MATCH('Monthly Table'!$B74,'Michigan Curve'!$A$4:$A$256,0),MATCH("Michigan Sunday Super Peak",'Michigan Curve'!$A$4:$L$4,0))))</f>
        <v>18.9950008392334</v>
      </c>
      <c r="BC74" s="894" t="n">
        <f aca="false">BB74*K74</f>
        <v>26.0593176222914</v>
      </c>
      <c r="BD74" s="893" t="n">
        <f aca="false">IF(BC74&gt;($CP74+$BF$4),1,0)</f>
        <v>0</v>
      </c>
      <c r="BE74" s="188"/>
      <c r="BF74" s="896" t="n">
        <f aca="false">B74</f>
        <v>38808</v>
      </c>
      <c r="BG74" s="897" t="n">
        <f aca="false">IF($AN74=1,$E74*$BF$5,0)</f>
        <v>0</v>
      </c>
      <c r="BH74" s="976" t="n">
        <f aca="false">IF(Tables!$B$36="Combined Cycle",(BF74-BF73)*24*Assumptions!$B$21,0)</f>
        <v>0</v>
      </c>
      <c r="BI74" s="714" t="n">
        <f aca="false">IF($AN74=1,$E74*$BF$5,0)</f>
        <v>0</v>
      </c>
      <c r="BJ74" s="898" t="n">
        <f aca="false">IF('Monthly Table'!D74&lt;=Tables!$B$21,IF($BJ$10=$BG$10,BG74,IF($BJ$10=$BH$10,BH74,IF($BJ$10=$BI$10,BI74,0))),0)</f>
        <v>0</v>
      </c>
      <c r="BK74" s="288"/>
      <c r="BL74" s="898" t="n">
        <f aca="false">IF($AW74=1,$F74*$BF$5,0)</f>
        <v>0</v>
      </c>
      <c r="BM74" s="898" t="n">
        <f aca="false">IF($BD74=1,($G74+H74)*$BF$5,0)</f>
        <v>0</v>
      </c>
      <c r="BO74" s="898" t="n">
        <f aca="false">IF(AS74=1,BJ74,0)</f>
        <v>0</v>
      </c>
      <c r="BP74" s="898" t="n">
        <f aca="false">IF(AZ74=1,F74*$BF$5,0)</f>
        <v>0</v>
      </c>
      <c r="BR74" s="899" t="n">
        <f aca="false">IF(BJ74&gt;0,INDEX(OperationalDetail,MATCH("Capacity Degradation",ODColumn,0),MATCH('Monthly Table'!C74,ODRow,0)),0)</f>
        <v>0</v>
      </c>
      <c r="BS74" s="900" t="n">
        <f aca="false">BJ74*(1-BR74)*Tables!$C$36</f>
        <v>0</v>
      </c>
      <c r="BT74" s="883" t="n">
        <f aca="false">BS74*AL74/1000</f>
        <v>0</v>
      </c>
      <c r="BU74" s="883" t="n">
        <f aca="false">BT74*K74</f>
        <v>0</v>
      </c>
      <c r="BV74" s="188"/>
      <c r="BW74" s="901" t="n">
        <f aca="false">$BO74*(1-$BR74)*Tables!$C$36</f>
        <v>0</v>
      </c>
      <c r="BX74" s="902" t="n">
        <f aca="false">(BW74*AQ74)/1000</f>
        <v>0</v>
      </c>
      <c r="BY74" s="883" t="n">
        <f aca="false">BX74*K74</f>
        <v>0</v>
      </c>
      <c r="BZ74" s="188"/>
      <c r="CA74" s="901" t="n">
        <f aca="false">$BL74*(1-$BR74)*Tables!$C$36</f>
        <v>0</v>
      </c>
      <c r="CB74" s="902" t="n">
        <f aca="false">(CA74*AU74)/1000</f>
        <v>0</v>
      </c>
      <c r="CC74" s="883" t="n">
        <f aca="false">CB74*K74</f>
        <v>0</v>
      </c>
      <c r="CD74" s="901" t="n">
        <f aca="false">$BP74*(1-$BR74)*Tables!$C$36</f>
        <v>0</v>
      </c>
      <c r="CE74" s="902" t="n">
        <f aca="false">(CD74*AX74)/1000</f>
        <v>0</v>
      </c>
      <c r="CF74" s="883" t="n">
        <f aca="false">CE74*K74</f>
        <v>0</v>
      </c>
      <c r="CH74" s="901" t="n">
        <f aca="false">$BM74*(1-$BR74)*Tables!$C$36</f>
        <v>0</v>
      </c>
      <c r="CI74" s="902" t="n">
        <f aca="false">(CH74*BB74)/1000</f>
        <v>0</v>
      </c>
      <c r="CJ74" s="883" t="n">
        <f aca="false">CI74*K74</f>
        <v>0</v>
      </c>
      <c r="CK74" s="292"/>
      <c r="CL74" s="292" t="n">
        <f aca="false">C74-1</f>
        <v>2005</v>
      </c>
      <c r="CM74" s="903" t="n">
        <f aca="false">INDEX(OperationalDetail,MATCH("Degraded Heat Rate",ODColumn,0),MATCH('Monthly Table'!CL74,ODRow,0))/1000</f>
        <v>12.1940572</v>
      </c>
      <c r="CN74" s="904" t="n">
        <f aca="false">S74*CM74</f>
        <v>54.0716540616107</v>
      </c>
      <c r="CO74" s="905" t="n">
        <f aca="false">IF(A74="January",(CO73*(1+Assumptions!$E$32)),CO73)</f>
        <v>7.436674260054</v>
      </c>
      <c r="CP74" s="906" t="n">
        <f aca="false">CN74+CO74</f>
        <v>61.5083283216647</v>
      </c>
      <c r="CQ74" s="292"/>
      <c r="CR74" s="856" t="str">
        <f aca="false">IF(BJ74=0,"",C74)</f>
        <v/>
      </c>
      <c r="CS74" s="856" t="str">
        <f aca="false">IF(BO74=0,"",$C74)</f>
        <v/>
      </c>
      <c r="CT74" s="856" t="str">
        <f aca="false">IF(BL74=0,"",$C74)</f>
        <v/>
      </c>
      <c r="CU74" s="856" t="str">
        <f aca="false">IF(BP74=0,"",$C74)</f>
        <v/>
      </c>
      <c r="CV74" s="856" t="str">
        <f aca="false">IF(BD74=0,"",$C74)</f>
        <v/>
      </c>
      <c r="CW74" s="907" t="n">
        <f aca="false">YEAR(BF74)</f>
        <v>2006</v>
      </c>
      <c r="CX74" s="908" t="n">
        <f aca="false">INDEX('NY Curve'!$A$4:$G$256,MATCH('Monthly Table'!B74,'NY Curve'!$A$4:$A$256,0),MATCH("New York 5 X 16",'NY Curve'!$A$4:$G$4,0))</f>
        <v>25.6</v>
      </c>
      <c r="CY74" s="909" t="n">
        <f aca="false">K74</f>
        <v>1.37190399952323</v>
      </c>
      <c r="CZ74" s="910" t="n">
        <f aca="false">CX74*CY74</f>
        <v>35.1207423877947</v>
      </c>
      <c r="DB74" s="911"/>
      <c r="DC74" s="911"/>
    </row>
    <row r="75" customFormat="false" ht="18.75" hidden="false" customHeight="true" outlineLevel="0" collapsed="false">
      <c r="A75" s="49" t="s">
        <v>814</v>
      </c>
      <c r="B75" s="863" t="n">
        <v>38838</v>
      </c>
      <c r="C75" s="288" t="n">
        <f aca="false">YEAR(B75)</f>
        <v>2006</v>
      </c>
      <c r="D75" s="864" t="n">
        <f aca="false">IF(A75="January",D74+1,D74)</f>
        <v>6</v>
      </c>
      <c r="E75" s="865" t="n">
        <v>22</v>
      </c>
      <c r="F75" s="866" t="n">
        <v>4</v>
      </c>
      <c r="G75" s="866" t="n">
        <v>4</v>
      </c>
      <c r="H75" s="866" t="n">
        <v>1</v>
      </c>
      <c r="I75" s="867" t="n">
        <f aca="false">SUM(E75:H75)</f>
        <v>31</v>
      </c>
      <c r="J75" s="868"/>
      <c r="K75" s="869" t="n">
        <f aca="false">INDEX(FX!$A$3:$C$362,MATCH(B75,FX!$A$3:$A$362,0),MATCH("Monthly Curve",FX!$A$2:$C$2,0))</f>
        <v>1.37083766970919</v>
      </c>
      <c r="L75" s="869"/>
      <c r="M75" s="914" t="n">
        <v>2.7795</v>
      </c>
      <c r="N75" s="915" t="n">
        <v>0.135</v>
      </c>
      <c r="O75" s="714" t="n">
        <v>0.05</v>
      </c>
      <c r="P75" s="872" t="n">
        <f aca="false">N75+O75</f>
        <v>0.185</v>
      </c>
      <c r="Q75" s="873" t="n">
        <f aca="false">SUM(M75:O75)</f>
        <v>2.9645</v>
      </c>
      <c r="R75" s="974" t="n">
        <f aca="false">IF(A75="January",(R74+R74*Assumptions!$E$32),R74)</f>
        <v>0.331583876188062</v>
      </c>
      <c r="S75" s="875" t="n">
        <f aca="false">(Q75*K75)+R75</f>
        <v>4.39543214804096</v>
      </c>
      <c r="T75" s="869"/>
      <c r="U75" s="984"/>
      <c r="V75" s="978"/>
      <c r="W75" s="978"/>
      <c r="X75" s="971"/>
      <c r="Y75" s="975" t="n">
        <f aca="false">Tables!$D$36</f>
        <v>312</v>
      </c>
      <c r="Z75" s="879" t="n">
        <f aca="false">IF($Z$10=$V$10,V75,IF($Z$10=$W$10,W75,IF($Z$10=$X$10,X75,0)))</f>
        <v>0</v>
      </c>
      <c r="AA75" s="880" t="n">
        <f aca="false">Y75*Z75</f>
        <v>0</v>
      </c>
      <c r="AB75" s="881" t="n">
        <f aca="false">AA75*K75</f>
        <v>0</v>
      </c>
      <c r="AC75" s="188"/>
      <c r="AD75" s="882" t="n">
        <f aca="false">IF(Tables!$E$30="Michigan",INDEX('Michigan Curve'!$A$4:$S$256,MATCH('Monthly Table'!B75,'Michigan Curve'!$A$4:$A$256,0),MATCH("Michigan Selected Option Value US$/month",'Michigan Curve'!$A$4:$S$4,0)),INDEX('NY Curve'!$A$4:$T$256,MATCH('Monthly Table'!B75,'NY Curve'!$A$4:$A$256,0),MATCH("New York Selected Option Value US$/month",'NY Curve'!$A$4:$T$4,0)))</f>
        <v>95437.2512414038</v>
      </c>
      <c r="AE75" s="883" t="n">
        <f aca="false">AD75*K75</f>
        <v>130828.979095216</v>
      </c>
      <c r="AF75" s="188"/>
      <c r="AG75" s="884"/>
      <c r="AH75" s="188"/>
      <c r="AI75" s="885" t="n">
        <f aca="false">Assumptions!$B$50</f>
        <v>65</v>
      </c>
      <c r="AJ75" s="916"/>
      <c r="AK75" s="887" t="n">
        <f aca="false">IF(Tables!$E$30="Custom",'Monthly Table'!AI75,IF(Tables!$E$30="New York",INDEX('NY Curve'!$A$4:$G$256,MATCH('Monthly Table'!B75,'NY Curve'!$A$4:$A$256,0),MATCH("Super Peak Curve",'NY Curve'!$A$4:$G$4,0)),IF(Tables!$E$30="New York Flat",INDEX('NY Curve'!$A$4:$G$256,MATCH('Monthly Table'!B75,'NY Curve'!$A$4:$A$256,0),MATCH("Flat NY West",'NY Curve'!$A$4:$G$4,0)),INDEX('Michigan Curve'!$A$4:$F$256,MATCH('Monthly Table'!B75,'Michigan Curve'!$A$4:$A$256,0),MATCH("Michigan Super Peak Curve US$/MWhr",'Michigan Curve'!$A$4:$F$4,0)))))</f>
        <v>32.2875000536442</v>
      </c>
      <c r="AL75" s="888" t="n">
        <f aca="false">IF(D75&lt;=Tables!$B$21,IF($AL$10=$AI$10,AI75,IF($AL$10=$AJ$10,AJ75,IF($AL$10=$AK$10,AK75,0))),0)</f>
        <v>32.2875000536442</v>
      </c>
      <c r="AM75" s="889" t="n">
        <f aca="false">+AL75*K75</f>
        <v>44.2609213342729</v>
      </c>
      <c r="AN75" s="890" t="n">
        <f aca="false">IF((AL75*K75)&gt;(CP75+$BF$4),1,0)</f>
        <v>0</v>
      </c>
      <c r="AO75" s="891"/>
      <c r="AP75" s="894"/>
      <c r="AQ75" s="892" t="n">
        <f aca="false">IF(Tables!$E$30="New York",INDEX('NY Curve'!$A$4:$L$256,MATCH('Monthly Table'!B75,'NY Curve'!$A$4:$A$256,0),MATCH("New York Shoulder Hour Curve Mon-Fri",'NY Curve'!$A$4:$L$4,0)),IF(Tables!$E$30="Michigan",INDEX('Michigan Curve'!$A$4:$K$256,MATCH('Monthly Table'!B75,'Michigan Curve'!$A$4:$A$256,0),MATCH("Michigan Shoulder Hour Curve Mon-Fri",'Michigan Curve'!$A$4:$K$4,0))))</f>
        <v>27.7124999463558</v>
      </c>
      <c r="AR75" s="889" t="n">
        <f aca="false">AQ75*K75</f>
        <v>37.9893388482785</v>
      </c>
      <c r="AS75" s="893" t="n">
        <f aca="false">IF(AR75&gt;($CP75+$BF$4),1,0)</f>
        <v>0</v>
      </c>
      <c r="AT75" s="188"/>
      <c r="AU75" s="892" t="n">
        <f aca="false">IF(Tables!$E$30="New York",INDEX('NY Curve'!$A$4:$L$256,MATCH('Monthly Table'!$B75,'NY Curve'!$A$4:$A$256,0),MATCH("New York Saturday Super Peak",'NY Curve'!$A$4:$L$4,0)),IF(Tables!$E$30="Michigan",INDEX('Michigan Curve'!$A$4:$K$256,MATCH('Monthly Table'!$B75,'Michigan Curve'!$A$4:$A$256,0),MATCH("Michigan Saturday Super Peak",'Michigan Curve'!$A$4:$K$4,0))))</f>
        <v>22.6012500375509</v>
      </c>
      <c r="AV75" s="894" t="n">
        <f aca="false">AU75*K75</f>
        <v>30.9826449339911</v>
      </c>
      <c r="AW75" s="893" t="n">
        <f aca="false">IF(AV75&gt;($CP75+$BF$4),1,0)</f>
        <v>0</v>
      </c>
      <c r="AX75" s="892" t="n">
        <f aca="false">IF(Tables!$E$30="New York",INDEX('NY Curve'!$A$4:$L$256,MATCH('Monthly Table'!$B75,'NY Curve'!$A$4:$A$256,0),MATCH("New York Saturday Shoulder Peak",'NY Curve'!$A$4:$L$4,0)),IF(Tables!$E$30="Michigan",INDEX('Michigan Curve'!$A$4:$K$256,MATCH('Monthly Table'!$B75,'Michigan Curve'!$A$4:$A$256,0),MATCH("Michigan Saturday Shoulder Peak",'Michigan Curve'!$A$4:$K$4,0))))</f>
        <v>19.3987499624491</v>
      </c>
      <c r="AY75" s="895" t="n">
        <f aca="false">AX75*K75</f>
        <v>26.5925371937949</v>
      </c>
      <c r="AZ75" s="893" t="n">
        <f aca="false">IF(AY75&gt;($CP75+$BF$4),1,0)</f>
        <v>0</v>
      </c>
      <c r="BA75" s="188"/>
      <c r="BB75" s="892" t="n">
        <f aca="false">IF(Tables!$E$30="New York",INDEX('NY Curve'!$A$4:$M$256,MATCH('Monthly Table'!$B75,'NY Curve'!$A$4:$A$256,0),MATCH("NY Sunday Super Peak",'NY Curve'!$A$4:$M$4,0)),IF(Tables!$E$30="Michigan",INDEX('Michigan Curve'!$A$4:$L$256,MATCH('Monthly Table'!$B75,'Michigan Curve'!$A$4:$A$256,0),MATCH("Michigan Sunday Super Peak",'Michigan Curve'!$A$4:$L$4,0))))</f>
        <v>21.5303803825468</v>
      </c>
      <c r="BC75" s="894" t="n">
        <f aca="false">BB75*K75</f>
        <v>29.5146564715629</v>
      </c>
      <c r="BD75" s="893" t="n">
        <f aca="false">IF(BC75&gt;($CP75+$BF$4),1,0)</f>
        <v>0</v>
      </c>
      <c r="BE75" s="188"/>
      <c r="BF75" s="896" t="n">
        <f aca="false">B75</f>
        <v>38838</v>
      </c>
      <c r="BG75" s="897" t="n">
        <f aca="false">IF($AN75=1,$E75*$BF$5,0)</f>
        <v>0</v>
      </c>
      <c r="BH75" s="976" t="n">
        <f aca="false">IF(Tables!$B$36="Combined Cycle",(BF75-BF74)*24*Assumptions!$B$21,0)</f>
        <v>0</v>
      </c>
      <c r="BI75" s="714" t="n">
        <f aca="false">IF($AN75=1,$E75*$BF$5,0)</f>
        <v>0</v>
      </c>
      <c r="BJ75" s="898" t="n">
        <f aca="false">IF('Monthly Table'!D75&lt;=Tables!$B$21,IF($BJ$10=$BG$10,BG75,IF($BJ$10=$BH$10,BH75,IF($BJ$10=$BI$10,BI75,0))),0)</f>
        <v>0</v>
      </c>
      <c r="BK75" s="288"/>
      <c r="BL75" s="898" t="n">
        <f aca="false">IF($AW75=1,$F75*$BF$5,0)</f>
        <v>0</v>
      </c>
      <c r="BM75" s="898" t="n">
        <f aca="false">IF($BD75=1,($G75+H75)*$BF$5,0)</f>
        <v>0</v>
      </c>
      <c r="BO75" s="898" t="n">
        <f aca="false">IF(AS75=1,BJ75,0)</f>
        <v>0</v>
      </c>
      <c r="BP75" s="898" t="n">
        <f aca="false">IF(AZ75=1,F75*$BF$5,0)</f>
        <v>0</v>
      </c>
      <c r="BR75" s="899" t="n">
        <f aca="false">IF(BJ75&gt;0,INDEX(OperationalDetail,MATCH("Capacity Degradation",ODColumn,0),MATCH('Monthly Table'!C75,ODRow,0)),0)</f>
        <v>0</v>
      </c>
      <c r="BS75" s="900" t="n">
        <f aca="false">BJ75*(1-BR75)*Tables!$C$36</f>
        <v>0</v>
      </c>
      <c r="BT75" s="883" t="n">
        <f aca="false">BS75*AL75/1000</f>
        <v>0</v>
      </c>
      <c r="BU75" s="883" t="n">
        <f aca="false">BT75*K75</f>
        <v>0</v>
      </c>
      <c r="BV75" s="188"/>
      <c r="BW75" s="901" t="n">
        <f aca="false">$BO75*(1-$BR75)*Tables!$C$36</f>
        <v>0</v>
      </c>
      <c r="BX75" s="902" t="n">
        <f aca="false">(BW75*AQ75)/1000</f>
        <v>0</v>
      </c>
      <c r="BY75" s="883" t="n">
        <f aca="false">BX75*K75</f>
        <v>0</v>
      </c>
      <c r="BZ75" s="188"/>
      <c r="CA75" s="901" t="n">
        <f aca="false">$BL75*(1-$BR75)*Tables!$C$36</f>
        <v>0</v>
      </c>
      <c r="CB75" s="902" t="n">
        <f aca="false">(CA75*AU75)/1000</f>
        <v>0</v>
      </c>
      <c r="CC75" s="883" t="n">
        <f aca="false">CB75*K75</f>
        <v>0</v>
      </c>
      <c r="CD75" s="901" t="n">
        <f aca="false">$BP75*(1-$BR75)*Tables!$C$36</f>
        <v>0</v>
      </c>
      <c r="CE75" s="902" t="n">
        <f aca="false">(CD75*AX75)/1000</f>
        <v>0</v>
      </c>
      <c r="CF75" s="883" t="n">
        <f aca="false">CE75*K75</f>
        <v>0</v>
      </c>
      <c r="CH75" s="901" t="n">
        <f aca="false">$BM75*(1-$BR75)*Tables!$C$36</f>
        <v>0</v>
      </c>
      <c r="CI75" s="902" t="n">
        <f aca="false">(CH75*BB75)/1000</f>
        <v>0</v>
      </c>
      <c r="CJ75" s="883" t="n">
        <f aca="false">CI75*K75</f>
        <v>0</v>
      </c>
      <c r="CK75" s="292"/>
      <c r="CL75" s="292" t="n">
        <f aca="false">C75-1</f>
        <v>2005</v>
      </c>
      <c r="CM75" s="903" t="n">
        <f aca="false">INDEX(OperationalDetail,MATCH("Degraded Heat Rate",ODColumn,0),MATCH('Monthly Table'!CL75,ODRow,0))/1000</f>
        <v>12.1940572</v>
      </c>
      <c r="CN75" s="904" t="n">
        <f aca="false">S75*CM75</f>
        <v>53.5981510319303</v>
      </c>
      <c r="CO75" s="905" t="n">
        <f aca="false">IF(A75="January",(CO74*(1+Assumptions!$E$32)),CO74)</f>
        <v>7.436674260054</v>
      </c>
      <c r="CP75" s="906" t="n">
        <f aca="false">CN75+CO75</f>
        <v>61.0348252919843</v>
      </c>
      <c r="CQ75" s="292"/>
      <c r="CR75" s="856" t="str">
        <f aca="false">IF(BJ75=0,"",C75)</f>
        <v/>
      </c>
      <c r="CS75" s="856" t="str">
        <f aca="false">IF(BO75=0,"",$C75)</f>
        <v/>
      </c>
      <c r="CT75" s="856" t="str">
        <f aca="false">IF(BL75=0,"",$C75)</f>
        <v/>
      </c>
      <c r="CU75" s="856" t="str">
        <f aca="false">IF(BP75=0,"",$C75)</f>
        <v/>
      </c>
      <c r="CV75" s="856" t="str">
        <f aca="false">IF(BD75=0,"",$C75)</f>
        <v/>
      </c>
      <c r="CW75" s="907" t="n">
        <f aca="false">YEAR(BF75)</f>
        <v>2006</v>
      </c>
      <c r="CX75" s="908" t="n">
        <f aca="false">INDEX('NY Curve'!$A$4:$G$256,MATCH('Monthly Table'!B75,'NY Curve'!$A$4:$A$256,0),MATCH("New York 5 X 16",'NY Curve'!$A$4:$G$4,0))</f>
        <v>29.85</v>
      </c>
      <c r="CY75" s="909" t="n">
        <f aca="false">K75</f>
        <v>1.37083766970919</v>
      </c>
      <c r="CZ75" s="910" t="n">
        <f aca="false">CX75*CY75</f>
        <v>40.9195044408193</v>
      </c>
      <c r="DB75" s="911"/>
      <c r="DC75" s="911"/>
    </row>
    <row r="76" customFormat="false" ht="18.75" hidden="false" customHeight="true" outlineLevel="0" collapsed="false">
      <c r="A76" s="49" t="s">
        <v>815</v>
      </c>
      <c r="B76" s="863" t="n">
        <v>38869</v>
      </c>
      <c r="C76" s="288" t="n">
        <f aca="false">YEAR(B76)</f>
        <v>2006</v>
      </c>
      <c r="D76" s="864" t="n">
        <f aca="false">IF(A76="January",D75+1,D75)</f>
        <v>6</v>
      </c>
      <c r="E76" s="865" t="n">
        <v>22</v>
      </c>
      <c r="F76" s="866" t="n">
        <v>4</v>
      </c>
      <c r="G76" s="866" t="n">
        <v>4</v>
      </c>
      <c r="H76" s="866" t="n">
        <v>0</v>
      </c>
      <c r="I76" s="867" t="n">
        <f aca="false">SUM(E76:H76)</f>
        <v>30</v>
      </c>
      <c r="J76" s="868"/>
      <c r="K76" s="869" t="n">
        <f aca="false">INDEX(FX!$A$3:$C$362,MATCH(B76,FX!$A$3:$A$362,0),MATCH("Monthly Curve",FX!$A$2:$C$2,0))</f>
        <v>1.36973690367967</v>
      </c>
      <c r="L76" s="869"/>
      <c r="M76" s="914" t="n">
        <v>2.7885</v>
      </c>
      <c r="N76" s="915" t="n">
        <v>0.135</v>
      </c>
      <c r="O76" s="714" t="n">
        <v>0.05</v>
      </c>
      <c r="P76" s="872" t="n">
        <f aca="false">N76+O76</f>
        <v>0.185</v>
      </c>
      <c r="Q76" s="873" t="n">
        <f aca="false">SUM(M76:O76)</f>
        <v>2.9735</v>
      </c>
      <c r="R76" s="974" t="n">
        <f aca="false">IF(A76="January",(R75+R75*Assumptions!$E$32),R75)</f>
        <v>0.331583876188062</v>
      </c>
      <c r="S76" s="875" t="n">
        <f aca="false">(Q76*K76)+R76</f>
        <v>4.40449655927956</v>
      </c>
      <c r="T76" s="869"/>
      <c r="U76" s="983"/>
      <c r="V76" s="876"/>
      <c r="W76" s="876"/>
      <c r="X76" s="973"/>
      <c r="Y76" s="975" t="n">
        <f aca="false">Tables!$D$36</f>
        <v>312</v>
      </c>
      <c r="Z76" s="879" t="n">
        <f aca="false">IF($Z$10=$V$10,V76,IF($Z$10=$W$10,W76,IF($Z$10=$X$10,X76,0)))</f>
        <v>0</v>
      </c>
      <c r="AA76" s="880" t="n">
        <f aca="false">Y76*Z76</f>
        <v>0</v>
      </c>
      <c r="AB76" s="881" t="n">
        <f aca="false">AA76*K76</f>
        <v>0</v>
      </c>
      <c r="AC76" s="188"/>
      <c r="AD76" s="882" t="n">
        <f aca="false">IF(Tables!$E$30="Michigan",INDEX('Michigan Curve'!$A$4:$S$256,MATCH('Monthly Table'!B76,'Michigan Curve'!$A$4:$A$256,0),MATCH("Michigan Selected Option Value US$/month",'Michigan Curve'!$A$4:$S$4,0)),INDEX('NY Curve'!$A$4:$T$256,MATCH('Monthly Table'!B76,'NY Curve'!$A$4:$A$256,0),MATCH("New York Selected Option Value US$/month",'NY Curve'!$A$4:$T$4,0)))</f>
        <v>248012.022134841</v>
      </c>
      <c r="AE76" s="883" t="n">
        <f aca="false">AD76*K76</f>
        <v>339711.219274312</v>
      </c>
      <c r="AF76" s="188"/>
      <c r="AG76" s="884"/>
      <c r="AH76" s="188"/>
      <c r="AI76" s="885" t="n">
        <f aca="false">Assumptions!$B$50</f>
        <v>65</v>
      </c>
      <c r="AJ76" s="916"/>
      <c r="AK76" s="887" t="n">
        <f aca="false">IF(Tables!$E$30="Custom",'Monthly Table'!AI76,IF(Tables!$E$30="New York",INDEX('NY Curve'!$A$4:$G$256,MATCH('Monthly Table'!B76,'NY Curve'!$A$4:$A$256,0),MATCH("Super Peak Curve",'NY Curve'!$A$4:$G$4,0)),IF(Tables!$E$30="New York Flat",INDEX('NY Curve'!$A$4:$G$256,MATCH('Monthly Table'!B76,'NY Curve'!$A$4:$A$256,0),MATCH("Flat NY West",'NY Curve'!$A$4:$G$4,0)),INDEX('Michigan Curve'!$A$4:$F$256,MATCH('Monthly Table'!B76,'Michigan Curve'!$A$4:$A$256,0),MATCH("Michigan Super Peak Curve US$/MWhr",'Michigan Curve'!$A$4:$F$4,0)))))</f>
        <v>72.7108031984538</v>
      </c>
      <c r="AL76" s="888" t="n">
        <f aca="false">IF(D76&lt;=Tables!$B$21,IF($AL$10=$AI$10,AI76,IF($AL$10=$AJ$10,AJ76,IF($AL$10=$AK$10,AK76,0))),0)</f>
        <v>72.7108031984538</v>
      </c>
      <c r="AM76" s="889" t="n">
        <f aca="false">+AL76*K76</f>
        <v>99.594670437112</v>
      </c>
      <c r="AN76" s="890" t="n">
        <f aca="false">IF((AL76*K76)&gt;(CP76+$BF$4),1,0)</f>
        <v>1</v>
      </c>
      <c r="AO76" s="891"/>
      <c r="AP76" s="894"/>
      <c r="AQ76" s="892" t="n">
        <f aca="false">IF(Tables!$E$30="New York",INDEX('NY Curve'!$A$4:$L$256,MATCH('Monthly Table'!B76,'NY Curve'!$A$4:$A$256,0),MATCH("New York Shoulder Hour Curve Mon-Fri",'NY Curve'!$A$4:$L$4,0)),IF(Tables!$E$30="Michigan",INDEX('Michigan Curve'!$A$4:$K$256,MATCH('Monthly Table'!B76,'Michigan Curve'!$A$4:$A$256,0),MATCH("Michigan Shoulder Hour Curve Mon-Fri",'Michigan Curve'!$A$4:$K$4,0))))</f>
        <v>21.7891968015462</v>
      </c>
      <c r="AR76" s="889" t="n">
        <f aca="false">AQ76*K76</f>
        <v>29.8454669606168</v>
      </c>
      <c r="AS76" s="893" t="n">
        <f aca="false">IF(AR76&gt;($CP76+$BF$4),1,0)</f>
        <v>0</v>
      </c>
      <c r="AT76" s="188"/>
      <c r="AU76" s="892" t="n">
        <f aca="false">IF(Tables!$E$30="New York",INDEX('NY Curve'!$A$4:$L$256,MATCH('Monthly Table'!$B76,'NY Curve'!$A$4:$A$256,0),MATCH("New York Saturday Super Peak",'NY Curve'!$A$4:$L$4,0)),IF(Tables!$E$30="Michigan",INDEX('Michigan Curve'!$A$4:$K$256,MATCH('Monthly Table'!$B76,'Michigan Curve'!$A$4:$A$256,0),MATCH("Michigan Saturday Super Peak",'Michigan Curve'!$A$4:$K$4,0))))</f>
        <v>40.0101774213714</v>
      </c>
      <c r="AV76" s="894" t="n">
        <f aca="false">AU76*K76</f>
        <v>54.8034165368235</v>
      </c>
      <c r="AW76" s="893" t="n">
        <f aca="false">IF(AV76&gt;($CP76+$BF$4),1,0)</f>
        <v>0</v>
      </c>
      <c r="AX76" s="892" t="n">
        <f aca="false">IF(Tables!$E$30="New York",INDEX('NY Curve'!$A$4:$L$256,MATCH('Monthly Table'!$B76,'NY Curve'!$A$4:$A$256,0),MATCH("New York Saturday Shoulder Peak",'NY Curve'!$A$4:$L$4,0)),IF(Tables!$E$30="Michigan",INDEX('Michigan Curve'!$A$4:$K$256,MATCH('Monthly Table'!$B76,'Michigan Curve'!$A$4:$A$256,0),MATCH("Michigan Saturday Shoulder Peak",'Michigan Curve'!$A$4:$K$4,0))))</f>
        <v>11.9898225786286</v>
      </c>
      <c r="AY76" s="895" t="n">
        <f aca="false">AX76*K76</f>
        <v>16.4229024545193</v>
      </c>
      <c r="AZ76" s="893" t="n">
        <f aca="false">IF(AY76&gt;($CP76+$BF$4),1,0)</f>
        <v>0</v>
      </c>
      <c r="BA76" s="188"/>
      <c r="BB76" s="892" t="n">
        <f aca="false">IF(Tables!$E$30="New York",INDEX('NY Curve'!$A$4:$M$256,MATCH('Monthly Table'!$B76,'NY Curve'!$A$4:$A$256,0),MATCH("NY Sunday Super Peak",'NY Curve'!$A$4:$M$4,0)),IF(Tables!$E$30="Michigan",INDEX('Michigan Curve'!$A$4:$L$256,MATCH('Monthly Table'!$B76,'Michigan Curve'!$A$4:$A$256,0),MATCH("Michigan Sunday Super Peak",'Michigan Curve'!$A$4:$L$4,0))))</f>
        <v>36.9324714658813</v>
      </c>
      <c r="BC76" s="894" t="n">
        <f aca="false">BB76*K76</f>
        <v>50.587769110914</v>
      </c>
      <c r="BD76" s="893" t="n">
        <f aca="false">IF(BC76&gt;($CP76+$BF$4),1,0)</f>
        <v>0</v>
      </c>
      <c r="BE76" s="188"/>
      <c r="BF76" s="896" t="n">
        <f aca="false">B76</f>
        <v>38869</v>
      </c>
      <c r="BG76" s="897" t="n">
        <f aca="false">IF($AN76=1,$E76*$BF$5,0)</f>
        <v>176</v>
      </c>
      <c r="BH76" s="976" t="n">
        <f aca="false">IF(Tables!$B$36="Combined Cycle",(BF76-BF75)*24*Assumptions!$B$21,0)</f>
        <v>0</v>
      </c>
      <c r="BI76" s="714" t="n">
        <f aca="false">IF($AN76=1,$E76*$BF$5,0)</f>
        <v>176</v>
      </c>
      <c r="BJ76" s="898" t="n">
        <f aca="false">IF('Monthly Table'!D76&lt;=Tables!$B$21,IF($BJ$10=$BG$10,BG76,IF($BJ$10=$BH$10,BH76,IF($BJ$10=$BI$10,BI76,0))),0)</f>
        <v>176</v>
      </c>
      <c r="BK76" s="288"/>
      <c r="BL76" s="898" t="n">
        <f aca="false">IF($AW76=1,$F76*$BF$5,0)</f>
        <v>0</v>
      </c>
      <c r="BM76" s="898" t="n">
        <f aca="false">IF($BD76=1,($G76+H76)*$BF$5,0)</f>
        <v>0</v>
      </c>
      <c r="BO76" s="898" t="n">
        <f aca="false">IF(AS76=1,BJ76,0)</f>
        <v>0</v>
      </c>
      <c r="BP76" s="898" t="n">
        <f aca="false">IF(AZ76=1,F76*$BF$5,0)</f>
        <v>0</v>
      </c>
      <c r="BR76" s="899" t="n">
        <f aca="false">IF(BJ76&gt;0,INDEX(OperationalDetail,MATCH("Capacity Degradation",ODColumn,0),MATCH('Monthly Table'!C76,ODRow,0)),0)</f>
        <v>0.00216</v>
      </c>
      <c r="BS76" s="900" t="n">
        <f aca="false">BJ76*(1-BR76)*Tables!$C$36</f>
        <v>56900.82816</v>
      </c>
      <c r="BT76" s="883" t="n">
        <f aca="false">BS76*AL76/1000</f>
        <v>4137.3049181708</v>
      </c>
      <c r="BU76" s="883" t="n">
        <f aca="false">BT76*K76</f>
        <v>5667.01922819394</v>
      </c>
      <c r="BV76" s="188"/>
      <c r="BW76" s="901" t="n">
        <f aca="false">$BO76*(1-$BR76)*Tables!$C$36</f>
        <v>0</v>
      </c>
      <c r="BX76" s="902" t="n">
        <f aca="false">(BW76*AQ76)/1000</f>
        <v>0</v>
      </c>
      <c r="BY76" s="883" t="n">
        <f aca="false">BX76*K76</f>
        <v>0</v>
      </c>
      <c r="BZ76" s="188"/>
      <c r="CA76" s="901" t="n">
        <f aca="false">$BL76*(1-$BR76)*Tables!$C$36</f>
        <v>0</v>
      </c>
      <c r="CB76" s="902" t="n">
        <f aca="false">(CA76*AU76)/1000</f>
        <v>0</v>
      </c>
      <c r="CC76" s="883" t="n">
        <f aca="false">CB76*K76</f>
        <v>0</v>
      </c>
      <c r="CD76" s="901" t="n">
        <f aca="false">$BP76*(1-$BR76)*Tables!$C$36</f>
        <v>0</v>
      </c>
      <c r="CE76" s="902" t="n">
        <f aca="false">(CD76*AX76)/1000</f>
        <v>0</v>
      </c>
      <c r="CF76" s="883" t="n">
        <f aca="false">CE76*K76</f>
        <v>0</v>
      </c>
      <c r="CH76" s="901" t="n">
        <f aca="false">$BM76*(1-$BR76)*Tables!$C$36</f>
        <v>0</v>
      </c>
      <c r="CI76" s="902" t="n">
        <f aca="false">(CH76*BB76)/1000</f>
        <v>0</v>
      </c>
      <c r="CJ76" s="883" t="n">
        <f aca="false">CI76*K76</f>
        <v>0</v>
      </c>
      <c r="CK76" s="292"/>
      <c r="CL76" s="292" t="n">
        <f aca="false">C76-1</f>
        <v>2005</v>
      </c>
      <c r="CM76" s="903" t="n">
        <f aca="false">INDEX(OperationalDetail,MATCH("Degraded Heat Rate",ODColumn,0),MATCH('Monthly Table'!CL76,ODRow,0))/1000</f>
        <v>12.1940572</v>
      </c>
      <c r="CN76" s="904" t="n">
        <f aca="false">S76*CM76</f>
        <v>53.7086829810582</v>
      </c>
      <c r="CO76" s="905" t="n">
        <f aca="false">IF(A76="January",(CO75*(1+Assumptions!$E$32)),CO75)</f>
        <v>7.436674260054</v>
      </c>
      <c r="CP76" s="906" t="n">
        <f aca="false">CN76+CO76</f>
        <v>61.1453572411122</v>
      </c>
      <c r="CQ76" s="292"/>
      <c r="CR76" s="856" t="n">
        <f aca="false">IF(BJ76=0,"",C76)</f>
        <v>2006</v>
      </c>
      <c r="CS76" s="856" t="str">
        <f aca="false">IF(BO76=0,"",$C76)</f>
        <v/>
      </c>
      <c r="CT76" s="856" t="str">
        <f aca="false">IF(BL76=0,"",$C76)</f>
        <v/>
      </c>
      <c r="CU76" s="856" t="str">
        <f aca="false">IF(BP76=0,"",$C76)</f>
        <v/>
      </c>
      <c r="CV76" s="856" t="str">
        <f aca="false">IF(BD76=0,"",$C76)</f>
        <v/>
      </c>
      <c r="CW76" s="907" t="n">
        <f aca="false">YEAR(BF76)</f>
        <v>2006</v>
      </c>
      <c r="CX76" s="908" t="n">
        <f aca="false">INDEX('NY Curve'!$A$4:$G$256,MATCH('Monthly Table'!B76,'NY Curve'!$A$4:$A$256,0),MATCH("New York 5 X 16",'NY Curve'!$A$4:$G$4,0))</f>
        <v>48</v>
      </c>
      <c r="CY76" s="909" t="n">
        <f aca="false">K76</f>
        <v>1.36973690367967</v>
      </c>
      <c r="CZ76" s="910" t="n">
        <f aca="false">CX76*CY76</f>
        <v>65.7473713766242</v>
      </c>
      <c r="DB76" s="911"/>
      <c r="DC76" s="911"/>
    </row>
    <row r="77" customFormat="false" ht="18.75" hidden="false" customHeight="true" outlineLevel="0" collapsed="false">
      <c r="A77" s="49" t="s">
        <v>816</v>
      </c>
      <c r="B77" s="863" t="n">
        <v>38899</v>
      </c>
      <c r="C77" s="288" t="n">
        <f aca="false">YEAR(B77)</f>
        <v>2006</v>
      </c>
      <c r="D77" s="864" t="n">
        <f aca="false">IF(A77="January",D76+1,D76)</f>
        <v>6</v>
      </c>
      <c r="E77" s="865" t="n">
        <v>20</v>
      </c>
      <c r="F77" s="866" t="n">
        <v>5</v>
      </c>
      <c r="G77" s="866" t="n">
        <v>5</v>
      </c>
      <c r="H77" s="866" t="n">
        <v>1</v>
      </c>
      <c r="I77" s="867" t="n">
        <f aca="false">SUM(E77:H77)</f>
        <v>31</v>
      </c>
      <c r="J77" s="868"/>
      <c r="K77" s="869" t="n">
        <f aca="false">INDEX(FX!$A$3:$C$362,MATCH(B77,FX!$A$3:$A$362,0),MATCH("Monthly Curve",FX!$A$2:$C$2,0))</f>
        <v>1.36867271738782</v>
      </c>
      <c r="L77" s="869"/>
      <c r="M77" s="914" t="n">
        <v>2.7975</v>
      </c>
      <c r="N77" s="915" t="n">
        <v>0.135</v>
      </c>
      <c r="O77" s="714" t="n">
        <v>0.05</v>
      </c>
      <c r="P77" s="872" t="n">
        <f aca="false">N77+O77</f>
        <v>0.185</v>
      </c>
      <c r="Q77" s="873" t="n">
        <f aca="false">SUM(M77:O77)</f>
        <v>2.9825</v>
      </c>
      <c r="R77" s="974" t="n">
        <f aca="false">IF(A77="January",(R76+R76*Assumptions!$E$32),R76)</f>
        <v>0.331583876188062</v>
      </c>
      <c r="S77" s="875" t="n">
        <f aca="false">(Q77*K77)+R77</f>
        <v>4.41365025579724</v>
      </c>
      <c r="T77" s="869"/>
      <c r="U77" s="984"/>
      <c r="V77" s="876"/>
      <c r="W77" s="876"/>
      <c r="X77" s="971"/>
      <c r="Y77" s="975" t="n">
        <f aca="false">Tables!$D$36</f>
        <v>312</v>
      </c>
      <c r="Z77" s="879" t="n">
        <f aca="false">IF($Z$10=$V$10,V77,IF($Z$10=$W$10,W77,IF($Z$10=$X$10,X77,0)))</f>
        <v>0</v>
      </c>
      <c r="AA77" s="880" t="n">
        <f aca="false">Y77*Z77</f>
        <v>0</v>
      </c>
      <c r="AB77" s="881" t="n">
        <f aca="false">AA77*K77</f>
        <v>0</v>
      </c>
      <c r="AC77" s="188"/>
      <c r="AD77" s="882" t="n">
        <f aca="false">IF(Tables!$E$30="Michigan",INDEX('Michigan Curve'!$A$4:$S$256,MATCH('Monthly Table'!B77,'Michigan Curve'!$A$4:$A$256,0),MATCH("Michigan Selected Option Value US$/month",'Michigan Curve'!$A$4:$S$4,0)),INDEX('NY Curve'!$A$4:$T$256,MATCH('Monthly Table'!B77,'NY Curve'!$A$4:$A$256,0),MATCH("New York Selected Option Value US$/month",'NY Curve'!$A$4:$T$4,0)))</f>
        <v>451384.892323592</v>
      </c>
      <c r="AE77" s="883" t="n">
        <f aca="false">AD77*K77</f>
        <v>617798.18716434</v>
      </c>
      <c r="AF77" s="188"/>
      <c r="AG77" s="884"/>
      <c r="AH77" s="188"/>
      <c r="AI77" s="885" t="n">
        <f aca="false">Assumptions!$B$50</f>
        <v>65</v>
      </c>
      <c r="AJ77" s="916"/>
      <c r="AK77" s="887" t="n">
        <f aca="false">IF(Tables!$E$30="Custom",'Monthly Table'!AI77,IF(Tables!$E$30="New York",INDEX('NY Curve'!$A$4:$G$256,MATCH('Monthly Table'!B77,'NY Curve'!$A$4:$A$256,0),MATCH("Super Peak Curve",'NY Curve'!$A$4:$G$4,0)),IF(Tables!$E$30="New York Flat",INDEX('NY Curve'!$A$4:$G$256,MATCH('Monthly Table'!B77,'NY Curve'!$A$4:$A$256,0),MATCH("Flat NY West",'NY Curve'!$A$4:$G$4,0)),INDEX('Michigan Curve'!$A$4:$F$256,MATCH('Monthly Table'!B77,'Michigan Curve'!$A$4:$A$256,0),MATCH("Michigan Super Peak Curve US$/MWhr",'Michigan Curve'!$A$4:$F$4,0)))))</f>
        <v>121.294220339899</v>
      </c>
      <c r="AL77" s="888" t="n">
        <f aca="false">IF(D77&lt;=Tables!$B$21,IF($AL$10=$AI$10,AI77,IF($AL$10=$AJ$10,AJ77,IF($AL$10=$AK$10,AK77,0))),0)</f>
        <v>121.294220339899</v>
      </c>
      <c r="AM77" s="889" t="n">
        <f aca="false">+AL77*K77</f>
        <v>166.012090156047</v>
      </c>
      <c r="AN77" s="890" t="n">
        <f aca="false">IF((AL77*K77)&gt;(CP77+$BF$4),1,0)</f>
        <v>1</v>
      </c>
      <c r="AO77" s="891"/>
      <c r="AP77" s="894"/>
      <c r="AQ77" s="892" t="n">
        <f aca="false">IF(Tables!$E$30="New York",INDEX('NY Curve'!$A$4:$L$256,MATCH('Monthly Table'!B77,'NY Curve'!$A$4:$A$256,0),MATCH("New York Shoulder Hour Curve Mon-Fri",'NY Curve'!$A$4:$L$4,0)),IF(Tables!$E$30="Michigan",INDEX('Michigan Curve'!$A$4:$K$256,MATCH('Monthly Table'!B77,'Michigan Curve'!$A$4:$A$256,0),MATCH("Michigan Shoulder Hour Curve Mon-Fri",'Michigan Curve'!$A$4:$K$4,0))))</f>
        <v>26.7057796601008</v>
      </c>
      <c r="AR77" s="889" t="n">
        <f aca="false">AQ77*K77</f>
        <v>36.5514720173505</v>
      </c>
      <c r="AS77" s="893" t="n">
        <f aca="false">IF(AR77&gt;($CP77+$BF$4),1,0)</f>
        <v>0</v>
      </c>
      <c r="AT77" s="188"/>
      <c r="AU77" s="892" t="n">
        <f aca="false">IF(Tables!$E$30="New York",INDEX('NY Curve'!$A$4:$L$256,MATCH('Monthly Table'!$B77,'NY Curve'!$A$4:$A$256,0),MATCH("New York Saturday Super Peak",'NY Curve'!$A$4:$L$4,0)),IF(Tables!$E$30="Michigan",INDEX('Michigan Curve'!$A$4:$K$256,MATCH('Monthly Table'!$B77,'Michigan Curve'!$A$4:$A$256,0),MATCH("Michigan Saturday Super Peak",'Michigan Curve'!$A$4:$K$4,0))))</f>
        <v>57.368887998601</v>
      </c>
      <c r="AV77" s="894" t="n">
        <f aca="false">AU77*K77</f>
        <v>78.5192318305627</v>
      </c>
      <c r="AW77" s="893" t="n">
        <f aca="false">IF(AV77&gt;($CP77+$BF$4),1,0)</f>
        <v>1</v>
      </c>
      <c r="AX77" s="892" t="n">
        <f aca="false">IF(Tables!$E$30="New York",INDEX('NY Curve'!$A$4:$L$256,MATCH('Monthly Table'!$B77,'NY Curve'!$A$4:$A$256,0),MATCH("New York Saturday Shoulder Peak",'NY Curve'!$A$4:$L$4,0)),IF(Tables!$E$30="Michigan",INDEX('Michigan Curve'!$A$4:$K$256,MATCH('Monthly Table'!$B77,'Michigan Curve'!$A$4:$A$256,0),MATCH("Michigan Saturday Shoulder Peak",'Michigan Curve'!$A$4:$K$4,0))))</f>
        <v>12.631112001399</v>
      </c>
      <c r="AY77" s="895" t="n">
        <f aca="false">AX77*K77</f>
        <v>17.2878583865847</v>
      </c>
      <c r="AZ77" s="893" t="n">
        <f aca="false">IF(AY77&gt;($CP77+$BF$4),1,0)</f>
        <v>0</v>
      </c>
      <c r="BA77" s="188"/>
      <c r="BB77" s="892" t="n">
        <f aca="false">IF(Tables!$E$30="New York",INDEX('NY Curve'!$A$4:$M$256,MATCH('Monthly Table'!$B77,'NY Curve'!$A$4:$A$256,0),MATCH("NY Sunday Super Peak",'NY Curve'!$A$4:$M$4,0)),IF(Tables!$E$30="Michigan",INDEX('Michigan Curve'!$A$4:$L$256,MATCH('Monthly Table'!$B77,'Michigan Curve'!$A$4:$A$256,0),MATCH("Michigan Sunday Super Peak",'Michigan Curve'!$A$4:$L$4,0))))</f>
        <v>50.8124405295474</v>
      </c>
      <c r="BC77" s="894" t="n">
        <f aca="false">BB77*K77</f>
        <v>69.5456010566827</v>
      </c>
      <c r="BD77" s="893" t="n">
        <f aca="false">IF(BC77&gt;($CP77+$BF$4),1,0)</f>
        <v>1</v>
      </c>
      <c r="BE77" s="188"/>
      <c r="BF77" s="896" t="n">
        <f aca="false">B77</f>
        <v>38899</v>
      </c>
      <c r="BG77" s="897" t="n">
        <f aca="false">IF($AN77=1,$E77*$BF$5,0)</f>
        <v>160</v>
      </c>
      <c r="BH77" s="976" t="n">
        <f aca="false">IF(Tables!$B$36="Combined Cycle",(BF77-BF76)*24*Assumptions!$B$21,0)</f>
        <v>0</v>
      </c>
      <c r="BI77" s="714" t="n">
        <f aca="false">IF($AN77=1,$E77*$BF$5,0)</f>
        <v>160</v>
      </c>
      <c r="BJ77" s="898" t="n">
        <f aca="false">IF('Monthly Table'!D77&lt;=Tables!$B$21,IF($BJ$10=$BG$10,BG77,IF($BJ$10=$BH$10,BH77,IF($BJ$10=$BI$10,BI77,0))),0)</f>
        <v>160</v>
      </c>
      <c r="BK77" s="288"/>
      <c r="BL77" s="898" t="n">
        <f aca="false">IF($AW77=1,$F77*$BF$5,0)</f>
        <v>40</v>
      </c>
      <c r="BM77" s="898" t="n">
        <f aca="false">IF($BD77=1,($G77+H77)*$BF$5,0)</f>
        <v>48</v>
      </c>
      <c r="BO77" s="898" t="n">
        <f aca="false">IF(AS77=1,BJ77,0)</f>
        <v>0</v>
      </c>
      <c r="BP77" s="898" t="n">
        <f aca="false">IF(AZ77=1,F77*$BF$5,0)</f>
        <v>0</v>
      </c>
      <c r="BR77" s="899" t="n">
        <f aca="false">IF(BJ77&gt;0,INDEX(OperationalDetail,MATCH("Capacity Degradation",ODColumn,0),MATCH('Monthly Table'!C77,ODRow,0)),0)</f>
        <v>0.00216</v>
      </c>
      <c r="BS77" s="900" t="n">
        <f aca="false">BJ77*(1-BR77)*Tables!$C$36</f>
        <v>51728.0256</v>
      </c>
      <c r="BT77" s="883" t="n">
        <f aca="false">BS77*AL77/1000</f>
        <v>6274.31053487435</v>
      </c>
      <c r="BU77" s="883" t="n">
        <f aca="false">BT77*K77</f>
        <v>8587.4776495015</v>
      </c>
      <c r="BV77" s="188"/>
      <c r="BW77" s="901" t="n">
        <f aca="false">$BO77*(1-$BR77)*Tables!$C$36</f>
        <v>0</v>
      </c>
      <c r="BX77" s="902" t="n">
        <f aca="false">(BW77*AQ77)/1000</f>
        <v>0</v>
      </c>
      <c r="BY77" s="883" t="n">
        <f aca="false">BX77*K77</f>
        <v>0</v>
      </c>
      <c r="BZ77" s="188"/>
      <c r="CA77" s="901" t="n">
        <f aca="false">$BL77*(1-$BR77)*Tables!$C$36</f>
        <v>12932.0064</v>
      </c>
      <c r="CB77" s="902" t="n">
        <f aca="false">(CA77*AU77)/1000</f>
        <v>741.894826758791</v>
      </c>
      <c r="CC77" s="883" t="n">
        <f aca="false">CB77*K77</f>
        <v>1015.41120855592</v>
      </c>
      <c r="CD77" s="901" t="n">
        <f aca="false">$BP77*(1-$BR77)*Tables!$C$36</f>
        <v>0</v>
      </c>
      <c r="CE77" s="902" t="n">
        <f aca="false">(CD77*AX77)/1000</f>
        <v>0</v>
      </c>
      <c r="CF77" s="883" t="n">
        <f aca="false">CE77*K77</f>
        <v>0</v>
      </c>
      <c r="CH77" s="901" t="n">
        <f aca="false">$BM77*(1-$BR77)*Tables!$C$36</f>
        <v>15518.40768</v>
      </c>
      <c r="CI77" s="902" t="n">
        <f aca="false">(CH77*BB77)/1000</f>
        <v>788.528167353272</v>
      </c>
      <c r="CJ77" s="883" t="n">
        <f aca="false">CI77*K77</f>
        <v>1079.23698954824</v>
      </c>
      <c r="CK77" s="292"/>
      <c r="CL77" s="292" t="n">
        <f aca="false">C77-1</f>
        <v>2005</v>
      </c>
      <c r="CM77" s="903" t="n">
        <f aca="false">INDEX(OperationalDetail,MATCH("Degraded Heat Rate",ODColumn,0),MATCH('Monthly Table'!CL77,ODRow,0))/1000</f>
        <v>12.1940572</v>
      </c>
      <c r="CN77" s="904" t="n">
        <f aca="false">S77*CM77</f>
        <v>53.8203036799861</v>
      </c>
      <c r="CO77" s="905" t="n">
        <f aca="false">IF(A77="January",(CO76*(1+Assumptions!$E$32)),CO76)</f>
        <v>7.436674260054</v>
      </c>
      <c r="CP77" s="906" t="n">
        <f aca="false">CN77+CO77</f>
        <v>61.2569779400401</v>
      </c>
      <c r="CQ77" s="292"/>
      <c r="CR77" s="856" t="n">
        <f aca="false">IF(BJ77=0,"",C77)</f>
        <v>2006</v>
      </c>
      <c r="CS77" s="856" t="str">
        <f aca="false">IF(BO77=0,"",$C77)</f>
        <v/>
      </c>
      <c r="CT77" s="856" t="n">
        <f aca="false">IF(BL77=0,"",$C77)</f>
        <v>2006</v>
      </c>
      <c r="CU77" s="856" t="str">
        <f aca="false">IF(BP77=0,"",$C77)</f>
        <v/>
      </c>
      <c r="CV77" s="856" t="n">
        <f aca="false">IF(BD77=0,"",$C77)</f>
        <v>2006</v>
      </c>
      <c r="CW77" s="907" t="n">
        <f aca="false">YEAR(BF77)</f>
        <v>2006</v>
      </c>
      <c r="CX77" s="908" t="n">
        <f aca="false">INDEX('NY Curve'!$A$4:$G$256,MATCH('Monthly Table'!B77,'NY Curve'!$A$4:$A$256,0),MATCH("New York 5 X 16",'NY Curve'!$A$4:$G$4,0))</f>
        <v>71.5</v>
      </c>
      <c r="CY77" s="909" t="n">
        <f aca="false">K77</f>
        <v>1.36867271738782</v>
      </c>
      <c r="CZ77" s="910" t="n">
        <f aca="false">CX77*CY77</f>
        <v>97.8600992932291</v>
      </c>
      <c r="DB77" s="911"/>
      <c r="DC77" s="911"/>
    </row>
    <row r="78" customFormat="false" ht="18.75" hidden="false" customHeight="true" outlineLevel="0" collapsed="false">
      <c r="A78" s="49" t="s">
        <v>817</v>
      </c>
      <c r="B78" s="863" t="n">
        <v>38930</v>
      </c>
      <c r="C78" s="288" t="n">
        <f aca="false">YEAR(B78)</f>
        <v>2006</v>
      </c>
      <c r="D78" s="864" t="n">
        <f aca="false">IF(A78="January",D77+1,D77)</f>
        <v>6</v>
      </c>
      <c r="E78" s="865" t="n">
        <v>23</v>
      </c>
      <c r="F78" s="866" t="n">
        <v>4</v>
      </c>
      <c r="G78" s="866" t="n">
        <v>4</v>
      </c>
      <c r="H78" s="866" t="n">
        <v>0</v>
      </c>
      <c r="I78" s="867" t="n">
        <f aca="false">SUM(E78:H78)</f>
        <v>31</v>
      </c>
      <c r="J78" s="868"/>
      <c r="K78" s="869" t="n">
        <f aca="false">INDEX(FX!$A$3:$C$362,MATCH(B78,FX!$A$3:$A$362,0),MATCH("Monthly Curve",FX!$A$2:$C$2,0))</f>
        <v>1.36757416381831</v>
      </c>
      <c r="L78" s="869"/>
      <c r="M78" s="914" t="n">
        <v>2.8045</v>
      </c>
      <c r="N78" s="915" t="n">
        <v>0.135</v>
      </c>
      <c r="O78" s="714" t="n">
        <v>0.05</v>
      </c>
      <c r="P78" s="872" t="n">
        <f aca="false">N78+O78</f>
        <v>0.185</v>
      </c>
      <c r="Q78" s="873" t="n">
        <f aca="false">SUM(M78:O78)</f>
        <v>2.9895</v>
      </c>
      <c r="R78" s="974" t="n">
        <f aca="false">IF(A78="January",(R77+R77*Assumptions!$E$32),R77)</f>
        <v>0.331583876188062</v>
      </c>
      <c r="S78" s="875" t="n">
        <f aca="false">(Q78*K78)+R78</f>
        <v>4.4199468389229</v>
      </c>
      <c r="T78" s="869"/>
      <c r="U78" s="984"/>
      <c r="V78" s="876"/>
      <c r="W78" s="876"/>
      <c r="X78" s="971"/>
      <c r="Y78" s="975" t="n">
        <f aca="false">Tables!$D$36</f>
        <v>312</v>
      </c>
      <c r="Z78" s="879" t="n">
        <f aca="false">IF($Z$10=$V$10,V78,IF($Z$10=$W$10,W78,IF($Z$10=$X$10,X78,0)))</f>
        <v>0</v>
      </c>
      <c r="AA78" s="880" t="n">
        <f aca="false">Y78*Z78</f>
        <v>0</v>
      </c>
      <c r="AB78" s="881" t="n">
        <f aca="false">AA78*K78</f>
        <v>0</v>
      </c>
      <c r="AC78" s="188"/>
      <c r="AD78" s="882" t="n">
        <f aca="false">IF(Tables!$E$30="Michigan",INDEX('Michigan Curve'!$A$4:$S$256,MATCH('Monthly Table'!B78,'Michigan Curve'!$A$4:$A$256,0),MATCH("Michigan Selected Option Value US$/month",'Michigan Curve'!$A$4:$S$4,0)),INDEX('NY Curve'!$A$4:$T$256,MATCH('Monthly Table'!B78,'NY Curve'!$A$4:$A$256,0),MATCH("New York Selected Option Value US$/month",'NY Curve'!$A$4:$T$4,0)))</f>
        <v>415871.376589318</v>
      </c>
      <c r="AE78" s="883" t="n">
        <f aca="false">AD78*K78</f>
        <v>568734.950095106</v>
      </c>
      <c r="AF78" s="188"/>
      <c r="AG78" s="884"/>
      <c r="AH78" s="188"/>
      <c r="AI78" s="885" t="n">
        <f aca="false">Assumptions!$B$50</f>
        <v>65</v>
      </c>
      <c r="AJ78" s="916"/>
      <c r="AK78" s="887" t="n">
        <f aca="false">IF(Tables!$E$30="Custom",'Monthly Table'!AI78,IF(Tables!$E$30="New York",INDEX('NY Curve'!$A$4:$G$256,MATCH('Monthly Table'!B78,'NY Curve'!$A$4:$A$256,0),MATCH("Super Peak Curve",'NY Curve'!$A$4:$G$4,0)),IF(Tables!$E$30="New York Flat",INDEX('NY Curve'!$A$4:$G$256,MATCH('Monthly Table'!B78,'NY Curve'!$A$4:$A$256,0),MATCH("Flat NY West",'NY Curve'!$A$4:$G$4,0)),INDEX('Michigan Curve'!$A$4:$F$256,MATCH('Monthly Table'!B78,'Michigan Curve'!$A$4:$A$256,0),MATCH("Michigan Super Peak Curve US$/MWhr",'Michigan Curve'!$A$4:$F$4,0)))))</f>
        <v>121.294220339899</v>
      </c>
      <c r="AL78" s="888" t="n">
        <f aca="false">IF(D78&lt;=Tables!$B$21,IF($AL$10=$AI$10,AI78,IF($AL$10=$AJ$10,AJ78,IF($AL$10=$AK$10,AK78,0))),0)</f>
        <v>121.294220339899</v>
      </c>
      <c r="AM78" s="889" t="n">
        <f aca="false">+AL78*K78</f>
        <v>165.878841957332</v>
      </c>
      <c r="AN78" s="890" t="n">
        <f aca="false">IF((AL78*K78)&gt;(CP78+$BF$4),1,0)</f>
        <v>1</v>
      </c>
      <c r="AO78" s="891"/>
      <c r="AP78" s="894"/>
      <c r="AQ78" s="892" t="n">
        <f aca="false">IF(Tables!$E$30="New York",INDEX('NY Curve'!$A$4:$L$256,MATCH('Monthly Table'!B78,'NY Curve'!$A$4:$A$256,0),MATCH("New York Shoulder Hour Curve Mon-Fri",'NY Curve'!$A$4:$L$4,0)),IF(Tables!$E$30="Michigan",INDEX('Michigan Curve'!$A$4:$K$256,MATCH('Monthly Table'!B78,'Michigan Curve'!$A$4:$A$256,0),MATCH("Michigan Shoulder Hour Curve Mon-Fri",'Michigan Curve'!$A$4:$K$4,0))))</f>
        <v>26.7057796601008</v>
      </c>
      <c r="AR78" s="889" t="n">
        <f aca="false">AQ78*K78</f>
        <v>36.5221342877783</v>
      </c>
      <c r="AS78" s="893" t="n">
        <f aca="false">IF(AR78&gt;($CP78+$BF$4),1,0)</f>
        <v>0</v>
      </c>
      <c r="AT78" s="188"/>
      <c r="AU78" s="892" t="n">
        <f aca="false">IF(Tables!$E$30="New York",INDEX('NY Curve'!$A$4:$L$256,MATCH('Monthly Table'!$B78,'NY Curve'!$A$4:$A$256,0),MATCH("New York Saturday Super Peak",'NY Curve'!$A$4:$L$4,0)),IF(Tables!$E$30="Michigan",INDEX('Michigan Curve'!$A$4:$K$256,MATCH('Monthly Table'!$B78,'Michigan Curve'!$A$4:$A$256,0),MATCH("Michigan Saturday Super Peak",'Michigan Curve'!$A$4:$K$4,0))))</f>
        <v>57.3688942513136</v>
      </c>
      <c r="AV78" s="894" t="n">
        <f aca="false">AU78*K78</f>
        <v>78.4562175849212</v>
      </c>
      <c r="AW78" s="893" t="n">
        <f aca="false">IF(AV78&gt;($CP78+$BF$4),1,0)</f>
        <v>1</v>
      </c>
      <c r="AX78" s="892" t="n">
        <f aca="false">IF(Tables!$E$30="New York",INDEX('NY Curve'!$A$4:$L$256,MATCH('Monthly Table'!$B78,'NY Curve'!$A$4:$A$256,0),MATCH("New York Saturday Shoulder Peak",'NY Curve'!$A$4:$L$4,0)),IF(Tables!$E$30="Michigan",INDEX('Michigan Curve'!$A$4:$K$256,MATCH('Monthly Table'!$B78,'Michigan Curve'!$A$4:$A$256,0),MATCH("Michigan Saturday Shoulder Peak",'Michigan Curve'!$A$4:$K$4,0))))</f>
        <v>12.631113378081</v>
      </c>
      <c r="AY78" s="895" t="n">
        <f aca="false">AX78*K78</f>
        <v>17.2739843161233</v>
      </c>
      <c r="AZ78" s="893" t="n">
        <f aca="false">IF(AY78&gt;($CP78+$BF$4),1,0)</f>
        <v>0</v>
      </c>
      <c r="BA78" s="188"/>
      <c r="BB78" s="892" t="n">
        <f aca="false">IF(Tables!$E$30="New York",INDEX('NY Curve'!$A$4:$M$256,MATCH('Monthly Table'!$B78,'NY Curve'!$A$4:$A$256,0),MATCH("NY Sunday Super Peak",'NY Curve'!$A$4:$M$4,0)),IF(Tables!$E$30="Michigan",INDEX('Michigan Curve'!$A$4:$L$256,MATCH('Monthly Table'!$B78,'Michigan Curve'!$A$4:$A$256,0),MATCH("Michigan Sunday Super Peak",'Michigan Curve'!$A$4:$L$4,0))))</f>
        <v>50.8124436559037</v>
      </c>
      <c r="BC78" s="894" t="n">
        <f aca="false">BB78*K78</f>
        <v>69.4897851442876</v>
      </c>
      <c r="BD78" s="893" t="n">
        <f aca="false">IF(BC78&gt;($CP78+$BF$4),1,0)</f>
        <v>1</v>
      </c>
      <c r="BE78" s="188"/>
      <c r="BF78" s="896" t="n">
        <f aca="false">B78</f>
        <v>38930</v>
      </c>
      <c r="BG78" s="897" t="n">
        <f aca="false">IF($AN78=1,$E78*$BF$5,0)</f>
        <v>184</v>
      </c>
      <c r="BH78" s="976" t="n">
        <f aca="false">IF(Tables!$B$36="Combined Cycle",(BF78-BF77)*24*Assumptions!$B$21,0)</f>
        <v>0</v>
      </c>
      <c r="BI78" s="714" t="n">
        <f aca="false">IF($AN78=1,$E78*$BF$5,0)</f>
        <v>184</v>
      </c>
      <c r="BJ78" s="898" t="n">
        <f aca="false">IF('Monthly Table'!D78&lt;=Tables!$B$21,IF($BJ$10=$BG$10,BG78,IF($BJ$10=$BH$10,BH78,IF($BJ$10=$BI$10,BI78,0))),0)</f>
        <v>184</v>
      </c>
      <c r="BK78" s="288"/>
      <c r="BL78" s="898" t="n">
        <f aca="false">IF($AW78=1,$F78*$BF$5,0)</f>
        <v>32</v>
      </c>
      <c r="BM78" s="898" t="n">
        <f aca="false">IF($BD78=1,($G78+H78)*$BF$5,0)</f>
        <v>32</v>
      </c>
      <c r="BO78" s="898" t="n">
        <f aca="false">IF(AS78=1,BJ78,0)</f>
        <v>0</v>
      </c>
      <c r="BP78" s="898" t="n">
        <f aca="false">IF(AZ78=1,F78*$BF$5,0)</f>
        <v>0</v>
      </c>
      <c r="BR78" s="899" t="n">
        <f aca="false">IF(BJ78&gt;0,INDEX(OperationalDetail,MATCH("Capacity Degradation",ODColumn,0),MATCH('Monthly Table'!C78,ODRow,0)),0)</f>
        <v>0.00216</v>
      </c>
      <c r="BS78" s="900" t="n">
        <f aca="false">BJ78*(1-BR78)*Tables!$C$36</f>
        <v>59487.22944</v>
      </c>
      <c r="BT78" s="883" t="n">
        <f aca="false">BS78*AL78/1000</f>
        <v>7215.4571151055</v>
      </c>
      <c r="BU78" s="883" t="n">
        <f aca="false">BT78*K78</f>
        <v>9867.67273075728</v>
      </c>
      <c r="BV78" s="188"/>
      <c r="BW78" s="901" t="n">
        <f aca="false">$BO78*(1-$BR78)*Tables!$C$36</f>
        <v>0</v>
      </c>
      <c r="BX78" s="902" t="n">
        <f aca="false">(BW78*AQ78)/1000</f>
        <v>0</v>
      </c>
      <c r="BY78" s="883" t="n">
        <f aca="false">BX78*K78</f>
        <v>0</v>
      </c>
      <c r="BZ78" s="188"/>
      <c r="CA78" s="901" t="n">
        <f aca="false">$BL78*(1-$BR78)*Tables!$C$36</f>
        <v>10345.60512</v>
      </c>
      <c r="CB78" s="902" t="n">
        <f aca="false">(CA78*AU78)/1000</f>
        <v>593.515926095128</v>
      </c>
      <c r="CC78" s="883" t="n">
        <f aca="false">CB78*K78</f>
        <v>811.677046342395</v>
      </c>
      <c r="CD78" s="901" t="n">
        <f aca="false">$BP78*(1-$BR78)*Tables!$C$36</f>
        <v>0</v>
      </c>
      <c r="CE78" s="902" t="n">
        <f aca="false">(CD78*AX78)/1000</f>
        <v>0</v>
      </c>
      <c r="CF78" s="883" t="n">
        <f aca="false">CE78*K78</f>
        <v>0</v>
      </c>
      <c r="CH78" s="901" t="n">
        <f aca="false">$BM78*(1-$BR78)*Tables!$C$36</f>
        <v>10345.60512</v>
      </c>
      <c r="CI78" s="902" t="n">
        <f aca="false">(CH78*BB78)/1000</f>
        <v>525.685477246229</v>
      </c>
      <c r="CJ78" s="883" t="n">
        <f aca="false">CI78*K78</f>
        <v>718.913876976441</v>
      </c>
      <c r="CK78" s="292"/>
      <c r="CL78" s="292" t="n">
        <f aca="false">C78-1</f>
        <v>2005</v>
      </c>
      <c r="CM78" s="903" t="n">
        <f aca="false">INDEX(OperationalDetail,MATCH("Degraded Heat Rate",ODColumn,0),MATCH('Monthly Table'!CL78,ODRow,0))/1000</f>
        <v>12.1940572</v>
      </c>
      <c r="CN78" s="904" t="n">
        <f aca="false">S78*CM78</f>
        <v>53.897084574785</v>
      </c>
      <c r="CO78" s="905" t="n">
        <f aca="false">IF(A78="January",(CO77*(1+Assumptions!$E$32)),CO77)</f>
        <v>7.436674260054</v>
      </c>
      <c r="CP78" s="906" t="n">
        <f aca="false">CN78+CO78</f>
        <v>61.333758834839</v>
      </c>
      <c r="CQ78" s="292"/>
      <c r="CR78" s="856" t="n">
        <f aca="false">IF(BJ78=0,"",C78)</f>
        <v>2006</v>
      </c>
      <c r="CS78" s="856" t="str">
        <f aca="false">IF(BO78=0,"",$C78)</f>
        <v/>
      </c>
      <c r="CT78" s="856" t="n">
        <f aca="false">IF(BL78=0,"",$C78)</f>
        <v>2006</v>
      </c>
      <c r="CU78" s="856" t="str">
        <f aca="false">IF(BP78=0,"",$C78)</f>
        <v/>
      </c>
      <c r="CV78" s="856" t="n">
        <f aca="false">IF(BD78=0,"",$C78)</f>
        <v>2006</v>
      </c>
      <c r="CW78" s="907" t="n">
        <f aca="false">YEAR(BF78)</f>
        <v>2006</v>
      </c>
      <c r="CX78" s="908" t="n">
        <f aca="false">INDEX('NY Curve'!$A$4:$G$256,MATCH('Monthly Table'!B78,'NY Curve'!$A$4:$A$256,0),MATCH("New York 5 X 16",'NY Curve'!$A$4:$G$4,0))</f>
        <v>64</v>
      </c>
      <c r="CY78" s="909" t="n">
        <f aca="false">K78</f>
        <v>1.36757416381831</v>
      </c>
      <c r="CZ78" s="910" t="n">
        <f aca="false">CX78*CY78</f>
        <v>87.5247464843719</v>
      </c>
      <c r="DB78" s="911"/>
      <c r="DC78" s="911"/>
    </row>
    <row r="79" customFormat="false" ht="18.75" hidden="false" customHeight="true" outlineLevel="0" collapsed="false">
      <c r="A79" s="49" t="s">
        <v>818</v>
      </c>
      <c r="B79" s="863" t="n">
        <v>38961</v>
      </c>
      <c r="C79" s="288" t="n">
        <f aca="false">YEAR(B79)</f>
        <v>2006</v>
      </c>
      <c r="D79" s="864" t="n">
        <f aca="false">IF(A79="January",D78+1,D78)</f>
        <v>6</v>
      </c>
      <c r="E79" s="865" t="n">
        <v>20</v>
      </c>
      <c r="F79" s="866" t="n">
        <v>5</v>
      </c>
      <c r="G79" s="866" t="n">
        <v>4</v>
      </c>
      <c r="H79" s="866" t="n">
        <v>1</v>
      </c>
      <c r="I79" s="867" t="n">
        <f aca="false">SUM(E79:H79)</f>
        <v>30</v>
      </c>
      <c r="J79" s="868"/>
      <c r="K79" s="869" t="n">
        <f aca="false">INDEX(FX!$A$3:$C$362,MATCH(B79,FX!$A$3:$A$362,0),MATCH("Monthly Curve",FX!$A$2:$C$2,0))</f>
        <v>1.3664767326905</v>
      </c>
      <c r="L79" s="869"/>
      <c r="M79" s="914" t="n">
        <v>2.8115</v>
      </c>
      <c r="N79" s="915" t="n">
        <v>0.135</v>
      </c>
      <c r="O79" s="714" t="n">
        <v>0.05</v>
      </c>
      <c r="P79" s="872" t="n">
        <f aca="false">N79+O79</f>
        <v>0.185</v>
      </c>
      <c r="Q79" s="873" t="n">
        <f aca="false">SUM(M79:O79)</f>
        <v>2.9965</v>
      </c>
      <c r="R79" s="974" t="n">
        <f aca="false">IF(A79="January",(R78+R78*Assumptions!$E$32),R78)</f>
        <v>0.331583876188062</v>
      </c>
      <c r="S79" s="875" t="n">
        <f aca="false">(Q79*K79)+R79</f>
        <v>4.42623140569515</v>
      </c>
      <c r="T79" s="869"/>
      <c r="U79" s="984"/>
      <c r="V79" s="876"/>
      <c r="W79" s="876"/>
      <c r="X79" s="971"/>
      <c r="Y79" s="975" t="n">
        <f aca="false">Tables!$D$36</f>
        <v>312</v>
      </c>
      <c r="Z79" s="879" t="n">
        <f aca="false">IF($Z$10=$V$10,V79,IF($Z$10=$W$10,W79,IF($Z$10=$X$10,X79,0)))</f>
        <v>0</v>
      </c>
      <c r="AA79" s="880" t="n">
        <f aca="false">Y79*Z79</f>
        <v>0</v>
      </c>
      <c r="AB79" s="881" t="n">
        <f aca="false">AA79*K79</f>
        <v>0</v>
      </c>
      <c r="AC79" s="188"/>
      <c r="AD79" s="882" t="n">
        <f aca="false">IF(Tables!$E$30="Michigan",INDEX('Michigan Curve'!$A$4:$S$256,MATCH('Monthly Table'!B79,'Michigan Curve'!$A$4:$A$256,0),MATCH("Michigan Selected Option Value US$/month",'Michigan Curve'!$A$4:$S$4,0)),INDEX('NY Curve'!$A$4:$T$256,MATCH('Monthly Table'!B79,'NY Curve'!$A$4:$A$256,0),MATCH("New York Selected Option Value US$/month",'NY Curve'!$A$4:$T$4,0)))</f>
        <v>329712.444732717</v>
      </c>
      <c r="AE79" s="883" t="n">
        <f aca="false">AD79*K79</f>
        <v>450544.38420576</v>
      </c>
      <c r="AF79" s="188"/>
      <c r="AG79" s="884"/>
      <c r="AH79" s="188"/>
      <c r="AI79" s="885" t="n">
        <f aca="false">Assumptions!$B$50</f>
        <v>65</v>
      </c>
      <c r="AJ79" s="916"/>
      <c r="AK79" s="887" t="n">
        <f aca="false">IF(Tables!$E$30="Custom",'Monthly Table'!AI79,IF(Tables!$E$30="New York",INDEX('NY Curve'!$A$4:$G$256,MATCH('Monthly Table'!B79,'NY Curve'!$A$4:$A$256,0),MATCH("Super Peak Curve",'NY Curve'!$A$4:$G$4,0)),IF(Tables!$E$30="New York Flat",INDEX('NY Curve'!$A$4:$G$256,MATCH('Monthly Table'!B79,'NY Curve'!$A$4:$A$256,0),MATCH("Flat NY West",'NY Curve'!$A$4:$G$4,0)),INDEX('Michigan Curve'!$A$4:$F$256,MATCH('Monthly Table'!B79,'Michigan Curve'!$A$4:$A$256,0),MATCH("Michigan Super Peak Curve US$/MWhr",'Michigan Curve'!$A$4:$F$4,0)))))</f>
        <v>44.2534372657537</v>
      </c>
      <c r="AL79" s="888" t="n">
        <f aca="false">IF(D79&lt;=Tables!$B$21,IF($AL$10=$AI$10,AI79,IF($AL$10=$AJ$10,AJ79,IF($AL$10=$AK$10,AK79,0))),0)</f>
        <v>44.2534372657537</v>
      </c>
      <c r="AM79" s="889" t="n">
        <f aca="false">+AL79*K79</f>
        <v>60.4712923652312</v>
      </c>
      <c r="AN79" s="890" t="n">
        <f aca="false">IF((AL79*K79)&gt;(CP79+$BF$4),1,0)</f>
        <v>0</v>
      </c>
      <c r="AO79" s="891"/>
      <c r="AP79" s="894"/>
      <c r="AQ79" s="892" t="n">
        <f aca="false">IF(Tables!$E$30="New York",INDEX('NY Curve'!$A$4:$L$256,MATCH('Monthly Table'!B79,'NY Curve'!$A$4:$A$256,0),MATCH("New York Shoulder Hour Curve Mon-Fri",'NY Curve'!$A$4:$L$4,0)),IF(Tables!$E$30="Michigan",INDEX('Michigan Curve'!$A$4:$K$256,MATCH('Monthly Table'!B79,'Michigan Curve'!$A$4:$A$256,0),MATCH("Michigan Shoulder Hour Curve Mon-Fri",'Michigan Curve'!$A$4:$K$4,0))))</f>
        <v>21.2465627342463</v>
      </c>
      <c r="AR79" s="889" t="n">
        <f aca="false">AQ79*K79</f>
        <v>29.0329336259966</v>
      </c>
      <c r="AS79" s="893" t="n">
        <f aca="false">IF(AR79&gt;($CP79+$BF$4),1,0)</f>
        <v>0</v>
      </c>
      <c r="AT79" s="188"/>
      <c r="AU79" s="892" t="n">
        <f aca="false">IF(Tables!$E$30="New York",INDEX('NY Curve'!$A$4:$L$256,MATCH('Monthly Table'!$B79,'NY Curve'!$A$4:$A$256,0),MATCH("New York Saturday Super Peak",'NY Curve'!$A$4:$L$4,0)),IF(Tables!$E$30="Michigan",INDEX('Michigan Curve'!$A$4:$K$256,MATCH('Monthly Table'!$B79,'Michigan Curve'!$A$4:$A$256,0),MATCH("Michigan Saturday Super Peak",'Michigan Curve'!$A$4:$K$4,0))))</f>
        <v>33.7812498211861</v>
      </c>
      <c r="AV79" s="894" t="n">
        <f aca="false">AU79*K79</f>
        <v>46.1612918818559</v>
      </c>
      <c r="AW79" s="893" t="n">
        <f aca="false">IF(AV79&gt;($CP79+$BF$4),1,0)</f>
        <v>0</v>
      </c>
      <c r="AX79" s="892" t="n">
        <f aca="false">IF(Tables!$E$30="New York",INDEX('NY Curve'!$A$4:$L$256,MATCH('Monthly Table'!$B79,'NY Curve'!$A$4:$A$256,0),MATCH("New York Saturday Shoulder Peak",'NY Curve'!$A$4:$L$4,0)),IF(Tables!$E$30="Michigan",INDEX('Michigan Curve'!$A$4:$K$256,MATCH('Monthly Table'!$B79,'Michigan Curve'!$A$4:$A$256,0),MATCH("Michigan Saturday Shoulder Peak",'Michigan Curve'!$A$4:$K$4,0))))</f>
        <v>16.2187501788139</v>
      </c>
      <c r="AY79" s="895" t="n">
        <f aca="false">AX79*K79</f>
        <v>22.1625447526691</v>
      </c>
      <c r="AZ79" s="893" t="n">
        <f aca="false">IF(AY79&gt;($CP79+$BF$4),1,0)</f>
        <v>0</v>
      </c>
      <c r="BA79" s="188"/>
      <c r="BB79" s="892" t="n">
        <f aca="false">IF(Tables!$E$30="New York",INDEX('NY Curve'!$A$4:$M$256,MATCH('Monthly Table'!$B79,'NY Curve'!$A$4:$A$256,0),MATCH("NY Sunday Super Peak",'NY Curve'!$A$4:$M$4,0)),IF(Tables!$E$30="Michigan",INDEX('Michigan Curve'!$A$4:$L$256,MATCH('Monthly Table'!$B79,'Michigan Curve'!$A$4:$A$256,0),MATCH("Michigan Sunday Super Peak",'Michigan Curve'!$A$4:$L$4,0))))</f>
        <v>32.4299998283386</v>
      </c>
      <c r="BC79" s="894" t="n">
        <f aca="false">BB79*K79</f>
        <v>44.3148402065816</v>
      </c>
      <c r="BD79" s="893" t="n">
        <f aca="false">IF(BC79&gt;($CP79+$BF$4),1,0)</f>
        <v>0</v>
      </c>
      <c r="BE79" s="188"/>
      <c r="BF79" s="896" t="n">
        <f aca="false">B79</f>
        <v>38961</v>
      </c>
      <c r="BG79" s="897" t="n">
        <f aca="false">IF($AN79=1,$E79*$BF$5,0)</f>
        <v>0</v>
      </c>
      <c r="BH79" s="976" t="n">
        <f aca="false">IF(Tables!$B$36="Combined Cycle",(BF79-BF78)*24*Assumptions!$B$21,0)</f>
        <v>0</v>
      </c>
      <c r="BI79" s="714" t="n">
        <f aca="false">IF($AN79=1,$E79*$BF$5,0)</f>
        <v>0</v>
      </c>
      <c r="BJ79" s="898" t="n">
        <f aca="false">IF('Monthly Table'!D79&lt;=Tables!$B$21,IF($BJ$10=$BG$10,BG79,IF($BJ$10=$BH$10,BH79,IF($BJ$10=$BI$10,BI79,0))),0)</f>
        <v>0</v>
      </c>
      <c r="BK79" s="288"/>
      <c r="BL79" s="898" t="n">
        <f aca="false">IF($AW79=1,$F79*$BF$5,0)</f>
        <v>0</v>
      </c>
      <c r="BM79" s="898" t="n">
        <f aca="false">IF($BD79=1,($G79+H79)*$BF$5,0)</f>
        <v>0</v>
      </c>
      <c r="BO79" s="898" t="n">
        <f aca="false">IF(AS79=1,BJ79,0)</f>
        <v>0</v>
      </c>
      <c r="BP79" s="898" t="n">
        <f aca="false">IF(AZ79=1,F79*$BF$5,0)</f>
        <v>0</v>
      </c>
      <c r="BR79" s="899" t="n">
        <f aca="false">IF(BJ79&gt;0,INDEX(OperationalDetail,MATCH("Capacity Degradation",ODColumn,0),MATCH('Monthly Table'!C79,ODRow,0)),0)</f>
        <v>0</v>
      </c>
      <c r="BS79" s="900" t="n">
        <f aca="false">BJ79*(1-BR79)*Tables!$C$36</f>
        <v>0</v>
      </c>
      <c r="BT79" s="883" t="n">
        <f aca="false">BS79*AL79/1000</f>
        <v>0</v>
      </c>
      <c r="BU79" s="883" t="n">
        <f aca="false">BT79*K79</f>
        <v>0</v>
      </c>
      <c r="BV79" s="188"/>
      <c r="BW79" s="901" t="n">
        <f aca="false">$BO79*(1-$BR79)*Tables!$C$36</f>
        <v>0</v>
      </c>
      <c r="BX79" s="902" t="n">
        <f aca="false">(BW79*AQ79)/1000</f>
        <v>0</v>
      </c>
      <c r="BY79" s="883" t="n">
        <f aca="false">BX79*K79</f>
        <v>0</v>
      </c>
      <c r="BZ79" s="188"/>
      <c r="CA79" s="901" t="n">
        <f aca="false">$BL79*(1-$BR79)*Tables!$C$36</f>
        <v>0</v>
      </c>
      <c r="CB79" s="902" t="n">
        <f aca="false">(CA79*AU79)/1000</f>
        <v>0</v>
      </c>
      <c r="CC79" s="883" t="n">
        <f aca="false">CB79*K79</f>
        <v>0</v>
      </c>
      <c r="CD79" s="901" t="n">
        <f aca="false">$BP79*(1-$BR79)*Tables!$C$36</f>
        <v>0</v>
      </c>
      <c r="CE79" s="902" t="n">
        <f aca="false">(CD79*AX79)/1000</f>
        <v>0</v>
      </c>
      <c r="CF79" s="883" t="n">
        <f aca="false">CE79*K79</f>
        <v>0</v>
      </c>
      <c r="CH79" s="901" t="n">
        <f aca="false">$BM79*(1-$BR79)*Tables!$C$36</f>
        <v>0</v>
      </c>
      <c r="CI79" s="902" t="n">
        <f aca="false">(CH79*BB79)/1000</f>
        <v>0</v>
      </c>
      <c r="CJ79" s="883" t="n">
        <f aca="false">CI79*K79</f>
        <v>0</v>
      </c>
      <c r="CK79" s="292"/>
      <c r="CL79" s="292" t="n">
        <f aca="false">C79-1</f>
        <v>2005</v>
      </c>
      <c r="CM79" s="903" t="n">
        <f aca="false">INDEX(OperationalDetail,MATCH("Degraded Heat Rate",ODColumn,0),MATCH('Monthly Table'!CL79,ODRow,0))/1000</f>
        <v>12.1940572</v>
      </c>
      <c r="CN79" s="904" t="n">
        <f aca="false">S79*CM79</f>
        <v>53.973718941483</v>
      </c>
      <c r="CO79" s="905" t="n">
        <f aca="false">IF(A79="January",(CO78*(1+Assumptions!$E$32)),CO78)</f>
        <v>7.436674260054</v>
      </c>
      <c r="CP79" s="906" t="n">
        <f aca="false">CN79+CO79</f>
        <v>61.410393201537</v>
      </c>
      <c r="CQ79" s="292"/>
      <c r="CR79" s="856" t="str">
        <f aca="false">IF(BJ79=0,"",C79)</f>
        <v/>
      </c>
      <c r="CS79" s="856" t="str">
        <f aca="false">IF(BO79=0,"",$C79)</f>
        <v/>
      </c>
      <c r="CT79" s="856" t="str">
        <f aca="false">IF(BL79=0,"",$C79)</f>
        <v/>
      </c>
      <c r="CU79" s="856" t="str">
        <f aca="false">IF(BP79=0,"",$C79)</f>
        <v/>
      </c>
      <c r="CV79" s="856" t="str">
        <f aca="false">IF(BD79=0,"",$C79)</f>
        <v/>
      </c>
      <c r="CW79" s="907" t="n">
        <f aca="false">YEAR(BF79)</f>
        <v>2006</v>
      </c>
      <c r="CX79" s="908" t="n">
        <f aca="false">INDEX('NY Curve'!$A$4:$G$256,MATCH('Monthly Table'!B79,'NY Curve'!$A$4:$A$256,0),MATCH("New York 5 X 16",'NY Curve'!$A$4:$G$4,0))</f>
        <v>29.85</v>
      </c>
      <c r="CY79" s="909" t="n">
        <f aca="false">K79</f>
        <v>1.3664767326905</v>
      </c>
      <c r="CZ79" s="910" t="n">
        <f aca="false">CX79*CY79</f>
        <v>40.7893304708114</v>
      </c>
      <c r="DB79" s="911"/>
      <c r="DC79" s="911"/>
    </row>
    <row r="80" customFormat="false" ht="18.75" hidden="false" customHeight="true" outlineLevel="0" collapsed="false">
      <c r="A80" s="49" t="s">
        <v>819</v>
      </c>
      <c r="B80" s="863" t="n">
        <v>38991</v>
      </c>
      <c r="C80" s="288" t="n">
        <f aca="false">YEAR(B80)</f>
        <v>2006</v>
      </c>
      <c r="D80" s="864" t="n">
        <f aca="false">IF(A80="January",D79+1,D79)</f>
        <v>6</v>
      </c>
      <c r="E80" s="865" t="n">
        <v>22</v>
      </c>
      <c r="F80" s="866" t="n">
        <v>4</v>
      </c>
      <c r="G80" s="866" t="n">
        <v>5</v>
      </c>
      <c r="H80" s="866" t="n">
        <v>0</v>
      </c>
      <c r="I80" s="867" t="n">
        <f aca="false">SUM(E80:H80)</f>
        <v>31</v>
      </c>
      <c r="J80" s="868"/>
      <c r="K80" s="869" t="n">
        <f aca="false">INDEX(FX!$A$3:$C$362,MATCH(B80,FX!$A$3:$A$362,0),MATCH("Monthly Curve",FX!$A$2:$C$2,0))</f>
        <v>1.36541577006207</v>
      </c>
      <c r="L80" s="869"/>
      <c r="M80" s="914" t="n">
        <v>2.8385</v>
      </c>
      <c r="N80" s="915" t="n">
        <v>0.135</v>
      </c>
      <c r="O80" s="714" t="n">
        <v>0.05</v>
      </c>
      <c r="P80" s="872" t="n">
        <f aca="false">N80+O80</f>
        <v>0.185</v>
      </c>
      <c r="Q80" s="873" t="n">
        <f aca="false">SUM(M80:O80)</f>
        <v>3.0235</v>
      </c>
      <c r="R80" s="974" t="n">
        <f aca="false">IF(A80="January",(R79+R79*Assumptions!$E$32),R79)</f>
        <v>0.331583876188062</v>
      </c>
      <c r="S80" s="875" t="n">
        <f aca="false">(Q80*K80)+R80</f>
        <v>4.45991845697073</v>
      </c>
      <c r="T80" s="869"/>
      <c r="U80" s="984"/>
      <c r="V80" s="978"/>
      <c r="W80" s="978"/>
      <c r="X80" s="971"/>
      <c r="Y80" s="975" t="n">
        <f aca="false">Tables!$D$36</f>
        <v>312</v>
      </c>
      <c r="Z80" s="879" t="n">
        <f aca="false">IF($Z$10=$V$10,V80,IF($Z$10=$W$10,W80,IF($Z$10=$X$10,X80,0)))</f>
        <v>0</v>
      </c>
      <c r="AA80" s="880" t="n">
        <f aca="false">Y80*Z80</f>
        <v>0</v>
      </c>
      <c r="AB80" s="881" t="n">
        <f aca="false">AA80*K80</f>
        <v>0</v>
      </c>
      <c r="AC80" s="188"/>
      <c r="AD80" s="882" t="n">
        <f aca="false">IF(Tables!$E$30="Michigan",INDEX('Michigan Curve'!$A$4:$S$256,MATCH('Monthly Table'!B80,'Michigan Curve'!$A$4:$A$256,0),MATCH("Michigan Selected Option Value US$/month",'Michigan Curve'!$A$4:$S$4,0)),INDEX('NY Curve'!$A$4:$T$256,MATCH('Monthly Table'!B80,'NY Curve'!$A$4:$A$256,0),MATCH("New York Selected Option Value US$/month",'NY Curve'!$A$4:$T$4,0)))</f>
        <v>23692.308908009</v>
      </c>
      <c r="AE80" s="883" t="n">
        <f aca="false">AD80*K80</f>
        <v>32349.8522121775</v>
      </c>
      <c r="AF80" s="188"/>
      <c r="AG80" s="884"/>
      <c r="AH80" s="188"/>
      <c r="AI80" s="885" t="n">
        <f aca="false">Assumptions!$B$50</f>
        <v>65</v>
      </c>
      <c r="AJ80" s="916"/>
      <c r="AK80" s="887" t="n">
        <f aca="false">IF(Tables!$E$30="Custom",'Monthly Table'!AI80,IF(Tables!$E$30="New York",INDEX('NY Curve'!$A$4:$G$256,MATCH('Monthly Table'!B80,'NY Curve'!$A$4:$A$256,0),MATCH("Super Peak Curve",'NY Curve'!$A$4:$G$4,0)),IF(Tables!$E$30="New York Flat",INDEX('NY Curve'!$A$4:$G$256,MATCH('Monthly Table'!B80,'NY Curve'!$A$4:$A$256,0),MATCH("Flat NY West",'NY Curve'!$A$4:$G$4,0)),INDEX('Michigan Curve'!$A$4:$F$256,MATCH('Monthly Table'!B80,'Michigan Curve'!$A$4:$A$256,0),MATCH("Michigan Super Peak Curve US$/MWhr",'Michigan Curve'!$A$4:$F$4,0)))))</f>
        <v>25.8499946594238</v>
      </c>
      <c r="AL80" s="888" t="n">
        <f aca="false">IF(D80&lt;=Tables!$B$21,IF($AL$10=$AI$10,AI80,IF($AL$10=$AJ$10,AJ80,IF($AL$10=$AK$10,AK80,0))),0)</f>
        <v>25.8499946594238</v>
      </c>
      <c r="AM80" s="889" t="n">
        <f aca="false">+AL80*K80</f>
        <v>35.2959903639976</v>
      </c>
      <c r="AN80" s="890" t="n">
        <f aca="false">IF((AL80*K80)&gt;(CP80+$BF$4),1,0)</f>
        <v>0</v>
      </c>
      <c r="AO80" s="891"/>
      <c r="AP80" s="894"/>
      <c r="AQ80" s="892" t="n">
        <f aca="false">IF(Tables!$E$30="New York",INDEX('NY Curve'!$A$4:$L$256,MATCH('Monthly Table'!B80,'NY Curve'!$A$4:$A$256,0),MATCH("New York Shoulder Hour Curve Mon-Fri",'NY Curve'!$A$4:$L$4,0)),IF(Tables!$E$30="Michigan",INDEX('Michigan Curve'!$A$4:$K$256,MATCH('Monthly Table'!B80,'Michigan Curve'!$A$4:$A$256,0),MATCH("Michigan Shoulder Hour Curve Mon-Fri",'Michigan Curve'!$A$4:$K$4,0))))</f>
        <v>25.8499946594238</v>
      </c>
      <c r="AR80" s="889" t="n">
        <f aca="false">AQ80*K80</f>
        <v>35.2959903639976</v>
      </c>
      <c r="AS80" s="893" t="n">
        <f aca="false">IF(AR80&gt;($CP80+$BF$4),1,0)</f>
        <v>0</v>
      </c>
      <c r="AT80" s="188"/>
      <c r="AU80" s="892" t="n">
        <f aca="false">IF(Tables!$E$30="New York",INDEX('NY Curve'!$A$4:$L$256,MATCH('Monthly Table'!$B80,'NY Curve'!$A$4:$A$256,0),MATCH("New York Saturday Super Peak",'NY Curve'!$A$4:$L$4,0)),IF(Tables!$E$30="Michigan",INDEX('Michigan Curve'!$A$4:$K$256,MATCH('Monthly Table'!$B80,'Michigan Curve'!$A$4:$A$256,0),MATCH("Michigan Saturday Super Peak",'Michigan Curve'!$A$4:$K$4,0))))</f>
        <v>19.996000289917</v>
      </c>
      <c r="AV80" s="894" t="n">
        <f aca="false">AU80*K80</f>
        <v>27.3028541340184</v>
      </c>
      <c r="AW80" s="893" t="n">
        <f aca="false">IF(AV80&gt;($CP80+$BF$4),1,0)</f>
        <v>0</v>
      </c>
      <c r="AX80" s="892" t="n">
        <f aca="false">IF(Tables!$E$30="New York",INDEX('NY Curve'!$A$4:$L$256,MATCH('Monthly Table'!$B80,'NY Curve'!$A$4:$A$256,0),MATCH("New York Saturday Shoulder Peak",'NY Curve'!$A$4:$L$4,0)),IF(Tables!$E$30="Michigan",INDEX('Michigan Curve'!$A$4:$K$256,MATCH('Monthly Table'!$B80,'Michigan Curve'!$A$4:$A$256,0),MATCH("Michigan Saturday Shoulder Peak",'Michigan Curve'!$A$4:$K$4,0))))</f>
        <v>19.996000289917</v>
      </c>
      <c r="AY80" s="895" t="n">
        <f aca="false">AX80*K80</f>
        <v>27.3028541340184</v>
      </c>
      <c r="AZ80" s="893" t="n">
        <f aca="false">IF(AY80&gt;($CP80+$BF$4),1,0)</f>
        <v>0</v>
      </c>
      <c r="BA80" s="188"/>
      <c r="BB80" s="892" t="n">
        <f aca="false">IF(Tables!$E$30="New York",INDEX('NY Curve'!$A$4:$M$256,MATCH('Monthly Table'!$B80,'NY Curve'!$A$4:$A$256,0),MATCH("NY Sunday Super Peak",'NY Curve'!$A$4:$M$4,0)),IF(Tables!$E$30="Michigan",INDEX('Michigan Curve'!$A$4:$L$256,MATCH('Monthly Table'!$B80,'Michigan Curve'!$A$4:$A$256,0),MATCH("Michigan Sunday Super Peak",'Michigan Curve'!$A$4:$L$4,0))))</f>
        <v>18.9965000152588</v>
      </c>
      <c r="BC80" s="894" t="n">
        <f aca="false">BB80*K80</f>
        <v>25.9381206968187</v>
      </c>
      <c r="BD80" s="893" t="n">
        <f aca="false">IF(BC80&gt;($CP80+$BF$4),1,0)</f>
        <v>0</v>
      </c>
      <c r="BE80" s="188"/>
      <c r="BF80" s="896" t="n">
        <f aca="false">B80</f>
        <v>38991</v>
      </c>
      <c r="BG80" s="897" t="n">
        <f aca="false">IF($AN80=1,$E80*$BF$5,0)</f>
        <v>0</v>
      </c>
      <c r="BH80" s="976" t="n">
        <f aca="false">IF(Tables!$B$36="Combined Cycle",(BF80-BF79)*24*Assumptions!$B$21,0)</f>
        <v>0</v>
      </c>
      <c r="BI80" s="714" t="n">
        <f aca="false">IF($AN80=1,$E80*$BF$5,0)</f>
        <v>0</v>
      </c>
      <c r="BJ80" s="898" t="n">
        <f aca="false">IF('Monthly Table'!D80&lt;=Tables!$B$21,IF($BJ$10=$BG$10,BG80,IF($BJ$10=$BH$10,BH80,IF($BJ$10=$BI$10,BI80,0))),0)</f>
        <v>0</v>
      </c>
      <c r="BK80" s="288"/>
      <c r="BL80" s="898" t="n">
        <f aca="false">IF($AW80=1,$F80*$BF$5,0)</f>
        <v>0</v>
      </c>
      <c r="BM80" s="898" t="n">
        <f aca="false">IF($BD80=1,($G80+H80)*$BF$5,0)</f>
        <v>0</v>
      </c>
      <c r="BO80" s="898" t="n">
        <f aca="false">IF(AS80=1,BJ80,0)</f>
        <v>0</v>
      </c>
      <c r="BP80" s="898" t="n">
        <f aca="false">IF(AZ80=1,F80*$BF$5,0)</f>
        <v>0</v>
      </c>
      <c r="BR80" s="899" t="n">
        <f aca="false">IF(BJ80&gt;0,INDEX(OperationalDetail,MATCH("Capacity Degradation",ODColumn,0),MATCH('Monthly Table'!C80,ODRow,0)),0)</f>
        <v>0</v>
      </c>
      <c r="BS80" s="900" t="n">
        <f aca="false">BJ80*(1-BR80)*Tables!$C$36</f>
        <v>0</v>
      </c>
      <c r="BT80" s="883" t="n">
        <f aca="false">BS80*AL80/1000</f>
        <v>0</v>
      </c>
      <c r="BU80" s="883" t="n">
        <f aca="false">BT80*K80</f>
        <v>0</v>
      </c>
      <c r="BV80" s="188"/>
      <c r="BW80" s="901" t="n">
        <f aca="false">$BO80*(1-$BR80)*Tables!$C$36</f>
        <v>0</v>
      </c>
      <c r="BX80" s="902" t="n">
        <f aca="false">(BW80*AQ80)/1000</f>
        <v>0</v>
      </c>
      <c r="BY80" s="883" t="n">
        <f aca="false">BX80*K80</f>
        <v>0</v>
      </c>
      <c r="BZ80" s="188"/>
      <c r="CA80" s="901" t="n">
        <f aca="false">$BL80*(1-$BR80)*Tables!$C$36</f>
        <v>0</v>
      </c>
      <c r="CB80" s="902" t="n">
        <f aca="false">(CA80*AU80)/1000</f>
        <v>0</v>
      </c>
      <c r="CC80" s="883" t="n">
        <f aca="false">CB80*K80</f>
        <v>0</v>
      </c>
      <c r="CD80" s="901" t="n">
        <f aca="false">$BP80*(1-$BR80)*Tables!$C$36</f>
        <v>0</v>
      </c>
      <c r="CE80" s="902" t="n">
        <f aca="false">(CD80*AX80)/1000</f>
        <v>0</v>
      </c>
      <c r="CF80" s="883" t="n">
        <f aca="false">CE80*K80</f>
        <v>0</v>
      </c>
      <c r="CH80" s="901" t="n">
        <f aca="false">$BM80*(1-$BR80)*Tables!$C$36</f>
        <v>0</v>
      </c>
      <c r="CI80" s="902" t="n">
        <f aca="false">(CH80*BB80)/1000</f>
        <v>0</v>
      </c>
      <c r="CJ80" s="883" t="n">
        <f aca="false">CI80*K80</f>
        <v>0</v>
      </c>
      <c r="CK80" s="292"/>
      <c r="CL80" s="292" t="n">
        <f aca="false">C80-1</f>
        <v>2005</v>
      </c>
      <c r="CM80" s="903" t="n">
        <f aca="false">INDEX(OperationalDetail,MATCH("Degraded Heat Rate",ODColumn,0),MATCH('Monthly Table'!CL80,ODRow,0))/1000</f>
        <v>12.1940572</v>
      </c>
      <c r="CN80" s="904" t="n">
        <f aca="false">S80*CM80</f>
        <v>54.3845007716368</v>
      </c>
      <c r="CO80" s="905" t="n">
        <f aca="false">IF(A80="January",(CO79*(1+Assumptions!$E$32)),CO79)</f>
        <v>7.436674260054</v>
      </c>
      <c r="CP80" s="906" t="n">
        <f aca="false">CN80+CO80</f>
        <v>61.8211750316908</v>
      </c>
      <c r="CQ80" s="292"/>
      <c r="CR80" s="856" t="str">
        <f aca="false">IF(BJ80=0,"",C80)</f>
        <v/>
      </c>
      <c r="CS80" s="856" t="str">
        <f aca="false">IF(BO80=0,"",$C80)</f>
        <v/>
      </c>
      <c r="CT80" s="856" t="str">
        <f aca="false">IF(BL80=0,"",$C80)</f>
        <v/>
      </c>
      <c r="CU80" s="856" t="str">
        <f aca="false">IF(BP80=0,"",$C80)</f>
        <v/>
      </c>
      <c r="CV80" s="856" t="str">
        <f aca="false">IF(BD80=0,"",$C80)</f>
        <v/>
      </c>
      <c r="CW80" s="907" t="n">
        <f aca="false">YEAR(BF80)</f>
        <v>2006</v>
      </c>
      <c r="CX80" s="908" t="n">
        <f aca="false">INDEX('NY Curve'!$A$4:$G$256,MATCH('Monthly Table'!B80,'NY Curve'!$A$4:$A$256,0),MATCH("New York 5 X 16",'NY Curve'!$A$4:$G$4,0))</f>
        <v>25.6</v>
      </c>
      <c r="CY80" s="909" t="n">
        <f aca="false">K80</f>
        <v>1.36541577006207</v>
      </c>
      <c r="CZ80" s="910" t="n">
        <f aca="false">CX80*CY80</f>
        <v>34.954643713589</v>
      </c>
      <c r="DB80" s="911"/>
      <c r="DC80" s="911"/>
    </row>
    <row r="81" customFormat="false" ht="18.75" hidden="false" customHeight="true" outlineLevel="0" collapsed="false">
      <c r="A81" s="49" t="s">
        <v>820</v>
      </c>
      <c r="B81" s="863" t="n">
        <v>39022</v>
      </c>
      <c r="C81" s="288" t="n">
        <f aca="false">YEAR(B81)</f>
        <v>2006</v>
      </c>
      <c r="D81" s="864" t="n">
        <f aca="false">IF(A81="January",D80+1,D80)</f>
        <v>6</v>
      </c>
      <c r="E81" s="865" t="n">
        <v>21</v>
      </c>
      <c r="F81" s="866" t="n">
        <v>4</v>
      </c>
      <c r="G81" s="866" t="n">
        <v>4</v>
      </c>
      <c r="H81" s="866" t="n">
        <v>1</v>
      </c>
      <c r="I81" s="867" t="n">
        <f aca="false">SUM(E81:H81)</f>
        <v>30</v>
      </c>
      <c r="J81" s="868"/>
      <c r="K81" s="869" t="n">
        <f aca="false">INDEX(FX!$A$3:$C$362,MATCH(B81,FX!$A$3:$A$362,0),MATCH("Monthly Curve",FX!$A$2:$C$2,0))</f>
        <v>1.36432054383333</v>
      </c>
      <c r="L81" s="869"/>
      <c r="M81" s="914" t="n">
        <v>2.9745</v>
      </c>
      <c r="N81" s="915" t="n">
        <v>0.225</v>
      </c>
      <c r="O81" s="714" t="n">
        <v>0.05</v>
      </c>
      <c r="P81" s="872" t="n">
        <f aca="false">N81+O81</f>
        <v>0.275</v>
      </c>
      <c r="Q81" s="873" t="n">
        <f aca="false">SUM(M81:O81)</f>
        <v>3.2495</v>
      </c>
      <c r="R81" s="974" t="n">
        <f aca="false">IF(A81="January",(R80+R80*Assumptions!$E$32),R80)</f>
        <v>0.331583876188062</v>
      </c>
      <c r="S81" s="875" t="n">
        <f aca="false">(Q81*K81)+R81</f>
        <v>4.76494348337447</v>
      </c>
      <c r="T81" s="869"/>
      <c r="U81" s="984"/>
      <c r="V81" s="978"/>
      <c r="W81" s="978"/>
      <c r="X81" s="971"/>
      <c r="Y81" s="975" t="n">
        <f aca="false">Tables!$D$36</f>
        <v>312</v>
      </c>
      <c r="Z81" s="879" t="n">
        <f aca="false">IF($Z$10=$V$10,V81,IF($Z$10=$W$10,W81,IF($Z$10=$X$10,X81,0)))</f>
        <v>0</v>
      </c>
      <c r="AA81" s="880" t="n">
        <f aca="false">Y81*Z81</f>
        <v>0</v>
      </c>
      <c r="AB81" s="881" t="n">
        <f aca="false">AA81*K81</f>
        <v>0</v>
      </c>
      <c r="AC81" s="188"/>
      <c r="AD81" s="882" t="n">
        <f aca="false">IF(Tables!$E$30="Michigan",INDEX('Michigan Curve'!$A$4:$S$256,MATCH('Monthly Table'!B81,'Michigan Curve'!$A$4:$A$256,0),MATCH("Michigan Selected Option Value US$/month",'Michigan Curve'!$A$4:$S$4,0)),INDEX('NY Curve'!$A$4:$T$256,MATCH('Monthly Table'!B81,'NY Curve'!$A$4:$A$256,0),MATCH("New York Selected Option Value US$/month",'NY Curve'!$A$4:$T$4,0)))</f>
        <v>42977.100945397</v>
      </c>
      <c r="AE81" s="883" t="n">
        <f aca="false">AD81*K81</f>
        <v>58634.541734204</v>
      </c>
      <c r="AF81" s="188"/>
      <c r="AG81" s="884"/>
      <c r="AH81" s="188"/>
      <c r="AI81" s="885" t="n">
        <f aca="false">Assumptions!$B$50</f>
        <v>65</v>
      </c>
      <c r="AJ81" s="916"/>
      <c r="AK81" s="887" t="n">
        <f aca="false">IF(Tables!$E$30="Custom",'Monthly Table'!AI81,IF(Tables!$E$30="New York",INDEX('NY Curve'!$A$4:$G$256,MATCH('Monthly Table'!B81,'NY Curve'!$A$4:$A$256,0),MATCH("Super Peak Curve",'NY Curve'!$A$4:$G$4,0)),IF(Tables!$E$30="New York Flat",INDEX('NY Curve'!$A$4:$G$256,MATCH('Monthly Table'!B81,'NY Curve'!$A$4:$A$256,0),MATCH("Flat NY West",'NY Curve'!$A$4:$G$4,0)),INDEX('Michigan Curve'!$A$4:$F$256,MATCH('Monthly Table'!B81,'Michigan Curve'!$A$4:$A$256,0),MATCH("Michigan Super Peak Curve US$/MWhr",'Michigan Curve'!$A$4:$F$4,0)))))</f>
        <v>27.7883953857422</v>
      </c>
      <c r="AL81" s="888" t="n">
        <f aca="false">IF(D81&lt;=Tables!$B$21,IF($AL$10=$AI$10,AI81,IF($AL$10=$AJ$10,AJ81,IF($AL$10=$AK$10,AK81,0))),0)</f>
        <v>27.7883953857422</v>
      </c>
      <c r="AM81" s="889" t="n">
        <f aca="false">+AL81*K81</f>
        <v>37.9122787049314</v>
      </c>
      <c r="AN81" s="890" t="n">
        <f aca="false">IF((AL81*K81)&gt;(CP81+$BF$4),1,0)</f>
        <v>0</v>
      </c>
      <c r="AO81" s="891"/>
      <c r="AP81" s="894"/>
      <c r="AQ81" s="892" t="n">
        <f aca="false">IF(Tables!$E$30="New York",INDEX('NY Curve'!$A$4:$L$256,MATCH('Monthly Table'!B81,'NY Curve'!$A$4:$A$256,0),MATCH("New York Shoulder Hour Curve Mon-Fri",'NY Curve'!$A$4:$L$4,0)),IF(Tables!$E$30="Michigan",INDEX('Michigan Curve'!$A$4:$K$256,MATCH('Monthly Table'!B81,'Michigan Curve'!$A$4:$A$256,0),MATCH("Michigan Shoulder Hour Curve Mon-Fri",'Michigan Curve'!$A$4:$K$4,0))))</f>
        <v>23.6715960693359</v>
      </c>
      <c r="AR81" s="889" t="n">
        <f aca="false">AQ81*K81</f>
        <v>32.2956448227193</v>
      </c>
      <c r="AS81" s="893" t="n">
        <f aca="false">IF(AR81&gt;($CP81+$BF$4),1,0)</f>
        <v>0</v>
      </c>
      <c r="AT81" s="188"/>
      <c r="AU81" s="892" t="n">
        <f aca="false">IF(Tables!$E$30="New York",INDEX('NY Curve'!$A$4:$L$256,MATCH('Monthly Table'!$B81,'NY Curve'!$A$4:$A$256,0),MATCH("New York Saturday Super Peak",'NY Curve'!$A$4:$L$4,0)),IF(Tables!$E$30="Michigan",INDEX('Michigan Curve'!$A$4:$K$256,MATCH('Monthly Table'!$B81,'Michigan Curve'!$A$4:$A$256,0),MATCH("Michigan Saturday Super Peak",'Michigan Curve'!$A$4:$K$4,0))))</f>
        <v>21.6</v>
      </c>
      <c r="AV81" s="894" t="n">
        <f aca="false">AU81*K81</f>
        <v>29.4693237467999</v>
      </c>
      <c r="AW81" s="893" t="n">
        <f aca="false">IF(AV81&gt;($CP81+$BF$4),1,0)</f>
        <v>0</v>
      </c>
      <c r="AX81" s="892" t="n">
        <f aca="false">IF(Tables!$E$30="New York",INDEX('NY Curve'!$A$4:$L$256,MATCH('Monthly Table'!$B81,'NY Curve'!$A$4:$A$256,0),MATCH("New York Saturday Shoulder Peak",'NY Curve'!$A$4:$L$4,0)),IF(Tables!$E$30="Michigan",INDEX('Michigan Curve'!$A$4:$K$256,MATCH('Monthly Table'!$B81,'Michigan Curve'!$A$4:$A$256,0),MATCH("Michigan Saturday Shoulder Peak",'Michigan Curve'!$A$4:$K$4,0))))</f>
        <v>18.4</v>
      </c>
      <c r="AY81" s="895" t="n">
        <f aca="false">AX81*K81</f>
        <v>25.1034980065333</v>
      </c>
      <c r="AZ81" s="893" t="n">
        <f aca="false">IF(AY81&gt;($CP81+$BF$4),1,0)</f>
        <v>0</v>
      </c>
      <c r="BA81" s="188"/>
      <c r="BB81" s="892" t="n">
        <f aca="false">IF(Tables!$E$30="New York",INDEX('NY Curve'!$A$4:$M$256,MATCH('Monthly Table'!$B81,'NY Curve'!$A$4:$A$256,0),MATCH("NY Sunday Super Peak",'NY Curve'!$A$4:$M$4,0)),IF(Tables!$E$30="Michigan",INDEX('Michigan Curve'!$A$4:$L$256,MATCH('Monthly Table'!$B81,'Michigan Curve'!$A$4:$A$256,0),MATCH("Michigan Sunday Super Peak",'Michigan Curve'!$A$4:$L$4,0))))</f>
        <v>20.52</v>
      </c>
      <c r="BC81" s="894" t="n">
        <f aca="false">BB81*K81</f>
        <v>27.9958575594599</v>
      </c>
      <c r="BD81" s="893" t="n">
        <f aca="false">IF(BC81&gt;($CP81+$BF$4),1,0)</f>
        <v>0</v>
      </c>
      <c r="BE81" s="188"/>
      <c r="BF81" s="896" t="n">
        <f aca="false">B81</f>
        <v>39022</v>
      </c>
      <c r="BG81" s="897" t="n">
        <f aca="false">IF($AN81=1,$E81*$BF$5,0)</f>
        <v>0</v>
      </c>
      <c r="BH81" s="976" t="n">
        <f aca="false">IF(Tables!$B$36="Combined Cycle",(BF81-BF80)*24*Assumptions!$B$21,0)</f>
        <v>0</v>
      </c>
      <c r="BI81" s="714" t="n">
        <f aca="false">IF($AN81=1,$E81*$BF$5,0)</f>
        <v>0</v>
      </c>
      <c r="BJ81" s="898" t="n">
        <f aca="false">IF('Monthly Table'!D81&lt;=Tables!$B$21,IF($BJ$10=$BG$10,BG81,IF($BJ$10=$BH$10,BH81,IF($BJ$10=$BI$10,BI81,0))),0)</f>
        <v>0</v>
      </c>
      <c r="BK81" s="288"/>
      <c r="BL81" s="898" t="n">
        <f aca="false">IF($AW81=1,$F81*$BF$5,0)</f>
        <v>0</v>
      </c>
      <c r="BM81" s="898" t="n">
        <f aca="false">IF($BD81=1,($G81+H81)*$BF$5,0)</f>
        <v>0</v>
      </c>
      <c r="BO81" s="898" t="n">
        <f aca="false">IF(AS81=1,BJ81,0)</f>
        <v>0</v>
      </c>
      <c r="BP81" s="898" t="n">
        <f aca="false">IF(AZ81=1,F81*$BF$5,0)</f>
        <v>0</v>
      </c>
      <c r="BR81" s="899" t="n">
        <f aca="false">IF(BJ81&gt;0,INDEX(OperationalDetail,MATCH("Capacity Degradation",ODColumn,0),MATCH('Monthly Table'!C81,ODRow,0)),0)</f>
        <v>0</v>
      </c>
      <c r="BS81" s="900" t="n">
        <f aca="false">BJ81*(1-BR81)*Tables!$C$36</f>
        <v>0</v>
      </c>
      <c r="BT81" s="883" t="n">
        <f aca="false">BS81*AL81/1000</f>
        <v>0</v>
      </c>
      <c r="BU81" s="883" t="n">
        <f aca="false">BT81*K81</f>
        <v>0</v>
      </c>
      <c r="BV81" s="188"/>
      <c r="BW81" s="901" t="n">
        <f aca="false">$BO81*(1-$BR81)*Tables!$C$36</f>
        <v>0</v>
      </c>
      <c r="BX81" s="902" t="n">
        <f aca="false">(BW81*AQ81)/1000</f>
        <v>0</v>
      </c>
      <c r="BY81" s="883" t="n">
        <f aca="false">BX81*K81</f>
        <v>0</v>
      </c>
      <c r="BZ81" s="188"/>
      <c r="CA81" s="901" t="n">
        <f aca="false">$BL81*(1-$BR81)*Tables!$C$36</f>
        <v>0</v>
      </c>
      <c r="CB81" s="902" t="n">
        <f aca="false">(CA81*AU81)/1000</f>
        <v>0</v>
      </c>
      <c r="CC81" s="883" t="n">
        <f aca="false">CB81*K81</f>
        <v>0</v>
      </c>
      <c r="CD81" s="901" t="n">
        <f aca="false">$BP81*(1-$BR81)*Tables!$C$36</f>
        <v>0</v>
      </c>
      <c r="CE81" s="902" t="n">
        <f aca="false">(CD81*AX81)/1000</f>
        <v>0</v>
      </c>
      <c r="CF81" s="883" t="n">
        <f aca="false">CE81*K81</f>
        <v>0</v>
      </c>
      <c r="CH81" s="901" t="n">
        <f aca="false">$BM81*(1-$BR81)*Tables!$C$36</f>
        <v>0</v>
      </c>
      <c r="CI81" s="902" t="n">
        <f aca="false">(CH81*BB81)/1000</f>
        <v>0</v>
      </c>
      <c r="CJ81" s="883" t="n">
        <f aca="false">CI81*K81</f>
        <v>0</v>
      </c>
      <c r="CK81" s="292"/>
      <c r="CL81" s="292" t="n">
        <f aca="false">C81-1</f>
        <v>2005</v>
      </c>
      <c r="CM81" s="903" t="n">
        <f aca="false">INDEX(OperationalDetail,MATCH("Degraded Heat Rate",ODColumn,0),MATCH('Monthly Table'!CL81,ODRow,0))/1000</f>
        <v>12.1940572</v>
      </c>
      <c r="CN81" s="904" t="n">
        <f aca="false">S81*CM81</f>
        <v>58.1039933910355</v>
      </c>
      <c r="CO81" s="905" t="n">
        <f aca="false">IF(A81="January",(CO80*(1+Assumptions!$E$32)),CO80)</f>
        <v>7.436674260054</v>
      </c>
      <c r="CP81" s="906" t="n">
        <f aca="false">CN81+CO81</f>
        <v>65.5406676510895</v>
      </c>
      <c r="CQ81" s="292"/>
      <c r="CR81" s="856" t="str">
        <f aca="false">IF(BJ81=0,"",C81)</f>
        <v/>
      </c>
      <c r="CS81" s="856" t="str">
        <f aca="false">IF(BO81=0,"",$C81)</f>
        <v/>
      </c>
      <c r="CT81" s="856" t="str">
        <f aca="false">IF(BL81=0,"",$C81)</f>
        <v/>
      </c>
      <c r="CU81" s="856" t="str">
        <f aca="false">IF(BP81=0,"",$C81)</f>
        <v/>
      </c>
      <c r="CV81" s="856" t="str">
        <f aca="false">IF(BD81=0,"",$C81)</f>
        <v/>
      </c>
      <c r="CW81" s="907" t="n">
        <f aca="false">YEAR(BF81)</f>
        <v>2006</v>
      </c>
      <c r="CX81" s="908" t="n">
        <f aca="false">INDEX('NY Curve'!$A$4:$G$256,MATCH('Monthly Table'!B81,'NY Curve'!$A$4:$A$256,0),MATCH("New York 5 X 16",'NY Curve'!$A$4:$G$4,0))</f>
        <v>26.1</v>
      </c>
      <c r="CY81" s="909" t="n">
        <f aca="false">K81</f>
        <v>1.36432054383333</v>
      </c>
      <c r="CZ81" s="910" t="n">
        <f aca="false">CX81*CY81</f>
        <v>35.6087661940499</v>
      </c>
      <c r="DB81" s="911"/>
      <c r="DC81" s="911"/>
    </row>
    <row r="82" customFormat="false" ht="18.75" hidden="false" customHeight="true" outlineLevel="0" collapsed="false">
      <c r="A82" s="110" t="s">
        <v>821</v>
      </c>
      <c r="B82" s="918" t="n">
        <v>39052</v>
      </c>
      <c r="C82" s="917" t="n">
        <f aca="false">YEAR(B82)</f>
        <v>2006</v>
      </c>
      <c r="D82" s="919" t="n">
        <f aca="false">IF(A82="January",D81+1,D81)</f>
        <v>6</v>
      </c>
      <c r="E82" s="865" t="n">
        <v>20</v>
      </c>
      <c r="F82" s="866" t="n">
        <v>5</v>
      </c>
      <c r="G82" s="866" t="n">
        <v>5</v>
      </c>
      <c r="H82" s="866" t="n">
        <v>1</v>
      </c>
      <c r="I82" s="867" t="n">
        <f aca="false">SUM(E82:H82)</f>
        <v>31</v>
      </c>
      <c r="J82" s="923"/>
      <c r="K82" s="924" t="n">
        <f aca="false">INDEX(FX!$A$3:$C$362,MATCH(B82,FX!$A$3:$A$362,0),MATCH("Monthly Curve",FX!$A$2:$C$2,0))</f>
        <v>1.36326171255853</v>
      </c>
      <c r="L82" s="924"/>
      <c r="M82" s="925" t="n">
        <v>3.1005</v>
      </c>
      <c r="N82" s="926" t="n">
        <v>0.265</v>
      </c>
      <c r="O82" s="927" t="n">
        <v>0.05</v>
      </c>
      <c r="P82" s="928" t="n">
        <f aca="false">N82+O82</f>
        <v>0.315</v>
      </c>
      <c r="Q82" s="929" t="n">
        <f aca="false">SUM(M82:O82)</f>
        <v>3.4155</v>
      </c>
      <c r="R82" s="979" t="n">
        <f aca="false">IF(A82="January",(R81+R81*Assumptions!$E$32),R81)</f>
        <v>0.331583876188062</v>
      </c>
      <c r="S82" s="931" t="n">
        <f aca="false">(Q82*K82)+R82</f>
        <v>4.98780425543172</v>
      </c>
      <c r="T82" s="924"/>
      <c r="U82" s="983"/>
      <c r="V82" s="980"/>
      <c r="W82" s="980"/>
      <c r="X82" s="972"/>
      <c r="Y82" s="981" t="n">
        <f aca="false">Tables!$D$36</f>
        <v>312</v>
      </c>
      <c r="Z82" s="935" t="n">
        <f aca="false">IF($Z$10=$V$10,V82,IF($Z$10=$W$10,W82,IF($Z$10=$X$10,X82,0)))</f>
        <v>0</v>
      </c>
      <c r="AA82" s="936" t="n">
        <f aca="false">Y82*Z82</f>
        <v>0</v>
      </c>
      <c r="AB82" s="937" t="n">
        <f aca="false">AA82*K82</f>
        <v>0</v>
      </c>
      <c r="AC82" s="938"/>
      <c r="AD82" s="882" t="n">
        <f aca="false">IF(Tables!$E$30="Michigan",INDEX('Michigan Curve'!$A$4:$S$256,MATCH('Monthly Table'!B82,'Michigan Curve'!$A$4:$A$256,0),MATCH("Michigan Selected Option Value US$/month",'Michigan Curve'!$A$4:$S$4,0)),INDEX('NY Curve'!$A$4:$T$256,MATCH('Monthly Table'!B82,'NY Curve'!$A$4:$A$256,0),MATCH("New York Selected Option Value US$/month",'NY Curve'!$A$4:$T$4,0)))</f>
        <v>23475.5177345799</v>
      </c>
      <c r="AE82" s="883" t="n">
        <f aca="false">AD82*K82</f>
        <v>32003.2745100415</v>
      </c>
      <c r="AF82" s="938"/>
      <c r="AG82" s="939"/>
      <c r="AH82" s="938"/>
      <c r="AI82" s="885" t="n">
        <f aca="false">Assumptions!$B$50</f>
        <v>65</v>
      </c>
      <c r="AJ82" s="940"/>
      <c r="AK82" s="887" t="n">
        <f aca="false">IF(Tables!$E$30="Custom",'Monthly Table'!AI82,IF(Tables!$E$30="New York",INDEX('NY Curve'!$A$4:$G$256,MATCH('Monthly Table'!B82,'NY Curve'!$A$4:$A$256,0),MATCH("Super Peak Curve",'NY Curve'!$A$4:$G$4,0)),IF(Tables!$E$30="New York Flat",INDEX('NY Curve'!$A$4:$G$256,MATCH('Monthly Table'!B82,'NY Curve'!$A$4:$A$256,0),MATCH("Flat NY West",'NY Curve'!$A$4:$G$4,0)),INDEX('Michigan Curve'!$A$4:$F$256,MATCH('Monthly Table'!B82,'Michigan Curve'!$A$4:$A$256,0),MATCH("Michigan Super Peak Curve US$/MWhr",'Michigan Curve'!$A$4:$F$4,0)))))</f>
        <v>26.7239949417114</v>
      </c>
      <c r="AL82" s="941" t="n">
        <f aca="false">IF(D82&lt;=Tables!$B$21,IF($AL$10=$AI$10,AI82,IF($AL$10=$AJ$10,AJ82,IF($AL$10=$AK$10,AK82,0))),0)</f>
        <v>26.7239949417114</v>
      </c>
      <c r="AM82" s="942" t="n">
        <f aca="false">+AL82*K82</f>
        <v>36.431799110643</v>
      </c>
      <c r="AN82" s="943" t="n">
        <f aca="false">IF((AL82*K82)&gt;(CP82+$BF$4),1,0)</f>
        <v>0</v>
      </c>
      <c r="AO82" s="944"/>
      <c r="AP82" s="894"/>
      <c r="AQ82" s="892" t="n">
        <f aca="false">IF(Tables!$E$30="New York",INDEX('NY Curve'!$A$4:$L$256,MATCH('Monthly Table'!B82,'NY Curve'!$A$4:$A$256,0),MATCH("New York Shoulder Hour Curve Mon-Fri",'NY Curve'!$A$4:$L$4,0)),IF(Tables!$E$30="Michigan",INDEX('Michigan Curve'!$A$4:$K$256,MATCH('Monthly Table'!B82,'Michigan Curve'!$A$4:$A$256,0),MATCH("Michigan Shoulder Hour Curve Mon-Fri",'Michigan Curve'!$A$4:$K$4,0))))</f>
        <v>25.6759951400757</v>
      </c>
      <c r="AR82" s="889" t="n">
        <f aca="false">AQ82*K82</f>
        <v>35.0031011063041</v>
      </c>
      <c r="AS82" s="893" t="n">
        <f aca="false">IF(AR82&gt;($CP82+$BF$4),1,0)</f>
        <v>0</v>
      </c>
      <c r="AT82" s="938"/>
      <c r="AU82" s="892" t="n">
        <f aca="false">IF(Tables!$E$30="New York",INDEX('NY Curve'!$A$4:$L$256,MATCH('Monthly Table'!$B82,'NY Curve'!$A$4:$A$256,0),MATCH("New York Saturday Super Peak",'NY Curve'!$A$4:$L$4,0)),IF(Tables!$E$30="Michigan",INDEX('Michigan Curve'!$A$4:$K$256,MATCH('Monthly Table'!$B82,'Michigan Curve'!$A$4:$A$256,0),MATCH("Michigan Saturday Super Peak",'Michigan Curve'!$A$4:$K$4,0))))</f>
        <v>20.4</v>
      </c>
      <c r="AV82" s="894" t="n">
        <f aca="false">AU82*K82</f>
        <v>27.810538936194</v>
      </c>
      <c r="AW82" s="893" t="n">
        <f aca="false">IF(AV82&gt;($CP82+$BF$4),1,0)</f>
        <v>0</v>
      </c>
      <c r="AX82" s="892" t="n">
        <f aca="false">IF(Tables!$E$30="New York",INDEX('NY Curve'!$A$4:$L$256,MATCH('Monthly Table'!$B82,'NY Curve'!$A$4:$A$256,0),MATCH("New York Saturday Shoulder Peak",'NY Curve'!$A$4:$L$4,0)),IF(Tables!$E$30="Michigan",INDEX('Michigan Curve'!$A$4:$K$256,MATCH('Monthly Table'!$B82,'Michigan Curve'!$A$4:$A$256,0),MATCH("Michigan Saturday Shoulder Peak",'Michigan Curve'!$A$4:$K$4,0))))</f>
        <v>19.6</v>
      </c>
      <c r="AY82" s="895" t="n">
        <f aca="false">AX82*K82</f>
        <v>26.7199295661472</v>
      </c>
      <c r="AZ82" s="893" t="n">
        <f aca="false">IF(AY82&gt;($CP82+$BF$4),1,0)</f>
        <v>0</v>
      </c>
      <c r="BA82" s="938"/>
      <c r="BB82" s="892" t="n">
        <f aca="false">IF(Tables!$E$30="New York",INDEX('NY Curve'!$A$4:$M$256,MATCH('Monthly Table'!$B82,'NY Curve'!$A$4:$A$256,0),MATCH("NY Sunday Super Peak",'NY Curve'!$A$4:$M$4,0)),IF(Tables!$E$30="Michigan",INDEX('Michigan Curve'!$A$4:$L$256,MATCH('Monthly Table'!$B82,'Michigan Curve'!$A$4:$A$256,0),MATCH("Michigan Sunday Super Peak",'Michigan Curve'!$A$4:$L$4,0))))</f>
        <v>19.38</v>
      </c>
      <c r="BC82" s="894" t="n">
        <f aca="false">BB82*K82</f>
        <v>26.4200119893843</v>
      </c>
      <c r="BD82" s="893" t="n">
        <f aca="false">IF(BC82&gt;($CP82+$BF$4),1,0)</f>
        <v>0</v>
      </c>
      <c r="BE82" s="938"/>
      <c r="BF82" s="948" t="n">
        <f aca="false">B82</f>
        <v>39052</v>
      </c>
      <c r="BG82" s="897" t="n">
        <f aca="false">IF($AN82=1,$E82*$BF$5,0)</f>
        <v>0</v>
      </c>
      <c r="BH82" s="982" t="n">
        <f aca="false">IF(Tables!$B$36="Combined Cycle",(BF82-BF81)*24*Assumptions!$B$21,0)</f>
        <v>0</v>
      </c>
      <c r="BI82" s="714" t="n">
        <f aca="false">IF($AN82=1,$E82*$BF$5,0)</f>
        <v>0</v>
      </c>
      <c r="BJ82" s="950" t="n">
        <f aca="false">IF('Monthly Table'!D82&lt;=Tables!$B$21,IF($BJ$10=$BG$10,BG82,IF($BJ$10=$BH$10,BH82,IF($BJ$10=$BI$10,BI82,0))),0)</f>
        <v>0</v>
      </c>
      <c r="BK82" s="288"/>
      <c r="BL82" s="898" t="n">
        <f aca="false">IF($AW82=1,$F82*$BF$5,0)</f>
        <v>0</v>
      </c>
      <c r="BM82" s="898" t="n">
        <f aca="false">IF($BD82=1,($G82+H82)*$BF$5,0)</f>
        <v>0</v>
      </c>
      <c r="BO82" s="898" t="n">
        <f aca="false">IF(AS82=1,BJ82,0)</f>
        <v>0</v>
      </c>
      <c r="BP82" s="898" t="n">
        <f aca="false">IF(AZ82=1,F82*$BF$5,0)</f>
        <v>0</v>
      </c>
      <c r="BR82" s="951" t="n">
        <f aca="false">IF(BJ82&gt;0,INDEX(OperationalDetail,MATCH("Capacity Degradation",ODColumn,0),MATCH('Monthly Table'!C82,ODRow,0)),0)</f>
        <v>0</v>
      </c>
      <c r="BS82" s="900" t="n">
        <f aca="false">BJ82*(1-BR82)*Tables!$C$36</f>
        <v>0</v>
      </c>
      <c r="BT82" s="953" t="n">
        <f aca="false">BS82*AL82/1000</f>
        <v>0</v>
      </c>
      <c r="BU82" s="953" t="n">
        <f aca="false">BT82*K82</f>
        <v>0</v>
      </c>
      <c r="BV82" s="188"/>
      <c r="BW82" s="901" t="n">
        <f aca="false">$BO82*(1-$BR82)*Tables!$C$36</f>
        <v>0</v>
      </c>
      <c r="BX82" s="902" t="n">
        <f aca="false">(BW82*AQ82)/1000</f>
        <v>0</v>
      </c>
      <c r="BY82" s="883" t="n">
        <f aca="false">BX82*K82</f>
        <v>0</v>
      </c>
      <c r="BZ82" s="938"/>
      <c r="CA82" s="901" t="n">
        <f aca="false">$BL82*(1-$BR82)*Tables!$C$36</f>
        <v>0</v>
      </c>
      <c r="CB82" s="902" t="n">
        <f aca="false">(CA82*AU82)/1000</f>
        <v>0</v>
      </c>
      <c r="CC82" s="883" t="n">
        <f aca="false">CB82*K82</f>
        <v>0</v>
      </c>
      <c r="CD82" s="901" t="n">
        <f aca="false">$BP82*(1-$BR82)*Tables!$C$36</f>
        <v>0</v>
      </c>
      <c r="CE82" s="902" t="n">
        <f aca="false">(CD82*AX82)/1000</f>
        <v>0</v>
      </c>
      <c r="CF82" s="883" t="n">
        <f aca="false">CE82*K82</f>
        <v>0</v>
      </c>
      <c r="CG82" s="110"/>
      <c r="CH82" s="901" t="n">
        <f aca="false">$BM82*(1-$BR82)*Tables!$C$36</f>
        <v>0</v>
      </c>
      <c r="CI82" s="902" t="n">
        <f aca="false">(CH82*BB82)/1000</f>
        <v>0</v>
      </c>
      <c r="CJ82" s="883" t="n">
        <f aca="false">CI82*K82</f>
        <v>0</v>
      </c>
      <c r="CK82" s="956"/>
      <c r="CL82" s="292" t="n">
        <f aca="false">C82-1</f>
        <v>2005</v>
      </c>
      <c r="CM82" s="903" t="n">
        <f aca="false">INDEX(OperationalDetail,MATCH("Degraded Heat Rate",ODColumn,0),MATCH('Monthly Table'!CL82,ODRow,0))/1000</f>
        <v>12.1940572</v>
      </c>
      <c r="CN82" s="958" t="n">
        <f aca="false">S82*CM82</f>
        <v>60.8215703931378</v>
      </c>
      <c r="CO82" s="959" t="n">
        <f aca="false">IF(A82="January",(CO81*(1+Assumptions!$E$32)),CO81)</f>
        <v>7.436674260054</v>
      </c>
      <c r="CP82" s="960" t="n">
        <f aca="false">CN82+CO82</f>
        <v>68.2582446531918</v>
      </c>
      <c r="CQ82" s="956"/>
      <c r="CR82" s="961" t="str">
        <f aca="false">IF(BJ82=0,"",C82)</f>
        <v/>
      </c>
      <c r="CS82" s="856" t="str">
        <f aca="false">IF(BO82=0,"",$C82)</f>
        <v/>
      </c>
      <c r="CT82" s="856" t="str">
        <f aca="false">IF(BL82=0,"",$C82)</f>
        <v/>
      </c>
      <c r="CU82" s="856" t="str">
        <f aca="false">IF(BP82=0,"",$C82)</f>
        <v/>
      </c>
      <c r="CV82" s="856" t="str">
        <f aca="false">IF(BD82=0,"",$C82)</f>
        <v/>
      </c>
      <c r="CW82" s="962" t="n">
        <f aca="false">YEAR(BF82)</f>
        <v>2006</v>
      </c>
      <c r="CX82" s="963" t="n">
        <f aca="false">INDEX('NY Curve'!$A$4:$G$256,MATCH('Monthly Table'!B82,'NY Curve'!$A$4:$A$256,0),MATCH("New York 5 X 16",'NY Curve'!$A$4:$G$4,0))</f>
        <v>26.6</v>
      </c>
      <c r="CY82" s="964" t="n">
        <f aca="false">K82</f>
        <v>1.36326171255853</v>
      </c>
      <c r="CZ82" s="965" t="n">
        <f aca="false">CX82*CY82</f>
        <v>36.2627615540569</v>
      </c>
      <c r="DA82" s="110"/>
      <c r="DB82" s="966"/>
      <c r="DC82" s="966"/>
      <c r="DD82" s="110"/>
      <c r="DE82" s="110"/>
      <c r="DF82" s="110"/>
      <c r="DG82" s="110"/>
      <c r="DH82" s="110"/>
    </row>
    <row r="83" customFormat="false" ht="18.75" hidden="false" customHeight="true" outlineLevel="0" collapsed="false">
      <c r="A83" s="49" t="s">
        <v>810</v>
      </c>
      <c r="B83" s="863" t="n">
        <v>39083</v>
      </c>
      <c r="C83" s="288" t="n">
        <f aca="false">YEAR(B83)</f>
        <v>2007</v>
      </c>
      <c r="D83" s="864" t="n">
        <f aca="false">IF(A83="January",D82+1,D82)</f>
        <v>7</v>
      </c>
      <c r="E83" s="865" t="n">
        <v>22</v>
      </c>
      <c r="F83" s="866" t="n">
        <v>4</v>
      </c>
      <c r="G83" s="866" t="n">
        <v>4</v>
      </c>
      <c r="H83" s="866" t="n">
        <v>1</v>
      </c>
      <c r="I83" s="867" t="n">
        <f aca="false">SUM(E83:H83)</f>
        <v>31</v>
      </c>
      <c r="J83" s="868"/>
      <c r="K83" s="869" t="n">
        <f aca="false">INDEX(FX!$A$3:$C$362,MATCH(B83,FX!$A$3:$A$362,0),MATCH("Monthly Curve",FX!$A$2:$C$2,0))</f>
        <v>1.36216868623139</v>
      </c>
      <c r="L83" s="869"/>
      <c r="M83" s="914" t="n">
        <v>3.161</v>
      </c>
      <c r="N83" s="915" t="n">
        <v>0.275</v>
      </c>
      <c r="O83" s="714" t="n">
        <v>0.05</v>
      </c>
      <c r="P83" s="872" t="n">
        <f aca="false">N83+O83</f>
        <v>0.325</v>
      </c>
      <c r="Q83" s="873" t="n">
        <f aca="false">SUM(M83:O83)</f>
        <v>3.486</v>
      </c>
      <c r="R83" s="974" t="n">
        <f aca="false">IF(A83="January",(R82+R82*Assumptions!$E$32),R82)</f>
        <v>0.338215553711823</v>
      </c>
      <c r="S83" s="875" t="n">
        <f aca="false">(Q83*K83)+R83</f>
        <v>5.08673559391445</v>
      </c>
      <c r="T83" s="869"/>
      <c r="U83" s="984"/>
      <c r="V83" s="978"/>
      <c r="W83" s="978"/>
      <c r="X83" s="971"/>
      <c r="Y83" s="975" t="n">
        <f aca="false">Tables!$D$36</f>
        <v>312</v>
      </c>
      <c r="Z83" s="879" t="n">
        <f aca="false">IF($Z$10=$V$10,V83,IF($Z$10=$W$10,W83,IF($Z$10=$X$10,X83,0)))</f>
        <v>0</v>
      </c>
      <c r="AA83" s="880" t="n">
        <f aca="false">Y83*Z83</f>
        <v>0</v>
      </c>
      <c r="AB83" s="881" t="n">
        <f aca="false">AA83*K83</f>
        <v>0</v>
      </c>
      <c r="AC83" s="188"/>
      <c r="AD83" s="882" t="n">
        <f aca="false">IF(Tables!$E$30="Michigan",INDEX('Michigan Curve'!$A$4:$S$256,MATCH('Monthly Table'!B83,'Michigan Curve'!$A$4:$A$256,0),MATCH("Michigan Selected Option Value US$/month",'Michigan Curve'!$A$4:$S$4,0)),INDEX('NY Curve'!$A$4:$T$256,MATCH('Monthly Table'!B83,'NY Curve'!$A$4:$A$256,0),MATCH("New York Selected Option Value US$/month",'NY Curve'!$A$4:$T$4,0)))</f>
        <v>87717.5462482392</v>
      </c>
      <c r="AE83" s="883" t="n">
        <f aca="false">AD83*K83</f>
        <v>119486.094732405</v>
      </c>
      <c r="AF83" s="188"/>
      <c r="AG83" s="884"/>
      <c r="AH83" s="188"/>
      <c r="AI83" s="885" t="n">
        <f aca="false">Assumptions!$B$50</f>
        <v>65</v>
      </c>
      <c r="AJ83" s="916"/>
      <c r="AK83" s="887" t="n">
        <f aca="false">IF(Tables!$E$30="Custom",'Monthly Table'!AI83,IF(Tables!$E$30="New York",INDEX('NY Curve'!$A$4:$G$256,MATCH('Monthly Table'!B83,'NY Curve'!$A$4:$A$256,0),MATCH("Super Peak Curve",'NY Curve'!$A$4:$G$4,0)),IF(Tables!$E$30="New York Flat",INDEX('NY Curve'!$A$4:$G$256,MATCH('Monthly Table'!B83,'NY Curve'!$A$4:$A$256,0),MATCH("Flat NY West",'NY Curve'!$A$4:$G$4,0)),INDEX('Michigan Curve'!$A$4:$F$256,MATCH('Monthly Table'!B83,'Michigan Curve'!$A$4:$A$256,0),MATCH("Michigan Super Peak Curve US$/MWhr",'Michigan Curve'!$A$4:$F$4,0)))))</f>
        <v>32.3340003890991</v>
      </c>
      <c r="AL83" s="888" t="n">
        <f aca="false">IF(D83&lt;=Tables!$B$21,IF($AL$10=$AI$10,AI83,IF($AL$10=$AJ$10,AJ83,IF($AL$10=$AK$10,AK83,0))),0)</f>
        <v>32.3340003890991</v>
      </c>
      <c r="AM83" s="889" t="n">
        <f aca="false">+AL83*K83</f>
        <v>44.0443628306244</v>
      </c>
      <c r="AN83" s="890" t="n">
        <f aca="false">IF((AL83*K83)&gt;(CP83+$BF$4),1,0)</f>
        <v>0</v>
      </c>
      <c r="AO83" s="891"/>
      <c r="AP83" s="894"/>
      <c r="AQ83" s="892" t="n">
        <f aca="false">IF(Tables!$E$30="New York",INDEX('NY Curve'!$A$4:$L$256,MATCH('Monthly Table'!B83,'NY Curve'!$A$4:$A$256,0),MATCH("New York Shoulder Hour Curve Mon-Fri",'NY Curve'!$A$4:$L$4,0)),IF(Tables!$E$30="Michigan",INDEX('Michigan Curve'!$A$4:$K$256,MATCH('Monthly Table'!B83,'Michigan Curve'!$A$4:$A$256,0),MATCH("Michigan Shoulder Hour Curve Mon-Fri",'Michigan Curve'!$A$4:$K$4,0))))</f>
        <v>31.0660003738403</v>
      </c>
      <c r="AR83" s="889" t="n">
        <f aca="false">AQ83*K83</f>
        <v>42.317132915698</v>
      </c>
      <c r="AS83" s="893" t="n">
        <f aca="false">IF(AR83&gt;($CP83+$BF$4),1,0)</f>
        <v>0</v>
      </c>
      <c r="AT83" s="188"/>
      <c r="AU83" s="892" t="n">
        <f aca="false">IF(Tables!$E$30="New York",INDEX('NY Curve'!$A$4:$L$256,MATCH('Monthly Table'!$B83,'NY Curve'!$A$4:$A$256,0),MATCH("New York Saturday Super Peak",'NY Curve'!$A$4:$L$4,0)),IF(Tables!$E$30="Michigan",INDEX('Michigan Curve'!$A$4:$K$256,MATCH('Monthly Table'!$B83,'Michigan Curve'!$A$4:$A$256,0),MATCH("Michigan Saturday Super Peak",'Michigan Curve'!$A$4:$K$4,0))))</f>
        <v>22.44</v>
      </c>
      <c r="AV83" s="894" t="n">
        <f aca="false">AU83*K83</f>
        <v>30.5670653190324</v>
      </c>
      <c r="AW83" s="893" t="n">
        <f aca="false">IF(AV83&gt;($CP83+$BF$4),1,0)</f>
        <v>0</v>
      </c>
      <c r="AX83" s="892" t="n">
        <f aca="false">IF(Tables!$E$30="New York",INDEX('NY Curve'!$A$4:$L$256,MATCH('Monthly Table'!$B83,'NY Curve'!$A$4:$A$256,0),MATCH("New York Saturday Shoulder Peak",'NY Curve'!$A$4:$L$4,0)),IF(Tables!$E$30="Michigan",INDEX('Michigan Curve'!$A$4:$K$256,MATCH('Monthly Table'!$B83,'Michigan Curve'!$A$4:$A$256,0),MATCH("Michigan Saturday Shoulder Peak",'Michigan Curve'!$A$4:$K$4,0))))</f>
        <v>21.56</v>
      </c>
      <c r="AY83" s="895" t="n">
        <f aca="false">AX83*K83</f>
        <v>29.3683568751488</v>
      </c>
      <c r="AZ83" s="893" t="n">
        <f aca="false">IF(AY83&gt;($CP83+$BF$4),1,0)</f>
        <v>0</v>
      </c>
      <c r="BA83" s="188"/>
      <c r="BB83" s="892" t="n">
        <f aca="false">IF(Tables!$E$30="New York",INDEX('NY Curve'!$A$4:$M$256,MATCH('Monthly Table'!$B83,'NY Curve'!$A$4:$A$256,0),MATCH("NY Sunday Super Peak",'NY Curve'!$A$4:$M$4,0)),IF(Tables!$E$30="Michigan",INDEX('Michigan Curve'!$A$4:$L$256,MATCH('Monthly Table'!$B83,'Michigan Curve'!$A$4:$A$256,0),MATCH("Michigan Sunday Super Peak",'Michigan Curve'!$A$4:$L$4,0))))</f>
        <v>21.42</v>
      </c>
      <c r="BC83" s="894" t="n">
        <f aca="false">BB83*K83</f>
        <v>29.1776532590764</v>
      </c>
      <c r="BD83" s="893" t="n">
        <f aca="false">IF(BC83&gt;($CP83+$BF$4),1,0)</f>
        <v>0</v>
      </c>
      <c r="BE83" s="188"/>
      <c r="BF83" s="896" t="n">
        <f aca="false">B83</f>
        <v>39083</v>
      </c>
      <c r="BG83" s="897" t="n">
        <f aca="false">IF($AN83=1,$E83*$BF$5,0)</f>
        <v>0</v>
      </c>
      <c r="BH83" s="976" t="n">
        <f aca="false">IF(Tables!$B$36="Combined Cycle",(BF83-BF82)*24*Assumptions!$B$21,0)</f>
        <v>0</v>
      </c>
      <c r="BI83" s="714" t="n">
        <f aca="false">IF($AN83=1,$E83*$BF$5,0)</f>
        <v>0</v>
      </c>
      <c r="BJ83" s="898" t="n">
        <f aca="false">IF('Monthly Table'!D83&lt;=Tables!$B$21,IF($BJ$10=$BG$10,BG83,IF($BJ$10=$BH$10,BH83,IF($BJ$10=$BI$10,BI83,0))),0)</f>
        <v>0</v>
      </c>
      <c r="BK83" s="288"/>
      <c r="BL83" s="898" t="n">
        <f aca="false">IF($AW83=1,$F83*$BF$5,0)</f>
        <v>0</v>
      </c>
      <c r="BM83" s="898" t="n">
        <f aca="false">IF($BD83=1,($G83+H83)*$BF$5,0)</f>
        <v>0</v>
      </c>
      <c r="BO83" s="898" t="n">
        <f aca="false">IF(AS83=1,BJ83,0)</f>
        <v>0</v>
      </c>
      <c r="BP83" s="898" t="n">
        <f aca="false">IF(AZ83=1,F83*$BF$5,0)</f>
        <v>0</v>
      </c>
      <c r="BR83" s="899" t="n">
        <f aca="false">IF(BJ83&gt;0,INDEX(OperationalDetail,MATCH("Capacity Degradation",ODColumn,0),MATCH('Monthly Table'!C83,ODRow,0)),0)</f>
        <v>0</v>
      </c>
      <c r="BS83" s="900" t="n">
        <f aca="false">BJ83*(1-BR83)*Tables!$C$36</f>
        <v>0</v>
      </c>
      <c r="BT83" s="883" t="n">
        <f aca="false">BS83*AL83/1000</f>
        <v>0</v>
      </c>
      <c r="BU83" s="883" t="n">
        <f aca="false">BT83*K83</f>
        <v>0</v>
      </c>
      <c r="BV83" s="188"/>
      <c r="BW83" s="901" t="n">
        <f aca="false">$BO83*(1-$BR83)*Tables!$C$36</f>
        <v>0</v>
      </c>
      <c r="BX83" s="902" t="n">
        <f aca="false">(BW83*AQ83)/1000</f>
        <v>0</v>
      </c>
      <c r="BY83" s="883" t="n">
        <f aca="false">BX83*K83</f>
        <v>0</v>
      </c>
      <c r="BZ83" s="188"/>
      <c r="CA83" s="901" t="n">
        <f aca="false">$BL83*(1-$BR83)*Tables!$C$36</f>
        <v>0</v>
      </c>
      <c r="CB83" s="902" t="n">
        <f aca="false">(CA83*AU83)/1000</f>
        <v>0</v>
      </c>
      <c r="CC83" s="883" t="n">
        <f aca="false">CB83*K83</f>
        <v>0</v>
      </c>
      <c r="CD83" s="901" t="n">
        <f aca="false">$BP83*(1-$BR83)*Tables!$C$36</f>
        <v>0</v>
      </c>
      <c r="CE83" s="902" t="n">
        <f aca="false">(CD83*AX83)/1000</f>
        <v>0</v>
      </c>
      <c r="CF83" s="883" t="n">
        <f aca="false">CE83*K83</f>
        <v>0</v>
      </c>
      <c r="CH83" s="901" t="n">
        <f aca="false">$BM83*(1-$BR83)*Tables!$C$36</f>
        <v>0</v>
      </c>
      <c r="CI83" s="902" t="n">
        <f aca="false">(CH83*BB83)/1000</f>
        <v>0</v>
      </c>
      <c r="CJ83" s="883" t="n">
        <f aca="false">CI83*K83</f>
        <v>0</v>
      </c>
      <c r="CK83" s="292"/>
      <c r="CL83" s="292" t="n">
        <f aca="false">C83-1</f>
        <v>2006</v>
      </c>
      <c r="CM83" s="903" t="n">
        <f aca="false">INDEX(OperationalDetail,MATCH("Degraded Heat Rate",ODColumn,0),MATCH('Monthly Table'!CL83,ODRow,0))/1000</f>
        <v>11.9858336</v>
      </c>
      <c r="CN83" s="904" t="n">
        <f aca="false">S83*CM83</f>
        <v>60.9687663958558</v>
      </c>
      <c r="CO83" s="905" t="n">
        <f aca="false">IF(A83="January",(CO82*(1+Assumptions!$E$32)),CO82)</f>
        <v>7.58540774525508</v>
      </c>
      <c r="CP83" s="906" t="n">
        <f aca="false">CN83+CO83</f>
        <v>68.5541741411109</v>
      </c>
      <c r="CQ83" s="292"/>
      <c r="CR83" s="856" t="str">
        <f aca="false">IF(BJ83=0,"",C83)</f>
        <v/>
      </c>
      <c r="CS83" s="856" t="str">
        <f aca="false">IF(BO83=0,"",$C83)</f>
        <v/>
      </c>
      <c r="CT83" s="856" t="str">
        <f aca="false">IF(BL83=0,"",$C83)</f>
        <v/>
      </c>
      <c r="CU83" s="856" t="str">
        <f aca="false">IF(BP83=0,"",$C83)</f>
        <v/>
      </c>
      <c r="CV83" s="856" t="str">
        <f aca="false">IF(BD83=0,"",$C83)</f>
        <v/>
      </c>
      <c r="CW83" s="907" t="n">
        <f aca="false">YEAR(BF83)</f>
        <v>2007</v>
      </c>
      <c r="CX83" s="908" t="n">
        <f aca="false">INDEX('NY Curve'!$A$4:$G$256,MATCH('Monthly Table'!B83,'NY Curve'!$A$4:$A$256,0),MATCH("New York 5 X 16",'NY Curve'!$A$4:$G$4,0))</f>
        <v>31.95</v>
      </c>
      <c r="CY83" s="909" t="n">
        <f aca="false">K83</f>
        <v>1.36216868623139</v>
      </c>
      <c r="CZ83" s="910" t="n">
        <f aca="false">CX83*CY83</f>
        <v>43.5212895250929</v>
      </c>
      <c r="DB83" s="911"/>
      <c r="DC83" s="911"/>
    </row>
    <row r="84" customFormat="false" ht="18.75" hidden="false" customHeight="true" outlineLevel="0" collapsed="false">
      <c r="A84" s="49" t="s">
        <v>811</v>
      </c>
      <c r="B84" s="863" t="n">
        <v>39114</v>
      </c>
      <c r="C84" s="288" t="n">
        <f aca="false">YEAR(B84)</f>
        <v>2007</v>
      </c>
      <c r="D84" s="864" t="n">
        <f aca="false">IF(A84="January",D83+1,D83)</f>
        <v>7</v>
      </c>
      <c r="E84" s="865" t="n">
        <v>20</v>
      </c>
      <c r="F84" s="866" t="n">
        <v>4</v>
      </c>
      <c r="G84" s="866" t="n">
        <v>4</v>
      </c>
      <c r="H84" s="866" t="n">
        <v>0</v>
      </c>
      <c r="I84" s="867" t="n">
        <f aca="false">SUM(E84:H84)</f>
        <v>28</v>
      </c>
      <c r="J84" s="868"/>
      <c r="K84" s="869" t="n">
        <f aca="false">INDEX(FX!$A$3:$C$362,MATCH(B84,FX!$A$3:$A$362,0),MATCH("Monthly Curve",FX!$A$2:$C$2,0))</f>
        <v>1.36107677597584</v>
      </c>
      <c r="L84" s="869"/>
      <c r="M84" s="914" t="n">
        <v>3.048</v>
      </c>
      <c r="N84" s="915" t="n">
        <v>0.305</v>
      </c>
      <c r="O84" s="714" t="n">
        <v>0.05</v>
      </c>
      <c r="P84" s="872" t="n">
        <f aca="false">N84+O84</f>
        <v>0.355</v>
      </c>
      <c r="Q84" s="873" t="n">
        <f aca="false">SUM(M84:O84)</f>
        <v>3.403</v>
      </c>
      <c r="R84" s="974" t="n">
        <f aca="false">IF(A84="January",(R83+R83*Assumptions!$E$32),R83)</f>
        <v>0.338215553711823</v>
      </c>
      <c r="S84" s="875" t="n">
        <f aca="false">(Q84*K84)+R84</f>
        <v>4.96995982235761</v>
      </c>
      <c r="T84" s="869"/>
      <c r="U84" s="984"/>
      <c r="V84" s="978"/>
      <c r="W84" s="978"/>
      <c r="X84" s="971"/>
      <c r="Y84" s="975" t="n">
        <f aca="false">Tables!$D$36</f>
        <v>312</v>
      </c>
      <c r="Z84" s="879" t="n">
        <f aca="false">IF($Z$10=$V$10,V84,IF($Z$10=$W$10,W84,IF($Z$10=$X$10,X84,0)))</f>
        <v>0</v>
      </c>
      <c r="AA84" s="880" t="n">
        <f aca="false">Y84*Z84</f>
        <v>0</v>
      </c>
      <c r="AB84" s="881" t="n">
        <f aca="false">AA84*K84</f>
        <v>0</v>
      </c>
      <c r="AC84" s="188"/>
      <c r="AD84" s="882" t="n">
        <f aca="false">IF(Tables!$E$30="Michigan",INDEX('Michigan Curve'!$A$4:$S$256,MATCH('Monthly Table'!B84,'Michigan Curve'!$A$4:$A$256,0),MATCH("Michigan Selected Option Value US$/month",'Michigan Curve'!$A$4:$S$4,0)),INDEX('NY Curve'!$A$4:$T$256,MATCH('Monthly Table'!B84,'NY Curve'!$A$4:$A$256,0),MATCH("New York Selected Option Value US$/month",'NY Curve'!$A$4:$T$4,0)))</f>
        <v>82161.8994996991</v>
      </c>
      <c r="AE84" s="883" t="n">
        <f aca="false">AD84*K84</f>
        <v>111828.653279101</v>
      </c>
      <c r="AF84" s="188"/>
      <c r="AG84" s="884"/>
      <c r="AH84" s="188"/>
      <c r="AI84" s="885" t="n">
        <f aca="false">Assumptions!$B$50</f>
        <v>65</v>
      </c>
      <c r="AJ84" s="916"/>
      <c r="AK84" s="887" t="n">
        <f aca="false">IF(Tables!$E$30="Custom",'Monthly Table'!AI84,IF(Tables!$E$30="New York",INDEX('NY Curve'!$A$4:$G$256,MATCH('Monthly Table'!B84,'NY Curve'!$A$4:$A$256,0),MATCH("Super Peak Curve",'NY Curve'!$A$4:$G$4,0)),IF(Tables!$E$30="New York Flat",INDEX('NY Curve'!$A$4:$G$256,MATCH('Monthly Table'!B84,'NY Curve'!$A$4:$A$256,0),MATCH("Flat NY West",'NY Curve'!$A$4:$G$4,0)),INDEX('Michigan Curve'!$A$4:$F$256,MATCH('Monthly Table'!B84,'Michigan Curve'!$A$4:$A$256,0),MATCH("Michigan Super Peak Curve US$/MWhr",'Michigan Curve'!$A$4:$F$4,0)))))</f>
        <v>32.3339984436035</v>
      </c>
      <c r="AL84" s="888" t="n">
        <f aca="false">IF(D84&lt;=Tables!$B$21,IF($AL$10=$AI$10,AI84,IF($AL$10=$AJ$10,AJ84,IF($AL$10=$AK$10,AK84,0))),0)</f>
        <v>32.3339984436035</v>
      </c>
      <c r="AM84" s="889" t="n">
        <f aca="false">+AL84*K84</f>
        <v>44.0090543560277</v>
      </c>
      <c r="AN84" s="890" t="n">
        <f aca="false">IF((AL84*K84)&gt;(CP84+$BF$4),1,0)</f>
        <v>0</v>
      </c>
      <c r="AO84" s="891"/>
      <c r="AP84" s="894"/>
      <c r="AQ84" s="892" t="n">
        <f aca="false">IF(Tables!$E$30="New York",INDEX('NY Curve'!$A$4:$L$256,MATCH('Monthly Table'!B84,'NY Curve'!$A$4:$A$256,0),MATCH("New York Shoulder Hour Curve Mon-Fri",'NY Curve'!$A$4:$L$4,0)),IF(Tables!$E$30="Michigan",INDEX('Michigan Curve'!$A$4:$K$256,MATCH('Monthly Table'!B84,'Michigan Curve'!$A$4:$A$256,0),MATCH("Michigan Shoulder Hour Curve Mon-Fri",'Michigan Curve'!$A$4:$K$4,0))))</f>
        <v>31.0659985046387</v>
      </c>
      <c r="AR84" s="889" t="n">
        <f aca="false">AQ84*K84</f>
        <v>42.2832090871639</v>
      </c>
      <c r="AS84" s="893" t="n">
        <f aca="false">IF(AR84&gt;($CP84+$BF$4),1,0)</f>
        <v>0</v>
      </c>
      <c r="AT84" s="188"/>
      <c r="AU84" s="892" t="n">
        <f aca="false">IF(Tables!$E$30="New York",INDEX('NY Curve'!$A$4:$L$256,MATCH('Monthly Table'!$B84,'NY Curve'!$A$4:$A$256,0),MATCH("New York Saturday Super Peak",'NY Curve'!$A$4:$L$4,0)),IF(Tables!$E$30="Michigan",INDEX('Michigan Curve'!$A$4:$K$256,MATCH('Monthly Table'!$B84,'Michigan Curve'!$A$4:$A$256,0),MATCH("Michigan Saturday Super Peak",'Michigan Curve'!$A$4:$K$4,0))))</f>
        <v>22.4359202957153</v>
      </c>
      <c r="AV84" s="894" t="n">
        <f aca="false">AU84*K84</f>
        <v>30.5370100621431</v>
      </c>
      <c r="AW84" s="893" t="n">
        <f aca="false">IF(AV84&gt;($CP84+$BF$4),1,0)</f>
        <v>0</v>
      </c>
      <c r="AX84" s="892" t="n">
        <f aca="false">IF(Tables!$E$30="New York",INDEX('NY Curve'!$A$4:$L$256,MATCH('Monthly Table'!$B84,'NY Curve'!$A$4:$A$256,0),MATCH("New York Saturday Shoulder Peak",'NY Curve'!$A$4:$L$4,0)),IF(Tables!$E$30="Michigan",INDEX('Michigan Curve'!$A$4:$K$256,MATCH('Monthly Table'!$B84,'Michigan Curve'!$A$4:$A$256,0),MATCH("Michigan Saturday Shoulder Peak",'Michigan Curve'!$A$4:$K$4,0))))</f>
        <v>21.5560802841187</v>
      </c>
      <c r="AY84" s="895" t="n">
        <f aca="false">AX84*K84</f>
        <v>29.3394802557846</v>
      </c>
      <c r="AZ84" s="893" t="n">
        <f aca="false">IF(AY84&gt;($CP84+$BF$4),1,0)</f>
        <v>0</v>
      </c>
      <c r="BA84" s="188"/>
      <c r="BB84" s="892" t="n">
        <f aca="false">IF(Tables!$E$30="New York",INDEX('NY Curve'!$A$4:$M$256,MATCH('Monthly Table'!$B84,'NY Curve'!$A$4:$A$256,0),MATCH("NY Sunday Super Peak",'NY Curve'!$A$4:$M$4,0)),IF(Tables!$E$30="Michigan",INDEX('Michigan Curve'!$A$4:$L$256,MATCH('Monthly Table'!$B84,'Michigan Curve'!$A$4:$A$256,0),MATCH("Michigan Sunday Super Peak",'Michigan Curve'!$A$4:$L$4,0))))</f>
        <v>21.4164319610596</v>
      </c>
      <c r="BC84" s="894" t="n">
        <f aca="false">BB84*K84</f>
        <v>29.1494081664649</v>
      </c>
      <c r="BD84" s="893" t="n">
        <f aca="false">IF(BC84&gt;($CP84+$BF$4),1,0)</f>
        <v>0</v>
      </c>
      <c r="BE84" s="188"/>
      <c r="BF84" s="896" t="n">
        <f aca="false">B84</f>
        <v>39114</v>
      </c>
      <c r="BG84" s="897" t="n">
        <f aca="false">IF($AN84=1,$E84*$BF$5,0)</f>
        <v>0</v>
      </c>
      <c r="BH84" s="976" t="n">
        <f aca="false">IF(Tables!$B$36="Combined Cycle",(BF84-BF83)*24*Assumptions!$B$21,0)</f>
        <v>0</v>
      </c>
      <c r="BI84" s="714" t="n">
        <f aca="false">IF($AN84=1,$E84*$BF$5,0)</f>
        <v>0</v>
      </c>
      <c r="BJ84" s="898" t="n">
        <f aca="false">IF('Monthly Table'!D84&lt;=Tables!$B$21,IF($BJ$10=$BG$10,BG84,IF($BJ$10=$BH$10,BH84,IF($BJ$10=$BI$10,BI84,0))),0)</f>
        <v>0</v>
      </c>
      <c r="BK84" s="288"/>
      <c r="BL84" s="898" t="n">
        <f aca="false">IF($AW84=1,$F84*$BF$5,0)</f>
        <v>0</v>
      </c>
      <c r="BM84" s="898" t="n">
        <f aca="false">IF($BD84=1,($G84+H84)*$BF$5,0)</f>
        <v>0</v>
      </c>
      <c r="BO84" s="898" t="n">
        <f aca="false">IF(AS84=1,BJ84,0)</f>
        <v>0</v>
      </c>
      <c r="BP84" s="898" t="n">
        <f aca="false">IF(AZ84=1,F84*$BF$5,0)</f>
        <v>0</v>
      </c>
      <c r="BR84" s="899" t="n">
        <f aca="false">IF(BJ84&gt;0,INDEX(OperationalDetail,MATCH("Capacity Degradation",ODColumn,0),MATCH('Monthly Table'!C84,ODRow,0)),0)</f>
        <v>0</v>
      </c>
      <c r="BS84" s="900" t="n">
        <f aca="false">BJ84*(1-BR84)*Tables!$C$36</f>
        <v>0</v>
      </c>
      <c r="BT84" s="883" t="n">
        <f aca="false">BS84*AL84/1000</f>
        <v>0</v>
      </c>
      <c r="BU84" s="883" t="n">
        <f aca="false">BT84*K84</f>
        <v>0</v>
      </c>
      <c r="BV84" s="188"/>
      <c r="BW84" s="901" t="n">
        <f aca="false">$BO84*(1-$BR84)*Tables!$C$36</f>
        <v>0</v>
      </c>
      <c r="BX84" s="902" t="n">
        <f aca="false">(BW84*AQ84)/1000</f>
        <v>0</v>
      </c>
      <c r="BY84" s="883" t="n">
        <f aca="false">BX84*K84</f>
        <v>0</v>
      </c>
      <c r="BZ84" s="188"/>
      <c r="CA84" s="901" t="n">
        <f aca="false">$BL84*(1-$BR84)*Tables!$C$36</f>
        <v>0</v>
      </c>
      <c r="CB84" s="902" t="n">
        <f aca="false">(CA84*AU84)/1000</f>
        <v>0</v>
      </c>
      <c r="CC84" s="883" t="n">
        <f aca="false">CB84*K84</f>
        <v>0</v>
      </c>
      <c r="CD84" s="901" t="n">
        <f aca="false">$BP84*(1-$BR84)*Tables!$C$36</f>
        <v>0</v>
      </c>
      <c r="CE84" s="902" t="n">
        <f aca="false">(CD84*AX84)/1000</f>
        <v>0</v>
      </c>
      <c r="CF84" s="883" t="n">
        <f aca="false">CE84*K84</f>
        <v>0</v>
      </c>
      <c r="CH84" s="901" t="n">
        <f aca="false">$BM84*(1-$BR84)*Tables!$C$36</f>
        <v>0</v>
      </c>
      <c r="CI84" s="902" t="n">
        <f aca="false">(CH84*BB84)/1000</f>
        <v>0</v>
      </c>
      <c r="CJ84" s="883" t="n">
        <f aca="false">CI84*K84</f>
        <v>0</v>
      </c>
      <c r="CK84" s="292"/>
      <c r="CL84" s="292" t="n">
        <f aca="false">C84-1</f>
        <v>2006</v>
      </c>
      <c r="CM84" s="903" t="n">
        <f aca="false">INDEX(OperationalDetail,MATCH("Degraded Heat Rate",ODColumn,0),MATCH('Monthly Table'!CL84,ODRow,0))/1000</f>
        <v>11.9858336</v>
      </c>
      <c r="CN84" s="904" t="n">
        <f aca="false">S84*CM84</f>
        <v>59.5691114294638</v>
      </c>
      <c r="CO84" s="905" t="n">
        <f aca="false">IF(A84="January",(CO83*(1+Assumptions!$E$32)),CO83)</f>
        <v>7.58540774525508</v>
      </c>
      <c r="CP84" s="906" t="n">
        <f aca="false">CN84+CO84</f>
        <v>67.1545191747189</v>
      </c>
      <c r="CQ84" s="292"/>
      <c r="CR84" s="856" t="str">
        <f aca="false">IF(BJ84=0,"",C84)</f>
        <v/>
      </c>
      <c r="CS84" s="856" t="str">
        <f aca="false">IF(BO84=0,"",$C84)</f>
        <v/>
      </c>
      <c r="CT84" s="856" t="str">
        <f aca="false">IF(BL84=0,"",$C84)</f>
        <v/>
      </c>
      <c r="CU84" s="856" t="str">
        <f aca="false">IF(BP84=0,"",$C84)</f>
        <v/>
      </c>
      <c r="CV84" s="856" t="str">
        <f aca="false">IF(BD84=0,"",$C84)</f>
        <v/>
      </c>
      <c r="CW84" s="907" t="n">
        <f aca="false">YEAR(BF84)</f>
        <v>2007</v>
      </c>
      <c r="CX84" s="908" t="n">
        <f aca="false">INDEX('NY Curve'!$A$4:$G$256,MATCH('Monthly Table'!B84,'NY Curve'!$A$4:$A$256,0),MATCH("New York 5 X 16",'NY Curve'!$A$4:$G$4,0))</f>
        <v>31.95</v>
      </c>
      <c r="CY84" s="909" t="n">
        <f aca="false">K84</f>
        <v>1.36107677597584</v>
      </c>
      <c r="CZ84" s="910" t="n">
        <f aca="false">CX84*CY84</f>
        <v>43.4864029924281</v>
      </c>
      <c r="DB84" s="911"/>
      <c r="DC84" s="911"/>
    </row>
    <row r="85" customFormat="false" ht="18.75" hidden="false" customHeight="true" outlineLevel="0" collapsed="false">
      <c r="A85" s="49" t="s">
        <v>812</v>
      </c>
      <c r="B85" s="863" t="n">
        <v>39142</v>
      </c>
      <c r="C85" s="288" t="n">
        <f aca="false">YEAR(B85)</f>
        <v>2007</v>
      </c>
      <c r="D85" s="864" t="n">
        <f aca="false">IF(A85="January",D84+1,D84)</f>
        <v>7</v>
      </c>
      <c r="E85" s="865" t="n">
        <v>22</v>
      </c>
      <c r="F85" s="866" t="n">
        <v>5</v>
      </c>
      <c r="G85" s="866" t="n">
        <v>4</v>
      </c>
      <c r="H85" s="866" t="n">
        <v>0</v>
      </c>
      <c r="I85" s="867" t="n">
        <f aca="false">SUM(E85:H85)</f>
        <v>31</v>
      </c>
      <c r="J85" s="868"/>
      <c r="K85" s="869" t="n">
        <f aca="false">INDEX(FX!$A$3:$C$362,MATCH(B85,FX!$A$3:$A$362,0),MATCH("Monthly Curve",FX!$A$2:$C$2,0))</f>
        <v>1.36009149267248</v>
      </c>
      <c r="L85" s="869"/>
      <c r="M85" s="914" t="n">
        <v>2.933</v>
      </c>
      <c r="N85" s="915" t="n">
        <v>0.305</v>
      </c>
      <c r="O85" s="714" t="n">
        <v>0.05</v>
      </c>
      <c r="P85" s="872" t="n">
        <f aca="false">N85+O85</f>
        <v>0.355</v>
      </c>
      <c r="Q85" s="873" t="n">
        <f aca="false">SUM(M85:O85)</f>
        <v>3.288</v>
      </c>
      <c r="R85" s="974" t="n">
        <f aca="false">IF(A85="January",(R84+R84*Assumptions!$E$32),R84)</f>
        <v>0.338215553711823</v>
      </c>
      <c r="S85" s="875" t="n">
        <f aca="false">(Q85*K85)+R85</f>
        <v>4.81019638161894</v>
      </c>
      <c r="T85" s="869"/>
      <c r="U85" s="984"/>
      <c r="V85" s="978"/>
      <c r="W85" s="978"/>
      <c r="X85" s="971"/>
      <c r="Y85" s="975" t="n">
        <f aca="false">Tables!$D$36</f>
        <v>312</v>
      </c>
      <c r="Z85" s="879" t="n">
        <f aca="false">IF($Z$10=$V$10,V85,IF($Z$10=$W$10,W85,IF($Z$10=$X$10,X85,0)))</f>
        <v>0</v>
      </c>
      <c r="AA85" s="880" t="n">
        <f aca="false">Y85*Z85</f>
        <v>0</v>
      </c>
      <c r="AB85" s="881" t="n">
        <f aca="false">AA85*K85</f>
        <v>0</v>
      </c>
      <c r="AC85" s="188"/>
      <c r="AD85" s="882" t="n">
        <f aca="false">IF(Tables!$E$30="Michigan",INDEX('Michigan Curve'!$A$4:$S$256,MATCH('Monthly Table'!B85,'Michigan Curve'!$A$4:$A$256,0),MATCH("Michigan Selected Option Value US$/month",'Michigan Curve'!$A$4:$S$4,0)),INDEX('NY Curve'!$A$4:$T$256,MATCH('Monthly Table'!B85,'NY Curve'!$A$4:$A$256,0),MATCH("New York Selected Option Value US$/month",'NY Curve'!$A$4:$T$4,0)))</f>
        <v>34020.6332987405</v>
      </c>
      <c r="AE85" s="883" t="n">
        <f aca="false">AD85*K85</f>
        <v>46271.173924947</v>
      </c>
      <c r="AF85" s="188"/>
      <c r="AG85" s="884"/>
      <c r="AH85" s="188"/>
      <c r="AI85" s="885" t="n">
        <f aca="false">Assumptions!$B$50</f>
        <v>65</v>
      </c>
      <c r="AJ85" s="916"/>
      <c r="AK85" s="887" t="n">
        <f aca="false">IF(Tables!$E$30="Custom",'Monthly Table'!AI85,IF(Tables!$E$30="New York",INDEX('NY Curve'!$A$4:$G$256,MATCH('Monthly Table'!B85,'NY Curve'!$A$4:$A$256,0),MATCH("Super Peak Curve",'NY Curve'!$A$4:$G$4,0)),IF(Tables!$E$30="New York Flat",INDEX('NY Curve'!$A$4:$G$256,MATCH('Monthly Table'!B85,'NY Curve'!$A$4:$A$256,0),MATCH("Flat NY West",'NY Curve'!$A$4:$G$4,0)),INDEX('Michigan Curve'!$A$4:$F$256,MATCH('Monthly Table'!B85,'Michigan Curve'!$A$4:$A$256,0),MATCH("Michigan Super Peak Curve US$/MWhr",'Michigan Curve'!$A$4:$F$4,0)))))</f>
        <v>27.03</v>
      </c>
      <c r="AL85" s="888" t="n">
        <f aca="false">IF(D85&lt;=Tables!$B$21,IF($AL$10=$AI$10,AI85,IF($AL$10=$AJ$10,AJ85,IF($AL$10=$AK$10,AK85,0))),0)</f>
        <v>27.03</v>
      </c>
      <c r="AM85" s="889" t="n">
        <f aca="false">+AL85*K85</f>
        <v>36.7632730469371</v>
      </c>
      <c r="AN85" s="890" t="n">
        <f aca="false">IF((AL85*K85)&gt;(CP85+$BF$4),1,0)</f>
        <v>0</v>
      </c>
      <c r="AO85" s="891"/>
      <c r="AP85" s="894"/>
      <c r="AQ85" s="892" t="n">
        <f aca="false">IF(Tables!$E$30="New York",INDEX('NY Curve'!$A$4:$L$256,MATCH('Monthly Table'!B85,'NY Curve'!$A$4:$A$256,0),MATCH("New York Shoulder Hour Curve Mon-Fri",'NY Curve'!$A$4:$L$4,0)),IF(Tables!$E$30="Michigan",INDEX('Michigan Curve'!$A$4:$K$256,MATCH('Monthly Table'!B85,'Michigan Curve'!$A$4:$A$256,0),MATCH("Michigan Shoulder Hour Curve Mon-Fri",'Michigan Curve'!$A$4:$K$4,0))))</f>
        <v>25.97</v>
      </c>
      <c r="AR85" s="889" t="n">
        <f aca="false">AQ85*K85</f>
        <v>35.3215760647043</v>
      </c>
      <c r="AS85" s="893" t="n">
        <f aca="false">IF(AR85&gt;($CP85+$BF$4),1,0)</f>
        <v>0</v>
      </c>
      <c r="AT85" s="188"/>
      <c r="AU85" s="892" t="n">
        <f aca="false">IF(Tables!$E$30="New York",INDEX('NY Curve'!$A$4:$L$256,MATCH('Monthly Table'!$B85,'NY Curve'!$A$4:$A$256,0),MATCH("New York Saturday Super Peak",'NY Curve'!$A$4:$L$4,0)),IF(Tables!$E$30="Michigan",INDEX('Michigan Curve'!$A$4:$K$256,MATCH('Monthly Table'!$B85,'Michigan Curve'!$A$4:$A$256,0),MATCH("Michigan Saturday Super Peak",'Michigan Curve'!$A$4:$K$4,0))))</f>
        <v>20.4</v>
      </c>
      <c r="AV85" s="894" t="n">
        <f aca="false">AU85*K85</f>
        <v>27.7458664505186</v>
      </c>
      <c r="AW85" s="893" t="n">
        <f aca="false">IF(AV85&gt;($CP85+$BF$4),1,0)</f>
        <v>0</v>
      </c>
      <c r="AX85" s="892" t="n">
        <f aca="false">IF(Tables!$E$30="New York",INDEX('NY Curve'!$A$4:$L$256,MATCH('Monthly Table'!$B85,'NY Curve'!$A$4:$A$256,0),MATCH("New York Saturday Shoulder Peak",'NY Curve'!$A$4:$L$4,0)),IF(Tables!$E$30="Michigan",INDEX('Michigan Curve'!$A$4:$K$256,MATCH('Monthly Table'!$B85,'Michigan Curve'!$A$4:$A$256,0),MATCH("Michigan Saturday Shoulder Peak",'Michigan Curve'!$A$4:$K$4,0))))</f>
        <v>19.6</v>
      </c>
      <c r="AY85" s="895" t="n">
        <f aca="false">AX85*K85</f>
        <v>26.6577932563806</v>
      </c>
      <c r="AZ85" s="893" t="n">
        <f aca="false">IF(AY85&gt;($CP85+$BF$4),1,0)</f>
        <v>0</v>
      </c>
      <c r="BA85" s="188"/>
      <c r="BB85" s="892" t="n">
        <f aca="false">IF(Tables!$E$30="New York",INDEX('NY Curve'!$A$4:$M$256,MATCH('Monthly Table'!$B85,'NY Curve'!$A$4:$A$256,0),MATCH("NY Sunday Super Peak",'NY Curve'!$A$4:$M$4,0)),IF(Tables!$E$30="Michigan",INDEX('Michigan Curve'!$A$4:$L$256,MATCH('Monthly Table'!$B85,'Michigan Curve'!$A$4:$A$256,0),MATCH("Michigan Sunday Super Peak",'Michigan Curve'!$A$4:$L$4,0))))</f>
        <v>19.38</v>
      </c>
      <c r="BC85" s="894" t="n">
        <f aca="false">BB85*K85</f>
        <v>26.3585731279927</v>
      </c>
      <c r="BD85" s="893" t="n">
        <f aca="false">IF(BC85&gt;($CP85+$BF$4),1,0)</f>
        <v>0</v>
      </c>
      <c r="BE85" s="188"/>
      <c r="BF85" s="896" t="n">
        <f aca="false">B85</f>
        <v>39142</v>
      </c>
      <c r="BG85" s="897" t="n">
        <f aca="false">IF($AN85=1,$E85*$BF$5,0)</f>
        <v>0</v>
      </c>
      <c r="BH85" s="976" t="n">
        <f aca="false">IF(Tables!$B$36="Combined Cycle",(BF85-BF84)*24*Assumptions!$B$21,0)</f>
        <v>0</v>
      </c>
      <c r="BI85" s="714" t="n">
        <f aca="false">IF($AN85=1,$E85*$BF$5,0)</f>
        <v>0</v>
      </c>
      <c r="BJ85" s="898" t="n">
        <f aca="false">IF('Monthly Table'!D85&lt;=Tables!$B$21,IF($BJ$10=$BG$10,BG85,IF($BJ$10=$BH$10,BH85,IF($BJ$10=$BI$10,BI85,0))),0)</f>
        <v>0</v>
      </c>
      <c r="BK85" s="288"/>
      <c r="BL85" s="898" t="n">
        <f aca="false">IF($AW85=1,$F85*$BF$5,0)</f>
        <v>0</v>
      </c>
      <c r="BM85" s="898" t="n">
        <f aca="false">IF($BD85=1,($G85+H85)*$BF$5,0)</f>
        <v>0</v>
      </c>
      <c r="BO85" s="898" t="n">
        <f aca="false">IF(AS85=1,BJ85,0)</f>
        <v>0</v>
      </c>
      <c r="BP85" s="898" t="n">
        <f aca="false">IF(AZ85=1,F85*$BF$5,0)</f>
        <v>0</v>
      </c>
      <c r="BR85" s="899" t="n">
        <f aca="false">IF(BJ85&gt;0,INDEX(OperationalDetail,MATCH("Capacity Degradation",ODColumn,0),MATCH('Monthly Table'!C85,ODRow,0)),0)</f>
        <v>0</v>
      </c>
      <c r="BS85" s="900" t="n">
        <f aca="false">BJ85*(1-BR85)*Tables!$C$36</f>
        <v>0</v>
      </c>
      <c r="BT85" s="883" t="n">
        <f aca="false">BS85*AL85/1000</f>
        <v>0</v>
      </c>
      <c r="BU85" s="883" t="n">
        <f aca="false">BT85*K85</f>
        <v>0</v>
      </c>
      <c r="BV85" s="188"/>
      <c r="BW85" s="901" t="n">
        <f aca="false">$BO85*(1-$BR85)*Tables!$C$36</f>
        <v>0</v>
      </c>
      <c r="BX85" s="902" t="n">
        <f aca="false">(BW85*AQ85)/1000</f>
        <v>0</v>
      </c>
      <c r="BY85" s="883" t="n">
        <f aca="false">BX85*K85</f>
        <v>0</v>
      </c>
      <c r="BZ85" s="188"/>
      <c r="CA85" s="901" t="n">
        <f aca="false">$BL85*(1-$BR85)*Tables!$C$36</f>
        <v>0</v>
      </c>
      <c r="CB85" s="902" t="n">
        <f aca="false">(CA85*AU85)/1000</f>
        <v>0</v>
      </c>
      <c r="CC85" s="883" t="n">
        <f aca="false">CB85*K85</f>
        <v>0</v>
      </c>
      <c r="CD85" s="901" t="n">
        <f aca="false">$BP85*(1-$BR85)*Tables!$C$36</f>
        <v>0</v>
      </c>
      <c r="CE85" s="902" t="n">
        <f aca="false">(CD85*AX85)/1000</f>
        <v>0</v>
      </c>
      <c r="CF85" s="883" t="n">
        <f aca="false">CE85*K85</f>
        <v>0</v>
      </c>
      <c r="CH85" s="901" t="n">
        <f aca="false">$BM85*(1-$BR85)*Tables!$C$36</f>
        <v>0</v>
      </c>
      <c r="CI85" s="902" t="n">
        <f aca="false">(CH85*BB85)/1000</f>
        <v>0</v>
      </c>
      <c r="CJ85" s="883" t="n">
        <f aca="false">CI85*K85</f>
        <v>0</v>
      </c>
      <c r="CK85" s="292"/>
      <c r="CL85" s="292" t="n">
        <f aca="false">C85-1</f>
        <v>2006</v>
      </c>
      <c r="CM85" s="903" t="n">
        <f aca="false">INDEX(OperationalDetail,MATCH("Degraded Heat Rate",ODColumn,0),MATCH('Monthly Table'!CL85,ODRow,0))/1000</f>
        <v>11.9858336</v>
      </c>
      <c r="CN85" s="904" t="n">
        <f aca="false">S85*CM85</f>
        <v>57.6542134134067</v>
      </c>
      <c r="CO85" s="905" t="n">
        <f aca="false">IF(A85="January",(CO84*(1+Assumptions!$E$32)),CO84)</f>
        <v>7.58540774525508</v>
      </c>
      <c r="CP85" s="906" t="n">
        <f aca="false">CN85+CO85</f>
        <v>65.2396211586618</v>
      </c>
      <c r="CQ85" s="292"/>
      <c r="CR85" s="856" t="str">
        <f aca="false">IF(BJ85=0,"",C85)</f>
        <v/>
      </c>
      <c r="CS85" s="856" t="str">
        <f aca="false">IF(BO85=0,"",$C85)</f>
        <v/>
      </c>
      <c r="CT85" s="856" t="str">
        <f aca="false">IF(BL85=0,"",$C85)</f>
        <v/>
      </c>
      <c r="CU85" s="856" t="str">
        <f aca="false">IF(BP85=0,"",$C85)</f>
        <v/>
      </c>
      <c r="CV85" s="856" t="str">
        <f aca="false">IF(BD85=0,"",$C85)</f>
        <v/>
      </c>
      <c r="CW85" s="907" t="n">
        <f aca="false">YEAR(BF85)</f>
        <v>2007</v>
      </c>
      <c r="CX85" s="908" t="n">
        <f aca="false">INDEX('NY Curve'!$A$4:$G$256,MATCH('Monthly Table'!B85,'NY Curve'!$A$4:$A$256,0),MATCH("New York 5 X 16",'NY Curve'!$A$4:$G$4,0))</f>
        <v>26.95</v>
      </c>
      <c r="CY85" s="909" t="n">
        <f aca="false">K85</f>
        <v>1.36009149267248</v>
      </c>
      <c r="CZ85" s="910" t="n">
        <f aca="false">CX85*CY85</f>
        <v>36.6544657275233</v>
      </c>
      <c r="DB85" s="911"/>
      <c r="DC85" s="911"/>
    </row>
    <row r="86" customFormat="false" ht="18.75" hidden="false" customHeight="true" outlineLevel="0" collapsed="false">
      <c r="A86" s="49" t="s">
        <v>813</v>
      </c>
      <c r="B86" s="863" t="n">
        <v>39173</v>
      </c>
      <c r="C86" s="288" t="n">
        <f aca="false">YEAR(B86)</f>
        <v>2007</v>
      </c>
      <c r="D86" s="864" t="n">
        <f aca="false">IF(A86="January",D85+1,D85)</f>
        <v>7</v>
      </c>
      <c r="E86" s="865" t="n">
        <v>21</v>
      </c>
      <c r="F86" s="866" t="n">
        <v>4</v>
      </c>
      <c r="G86" s="866" t="n">
        <v>5</v>
      </c>
      <c r="H86" s="866" t="n">
        <v>0</v>
      </c>
      <c r="I86" s="867" t="n">
        <f aca="false">SUM(E86:H86)</f>
        <v>30</v>
      </c>
      <c r="J86" s="868"/>
      <c r="K86" s="869" t="n">
        <f aca="false">INDEX(FX!$A$3:$C$362,MATCH(B86,FX!$A$3:$A$362,0),MATCH("Monthly Curve",FX!$A$2:$C$2,0))</f>
        <v>1.3590017030022</v>
      </c>
      <c r="L86" s="869"/>
      <c r="M86" s="914" t="n">
        <v>2.8655</v>
      </c>
      <c r="N86" s="915" t="n">
        <v>0.14</v>
      </c>
      <c r="O86" s="714" t="n">
        <v>0.05</v>
      </c>
      <c r="P86" s="872" t="n">
        <f aca="false">N86+O86</f>
        <v>0.19</v>
      </c>
      <c r="Q86" s="873" t="n">
        <f aca="false">SUM(M86:O86)</f>
        <v>3.0555</v>
      </c>
      <c r="R86" s="974" t="n">
        <f aca="false">IF(A86="January",(R85+R85*Assumptions!$E$32),R85)</f>
        <v>0.338215553711823</v>
      </c>
      <c r="S86" s="875" t="n">
        <f aca="false">(Q86*K86)+R86</f>
        <v>4.49064525723505</v>
      </c>
      <c r="T86" s="869"/>
      <c r="U86" s="984"/>
      <c r="V86" s="978"/>
      <c r="W86" s="978"/>
      <c r="X86" s="971"/>
      <c r="Y86" s="975" t="n">
        <f aca="false">Tables!$D$36</f>
        <v>312</v>
      </c>
      <c r="Z86" s="879" t="n">
        <f aca="false">IF($Z$10=$V$10,V86,IF($Z$10=$W$10,W86,IF($Z$10=$X$10,X86,0)))</f>
        <v>0</v>
      </c>
      <c r="AA86" s="880" t="n">
        <f aca="false">Y86*Z86</f>
        <v>0</v>
      </c>
      <c r="AB86" s="881" t="n">
        <f aca="false">AA86*K86</f>
        <v>0</v>
      </c>
      <c r="AC86" s="188"/>
      <c r="AD86" s="882" t="n">
        <f aca="false">IF(Tables!$E$30="Michigan",INDEX('Michigan Curve'!$A$4:$S$256,MATCH('Monthly Table'!B86,'Michigan Curve'!$A$4:$A$256,0),MATCH("Michigan Selected Option Value US$/month",'Michigan Curve'!$A$4:$S$4,0)),INDEX('NY Curve'!$A$4:$T$256,MATCH('Monthly Table'!B86,'NY Curve'!$A$4:$A$256,0),MATCH("New York Selected Option Value US$/month",'NY Curve'!$A$4:$T$4,0)))</f>
        <v>43379.8271540566</v>
      </c>
      <c r="AE86" s="883" t="n">
        <f aca="false">AD86*K86</f>
        <v>58953.258978304</v>
      </c>
      <c r="AF86" s="188"/>
      <c r="AG86" s="884"/>
      <c r="AH86" s="188"/>
      <c r="AI86" s="885" t="n">
        <f aca="false">Assumptions!$B$50</f>
        <v>65</v>
      </c>
      <c r="AJ86" s="916"/>
      <c r="AK86" s="887" t="n">
        <f aca="false">IF(Tables!$E$30="Custom",'Monthly Table'!AI86,IF(Tables!$E$30="New York",INDEX('NY Curve'!$A$4:$G$256,MATCH('Monthly Table'!B86,'NY Curve'!$A$4:$A$256,0),MATCH("Super Peak Curve",'NY Curve'!$A$4:$G$4,0)),IF(Tables!$E$30="New York Flat",INDEX('NY Curve'!$A$4:$G$256,MATCH('Monthly Table'!B86,'NY Curve'!$A$4:$A$256,0),MATCH("Flat NY West",'NY Curve'!$A$4:$G$4,0)),INDEX('Michigan Curve'!$A$4:$F$256,MATCH('Monthly Table'!B86,'Michigan Curve'!$A$4:$A$256,0),MATCH("Michigan Super Peak Curve US$/MWhr",'Michigan Curve'!$A$4:$F$4,0)))))</f>
        <v>26.75</v>
      </c>
      <c r="AL86" s="888" t="n">
        <f aca="false">IF(D86&lt;=Tables!$B$21,IF($AL$10=$AI$10,AI86,IF($AL$10=$AJ$10,AJ86,IF($AL$10=$AK$10,AK86,0))),0)</f>
        <v>26.75</v>
      </c>
      <c r="AM86" s="889" t="n">
        <f aca="false">+AL86*K86</f>
        <v>36.3532955553089</v>
      </c>
      <c r="AN86" s="890" t="n">
        <f aca="false">IF((AL86*K86)&gt;(CP86+$BF$4),1,0)</f>
        <v>0</v>
      </c>
      <c r="AO86" s="891"/>
      <c r="AP86" s="894"/>
      <c r="AQ86" s="892" t="n">
        <f aca="false">IF(Tables!$E$30="New York",INDEX('NY Curve'!$A$4:$L$256,MATCH('Monthly Table'!B86,'NY Curve'!$A$4:$A$256,0),MATCH("New York Shoulder Hour Curve Mon-Fri",'NY Curve'!$A$4:$L$4,0)),IF(Tables!$E$30="Michigan",INDEX('Michigan Curve'!$A$4:$K$256,MATCH('Monthly Table'!B86,'Michigan Curve'!$A$4:$A$256,0),MATCH("Michigan Shoulder Hour Curve Mon-Fri",'Michigan Curve'!$A$4:$K$4,0))))</f>
        <v>26.75</v>
      </c>
      <c r="AR86" s="889" t="n">
        <f aca="false">AQ86*K86</f>
        <v>36.3532955553089</v>
      </c>
      <c r="AS86" s="893" t="n">
        <f aca="false">IF(AR86&gt;($CP86+$BF$4),1,0)</f>
        <v>0</v>
      </c>
      <c r="AT86" s="188"/>
      <c r="AU86" s="892" t="n">
        <f aca="false">IF(Tables!$E$30="New York",INDEX('NY Curve'!$A$4:$L$256,MATCH('Monthly Table'!$B86,'NY Curve'!$A$4:$A$256,0),MATCH("New York Saturday Super Peak",'NY Curve'!$A$4:$L$4,0)),IF(Tables!$E$30="Michigan",INDEX('Michigan Curve'!$A$4:$K$256,MATCH('Monthly Table'!$B86,'Michigan Curve'!$A$4:$A$256,0),MATCH("Michigan Saturday Super Peak",'Michigan Curve'!$A$4:$K$4,0))))</f>
        <v>20</v>
      </c>
      <c r="AV86" s="894" t="n">
        <f aca="false">AU86*K86</f>
        <v>27.180034060044</v>
      </c>
      <c r="AW86" s="893" t="n">
        <f aca="false">IF(AV86&gt;($CP86+$BF$4),1,0)</f>
        <v>0</v>
      </c>
      <c r="AX86" s="892" t="n">
        <f aca="false">IF(Tables!$E$30="New York",INDEX('NY Curve'!$A$4:$L$256,MATCH('Monthly Table'!$B86,'NY Curve'!$A$4:$A$256,0),MATCH("New York Saturday Shoulder Peak",'NY Curve'!$A$4:$L$4,0)),IF(Tables!$E$30="Michigan",INDEX('Michigan Curve'!$A$4:$K$256,MATCH('Monthly Table'!$B86,'Michigan Curve'!$A$4:$A$256,0),MATCH("Michigan Saturday Shoulder Peak",'Michigan Curve'!$A$4:$K$4,0))))</f>
        <v>20</v>
      </c>
      <c r="AY86" s="895" t="n">
        <f aca="false">AX86*K86</f>
        <v>27.180034060044</v>
      </c>
      <c r="AZ86" s="893" t="n">
        <f aca="false">IF(AY86&gt;($CP86+$BF$4),1,0)</f>
        <v>0</v>
      </c>
      <c r="BA86" s="188"/>
      <c r="BB86" s="892" t="n">
        <f aca="false">IF(Tables!$E$30="New York",INDEX('NY Curve'!$A$4:$M$256,MATCH('Monthly Table'!$B86,'NY Curve'!$A$4:$A$256,0),MATCH("NY Sunday Super Peak",'NY Curve'!$A$4:$M$4,0)),IF(Tables!$E$30="Michigan",INDEX('Michigan Curve'!$A$4:$L$256,MATCH('Monthly Table'!$B86,'Michigan Curve'!$A$4:$A$256,0),MATCH("Michigan Sunday Super Peak",'Michigan Curve'!$A$4:$L$4,0))))</f>
        <v>18.9950008392334</v>
      </c>
      <c r="BC86" s="894" t="n">
        <f aca="false">BB86*K86</f>
        <v>25.8142384890464</v>
      </c>
      <c r="BD86" s="893" t="n">
        <f aca="false">IF(BC86&gt;($CP86+$BF$4),1,0)</f>
        <v>0</v>
      </c>
      <c r="BE86" s="188"/>
      <c r="BF86" s="896" t="n">
        <f aca="false">B86</f>
        <v>39173</v>
      </c>
      <c r="BG86" s="897" t="n">
        <f aca="false">IF($AN86=1,$E86*$BF$5,0)</f>
        <v>0</v>
      </c>
      <c r="BH86" s="976" t="n">
        <f aca="false">IF(Tables!$B$36="Combined Cycle",(BF86-BF85)*24*Assumptions!$B$21,0)</f>
        <v>0</v>
      </c>
      <c r="BI86" s="714" t="n">
        <f aca="false">IF($AN86=1,$E86*$BF$5,0)</f>
        <v>0</v>
      </c>
      <c r="BJ86" s="898" t="n">
        <f aca="false">IF('Monthly Table'!D86&lt;=Tables!$B$21,IF($BJ$10=$BG$10,BG86,IF($BJ$10=$BH$10,BH86,IF($BJ$10=$BI$10,BI86,0))),0)</f>
        <v>0</v>
      </c>
      <c r="BK86" s="288"/>
      <c r="BL86" s="898" t="n">
        <f aca="false">IF($AW86=1,$F86*$BF$5,0)</f>
        <v>0</v>
      </c>
      <c r="BM86" s="898" t="n">
        <f aca="false">IF($BD86=1,($G86+H86)*$BF$5,0)</f>
        <v>0</v>
      </c>
      <c r="BO86" s="898" t="n">
        <f aca="false">IF(AS86=1,BJ86,0)</f>
        <v>0</v>
      </c>
      <c r="BP86" s="898" t="n">
        <f aca="false">IF(AZ86=1,F86*$BF$5,0)</f>
        <v>0</v>
      </c>
      <c r="BR86" s="899" t="n">
        <f aca="false">IF(BJ86&gt;0,INDEX(OperationalDetail,MATCH("Capacity Degradation",ODColumn,0),MATCH('Monthly Table'!C86,ODRow,0)),0)</f>
        <v>0</v>
      </c>
      <c r="BS86" s="900" t="n">
        <f aca="false">BJ86*(1-BR86)*Tables!$C$36</f>
        <v>0</v>
      </c>
      <c r="BT86" s="883" t="n">
        <f aca="false">BS86*AL86/1000</f>
        <v>0</v>
      </c>
      <c r="BU86" s="883" t="n">
        <f aca="false">BT86*K86</f>
        <v>0</v>
      </c>
      <c r="BV86" s="188"/>
      <c r="BW86" s="901" t="n">
        <f aca="false">$BO86*(1-$BR86)*Tables!$C$36</f>
        <v>0</v>
      </c>
      <c r="BX86" s="902" t="n">
        <f aca="false">(BW86*AQ86)/1000</f>
        <v>0</v>
      </c>
      <c r="BY86" s="883" t="n">
        <f aca="false">BX86*K86</f>
        <v>0</v>
      </c>
      <c r="BZ86" s="188"/>
      <c r="CA86" s="901" t="n">
        <f aca="false">$BL86*(1-$BR86)*Tables!$C$36</f>
        <v>0</v>
      </c>
      <c r="CB86" s="902" t="n">
        <f aca="false">(CA86*AU86)/1000</f>
        <v>0</v>
      </c>
      <c r="CC86" s="883" t="n">
        <f aca="false">CB86*K86</f>
        <v>0</v>
      </c>
      <c r="CD86" s="901" t="n">
        <f aca="false">$BP86*(1-$BR86)*Tables!$C$36</f>
        <v>0</v>
      </c>
      <c r="CE86" s="902" t="n">
        <f aca="false">(CD86*AX86)/1000</f>
        <v>0</v>
      </c>
      <c r="CF86" s="883" t="n">
        <f aca="false">CE86*K86</f>
        <v>0</v>
      </c>
      <c r="CH86" s="901" t="n">
        <f aca="false">$BM86*(1-$BR86)*Tables!$C$36</f>
        <v>0</v>
      </c>
      <c r="CI86" s="902" t="n">
        <f aca="false">(CH86*BB86)/1000</f>
        <v>0</v>
      </c>
      <c r="CJ86" s="883" t="n">
        <f aca="false">CI86*K86</f>
        <v>0</v>
      </c>
      <c r="CK86" s="292"/>
      <c r="CL86" s="292" t="n">
        <f aca="false">C86-1</f>
        <v>2006</v>
      </c>
      <c r="CM86" s="903" t="n">
        <f aca="false">INDEX(OperationalDetail,MATCH("Degraded Heat Rate",ODColumn,0),MATCH('Monthly Table'!CL86,ODRow,0))/1000</f>
        <v>11.9858336</v>
      </c>
      <c r="CN86" s="904" t="n">
        <f aca="false">S86*CM86</f>
        <v>53.8241268098485</v>
      </c>
      <c r="CO86" s="905" t="n">
        <f aca="false">IF(A86="January",(CO85*(1+Assumptions!$E$32)),CO85)</f>
        <v>7.58540774525508</v>
      </c>
      <c r="CP86" s="906" t="n">
        <f aca="false">CN86+CO86</f>
        <v>61.4095345551035</v>
      </c>
      <c r="CQ86" s="292"/>
      <c r="CR86" s="856" t="str">
        <f aca="false">IF(BJ86=0,"",C86)</f>
        <v/>
      </c>
      <c r="CS86" s="856" t="str">
        <f aca="false">IF(BO86=0,"",$C86)</f>
        <v/>
      </c>
      <c r="CT86" s="856" t="str">
        <f aca="false">IF(BL86=0,"",$C86)</f>
        <v/>
      </c>
      <c r="CU86" s="856" t="str">
        <f aca="false">IF(BP86=0,"",$C86)</f>
        <v/>
      </c>
      <c r="CV86" s="856" t="str">
        <f aca="false">IF(BD86=0,"",$C86)</f>
        <v/>
      </c>
      <c r="CW86" s="907" t="n">
        <f aca="false">YEAR(BF86)</f>
        <v>2007</v>
      </c>
      <c r="CX86" s="908" t="n">
        <f aca="false">INDEX('NY Curve'!$A$4:$G$256,MATCH('Monthly Table'!B86,'NY Curve'!$A$4:$A$256,0),MATCH("New York 5 X 16",'NY Curve'!$A$4:$G$4,0))</f>
        <v>25.7</v>
      </c>
      <c r="CY86" s="909" t="n">
        <f aca="false">K86</f>
        <v>1.3590017030022</v>
      </c>
      <c r="CZ86" s="910" t="n">
        <f aca="false">CX86*CY86</f>
        <v>34.9263437671565</v>
      </c>
      <c r="DB86" s="911"/>
      <c r="DC86" s="911"/>
    </row>
    <row r="87" customFormat="false" ht="18.75" hidden="false" customHeight="true" outlineLevel="0" collapsed="false">
      <c r="A87" s="49" t="s">
        <v>814</v>
      </c>
      <c r="B87" s="863" t="n">
        <v>39203</v>
      </c>
      <c r="C87" s="288" t="n">
        <f aca="false">YEAR(B87)</f>
        <v>2007</v>
      </c>
      <c r="D87" s="864" t="n">
        <f aca="false">IF(A87="January",D86+1,D86)</f>
        <v>7</v>
      </c>
      <c r="E87" s="865" t="n">
        <v>22</v>
      </c>
      <c r="F87" s="866" t="n">
        <v>4</v>
      </c>
      <c r="G87" s="866" t="n">
        <v>4</v>
      </c>
      <c r="H87" s="866" t="n">
        <v>1</v>
      </c>
      <c r="I87" s="867" t="n">
        <f aca="false">SUM(E87:H87)</f>
        <v>31</v>
      </c>
      <c r="J87" s="868"/>
      <c r="K87" s="869" t="n">
        <f aca="false">INDEX(FX!$A$3:$C$362,MATCH(B87,FX!$A$3:$A$362,0),MATCH("Monthly Curve",FX!$A$2:$C$2,0))</f>
        <v>1.3580416565023</v>
      </c>
      <c r="L87" s="869"/>
      <c r="M87" s="914" t="n">
        <v>2.8395</v>
      </c>
      <c r="N87" s="915" t="n">
        <v>0.14</v>
      </c>
      <c r="O87" s="714" t="n">
        <v>0.05</v>
      </c>
      <c r="P87" s="872" t="n">
        <f aca="false">N87+O87</f>
        <v>0.19</v>
      </c>
      <c r="Q87" s="873" t="n">
        <f aca="false">SUM(M87:O87)</f>
        <v>3.0295</v>
      </c>
      <c r="R87" s="974" t="n">
        <f aca="false">IF(A87="January",(R86+R86*Assumptions!$E$32),R86)</f>
        <v>0.338215553711823</v>
      </c>
      <c r="S87" s="875" t="n">
        <f aca="false">(Q87*K87)+R87</f>
        <v>4.45240275208554</v>
      </c>
      <c r="T87" s="869"/>
      <c r="U87" s="984"/>
      <c r="V87" s="978"/>
      <c r="W87" s="978"/>
      <c r="X87" s="971"/>
      <c r="Y87" s="975" t="n">
        <f aca="false">Tables!$D$36</f>
        <v>312</v>
      </c>
      <c r="Z87" s="879" t="n">
        <f aca="false">IF($Z$10=$V$10,V87,IF($Z$10=$W$10,W87,IF($Z$10=$X$10,X87,0)))</f>
        <v>0</v>
      </c>
      <c r="AA87" s="880" t="n">
        <f aca="false">Y87*Z87</f>
        <v>0</v>
      </c>
      <c r="AB87" s="881" t="n">
        <f aca="false">AA87*K87</f>
        <v>0</v>
      </c>
      <c r="AC87" s="188"/>
      <c r="AD87" s="882" t="n">
        <f aca="false">IF(Tables!$E$30="Michigan",INDEX('Michigan Curve'!$A$4:$S$256,MATCH('Monthly Table'!B87,'Michigan Curve'!$A$4:$A$256,0),MATCH("Michigan Selected Option Value US$/month",'Michigan Curve'!$A$4:$S$4,0)),INDEX('NY Curve'!$A$4:$T$256,MATCH('Monthly Table'!B87,'NY Curve'!$A$4:$A$256,0),MATCH("New York Selected Option Value US$/month",'NY Curve'!$A$4:$T$4,0)))</f>
        <v>98299.1589291498</v>
      </c>
      <c r="AE87" s="883" t="n">
        <f aca="false">AD87*K87</f>
        <v>133494.352624925</v>
      </c>
      <c r="AF87" s="188"/>
      <c r="AG87" s="884"/>
      <c r="AH87" s="188"/>
      <c r="AI87" s="885" t="n">
        <f aca="false">Assumptions!$B$50</f>
        <v>65</v>
      </c>
      <c r="AJ87" s="916"/>
      <c r="AK87" s="887" t="n">
        <f aca="false">IF(Tables!$E$30="Custom",'Monthly Table'!AI87,IF(Tables!$E$30="New York",INDEX('NY Curve'!$A$4:$G$256,MATCH('Monthly Table'!B87,'NY Curve'!$A$4:$A$256,0),MATCH("Super Peak Curve",'NY Curve'!$A$4:$G$4,0)),IF(Tables!$E$30="New York Flat",INDEX('NY Curve'!$A$4:$G$256,MATCH('Monthly Table'!B87,'NY Curve'!$A$4:$A$256,0),MATCH("Flat NY West",'NY Curve'!$A$4:$G$4,0)),INDEX('Michigan Curve'!$A$4:$F$256,MATCH('Monthly Table'!B87,'Michigan Curve'!$A$4:$A$256,0),MATCH("Michigan Super Peak Curve US$/MWhr",'Michigan Curve'!$A$4:$F$4,0)))))</f>
        <v>32.8256250545383</v>
      </c>
      <c r="AL87" s="888" t="n">
        <f aca="false">IF(D87&lt;=Tables!$B$21,IF($AL$10=$AI$10,AI87,IF($AL$10=$AJ$10,AJ87,IF($AL$10=$AK$10,AK87,0))),0)</f>
        <v>32.8256250545383</v>
      </c>
      <c r="AM87" s="889" t="n">
        <f aca="false">+AL87*K87</f>
        <v>44.5785662247885</v>
      </c>
      <c r="AN87" s="890" t="n">
        <f aca="false">IF((AL87*K87)&gt;(CP87+$BF$4),1,0)</f>
        <v>0</v>
      </c>
      <c r="AO87" s="891"/>
      <c r="AP87" s="894"/>
      <c r="AQ87" s="892" t="n">
        <f aca="false">IF(Tables!$E$30="New York",INDEX('NY Curve'!$A$4:$L$256,MATCH('Monthly Table'!B87,'NY Curve'!$A$4:$A$256,0),MATCH("New York Shoulder Hour Curve Mon-Fri",'NY Curve'!$A$4:$L$4,0)),IF(Tables!$E$30="Michigan",INDEX('Michigan Curve'!$A$4:$K$256,MATCH('Monthly Table'!B87,'Michigan Curve'!$A$4:$A$256,0),MATCH("Michigan Shoulder Hour Curve Mon-Fri",'Michigan Curve'!$A$4:$K$4,0))))</f>
        <v>28.1743749454618</v>
      </c>
      <c r="AR87" s="889" t="n">
        <f aca="false">AQ87*K87</f>
        <v>38.2619748218518</v>
      </c>
      <c r="AS87" s="893" t="n">
        <f aca="false">IF(AR87&gt;($CP87+$BF$4),1,0)</f>
        <v>0</v>
      </c>
      <c r="AT87" s="188"/>
      <c r="AU87" s="892" t="n">
        <f aca="false">IF(Tables!$E$30="New York",INDEX('NY Curve'!$A$4:$L$256,MATCH('Monthly Table'!$B87,'NY Curve'!$A$4:$A$256,0),MATCH("New York Saturday Super Peak",'NY Curve'!$A$4:$L$4,0)),IF(Tables!$E$30="Michigan",INDEX('Michigan Curve'!$A$4:$K$256,MATCH('Monthly Table'!$B87,'Michigan Curve'!$A$4:$A$256,0),MATCH("Michigan Saturday Super Peak",'Michigan Curve'!$A$4:$K$4,0))))</f>
        <v>22.6012500375509</v>
      </c>
      <c r="AV87" s="894" t="n">
        <f aca="false">AU87*K87</f>
        <v>30.6934390400183</v>
      </c>
      <c r="AW87" s="893" t="n">
        <f aca="false">IF(AV87&gt;($CP87+$BF$4),1,0)</f>
        <v>0</v>
      </c>
      <c r="AX87" s="892" t="n">
        <f aca="false">IF(Tables!$E$30="New York",INDEX('NY Curve'!$A$4:$L$256,MATCH('Monthly Table'!$B87,'NY Curve'!$A$4:$A$256,0),MATCH("New York Saturday Shoulder Peak",'NY Curve'!$A$4:$L$4,0)),IF(Tables!$E$30="Michigan",INDEX('Michigan Curve'!$A$4:$K$256,MATCH('Monthly Table'!$B87,'Michigan Curve'!$A$4:$A$256,0),MATCH("Michigan Saturday Shoulder Peak",'Michigan Curve'!$A$4:$K$4,0))))</f>
        <v>19.3987499624491</v>
      </c>
      <c r="AY87" s="895" t="n">
        <f aca="false">AX87*K87</f>
        <v>26.3443105330783</v>
      </c>
      <c r="AZ87" s="893" t="n">
        <f aca="false">IF(AY87&gt;($CP87+$BF$4),1,0)</f>
        <v>0</v>
      </c>
      <c r="BA87" s="188"/>
      <c r="BB87" s="892" t="n">
        <f aca="false">IF(Tables!$E$30="New York",INDEX('NY Curve'!$A$4:$M$256,MATCH('Monthly Table'!$B87,'NY Curve'!$A$4:$A$256,0),MATCH("NY Sunday Super Peak",'NY Curve'!$A$4:$M$4,0)),IF(Tables!$E$30="Michigan",INDEX('Michigan Curve'!$A$4:$L$256,MATCH('Monthly Table'!$B87,'Michigan Curve'!$A$4:$A$256,0),MATCH("Michigan Sunday Super Peak",'Michigan Curve'!$A$4:$L$4,0))))</f>
        <v>21.5303803825468</v>
      </c>
      <c r="BC87" s="894" t="n">
        <f aca="false">BB87*K87</f>
        <v>29.2391534398385</v>
      </c>
      <c r="BD87" s="893" t="n">
        <f aca="false">IF(BC87&gt;($CP87+$BF$4),1,0)</f>
        <v>0</v>
      </c>
      <c r="BE87" s="188"/>
      <c r="BF87" s="896" t="n">
        <f aca="false">B87</f>
        <v>39203</v>
      </c>
      <c r="BG87" s="897" t="n">
        <f aca="false">IF($AN87=1,$E87*$BF$5,0)</f>
        <v>0</v>
      </c>
      <c r="BH87" s="976" t="n">
        <f aca="false">IF(Tables!$B$36="Combined Cycle",(BF87-BF86)*24*Assumptions!$B$21,0)</f>
        <v>0</v>
      </c>
      <c r="BI87" s="714" t="n">
        <f aca="false">IF($AN87=1,$E87*$BF$5,0)</f>
        <v>0</v>
      </c>
      <c r="BJ87" s="898" t="n">
        <f aca="false">IF('Monthly Table'!D87&lt;=Tables!$B$21,IF($BJ$10=$BG$10,BG87,IF($BJ$10=$BH$10,BH87,IF($BJ$10=$BI$10,BI87,0))),0)</f>
        <v>0</v>
      </c>
      <c r="BK87" s="288"/>
      <c r="BL87" s="898" t="n">
        <f aca="false">IF($AW87=1,$F87*$BF$5,0)</f>
        <v>0</v>
      </c>
      <c r="BM87" s="898" t="n">
        <f aca="false">IF($BD87=1,($G87+H87)*$BF$5,0)</f>
        <v>0</v>
      </c>
      <c r="BO87" s="898" t="n">
        <f aca="false">IF(AS87=1,BJ87,0)</f>
        <v>0</v>
      </c>
      <c r="BP87" s="898" t="n">
        <f aca="false">IF(AZ87=1,F87*$BF$5,0)</f>
        <v>0</v>
      </c>
      <c r="BR87" s="899" t="n">
        <f aca="false">IF(BJ87&gt;0,INDEX(OperationalDetail,MATCH("Capacity Degradation",ODColumn,0),MATCH('Monthly Table'!C87,ODRow,0)),0)</f>
        <v>0</v>
      </c>
      <c r="BS87" s="900" t="n">
        <f aca="false">BJ87*(1-BR87)*Tables!$C$36</f>
        <v>0</v>
      </c>
      <c r="BT87" s="883" t="n">
        <f aca="false">BS87*AL87/1000</f>
        <v>0</v>
      </c>
      <c r="BU87" s="883" t="n">
        <f aca="false">BT87*K87</f>
        <v>0</v>
      </c>
      <c r="BV87" s="188"/>
      <c r="BW87" s="901" t="n">
        <f aca="false">$BO87*(1-$BR87)*Tables!$C$36</f>
        <v>0</v>
      </c>
      <c r="BX87" s="902" t="n">
        <f aca="false">(BW87*AQ87)/1000</f>
        <v>0</v>
      </c>
      <c r="BY87" s="883" t="n">
        <f aca="false">BX87*K87</f>
        <v>0</v>
      </c>
      <c r="BZ87" s="188"/>
      <c r="CA87" s="901" t="n">
        <f aca="false">$BL87*(1-$BR87)*Tables!$C$36</f>
        <v>0</v>
      </c>
      <c r="CB87" s="902" t="n">
        <f aca="false">(CA87*AU87)/1000</f>
        <v>0</v>
      </c>
      <c r="CC87" s="883" t="n">
        <f aca="false">CB87*K87</f>
        <v>0</v>
      </c>
      <c r="CD87" s="901" t="n">
        <f aca="false">$BP87*(1-$BR87)*Tables!$C$36</f>
        <v>0</v>
      </c>
      <c r="CE87" s="902" t="n">
        <f aca="false">(CD87*AX87)/1000</f>
        <v>0</v>
      </c>
      <c r="CF87" s="883" t="n">
        <f aca="false">CE87*K87</f>
        <v>0</v>
      </c>
      <c r="CH87" s="901" t="n">
        <f aca="false">$BM87*(1-$BR87)*Tables!$C$36</f>
        <v>0</v>
      </c>
      <c r="CI87" s="902" t="n">
        <f aca="false">(CH87*BB87)/1000</f>
        <v>0</v>
      </c>
      <c r="CJ87" s="883" t="n">
        <f aca="false">CI87*K87</f>
        <v>0</v>
      </c>
      <c r="CK87" s="292"/>
      <c r="CL87" s="292" t="n">
        <f aca="false">C87-1</f>
        <v>2006</v>
      </c>
      <c r="CM87" s="903" t="n">
        <f aca="false">INDEX(OperationalDetail,MATCH("Degraded Heat Rate",ODColumn,0),MATCH('Monthly Table'!CL87,ODRow,0))/1000</f>
        <v>11.9858336</v>
      </c>
      <c r="CN87" s="904" t="n">
        <f aca="false">S87*CM87</f>
        <v>53.3657585066793</v>
      </c>
      <c r="CO87" s="905" t="n">
        <f aca="false">IF(A87="January",(CO86*(1+Assumptions!$E$32)),CO86)</f>
        <v>7.58540774525508</v>
      </c>
      <c r="CP87" s="906" t="n">
        <f aca="false">CN87+CO87</f>
        <v>60.9511662519344</v>
      </c>
      <c r="CQ87" s="292"/>
      <c r="CR87" s="856" t="str">
        <f aca="false">IF(BJ87=0,"",C87)</f>
        <v/>
      </c>
      <c r="CS87" s="856" t="str">
        <f aca="false">IF(BO87=0,"",$C87)</f>
        <v/>
      </c>
      <c r="CT87" s="856" t="str">
        <f aca="false">IF(BL87=0,"",$C87)</f>
        <v/>
      </c>
      <c r="CU87" s="856" t="str">
        <f aca="false">IF(BP87=0,"",$C87)</f>
        <v/>
      </c>
      <c r="CV87" s="856" t="str">
        <f aca="false">IF(BD87=0,"",$C87)</f>
        <v/>
      </c>
      <c r="CW87" s="907" t="n">
        <f aca="false">YEAR(BF87)</f>
        <v>2007</v>
      </c>
      <c r="CX87" s="908" t="n">
        <f aca="false">INDEX('NY Curve'!$A$4:$G$256,MATCH('Monthly Table'!B87,'NY Curve'!$A$4:$A$256,0),MATCH("New York 5 X 16",'NY Curve'!$A$4:$G$4,0))</f>
        <v>29.95</v>
      </c>
      <c r="CY87" s="909" t="n">
        <f aca="false">K87</f>
        <v>1.3580416565023</v>
      </c>
      <c r="CZ87" s="910" t="n">
        <f aca="false">CX87*CY87</f>
        <v>40.6733476122439</v>
      </c>
      <c r="DB87" s="911"/>
      <c r="DC87" s="911"/>
    </row>
    <row r="88" customFormat="false" ht="18.75" hidden="false" customHeight="true" outlineLevel="0" collapsed="false">
      <c r="A88" s="49" t="s">
        <v>815</v>
      </c>
      <c r="B88" s="863" t="n">
        <v>39234</v>
      </c>
      <c r="C88" s="288" t="n">
        <f aca="false">YEAR(B88)</f>
        <v>2007</v>
      </c>
      <c r="D88" s="864" t="n">
        <f aca="false">IF(A88="January",D87+1,D87)</f>
        <v>7</v>
      </c>
      <c r="E88" s="865" t="n">
        <v>21</v>
      </c>
      <c r="F88" s="866" t="n">
        <v>5</v>
      </c>
      <c r="G88" s="866" t="n">
        <v>4</v>
      </c>
      <c r="H88" s="866" t="n">
        <v>0</v>
      </c>
      <c r="I88" s="867" t="n">
        <f aca="false">SUM(E88:H88)</f>
        <v>30</v>
      </c>
      <c r="J88" s="868"/>
      <c r="K88" s="869" t="n">
        <f aca="false">INDEX(FX!$A$3:$C$362,MATCH(B88,FX!$A$3:$A$362,0),MATCH("Monthly Curve",FX!$A$2:$C$2,0))</f>
        <v>1.35709472452038</v>
      </c>
      <c r="L88" s="869"/>
      <c r="M88" s="914" t="n">
        <v>2.8485</v>
      </c>
      <c r="N88" s="915" t="n">
        <v>0.14</v>
      </c>
      <c r="O88" s="714" t="n">
        <v>0.05</v>
      </c>
      <c r="P88" s="872" t="n">
        <f aca="false">N88+O88</f>
        <v>0.19</v>
      </c>
      <c r="Q88" s="873" t="n">
        <f aca="false">SUM(M88:O88)</f>
        <v>3.0385</v>
      </c>
      <c r="R88" s="974" t="n">
        <f aca="false">IF(A88="January",(R87+R87*Assumptions!$E$32),R87)</f>
        <v>0.338215553711823</v>
      </c>
      <c r="S88" s="875" t="n">
        <f aca="false">(Q88*K88)+R88</f>
        <v>4.461747874167</v>
      </c>
      <c r="T88" s="869"/>
      <c r="U88" s="983"/>
      <c r="V88" s="985"/>
      <c r="W88" s="985"/>
      <c r="X88" s="973"/>
      <c r="Y88" s="975" t="n">
        <f aca="false">Tables!$D$36</f>
        <v>312</v>
      </c>
      <c r="Z88" s="879" t="n">
        <f aca="false">IF($Z$10=$V$10,V88,IF($Z$10=$W$10,W88,IF($Z$10=$X$10,X88,0)))</f>
        <v>0</v>
      </c>
      <c r="AA88" s="880" t="n">
        <f aca="false">Y88*Z88</f>
        <v>0</v>
      </c>
      <c r="AB88" s="881" t="n">
        <f aca="false">AA88*K88</f>
        <v>0</v>
      </c>
      <c r="AC88" s="188"/>
      <c r="AD88" s="882" t="n">
        <f aca="false">IF(Tables!$E$30="Michigan",INDEX('Michigan Curve'!$A$4:$S$256,MATCH('Monthly Table'!B88,'Michigan Curve'!$A$4:$A$256,0),MATCH("Michigan Selected Option Value US$/month",'Michigan Curve'!$A$4:$S$4,0)),INDEX('NY Curve'!$A$4:$T$256,MATCH('Monthly Table'!B88,'NY Curve'!$A$4:$A$256,0),MATCH("New York Selected Option Value US$/month",'NY Curve'!$A$4:$T$4,0)))</f>
        <v>240979.686797054</v>
      </c>
      <c r="AE88" s="883" t="n">
        <f aca="false">AD88*K88</f>
        <v>327032.261668856</v>
      </c>
      <c r="AF88" s="188"/>
      <c r="AG88" s="884"/>
      <c r="AH88" s="188"/>
      <c r="AI88" s="885" t="n">
        <f aca="false">Assumptions!$B$50</f>
        <v>65</v>
      </c>
      <c r="AJ88" s="916"/>
      <c r="AK88" s="887" t="n">
        <f aca="false">IF(Tables!$E$30="Custom",'Monthly Table'!AI88,IF(Tables!$E$30="New York",INDEX('NY Curve'!$A$4:$G$256,MATCH('Monthly Table'!B88,'NY Curve'!$A$4:$A$256,0),MATCH("Super Peak Curve",'NY Curve'!$A$4:$G$4,0)),IF(Tables!$E$30="New York Flat",INDEX('NY Curve'!$A$4:$G$256,MATCH('Monthly Table'!B88,'NY Curve'!$A$4:$A$256,0),MATCH("Flat NY West",'NY Curve'!$A$4:$G$4,0)),INDEX('Michigan Curve'!$A$4:$F$256,MATCH('Monthly Table'!B88,'Michigan Curve'!$A$4:$A$256,0),MATCH("Michigan Super Peak Curve US$/MWhr",'Michigan Curve'!$A$4:$F$4,0)))))</f>
        <v>74.4884451653841</v>
      </c>
      <c r="AL88" s="888" t="n">
        <f aca="false">IF(D88&lt;=Tables!$B$21,IF($AL$10=$AI$10,AI88,IF($AL$10=$AJ$10,AJ88,IF($AL$10=$AK$10,AK88,0))),0)</f>
        <v>74.4884451653841</v>
      </c>
      <c r="AM88" s="889" t="n">
        <f aca="false">+AL88*K88</f>
        <v>101.087875971668</v>
      </c>
      <c r="AN88" s="890" t="n">
        <f aca="false">IF((AL88*K88)&gt;(CP88+$BF$4),1,0)</f>
        <v>1</v>
      </c>
      <c r="AO88" s="891"/>
      <c r="AP88" s="894"/>
      <c r="AQ88" s="892" t="n">
        <f aca="false">IF(Tables!$E$30="New York",INDEX('NY Curve'!$A$4:$L$256,MATCH('Monthly Table'!B88,'NY Curve'!$A$4:$A$256,0),MATCH("New York Shoulder Hour Curve Mon-Fri",'NY Curve'!$A$4:$L$4,0)),IF(Tables!$E$30="Michigan",INDEX('Michigan Curve'!$A$4:$K$256,MATCH('Monthly Table'!B88,'Michigan Curve'!$A$4:$A$256,0),MATCH("Michigan Shoulder Hour Curve Mon-Fri",'Michigan Curve'!$A$4:$K$4,0))))</f>
        <v>22.0115548346159</v>
      </c>
      <c r="AR88" s="889" t="n">
        <f aca="false">AQ88*K88</f>
        <v>29.8717649445484</v>
      </c>
      <c r="AS88" s="893" t="n">
        <f aca="false">IF(AR88&gt;($CP88+$BF$4),1,0)</f>
        <v>0</v>
      </c>
      <c r="AT88" s="188"/>
      <c r="AU88" s="892" t="n">
        <f aca="false">IF(Tables!$E$30="New York",INDEX('NY Curve'!$A$4:$L$256,MATCH('Monthly Table'!$B88,'NY Curve'!$A$4:$A$256,0),MATCH("New York Saturday Super Peak",'NY Curve'!$A$4:$L$4,0)),IF(Tables!$E$30="Michigan",INDEX('Michigan Curve'!$A$4:$K$256,MATCH('Monthly Table'!$B88,'Michigan Curve'!$A$4:$A$256,0),MATCH("Michigan Saturday Super Peak",'Michigan Curve'!$A$4:$K$4,0))))</f>
        <v>40.1388512808287</v>
      </c>
      <c r="AV88" s="894" t="n">
        <f aca="false">AU88*K88</f>
        <v>54.4722233215208</v>
      </c>
      <c r="AW88" s="893" t="n">
        <f aca="false">IF(AV88&gt;($CP88+$BF$4),1,0)</f>
        <v>0</v>
      </c>
      <c r="AX88" s="892" t="n">
        <f aca="false">IF(Tables!$E$30="New York",INDEX('NY Curve'!$A$4:$L$256,MATCH('Monthly Table'!$B88,'NY Curve'!$A$4:$A$256,0),MATCH("New York Saturday Shoulder Peak",'NY Curve'!$A$4:$L$4,0)),IF(Tables!$E$30="Michigan",INDEX('Michigan Curve'!$A$4:$K$256,MATCH('Monthly Table'!$B88,'Michigan Curve'!$A$4:$A$256,0),MATCH("Michigan Saturday Shoulder Peak",'Michigan Curve'!$A$4:$K$4,0))))</f>
        <v>11.8611487191713</v>
      </c>
      <c r="AY88" s="895" t="n">
        <f aca="false">AX88*K88</f>
        <v>16.096702353539</v>
      </c>
      <c r="AZ88" s="893" t="n">
        <f aca="false">IF(AY88&gt;($CP88+$BF$4),1,0)</f>
        <v>0</v>
      </c>
      <c r="BA88" s="188"/>
      <c r="BB88" s="892" t="n">
        <f aca="false">IF(Tables!$E$30="New York",INDEX('NY Curve'!$A$4:$M$256,MATCH('Monthly Table'!$B88,'NY Curve'!$A$4:$A$256,0),MATCH("NY Sunday Super Peak",'NY Curve'!$A$4:$M$4,0)),IF(Tables!$E$30="Michigan",INDEX('Michigan Curve'!$A$4:$L$256,MATCH('Monthly Table'!$B88,'Michigan Curve'!$A$4:$A$256,0),MATCH("Michigan Sunday Super Peak",'Michigan Curve'!$A$4:$L$4,0))))</f>
        <v>37.0512473361496</v>
      </c>
      <c r="BC88" s="894" t="n">
        <f aca="false">BB88*K88</f>
        <v>50.2820522967884</v>
      </c>
      <c r="BD88" s="893" t="n">
        <f aca="false">IF(BC88&gt;($CP88+$BF$4),1,0)</f>
        <v>0</v>
      </c>
      <c r="BE88" s="188"/>
      <c r="BF88" s="896" t="n">
        <f aca="false">B88</f>
        <v>39234</v>
      </c>
      <c r="BG88" s="897" t="n">
        <f aca="false">IF($AN88=1,$E88*$BF$5,0)</f>
        <v>168</v>
      </c>
      <c r="BH88" s="976" t="n">
        <f aca="false">IF(Tables!$B$36="Combined Cycle",(BF88-BF87)*24*Assumptions!$B$21,0)</f>
        <v>0</v>
      </c>
      <c r="BI88" s="714" t="n">
        <f aca="false">IF($AN88=1,$E88*$BF$5,0)</f>
        <v>168</v>
      </c>
      <c r="BJ88" s="898" t="n">
        <f aca="false">IF('Monthly Table'!D88&lt;=Tables!$B$21,IF($BJ$10=$BG$10,BG88,IF($BJ$10=$BH$10,BH88,IF($BJ$10=$BI$10,BI88,0))),0)</f>
        <v>168</v>
      </c>
      <c r="BK88" s="288"/>
      <c r="BL88" s="898" t="n">
        <f aca="false">IF($AW88=1,$F88*$BF$5,0)</f>
        <v>0</v>
      </c>
      <c r="BM88" s="898" t="n">
        <f aca="false">IF($BD88=1,($G88+H88)*$BF$5,0)</f>
        <v>0</v>
      </c>
      <c r="BO88" s="898" t="n">
        <f aca="false">IF(AS88=1,BJ88,0)</f>
        <v>0</v>
      </c>
      <c r="BP88" s="898" t="n">
        <f aca="false">IF(AZ88=1,F88*$BF$5,0)</f>
        <v>0</v>
      </c>
      <c r="BR88" s="899" t="n">
        <f aca="false">IF(BJ88&gt;0,INDEX(OperationalDetail,MATCH("Capacity Degradation",ODColumn,0),MATCH('Monthly Table'!C88,ODRow,0)),0)</f>
        <v>0.00474</v>
      </c>
      <c r="BS88" s="900" t="n">
        <f aca="false">BJ88*(1-BR88)*Tables!$C$36</f>
        <v>54173.99232</v>
      </c>
      <c r="BT88" s="883" t="n">
        <f aca="false">BS88*AL88/1000</f>
        <v>4035.33645631826</v>
      </c>
      <c r="BU88" s="883" t="n">
        <f aca="false">BT88*K88</f>
        <v>5476.33381653427</v>
      </c>
      <c r="BV88" s="188"/>
      <c r="BW88" s="901" t="n">
        <f aca="false">$BO88*(1-$BR88)*Tables!$C$36</f>
        <v>0</v>
      </c>
      <c r="BX88" s="902" t="n">
        <f aca="false">(BW88*AQ88)/1000</f>
        <v>0</v>
      </c>
      <c r="BY88" s="883" t="n">
        <f aca="false">BX88*K88</f>
        <v>0</v>
      </c>
      <c r="BZ88" s="188"/>
      <c r="CA88" s="901" t="n">
        <f aca="false">$BL88*(1-$BR88)*Tables!$C$36</f>
        <v>0</v>
      </c>
      <c r="CB88" s="902" t="n">
        <f aca="false">(CA88*AU88)/1000</f>
        <v>0</v>
      </c>
      <c r="CC88" s="883" t="n">
        <f aca="false">CB88*K88</f>
        <v>0</v>
      </c>
      <c r="CD88" s="901" t="n">
        <f aca="false">$BP88*(1-$BR88)*Tables!$C$36</f>
        <v>0</v>
      </c>
      <c r="CE88" s="902" t="n">
        <f aca="false">(CD88*AX88)/1000</f>
        <v>0</v>
      </c>
      <c r="CF88" s="883" t="n">
        <f aca="false">CE88*K88</f>
        <v>0</v>
      </c>
      <c r="CH88" s="901" t="n">
        <f aca="false">$BM88*(1-$BR88)*Tables!$C$36</f>
        <v>0</v>
      </c>
      <c r="CI88" s="902" t="n">
        <f aca="false">(CH88*BB88)/1000</f>
        <v>0</v>
      </c>
      <c r="CJ88" s="883" t="n">
        <f aca="false">CI88*K88</f>
        <v>0</v>
      </c>
      <c r="CK88" s="292"/>
      <c r="CL88" s="292" t="n">
        <f aca="false">C88-1</f>
        <v>2006</v>
      </c>
      <c r="CM88" s="903" t="n">
        <f aca="false">INDEX(OperationalDetail,MATCH("Degraded Heat Rate",ODColumn,0),MATCH('Monthly Table'!CL88,ODRow,0))/1000</f>
        <v>11.9858336</v>
      </c>
      <c r="CN88" s="904" t="n">
        <f aca="false">S88*CM88</f>
        <v>53.4777675849194</v>
      </c>
      <c r="CO88" s="905" t="n">
        <f aca="false">IF(A88="January",(CO87*(1+Assumptions!$E$32)),CO87)</f>
        <v>7.58540774525508</v>
      </c>
      <c r="CP88" s="906" t="n">
        <f aca="false">CN88+CO88</f>
        <v>61.0631753301745</v>
      </c>
      <c r="CQ88" s="292"/>
      <c r="CR88" s="856" t="n">
        <f aca="false">IF(BJ88=0,"",C88)</f>
        <v>2007</v>
      </c>
      <c r="CS88" s="856" t="str">
        <f aca="false">IF(BO88=0,"",$C88)</f>
        <v/>
      </c>
      <c r="CT88" s="856" t="str">
        <f aca="false">IF(BL88=0,"",$C88)</f>
        <v/>
      </c>
      <c r="CU88" s="856" t="str">
        <f aca="false">IF(BP88=0,"",$C88)</f>
        <v/>
      </c>
      <c r="CV88" s="856" t="str">
        <f aca="false">IF(BD88=0,"",$C88)</f>
        <v/>
      </c>
      <c r="CW88" s="907" t="n">
        <f aca="false">YEAR(BF88)</f>
        <v>2007</v>
      </c>
      <c r="CX88" s="908" t="n">
        <f aca="false">INDEX('NY Curve'!$A$4:$G$256,MATCH('Monthly Table'!B88,'NY Curve'!$A$4:$A$256,0),MATCH("New York 5 X 16",'NY Curve'!$A$4:$G$4,0))</f>
        <v>48.5</v>
      </c>
      <c r="CY88" s="909" t="n">
        <f aca="false">K88</f>
        <v>1.35709472452038</v>
      </c>
      <c r="CZ88" s="910" t="n">
        <f aca="false">CX88*CY88</f>
        <v>65.8190941392384</v>
      </c>
      <c r="DB88" s="911"/>
      <c r="DC88" s="911"/>
    </row>
    <row r="89" customFormat="false" ht="18.75" hidden="false" customHeight="true" outlineLevel="0" collapsed="false">
      <c r="A89" s="49" t="s">
        <v>816</v>
      </c>
      <c r="B89" s="863" t="n">
        <v>39264</v>
      </c>
      <c r="C89" s="288" t="n">
        <f aca="false">YEAR(B89)</f>
        <v>2007</v>
      </c>
      <c r="D89" s="864" t="n">
        <f aca="false">IF(A89="January",D88+1,D88)</f>
        <v>7</v>
      </c>
      <c r="E89" s="865" t="n">
        <v>21</v>
      </c>
      <c r="F89" s="866" t="n">
        <v>4</v>
      </c>
      <c r="G89" s="866" t="n">
        <v>5</v>
      </c>
      <c r="H89" s="866" t="n">
        <v>1</v>
      </c>
      <c r="I89" s="867" t="n">
        <f aca="false">SUM(E89:H89)</f>
        <v>31</v>
      </c>
      <c r="J89" s="868"/>
      <c r="K89" s="869" t="n">
        <f aca="false">INDEX(FX!$A$3:$C$362,MATCH(B89,FX!$A$3:$A$362,0),MATCH("Monthly Curve",FX!$A$2:$C$2,0))</f>
        <v>1.35618234448799</v>
      </c>
      <c r="L89" s="869"/>
      <c r="M89" s="914" t="n">
        <v>2.8575</v>
      </c>
      <c r="N89" s="915" t="n">
        <v>0.14</v>
      </c>
      <c r="O89" s="714" t="n">
        <v>0.05</v>
      </c>
      <c r="P89" s="872" t="n">
        <f aca="false">N89+O89</f>
        <v>0.19</v>
      </c>
      <c r="Q89" s="873" t="n">
        <f aca="false">SUM(M89:O89)</f>
        <v>3.0475</v>
      </c>
      <c r="R89" s="974" t="n">
        <f aca="false">IF(A89="January",(R88+R88*Assumptions!$E$32),R88)</f>
        <v>0.338215553711823</v>
      </c>
      <c r="S89" s="875" t="n">
        <f aca="false">(Q89*K89)+R89</f>
        <v>4.47118124853897</v>
      </c>
      <c r="T89" s="869"/>
      <c r="U89" s="984"/>
      <c r="V89" s="985"/>
      <c r="W89" s="985"/>
      <c r="X89" s="971"/>
      <c r="Y89" s="975" t="n">
        <f aca="false">Tables!$D$36</f>
        <v>312</v>
      </c>
      <c r="Z89" s="879" t="n">
        <f aca="false">IF($Z$10=$V$10,V89,IF($Z$10=$W$10,W89,IF($Z$10=$X$10,X89,0)))</f>
        <v>0</v>
      </c>
      <c r="AA89" s="880" t="n">
        <f aca="false">Y89*Z89</f>
        <v>0</v>
      </c>
      <c r="AB89" s="881" t="n">
        <f aca="false">AA89*K89</f>
        <v>0</v>
      </c>
      <c r="AC89" s="188"/>
      <c r="AD89" s="882" t="n">
        <f aca="false">IF(Tables!$E$30="Michigan",INDEX('Michigan Curve'!$A$4:$S$256,MATCH('Monthly Table'!B89,'Michigan Curve'!$A$4:$A$256,0),MATCH("Michigan Selected Option Value US$/month",'Michigan Curve'!$A$4:$S$4,0)),INDEX('NY Curve'!$A$4:$T$256,MATCH('Monthly Table'!B89,'NY Curve'!$A$4:$A$256,0),MATCH("New York Selected Option Value US$/month",'NY Curve'!$A$4:$T$4,0)))</f>
        <v>426201.950286781</v>
      </c>
      <c r="AE89" s="883" t="n">
        <f aca="false">AD89*K89</f>
        <v>578007.560165281</v>
      </c>
      <c r="AF89" s="188"/>
      <c r="AG89" s="884"/>
      <c r="AH89" s="188"/>
      <c r="AI89" s="885" t="n">
        <f aca="false">Assumptions!$B$50</f>
        <v>65</v>
      </c>
      <c r="AJ89" s="916"/>
      <c r="AK89" s="887" t="n">
        <f aca="false">IF(Tables!$E$30="Custom",'Monthly Table'!AI89,IF(Tables!$E$30="New York",INDEX('NY Curve'!$A$4:$G$256,MATCH('Monthly Table'!B89,'NY Curve'!$A$4:$A$256,0),MATCH("Super Peak Curve",'NY Curve'!$A$4:$G$4,0)),IF(Tables!$E$30="New York Flat",INDEX('NY Curve'!$A$4:$G$256,MATCH('Monthly Table'!B89,'NY Curve'!$A$4:$A$256,0),MATCH("Flat NY West",'NY Curve'!$A$4:$G$4,0)),INDEX('Michigan Curve'!$A$4:$F$256,MATCH('Monthly Table'!B89,'Michigan Curve'!$A$4:$A$256,0),MATCH("Michigan Super Peak Curve US$/MWhr",'Michigan Curve'!$A$4:$F$4,0)))))</f>
        <v>126.84843927625</v>
      </c>
      <c r="AL89" s="888" t="n">
        <f aca="false">IF(D89&lt;=Tables!$B$21,IF($AL$10=$AI$10,AI89,IF($AL$10=$AJ$10,AJ89,IF($AL$10=$AK$10,AK89,0))),0)</f>
        <v>126.84843927625</v>
      </c>
      <c r="AM89" s="889" t="n">
        <f aca="false">+AL89*K89</f>
        <v>172.029613772307</v>
      </c>
      <c r="AN89" s="890" t="n">
        <f aca="false">IF((AL89*K89)&gt;(CP89+$BF$4),1,0)</f>
        <v>1</v>
      </c>
      <c r="AO89" s="891"/>
      <c r="AP89" s="894"/>
      <c r="AQ89" s="892" t="n">
        <f aca="false">IF(Tables!$E$30="New York",INDEX('NY Curve'!$A$4:$L$256,MATCH('Monthly Table'!B89,'NY Curve'!$A$4:$A$256,0),MATCH("New York Shoulder Hour Curve Mon-Fri",'NY Curve'!$A$4:$L$4,0)),IF(Tables!$E$30="Michigan",INDEX('Michigan Curve'!$A$4:$K$256,MATCH('Monthly Table'!B89,'Michigan Curve'!$A$4:$A$256,0),MATCH("Michigan Shoulder Hour Curve Mon-Fri",'Michigan Curve'!$A$4:$K$4,0))))</f>
        <v>27.1515607237498</v>
      </c>
      <c r="AR89" s="889" t="n">
        <f aca="false">AQ89*K89</f>
        <v>36.822467278843</v>
      </c>
      <c r="AS89" s="893" t="n">
        <f aca="false">IF(AR89&gt;($CP89+$BF$4),1,0)</f>
        <v>0</v>
      </c>
      <c r="AT89" s="188"/>
      <c r="AU89" s="892" t="n">
        <f aca="false">IF(Tables!$E$30="New York",INDEX('NY Curve'!$A$4:$L$256,MATCH('Monthly Table'!$B89,'NY Curve'!$A$4:$A$256,0),MATCH("New York Saturday Super Peak",'NY Curve'!$A$4:$L$4,0)),IF(Tables!$E$30="Michigan",INDEX('Michigan Curve'!$A$4:$K$256,MATCH('Monthly Table'!$B89,'Michigan Curve'!$A$4:$A$256,0),MATCH("Michigan Saturday Super Peak",'Michigan Curve'!$A$4:$K$4,0))))</f>
        <v>57.6583814892046</v>
      </c>
      <c r="AV89" s="894" t="n">
        <f aca="false">AU89*K89</f>
        <v>78.1952789874125</v>
      </c>
      <c r="AW89" s="893" t="n">
        <f aca="false">IF(AV89&gt;($CP89+$BF$4),1,0)</f>
        <v>1</v>
      </c>
      <c r="AX89" s="892" t="n">
        <f aca="false">IF(Tables!$E$30="New York",INDEX('NY Curve'!$A$4:$L$256,MATCH('Monthly Table'!$B89,'NY Curve'!$A$4:$A$256,0),MATCH("New York Saturday Shoulder Peak",'NY Curve'!$A$4:$L$4,0)),IF(Tables!$E$30="Michigan",INDEX('Michigan Curve'!$A$4:$K$256,MATCH('Monthly Table'!$B89,'Michigan Curve'!$A$4:$A$256,0),MATCH("Michigan Saturday Shoulder Peak",'Michigan Curve'!$A$4:$K$4,0))))</f>
        <v>12.3416185107954</v>
      </c>
      <c r="AY89" s="895" t="n">
        <f aca="false">AX89*K89</f>
        <v>16.7374851267468</v>
      </c>
      <c r="AZ89" s="893" t="n">
        <f aca="false">IF(AY89&gt;($CP89+$BF$4),1,0)</f>
        <v>0</v>
      </c>
      <c r="BA89" s="188"/>
      <c r="BB89" s="892" t="n">
        <f aca="false">IF(Tables!$E$30="New York",INDEX('NY Curve'!$A$4:$M$256,MATCH('Monthly Table'!$B89,'NY Curve'!$A$4:$A$256,0),MATCH("NY Sunday Super Peak",'NY Curve'!$A$4:$M$4,0)),IF(Tables!$E$30="Michigan",INDEX('Michigan Curve'!$A$4:$L$256,MATCH('Monthly Table'!$B89,'Michigan Curve'!$A$4:$A$256,0),MATCH("Michigan Sunday Super Peak",'Michigan Curve'!$A$4:$L$4,0))))</f>
        <v>51.0688490340202</v>
      </c>
      <c r="BC89" s="894" t="n">
        <f aca="false">BB89*K89</f>
        <v>69.2586714132608</v>
      </c>
      <c r="BD89" s="893" t="n">
        <f aca="false">IF(BC89&gt;($CP89+$BF$4),1,0)</f>
        <v>1</v>
      </c>
      <c r="BE89" s="188"/>
      <c r="BF89" s="896" t="n">
        <f aca="false">B89</f>
        <v>39264</v>
      </c>
      <c r="BG89" s="897" t="n">
        <f aca="false">IF($AN89=1,$E89*$BF$5,0)</f>
        <v>168</v>
      </c>
      <c r="BH89" s="976" t="n">
        <f aca="false">IF(Tables!$B$36="Combined Cycle",(BF89-BF88)*24*Assumptions!$B$21,0)</f>
        <v>0</v>
      </c>
      <c r="BI89" s="714" t="n">
        <f aca="false">IF($AN89=1,$E89*$BF$5,0)</f>
        <v>168</v>
      </c>
      <c r="BJ89" s="898" t="n">
        <f aca="false">IF('Monthly Table'!D89&lt;=Tables!$B$21,IF($BJ$10=$BG$10,BG89,IF($BJ$10=$BH$10,BH89,IF($BJ$10=$BI$10,BI89,0))),0)</f>
        <v>168</v>
      </c>
      <c r="BK89" s="288"/>
      <c r="BL89" s="898" t="n">
        <f aca="false">IF($AW89=1,$F89*$BF$5,0)</f>
        <v>32</v>
      </c>
      <c r="BM89" s="898" t="n">
        <f aca="false">IF($BD89=1,($G89+H89)*$BF$5,0)</f>
        <v>48</v>
      </c>
      <c r="BO89" s="898" t="n">
        <f aca="false">IF(AS89=1,BJ89,0)</f>
        <v>0</v>
      </c>
      <c r="BP89" s="898" t="n">
        <f aca="false">IF(AZ89=1,F89*$BF$5,0)</f>
        <v>0</v>
      </c>
      <c r="BR89" s="899" t="n">
        <f aca="false">IF(BJ89&gt;0,INDEX(OperationalDetail,MATCH("Capacity Degradation",ODColumn,0),MATCH('Monthly Table'!C89,ODRow,0)),0)</f>
        <v>0.00474</v>
      </c>
      <c r="BS89" s="900" t="n">
        <f aca="false">BJ89*(1-BR89)*Tables!$C$36</f>
        <v>54173.99232</v>
      </c>
      <c r="BT89" s="883" t="n">
        <f aca="false">BS89*AL89/1000</f>
        <v>6871.88637515557</v>
      </c>
      <c r="BU89" s="883" t="n">
        <f aca="false">BT89*K89</f>
        <v>9319.53097531355</v>
      </c>
      <c r="BV89" s="188"/>
      <c r="BW89" s="901" t="n">
        <f aca="false">$BO89*(1-$BR89)*Tables!$C$36</f>
        <v>0</v>
      </c>
      <c r="BX89" s="902" t="n">
        <f aca="false">(BW89*AQ89)/1000</f>
        <v>0</v>
      </c>
      <c r="BY89" s="883" t="n">
        <f aca="false">BX89*K89</f>
        <v>0</v>
      </c>
      <c r="BZ89" s="188"/>
      <c r="CA89" s="901" t="n">
        <f aca="false">$BL89*(1-$BR89)*Tables!$C$36</f>
        <v>10318.85568</v>
      </c>
      <c r="CB89" s="902" t="n">
        <f aca="false">(CA89*AU89)/1000</f>
        <v>594.968517329486</v>
      </c>
      <c r="CC89" s="883" t="n">
        <f aca="false">CB89*K89</f>
        <v>806.885798728446</v>
      </c>
      <c r="CD89" s="901" t="n">
        <f aca="false">$BP89*(1-$BR89)*Tables!$C$36</f>
        <v>0</v>
      </c>
      <c r="CE89" s="902" t="n">
        <f aca="false">(CD89*AX89)/1000</f>
        <v>0</v>
      </c>
      <c r="CF89" s="883" t="n">
        <f aca="false">CE89*K89</f>
        <v>0</v>
      </c>
      <c r="CH89" s="901" t="n">
        <f aca="false">$BM89*(1-$BR89)*Tables!$C$36</f>
        <v>15478.28352</v>
      </c>
      <c r="CI89" s="902" t="n">
        <f aca="false">(CH89*BB89)/1000</f>
        <v>790.458124388644</v>
      </c>
      <c r="CJ89" s="883" t="n">
        <f aca="false">CI89*K89</f>
        <v>1072.00535235297</v>
      </c>
      <c r="CK89" s="292"/>
      <c r="CL89" s="292" t="n">
        <f aca="false">C89-1</f>
        <v>2006</v>
      </c>
      <c r="CM89" s="903" t="n">
        <f aca="false">INDEX(OperationalDetail,MATCH("Degraded Heat Rate",ODColumn,0),MATCH('Monthly Table'!CL89,ODRow,0))/1000</f>
        <v>11.9858336</v>
      </c>
      <c r="CN89" s="904" t="n">
        <f aca="false">S89*CM89</f>
        <v>53.5908344404284</v>
      </c>
      <c r="CO89" s="905" t="n">
        <f aca="false">IF(A89="January",(CO88*(1+Assumptions!$E$32)),CO88)</f>
        <v>7.58540774525508</v>
      </c>
      <c r="CP89" s="906" t="n">
        <f aca="false">CN89+CO89</f>
        <v>61.1762421856834</v>
      </c>
      <c r="CQ89" s="292"/>
      <c r="CR89" s="856" t="n">
        <f aca="false">IF(BJ89=0,"",C89)</f>
        <v>2007</v>
      </c>
      <c r="CS89" s="856" t="str">
        <f aca="false">IF(BO89=0,"",$C89)</f>
        <v/>
      </c>
      <c r="CT89" s="856" t="n">
        <f aca="false">IF(BL89=0,"",$C89)</f>
        <v>2007</v>
      </c>
      <c r="CU89" s="856" t="str">
        <f aca="false">IF(BP89=0,"",$C89)</f>
        <v/>
      </c>
      <c r="CV89" s="856" t="n">
        <f aca="false">IF(BD89=0,"",$C89)</f>
        <v>2007</v>
      </c>
      <c r="CW89" s="907" t="n">
        <f aca="false">YEAR(BF89)</f>
        <v>2007</v>
      </c>
      <c r="CX89" s="908" t="n">
        <f aca="false">INDEX('NY Curve'!$A$4:$G$256,MATCH('Monthly Table'!B89,'NY Curve'!$A$4:$A$256,0),MATCH("New York 5 X 16",'NY Curve'!$A$4:$G$4,0))</f>
        <v>72.5</v>
      </c>
      <c r="CY89" s="909" t="n">
        <f aca="false">K89</f>
        <v>1.35618234448799</v>
      </c>
      <c r="CZ89" s="910" t="n">
        <f aca="false">CX89*CY89</f>
        <v>98.3232199753793</v>
      </c>
      <c r="DB89" s="911"/>
      <c r="DC89" s="911"/>
    </row>
    <row r="90" customFormat="false" ht="18.75" hidden="false" customHeight="true" outlineLevel="0" collapsed="false">
      <c r="A90" s="49" t="s">
        <v>817</v>
      </c>
      <c r="B90" s="863" t="n">
        <v>39295</v>
      </c>
      <c r="C90" s="288" t="n">
        <f aca="false">YEAR(B90)</f>
        <v>2007</v>
      </c>
      <c r="D90" s="864" t="n">
        <f aca="false">IF(A90="January",D89+1,D89)</f>
        <v>7</v>
      </c>
      <c r="E90" s="865" t="n">
        <v>23</v>
      </c>
      <c r="F90" s="866" t="n">
        <v>4</v>
      </c>
      <c r="G90" s="866" t="n">
        <v>4</v>
      </c>
      <c r="H90" s="866" t="n">
        <v>0</v>
      </c>
      <c r="I90" s="867" t="n">
        <f aca="false">SUM(E90:H90)</f>
        <v>31</v>
      </c>
      <c r="J90" s="868"/>
      <c r="K90" s="869" t="n">
        <f aca="false">INDEX(FX!$A$3:$C$362,MATCH(B90,FX!$A$3:$A$362,0),MATCH("Monthly Curve",FX!$A$2:$C$2,0))</f>
        <v>1.35524368336752</v>
      </c>
      <c r="L90" s="869"/>
      <c r="M90" s="914" t="n">
        <v>2.8645</v>
      </c>
      <c r="N90" s="915" t="n">
        <v>0.14</v>
      </c>
      <c r="O90" s="714" t="n">
        <v>0.05</v>
      </c>
      <c r="P90" s="872" t="n">
        <f aca="false">N90+O90</f>
        <v>0.19</v>
      </c>
      <c r="Q90" s="873" t="n">
        <f aca="false">SUM(M90:O90)</f>
        <v>3.0545</v>
      </c>
      <c r="R90" s="974" t="n">
        <f aca="false">IF(A90="January",(R89+R89*Assumptions!$E$32),R89)</f>
        <v>0.338215553711823</v>
      </c>
      <c r="S90" s="875" t="n">
        <f aca="false">(Q90*K90)+R90</f>
        <v>4.47780738455791</v>
      </c>
      <c r="T90" s="869"/>
      <c r="U90" s="984"/>
      <c r="V90" s="985"/>
      <c r="W90" s="985"/>
      <c r="X90" s="971"/>
      <c r="Y90" s="975" t="n">
        <f aca="false">Tables!$D$36</f>
        <v>312</v>
      </c>
      <c r="Z90" s="879" t="n">
        <f aca="false">IF($Z$10=$V$10,V90,IF($Z$10=$W$10,W90,IF($Z$10=$X$10,X90,0)))</f>
        <v>0</v>
      </c>
      <c r="AA90" s="880" t="n">
        <f aca="false">Y90*Z90</f>
        <v>0</v>
      </c>
      <c r="AB90" s="881" t="n">
        <f aca="false">AA90*K90</f>
        <v>0</v>
      </c>
      <c r="AC90" s="188"/>
      <c r="AD90" s="882" t="n">
        <f aca="false">IF(Tables!$E$30="Michigan",INDEX('Michigan Curve'!$A$4:$S$256,MATCH('Monthly Table'!B90,'Michigan Curve'!$A$4:$A$256,0),MATCH("Michigan Selected Option Value US$/month",'Michigan Curve'!$A$4:$S$4,0)),INDEX('NY Curve'!$A$4:$T$256,MATCH('Monthly Table'!B90,'NY Curve'!$A$4:$A$256,0),MATCH("New York Selected Option Value US$/month",'NY Curve'!$A$4:$T$4,0)))</f>
        <v>398067.494609339</v>
      </c>
      <c r="AE90" s="883" t="n">
        <f aca="false">AD90*K90</f>
        <v>539478.457623241</v>
      </c>
      <c r="AF90" s="188"/>
      <c r="AG90" s="884"/>
      <c r="AH90" s="188"/>
      <c r="AI90" s="885" t="n">
        <f aca="false">Assumptions!$B$50</f>
        <v>65</v>
      </c>
      <c r="AJ90" s="916"/>
      <c r="AK90" s="887" t="n">
        <f aca="false">IF(Tables!$E$30="Custom",'Monthly Table'!AI90,IF(Tables!$E$30="New York",INDEX('NY Curve'!$A$4:$G$256,MATCH('Monthly Table'!B90,'NY Curve'!$A$4:$A$256,0),MATCH("Super Peak Curve",'NY Curve'!$A$4:$G$4,0)),IF(Tables!$E$30="New York Flat",INDEX('NY Curve'!$A$4:$G$256,MATCH('Monthly Table'!B90,'NY Curve'!$A$4:$A$256,0),MATCH("Flat NY West",'NY Curve'!$A$4:$G$4,0)),INDEX('Michigan Curve'!$A$4:$F$256,MATCH('Monthly Table'!B90,'Michigan Curve'!$A$4:$A$256,0),MATCH("Michigan Super Peak Curve US$/MWhr",'Michigan Curve'!$A$4:$F$4,0)))))</f>
        <v>126.84843927625</v>
      </c>
      <c r="AL90" s="888" t="n">
        <f aca="false">IF(D90&lt;=Tables!$B$21,IF($AL$10=$AI$10,AI90,IF($AL$10=$AJ$10,AJ90,IF($AL$10=$AK$10,AK90,0))),0)</f>
        <v>126.84843927625</v>
      </c>
      <c r="AM90" s="889" t="n">
        <f aca="false">+AL90*K90</f>
        <v>171.910546074167</v>
      </c>
      <c r="AN90" s="890" t="n">
        <f aca="false">IF((AL90*K90)&gt;(CP90+$BF$4),1,0)</f>
        <v>1</v>
      </c>
      <c r="AO90" s="891"/>
      <c r="AP90" s="894"/>
      <c r="AQ90" s="892" t="n">
        <f aca="false">IF(Tables!$E$30="New York",INDEX('NY Curve'!$A$4:$L$256,MATCH('Monthly Table'!B90,'NY Curve'!$A$4:$A$256,0),MATCH("New York Shoulder Hour Curve Mon-Fri",'NY Curve'!$A$4:$L$4,0)),IF(Tables!$E$30="Michigan",INDEX('Michigan Curve'!$A$4:$K$256,MATCH('Monthly Table'!B90,'Michigan Curve'!$A$4:$A$256,0),MATCH("Michigan Shoulder Hour Curve Mon-Fri",'Michigan Curve'!$A$4:$K$4,0))))</f>
        <v>27.1515607237498</v>
      </c>
      <c r="AR90" s="889" t="n">
        <f aca="false">AQ90*K90</f>
        <v>36.7969811644316</v>
      </c>
      <c r="AS90" s="893" t="n">
        <f aca="false">IF(AR90&gt;($CP90+$BF$4),1,0)</f>
        <v>0</v>
      </c>
      <c r="AT90" s="188"/>
      <c r="AU90" s="892" t="n">
        <f aca="false">IF(Tables!$E$30="New York",INDEX('NY Curve'!$A$4:$L$256,MATCH('Monthly Table'!$B90,'NY Curve'!$A$4:$A$256,0),MATCH("New York Saturday Super Peak",'NY Curve'!$A$4:$L$4,0)),IF(Tables!$E$30="Michigan",INDEX('Michigan Curve'!$A$4:$K$256,MATCH('Monthly Table'!$B90,'Michigan Curve'!$A$4:$A$256,0),MATCH("Michigan Saturday Super Peak",'Michigan Curve'!$A$4:$K$4,0))))</f>
        <v>57.6583877734695</v>
      </c>
      <c r="AV90" s="894" t="n">
        <f aca="false">AU90*K90</f>
        <v>78.1411658231496</v>
      </c>
      <c r="AW90" s="893" t="n">
        <f aca="false">IF(AV90&gt;($CP90+$BF$4),1,0)</f>
        <v>1</v>
      </c>
      <c r="AX90" s="892" t="n">
        <f aca="false">IF(Tables!$E$30="New York",INDEX('NY Curve'!$A$4:$L$256,MATCH('Monthly Table'!$B90,'NY Curve'!$A$4:$A$256,0),MATCH("New York Saturday Shoulder Peak",'NY Curve'!$A$4:$L$4,0)),IF(Tables!$E$30="Michigan",INDEX('Michigan Curve'!$A$4:$K$256,MATCH('Monthly Table'!$B90,'Michigan Curve'!$A$4:$A$256,0),MATCH("Michigan Saturday Shoulder Peak",'Michigan Curve'!$A$4:$K$4,0))))</f>
        <v>12.341619855925</v>
      </c>
      <c r="AY90" s="895" t="n">
        <f aca="false">AX90*K90</f>
        <v>16.7259023522656</v>
      </c>
      <c r="AZ90" s="893" t="n">
        <f aca="false">IF(AY90&gt;($CP90+$BF$4),1,0)</f>
        <v>0</v>
      </c>
      <c r="BA90" s="188"/>
      <c r="BB90" s="892" t="n">
        <f aca="false">IF(Tables!$E$30="New York",INDEX('NY Curve'!$A$4:$M$256,MATCH('Monthly Table'!$B90,'NY Curve'!$A$4:$A$256,0),MATCH("NY Sunday Super Peak",'NY Curve'!$A$4:$M$4,0)),IF(Tables!$E$30="Michigan",INDEX('Michigan Curve'!$A$4:$L$256,MATCH('Monthly Table'!$B90,'Michigan Curve'!$A$4:$A$256,0),MATCH("Michigan Sunday Super Peak",'Michigan Curve'!$A$4:$L$4,0))))</f>
        <v>51.0688521761527</v>
      </c>
      <c r="BC90" s="894" t="n">
        <f aca="false">BB90*K90</f>
        <v>69.2107393285606</v>
      </c>
      <c r="BD90" s="893" t="n">
        <f aca="false">IF(BC90&gt;($CP90+$BF$4),1,0)</f>
        <v>1</v>
      </c>
      <c r="BE90" s="188"/>
      <c r="BF90" s="896" t="n">
        <f aca="false">B90</f>
        <v>39295</v>
      </c>
      <c r="BG90" s="897" t="n">
        <f aca="false">IF($AN90=1,$E90*$BF$5,0)</f>
        <v>184</v>
      </c>
      <c r="BH90" s="976" t="n">
        <f aca="false">IF(Tables!$B$36="Combined Cycle",(BF90-BF89)*24*Assumptions!$B$21,0)</f>
        <v>0</v>
      </c>
      <c r="BI90" s="714" t="n">
        <f aca="false">IF($AN90=1,$E90*$BF$5,0)</f>
        <v>184</v>
      </c>
      <c r="BJ90" s="898" t="n">
        <f aca="false">IF('Monthly Table'!D90&lt;=Tables!$B$21,IF($BJ$10=$BG$10,BG90,IF($BJ$10=$BH$10,BH90,IF($BJ$10=$BI$10,BI90,0))),0)</f>
        <v>184</v>
      </c>
      <c r="BK90" s="288"/>
      <c r="BL90" s="898" t="n">
        <f aca="false">IF($AW90=1,$F90*$BF$5,0)</f>
        <v>32</v>
      </c>
      <c r="BM90" s="898" t="n">
        <f aca="false">IF($BD90=1,($G90+H90)*$BF$5,0)</f>
        <v>32</v>
      </c>
      <c r="BO90" s="898" t="n">
        <f aca="false">IF(AS90=1,BJ90,0)</f>
        <v>0</v>
      </c>
      <c r="BP90" s="898" t="n">
        <f aca="false">IF(AZ90=1,F90*$BF$5,0)</f>
        <v>0</v>
      </c>
      <c r="BR90" s="899" t="n">
        <f aca="false">IF(BJ90&gt;0,INDEX(OperationalDetail,MATCH("Capacity Degradation",ODColumn,0),MATCH('Monthly Table'!C90,ODRow,0)),0)</f>
        <v>0.00474</v>
      </c>
      <c r="BS90" s="900" t="n">
        <f aca="false">BJ90*(1-BR90)*Tables!$C$36</f>
        <v>59333.42016</v>
      </c>
      <c r="BT90" s="883" t="n">
        <f aca="false">BS90*AL90/1000</f>
        <v>7526.351744218</v>
      </c>
      <c r="BU90" s="883" t="n">
        <f aca="false">BT90*K90</f>
        <v>10200.0406601536</v>
      </c>
      <c r="BV90" s="188"/>
      <c r="BW90" s="901" t="n">
        <f aca="false">$BO90*(1-$BR90)*Tables!$C$36</f>
        <v>0</v>
      </c>
      <c r="BX90" s="902" t="n">
        <f aca="false">(BW90*AQ90)/1000</f>
        <v>0</v>
      </c>
      <c r="BY90" s="883" t="n">
        <f aca="false">BX90*K90</f>
        <v>0</v>
      </c>
      <c r="BZ90" s="188"/>
      <c r="CA90" s="901" t="n">
        <f aca="false">$BL90*(1-$BR90)*Tables!$C$36</f>
        <v>10318.85568</v>
      </c>
      <c r="CB90" s="902" t="n">
        <f aca="false">(CA90*AU90)/1000</f>
        <v>594.968582175908</v>
      </c>
      <c r="CC90" s="883" t="n">
        <f aca="false">CB90*K90</f>
        <v>806.327412796029</v>
      </c>
      <c r="CD90" s="901" t="n">
        <f aca="false">$BP90*(1-$BR90)*Tables!$C$36</f>
        <v>0</v>
      </c>
      <c r="CE90" s="902" t="n">
        <f aca="false">(CD90*AX90)/1000</f>
        <v>0</v>
      </c>
      <c r="CF90" s="883" t="n">
        <f aca="false">CE90*K90</f>
        <v>0</v>
      </c>
      <c r="CH90" s="901" t="n">
        <f aca="false">$BM90*(1-$BR90)*Tables!$C$36</f>
        <v>10318.85568</v>
      </c>
      <c r="CI90" s="902" t="n">
        <f aca="false">(CH90*BB90)/1000</f>
        <v>526.972115348973</v>
      </c>
      <c r="CJ90" s="883" t="n">
        <f aca="false">CI90*K90</f>
        <v>714.175630637516</v>
      </c>
      <c r="CK90" s="292"/>
      <c r="CL90" s="292" t="n">
        <f aca="false">C90-1</f>
        <v>2006</v>
      </c>
      <c r="CM90" s="903" t="n">
        <f aca="false">INDEX(OperationalDetail,MATCH("Degraded Heat Rate",ODColumn,0),MATCH('Monthly Table'!CL90,ODRow,0))/1000</f>
        <v>11.9858336</v>
      </c>
      <c r="CN90" s="904" t="n">
        <f aca="false">S90*CM90</f>
        <v>53.6702542041624</v>
      </c>
      <c r="CO90" s="905" t="n">
        <f aca="false">IF(A90="January",(CO89*(1+Assumptions!$E$32)),CO89)</f>
        <v>7.58540774525508</v>
      </c>
      <c r="CP90" s="906" t="n">
        <f aca="false">CN90+CO90</f>
        <v>61.2556619494174</v>
      </c>
      <c r="CQ90" s="292"/>
      <c r="CR90" s="856" t="n">
        <f aca="false">IF(BJ90=0,"",C90)</f>
        <v>2007</v>
      </c>
      <c r="CS90" s="856" t="str">
        <f aca="false">IF(BO90=0,"",$C90)</f>
        <v/>
      </c>
      <c r="CT90" s="856" t="n">
        <f aca="false">IF(BL90=0,"",$C90)</f>
        <v>2007</v>
      </c>
      <c r="CU90" s="856" t="str">
        <f aca="false">IF(BP90=0,"",$C90)</f>
        <v/>
      </c>
      <c r="CV90" s="856" t="n">
        <f aca="false">IF(BD90=0,"",$C90)</f>
        <v>2007</v>
      </c>
      <c r="CW90" s="907" t="n">
        <f aca="false">YEAR(BF90)</f>
        <v>2007</v>
      </c>
      <c r="CX90" s="908" t="n">
        <f aca="false">INDEX('NY Curve'!$A$4:$G$256,MATCH('Monthly Table'!B90,'NY Curve'!$A$4:$A$256,0),MATCH("New York 5 X 16",'NY Curve'!$A$4:$G$4,0))</f>
        <v>65</v>
      </c>
      <c r="CY90" s="909" t="n">
        <f aca="false">K90</f>
        <v>1.35524368336752</v>
      </c>
      <c r="CZ90" s="910" t="n">
        <f aca="false">CX90*CY90</f>
        <v>88.0908394188888</v>
      </c>
      <c r="DB90" s="911"/>
      <c r="DC90" s="911"/>
    </row>
    <row r="91" customFormat="false" ht="18.75" hidden="false" customHeight="true" outlineLevel="0" collapsed="false">
      <c r="A91" s="49" t="s">
        <v>818</v>
      </c>
      <c r="B91" s="863" t="n">
        <v>39326</v>
      </c>
      <c r="C91" s="288" t="n">
        <f aca="false">YEAR(B91)</f>
        <v>2007</v>
      </c>
      <c r="D91" s="864" t="n">
        <f aca="false">IF(A91="January",D90+1,D90)</f>
        <v>7</v>
      </c>
      <c r="E91" s="865" t="n">
        <v>19</v>
      </c>
      <c r="F91" s="866" t="n">
        <v>5</v>
      </c>
      <c r="G91" s="866" t="n">
        <v>5</v>
      </c>
      <c r="H91" s="866" t="n">
        <v>1</v>
      </c>
      <c r="I91" s="867" t="n">
        <f aca="false">SUM(E91:H91)</f>
        <v>30</v>
      </c>
      <c r="J91" s="868"/>
      <c r="K91" s="869" t="n">
        <f aca="false">INDEX(FX!$A$3:$C$362,MATCH(B91,FX!$A$3:$A$362,0),MATCH("Monthly Curve",FX!$A$2:$C$2,0))</f>
        <v>1.35430921376697</v>
      </c>
      <c r="L91" s="869"/>
      <c r="M91" s="914" t="n">
        <v>2.8715</v>
      </c>
      <c r="N91" s="915" t="n">
        <v>0.14</v>
      </c>
      <c r="O91" s="714" t="n">
        <v>0.05</v>
      </c>
      <c r="P91" s="872" t="n">
        <f aca="false">N91+O91</f>
        <v>0.19</v>
      </c>
      <c r="Q91" s="873" t="n">
        <f aca="false">SUM(M91:O91)</f>
        <v>3.0615</v>
      </c>
      <c r="R91" s="974" t="n">
        <f aca="false">IF(A91="January",(R90+R90*Assumptions!$E$32),R90)</f>
        <v>0.338215553711823</v>
      </c>
      <c r="S91" s="875" t="n">
        <f aca="false">(Q91*K91)+R91</f>
        <v>4.4844332116594</v>
      </c>
      <c r="T91" s="869"/>
      <c r="U91" s="984"/>
      <c r="V91" s="985"/>
      <c r="W91" s="985"/>
      <c r="X91" s="971"/>
      <c r="Y91" s="975" t="n">
        <f aca="false">Tables!$D$36</f>
        <v>312</v>
      </c>
      <c r="Z91" s="879" t="n">
        <f aca="false">IF($Z$10=$V$10,V91,IF($Z$10=$W$10,W91,IF($Z$10=$X$10,X91,0)))</f>
        <v>0</v>
      </c>
      <c r="AA91" s="880" t="n">
        <f aca="false">Y91*Z91</f>
        <v>0</v>
      </c>
      <c r="AB91" s="881" t="n">
        <f aca="false">AA91*K91</f>
        <v>0</v>
      </c>
      <c r="AC91" s="188"/>
      <c r="AD91" s="882" t="n">
        <f aca="false">IF(Tables!$E$30="Michigan",INDEX('Michigan Curve'!$A$4:$S$256,MATCH('Monthly Table'!B91,'Michigan Curve'!$A$4:$A$256,0),MATCH("Michigan Selected Option Value US$/month",'Michigan Curve'!$A$4:$S$4,0)),INDEX('NY Curve'!$A$4:$T$256,MATCH('Monthly Table'!B91,'NY Curve'!$A$4:$A$256,0),MATCH("New York Selected Option Value US$/month",'NY Curve'!$A$4:$T$4,0)))</f>
        <v>313329.685836269</v>
      </c>
      <c r="AE91" s="883" t="n">
        <f aca="false">AD91*K91</f>
        <v>424345.280474769</v>
      </c>
      <c r="AF91" s="188"/>
      <c r="AG91" s="884"/>
      <c r="AH91" s="188"/>
      <c r="AI91" s="885" t="n">
        <f aca="false">Assumptions!$B$50</f>
        <v>65</v>
      </c>
      <c r="AJ91" s="916"/>
      <c r="AK91" s="887" t="n">
        <f aca="false">IF(Tables!$E$30="Custom",'Monthly Table'!AI91,IF(Tables!$E$30="New York",INDEX('NY Curve'!$A$4:$G$256,MATCH('Monthly Table'!B91,'NY Curve'!$A$4:$A$256,0),MATCH("Super Peak Curve",'NY Curve'!$A$4:$G$4,0)),IF(Tables!$E$30="New York Flat",INDEX('NY Curve'!$A$4:$G$256,MATCH('Monthly Table'!B91,'NY Curve'!$A$4:$A$256,0),MATCH("Flat NY West",'NY Curve'!$A$4:$G$4,0)),INDEX('Michigan Curve'!$A$4:$F$256,MATCH('Monthly Table'!B91,'Michigan Curve'!$A$4:$A$256,0),MATCH("Michigan Super Peak Curve US$/MWhr",'Michigan Curve'!$A$4:$F$4,0)))))</f>
        <v>44.9290622621775</v>
      </c>
      <c r="AL91" s="888" t="n">
        <f aca="false">IF(D91&lt;=Tables!$B$21,IF($AL$10=$AI$10,AI91,IF($AL$10=$AJ$10,AJ91,IF($AL$10=$AK$10,AK91,0))),0)</f>
        <v>44.9290622621775</v>
      </c>
      <c r="AM91" s="889" t="n">
        <f aca="false">+AL91*K91</f>
        <v>60.8478429875768</v>
      </c>
      <c r="AN91" s="890" t="n">
        <f aca="false">IF((AL91*K91)&gt;(CP91+$BF$4),1,0)</f>
        <v>0</v>
      </c>
      <c r="AO91" s="891"/>
      <c r="AP91" s="894"/>
      <c r="AQ91" s="892" t="n">
        <f aca="false">IF(Tables!$E$30="New York",INDEX('NY Curve'!$A$4:$L$256,MATCH('Monthly Table'!B91,'NY Curve'!$A$4:$A$256,0),MATCH("New York Shoulder Hour Curve Mon-Fri",'NY Curve'!$A$4:$L$4,0)),IF(Tables!$E$30="Michigan",INDEX('Michigan Curve'!$A$4:$K$256,MATCH('Monthly Table'!B91,'Michigan Curve'!$A$4:$A$256,0),MATCH("Michigan Shoulder Hour Curve Mon-Fri",'Michigan Curve'!$A$4:$K$4,0))))</f>
        <v>21.5709377378225</v>
      </c>
      <c r="AR91" s="889" t="n">
        <f aca="false">AQ91*K91</f>
        <v>29.2137197279267</v>
      </c>
      <c r="AS91" s="893" t="n">
        <f aca="false">IF(AR91&gt;($CP91+$BF$4),1,0)</f>
        <v>0</v>
      </c>
      <c r="AT91" s="188"/>
      <c r="AU91" s="892" t="n">
        <f aca="false">IF(Tables!$E$30="New York",INDEX('NY Curve'!$A$4:$L$256,MATCH('Monthly Table'!$B91,'NY Curve'!$A$4:$A$256,0),MATCH("New York Saturday Super Peak",'NY Curve'!$A$4:$L$4,0)),IF(Tables!$E$30="Michigan",INDEX('Michigan Curve'!$A$4:$K$256,MATCH('Monthly Table'!$B91,'Michigan Curve'!$A$4:$A$256,0),MATCH("Michigan Saturday Super Peak",'Michigan Curve'!$A$4:$K$4,0))))</f>
        <v>33.7812498211861</v>
      </c>
      <c r="AV91" s="894" t="n">
        <f aca="false">AU91*K91</f>
        <v>45.7502578853961</v>
      </c>
      <c r="AW91" s="893" t="n">
        <f aca="false">IF(AV91&gt;($CP91+$BF$4),1,0)</f>
        <v>0</v>
      </c>
      <c r="AX91" s="892" t="n">
        <f aca="false">IF(Tables!$E$30="New York",INDEX('NY Curve'!$A$4:$L$256,MATCH('Monthly Table'!$B91,'NY Curve'!$A$4:$A$256,0),MATCH("New York Saturday Shoulder Peak",'NY Curve'!$A$4:$L$4,0)),IF(Tables!$E$30="Michigan",INDEX('Michigan Curve'!$A$4:$K$256,MATCH('Monthly Table'!$B91,'Michigan Curve'!$A$4:$A$256,0),MATCH("Michigan Saturday Shoulder Peak",'Michigan Curve'!$A$4:$K$4,0))))</f>
        <v>16.2187501788139</v>
      </c>
      <c r="AY91" s="895" t="n">
        <f aca="false">AX91*K91</f>
        <v>21.9652028029524</v>
      </c>
      <c r="AZ91" s="893" t="n">
        <f aca="false">IF(AY91&gt;($CP91+$BF$4),1,0)</f>
        <v>0</v>
      </c>
      <c r="BA91" s="188"/>
      <c r="BB91" s="892" t="n">
        <f aca="false">IF(Tables!$E$30="New York",INDEX('NY Curve'!$A$4:$M$256,MATCH('Monthly Table'!$B91,'NY Curve'!$A$4:$A$256,0),MATCH("NY Sunday Super Peak",'NY Curve'!$A$4:$M$4,0)),IF(Tables!$E$30="Michigan",INDEX('Michigan Curve'!$A$4:$L$256,MATCH('Monthly Table'!$B91,'Michigan Curve'!$A$4:$A$256,0),MATCH("Michigan Sunday Super Peak",'Michigan Curve'!$A$4:$L$4,0))))</f>
        <v>32.4299998283386</v>
      </c>
      <c r="BC91" s="894" t="n">
        <f aca="false">BB91*K91</f>
        <v>43.9202475699803</v>
      </c>
      <c r="BD91" s="893" t="n">
        <f aca="false">IF(BC91&gt;($CP91+$BF$4),1,0)</f>
        <v>0</v>
      </c>
      <c r="BE91" s="188"/>
      <c r="BF91" s="896" t="n">
        <f aca="false">B91</f>
        <v>39326</v>
      </c>
      <c r="BG91" s="897" t="n">
        <f aca="false">IF($AN91=1,$E91*$BF$5,0)</f>
        <v>0</v>
      </c>
      <c r="BH91" s="976" t="n">
        <f aca="false">IF(Tables!$B$36="Combined Cycle",(BF91-BF90)*24*Assumptions!$B$21,0)</f>
        <v>0</v>
      </c>
      <c r="BI91" s="714" t="n">
        <f aca="false">IF($AN91=1,$E91*$BF$5,0)</f>
        <v>0</v>
      </c>
      <c r="BJ91" s="898" t="n">
        <f aca="false">IF('Monthly Table'!D91&lt;=Tables!$B$21,IF($BJ$10=$BG$10,BG91,IF($BJ$10=$BH$10,BH91,IF($BJ$10=$BI$10,BI91,0))),0)</f>
        <v>0</v>
      </c>
      <c r="BK91" s="288"/>
      <c r="BL91" s="898" t="n">
        <f aca="false">IF($AW91=1,$F91*$BF$5,0)</f>
        <v>0</v>
      </c>
      <c r="BM91" s="898" t="n">
        <f aca="false">IF($BD91=1,($G91+H91)*$BF$5,0)</f>
        <v>0</v>
      </c>
      <c r="BO91" s="898" t="n">
        <f aca="false">IF(AS91=1,BJ91,0)</f>
        <v>0</v>
      </c>
      <c r="BP91" s="898" t="n">
        <f aca="false">IF(AZ91=1,F91*$BF$5,0)</f>
        <v>0</v>
      </c>
      <c r="BR91" s="899" t="n">
        <f aca="false">IF(BJ91&gt;0,INDEX(OperationalDetail,MATCH("Capacity Degradation",ODColumn,0),MATCH('Monthly Table'!C91,ODRow,0)),0)</f>
        <v>0</v>
      </c>
      <c r="BS91" s="900" t="n">
        <f aca="false">BJ91*(1-BR91)*Tables!$C$36</f>
        <v>0</v>
      </c>
      <c r="BT91" s="883" t="n">
        <f aca="false">BS91*AL91/1000</f>
        <v>0</v>
      </c>
      <c r="BU91" s="883" t="n">
        <f aca="false">BT91*K91</f>
        <v>0</v>
      </c>
      <c r="BV91" s="188"/>
      <c r="BW91" s="901" t="n">
        <f aca="false">$BO91*(1-$BR91)*Tables!$C$36</f>
        <v>0</v>
      </c>
      <c r="BX91" s="902" t="n">
        <f aca="false">(BW91*AQ91)/1000</f>
        <v>0</v>
      </c>
      <c r="BY91" s="883" t="n">
        <f aca="false">BX91*K91</f>
        <v>0</v>
      </c>
      <c r="BZ91" s="188"/>
      <c r="CA91" s="901" t="n">
        <f aca="false">$BL91*(1-$BR91)*Tables!$C$36</f>
        <v>0</v>
      </c>
      <c r="CB91" s="902" t="n">
        <f aca="false">(CA91*AU91)/1000</f>
        <v>0</v>
      </c>
      <c r="CC91" s="883" t="n">
        <f aca="false">CB91*K91</f>
        <v>0</v>
      </c>
      <c r="CD91" s="901" t="n">
        <f aca="false">$BP91*(1-$BR91)*Tables!$C$36</f>
        <v>0</v>
      </c>
      <c r="CE91" s="902" t="n">
        <f aca="false">(CD91*AX91)/1000</f>
        <v>0</v>
      </c>
      <c r="CF91" s="883" t="n">
        <f aca="false">CE91*K91</f>
        <v>0</v>
      </c>
      <c r="CH91" s="901" t="n">
        <f aca="false">$BM91*(1-$BR91)*Tables!$C$36</f>
        <v>0</v>
      </c>
      <c r="CI91" s="902" t="n">
        <f aca="false">(CH91*BB91)/1000</f>
        <v>0</v>
      </c>
      <c r="CJ91" s="883" t="n">
        <f aca="false">CI91*K91</f>
        <v>0</v>
      </c>
      <c r="CK91" s="292"/>
      <c r="CL91" s="292" t="n">
        <f aca="false">C91-1</f>
        <v>2006</v>
      </c>
      <c r="CM91" s="903" t="n">
        <f aca="false">INDEX(OperationalDetail,MATCH("Degraded Heat Rate",ODColumn,0),MATCH('Monthly Table'!CL91,ODRow,0))/1000</f>
        <v>11.9858336</v>
      </c>
      <c r="CN91" s="904" t="n">
        <f aca="false">S91*CM91</f>
        <v>53.7496702652632</v>
      </c>
      <c r="CO91" s="905" t="n">
        <f aca="false">IF(A91="January",(CO90*(1+Assumptions!$E$32)),CO90)</f>
        <v>7.58540774525508</v>
      </c>
      <c r="CP91" s="906" t="n">
        <f aca="false">CN91+CO91</f>
        <v>61.3350780105183</v>
      </c>
      <c r="CQ91" s="292"/>
      <c r="CR91" s="856" t="str">
        <f aca="false">IF(BJ91=0,"",C91)</f>
        <v/>
      </c>
      <c r="CS91" s="856" t="str">
        <f aca="false">IF(BO91=0,"",$C91)</f>
        <v/>
      </c>
      <c r="CT91" s="856" t="str">
        <f aca="false">IF(BL91=0,"",$C91)</f>
        <v/>
      </c>
      <c r="CU91" s="856" t="str">
        <f aca="false">IF(BP91=0,"",$C91)</f>
        <v/>
      </c>
      <c r="CV91" s="856" t="str">
        <f aca="false">IF(BD91=0,"",$C91)</f>
        <v/>
      </c>
      <c r="CW91" s="907" t="n">
        <f aca="false">YEAR(BF91)</f>
        <v>2007</v>
      </c>
      <c r="CX91" s="908" t="n">
        <f aca="false">INDEX('NY Curve'!$A$4:$G$256,MATCH('Monthly Table'!B91,'NY Curve'!$A$4:$A$256,0),MATCH("New York 5 X 16",'NY Curve'!$A$4:$G$4,0))</f>
        <v>29.95</v>
      </c>
      <c r="CY91" s="909" t="n">
        <f aca="false">K91</f>
        <v>1.35430921376697</v>
      </c>
      <c r="CZ91" s="910" t="n">
        <f aca="false">CX91*CY91</f>
        <v>40.5615609523208</v>
      </c>
      <c r="DB91" s="911"/>
      <c r="DC91" s="911"/>
    </row>
    <row r="92" customFormat="false" ht="18.75" hidden="false" customHeight="true" outlineLevel="0" collapsed="false">
      <c r="A92" s="49" t="s">
        <v>819</v>
      </c>
      <c r="B92" s="863" t="n">
        <v>39356</v>
      </c>
      <c r="C92" s="288" t="n">
        <f aca="false">YEAR(B92)</f>
        <v>2007</v>
      </c>
      <c r="D92" s="864" t="n">
        <f aca="false">IF(A92="January",D91+1,D91)</f>
        <v>7</v>
      </c>
      <c r="E92" s="865" t="n">
        <v>23</v>
      </c>
      <c r="F92" s="866" t="n">
        <v>4</v>
      </c>
      <c r="G92" s="866" t="n">
        <v>4</v>
      </c>
      <c r="H92" s="866" t="n">
        <v>0</v>
      </c>
      <c r="I92" s="867" t="n">
        <f aca="false">SUM(E92:H92)</f>
        <v>31</v>
      </c>
      <c r="J92" s="868"/>
      <c r="K92" s="869" t="n">
        <f aca="false">INDEX(FX!$A$3:$C$362,MATCH(B92,FX!$A$3:$A$362,0),MATCH("Monthly Curve",FX!$A$2:$C$2,0))</f>
        <v>1.35340887185028</v>
      </c>
      <c r="L92" s="869"/>
      <c r="M92" s="914" t="n">
        <v>2.8985</v>
      </c>
      <c r="N92" s="915" t="n">
        <v>0.14</v>
      </c>
      <c r="O92" s="714" t="n">
        <v>0.05</v>
      </c>
      <c r="P92" s="872" t="n">
        <f aca="false">N92+O92</f>
        <v>0.19</v>
      </c>
      <c r="Q92" s="873" t="n">
        <f aca="false">SUM(M92:O92)</f>
        <v>3.0885</v>
      </c>
      <c r="R92" s="974" t="n">
        <f aca="false">IF(A92="January",(R91+R91*Assumptions!$E$32),R91)</f>
        <v>0.338215553711823</v>
      </c>
      <c r="S92" s="875" t="n">
        <f aca="false">(Q92*K92)+R92</f>
        <v>4.51821885442141</v>
      </c>
      <c r="T92" s="869"/>
      <c r="U92" s="984"/>
      <c r="V92" s="978"/>
      <c r="W92" s="978"/>
      <c r="X92" s="971"/>
      <c r="Y92" s="975" t="n">
        <f aca="false">Tables!$D$36</f>
        <v>312</v>
      </c>
      <c r="Z92" s="879" t="n">
        <f aca="false">IF($Z$10=$V$10,V92,IF($Z$10=$W$10,W92,IF($Z$10=$X$10,X92,0)))</f>
        <v>0</v>
      </c>
      <c r="AA92" s="880" t="n">
        <f aca="false">Y92*Z92</f>
        <v>0</v>
      </c>
      <c r="AB92" s="881" t="n">
        <f aca="false">AA92*K92</f>
        <v>0</v>
      </c>
      <c r="AC92" s="188"/>
      <c r="AD92" s="882" t="n">
        <f aca="false">IF(Tables!$E$30="Michigan",INDEX('Michigan Curve'!$A$4:$S$256,MATCH('Monthly Table'!B92,'Michigan Curve'!$A$4:$A$256,0),MATCH("Michigan Selected Option Value US$/month",'Michigan Curve'!$A$4:$S$4,0)),INDEX('NY Curve'!$A$4:$T$256,MATCH('Monthly Table'!B92,'NY Curve'!$A$4:$A$256,0),MATCH("New York Selected Option Value US$/month",'NY Curve'!$A$4:$T$4,0)))</f>
        <v>26851.0738116321</v>
      </c>
      <c r="AE92" s="883" t="n">
        <f aca="false">AD92*K92</f>
        <v>36340.4815153696</v>
      </c>
      <c r="AF92" s="188"/>
      <c r="AG92" s="884"/>
      <c r="AH92" s="188"/>
      <c r="AI92" s="885" t="n">
        <f aca="false">Assumptions!$B$50</f>
        <v>65</v>
      </c>
      <c r="AJ92" s="916"/>
      <c r="AK92" s="887" t="n">
        <f aca="false">IF(Tables!$E$30="Custom",'Monthly Table'!AI92,IF(Tables!$E$30="New York",INDEX('NY Curve'!$A$4:$G$256,MATCH('Monthly Table'!B92,'NY Curve'!$A$4:$A$256,0),MATCH("Super Peak Curve",'NY Curve'!$A$4:$G$4,0)),IF(Tables!$E$30="New York Flat",INDEX('NY Curve'!$A$4:$G$256,MATCH('Monthly Table'!B92,'NY Curve'!$A$4:$A$256,0),MATCH("Flat NY West",'NY Curve'!$A$4:$G$4,0)),INDEX('Michigan Curve'!$A$4:$F$256,MATCH('Monthly Table'!B92,'Michigan Curve'!$A$4:$A$256,0),MATCH("Michigan Super Peak Curve US$/MWhr",'Michigan Curve'!$A$4:$F$4,0)))))</f>
        <v>26.3499946594238</v>
      </c>
      <c r="AL92" s="888" t="n">
        <f aca="false">IF(D92&lt;=Tables!$B$21,IF($AL$10=$AI$10,AI92,IF($AL$10=$AJ$10,AJ92,IF($AL$10=$AK$10,AK92,0))),0)</f>
        <v>26.3499946594238</v>
      </c>
      <c r="AM92" s="889" t="n">
        <f aca="false">+AL92*K92</f>
        <v>35.6623165452717</v>
      </c>
      <c r="AN92" s="890" t="n">
        <f aca="false">IF((AL92*K92)&gt;(CP92+$BF$4),1,0)</f>
        <v>0</v>
      </c>
      <c r="AO92" s="891"/>
      <c r="AP92" s="894"/>
      <c r="AQ92" s="892" t="n">
        <f aca="false">IF(Tables!$E$30="New York",INDEX('NY Curve'!$A$4:$L$256,MATCH('Monthly Table'!B92,'NY Curve'!$A$4:$A$256,0),MATCH("New York Shoulder Hour Curve Mon-Fri",'NY Curve'!$A$4:$L$4,0)),IF(Tables!$E$30="Michigan",INDEX('Michigan Curve'!$A$4:$K$256,MATCH('Monthly Table'!B92,'Michigan Curve'!$A$4:$A$256,0),MATCH("Michigan Shoulder Hour Curve Mon-Fri",'Michigan Curve'!$A$4:$K$4,0))))</f>
        <v>26.3499946594238</v>
      </c>
      <c r="AR92" s="889" t="n">
        <f aca="false">AQ92*K92</f>
        <v>35.6623165452717</v>
      </c>
      <c r="AS92" s="893" t="n">
        <f aca="false">IF(AR92&gt;($CP92+$BF$4),1,0)</f>
        <v>0</v>
      </c>
      <c r="AT92" s="188"/>
      <c r="AU92" s="892" t="n">
        <f aca="false">IF(Tables!$E$30="New York",INDEX('NY Curve'!$A$4:$L$256,MATCH('Monthly Table'!$B92,'NY Curve'!$A$4:$A$256,0),MATCH("New York Saturday Super Peak",'NY Curve'!$A$4:$L$4,0)),IF(Tables!$E$30="Michigan",INDEX('Michigan Curve'!$A$4:$K$256,MATCH('Monthly Table'!$B92,'Michigan Curve'!$A$4:$A$256,0),MATCH("Michigan Saturday Super Peak",'Michigan Curve'!$A$4:$K$4,0))))</f>
        <v>19.996000289917</v>
      </c>
      <c r="AV92" s="894" t="n">
        <f aca="false">AU92*K92</f>
        <v>27.0627641938944</v>
      </c>
      <c r="AW92" s="893" t="n">
        <f aca="false">IF(AV92&gt;($CP92+$BF$4),1,0)</f>
        <v>0</v>
      </c>
      <c r="AX92" s="892" t="n">
        <f aca="false">IF(Tables!$E$30="New York",INDEX('NY Curve'!$A$4:$L$256,MATCH('Monthly Table'!$B92,'NY Curve'!$A$4:$A$256,0),MATCH("New York Saturday Shoulder Peak",'NY Curve'!$A$4:$L$4,0)),IF(Tables!$E$30="Michigan",INDEX('Michigan Curve'!$A$4:$K$256,MATCH('Monthly Table'!$B92,'Michigan Curve'!$A$4:$A$256,0),MATCH("Michigan Saturday Shoulder Peak",'Michigan Curve'!$A$4:$K$4,0))))</f>
        <v>19.996000289917</v>
      </c>
      <c r="AY92" s="895" t="n">
        <f aca="false">AX92*K92</f>
        <v>27.0627641938944</v>
      </c>
      <c r="AZ92" s="893" t="n">
        <f aca="false">IF(AY92&gt;($CP92+$BF$4),1,0)</f>
        <v>0</v>
      </c>
      <c r="BA92" s="188"/>
      <c r="BB92" s="892" t="n">
        <f aca="false">IF(Tables!$E$30="New York",INDEX('NY Curve'!$A$4:$M$256,MATCH('Monthly Table'!$B92,'NY Curve'!$A$4:$A$256,0),MATCH("NY Sunday Super Peak",'NY Curve'!$A$4:$M$4,0)),IF(Tables!$E$30="Michigan",INDEX('Michigan Curve'!$A$4:$L$256,MATCH('Monthly Table'!$B92,'Michigan Curve'!$A$4:$A$256,0),MATCH("Michigan Sunday Super Peak",'Michigan Curve'!$A$4:$L$4,0))))</f>
        <v>18.9965000152588</v>
      </c>
      <c r="BC92" s="894" t="n">
        <f aca="false">BB92*K92</f>
        <v>25.7100316547552</v>
      </c>
      <c r="BD92" s="893" t="n">
        <f aca="false">IF(BC92&gt;($CP92+$BF$4),1,0)</f>
        <v>0</v>
      </c>
      <c r="BE92" s="188"/>
      <c r="BF92" s="896" t="n">
        <f aca="false">B92</f>
        <v>39356</v>
      </c>
      <c r="BG92" s="897" t="n">
        <f aca="false">IF($AN92=1,$E92*$BF$5,0)</f>
        <v>0</v>
      </c>
      <c r="BH92" s="976" t="n">
        <f aca="false">IF(Tables!$B$36="Combined Cycle",(BF92-BF91)*24*Assumptions!$B$21,0)</f>
        <v>0</v>
      </c>
      <c r="BI92" s="714" t="n">
        <f aca="false">IF($AN92=1,$E92*$BF$5,0)</f>
        <v>0</v>
      </c>
      <c r="BJ92" s="898" t="n">
        <f aca="false">IF('Monthly Table'!D92&lt;=Tables!$B$21,IF($BJ$10=$BG$10,BG92,IF($BJ$10=$BH$10,BH92,IF($BJ$10=$BI$10,BI92,0))),0)</f>
        <v>0</v>
      </c>
      <c r="BK92" s="288"/>
      <c r="BL92" s="898" t="n">
        <f aca="false">IF($AW92=1,$F92*$BF$5,0)</f>
        <v>0</v>
      </c>
      <c r="BM92" s="898" t="n">
        <f aca="false">IF($BD92=1,($G92+H92)*$BF$5,0)</f>
        <v>0</v>
      </c>
      <c r="BO92" s="898" t="n">
        <f aca="false">IF(AS92=1,BJ92,0)</f>
        <v>0</v>
      </c>
      <c r="BP92" s="898" t="n">
        <f aca="false">IF(AZ92=1,F92*$BF$5,0)</f>
        <v>0</v>
      </c>
      <c r="BR92" s="899" t="n">
        <f aca="false">IF(BJ92&gt;0,INDEX(OperationalDetail,MATCH("Capacity Degradation",ODColumn,0),MATCH('Monthly Table'!C92,ODRow,0)),0)</f>
        <v>0</v>
      </c>
      <c r="BS92" s="900" t="n">
        <f aca="false">BJ92*(1-BR92)*Tables!$C$36</f>
        <v>0</v>
      </c>
      <c r="BT92" s="883" t="n">
        <f aca="false">BS92*AL92/1000</f>
        <v>0</v>
      </c>
      <c r="BU92" s="883" t="n">
        <f aca="false">BT92*K92</f>
        <v>0</v>
      </c>
      <c r="BV92" s="188"/>
      <c r="BW92" s="901" t="n">
        <f aca="false">$BO92*(1-$BR92)*Tables!$C$36</f>
        <v>0</v>
      </c>
      <c r="BX92" s="902" t="n">
        <f aca="false">(BW92*AQ92)/1000</f>
        <v>0</v>
      </c>
      <c r="BY92" s="883" t="n">
        <f aca="false">BX92*K92</f>
        <v>0</v>
      </c>
      <c r="BZ92" s="188"/>
      <c r="CA92" s="901" t="n">
        <f aca="false">$BL92*(1-$BR92)*Tables!$C$36</f>
        <v>0</v>
      </c>
      <c r="CB92" s="902" t="n">
        <f aca="false">(CA92*AU92)/1000</f>
        <v>0</v>
      </c>
      <c r="CC92" s="883" t="n">
        <f aca="false">CB92*K92</f>
        <v>0</v>
      </c>
      <c r="CD92" s="901" t="n">
        <f aca="false">$BP92*(1-$BR92)*Tables!$C$36</f>
        <v>0</v>
      </c>
      <c r="CE92" s="902" t="n">
        <f aca="false">(CD92*AX92)/1000</f>
        <v>0</v>
      </c>
      <c r="CF92" s="883" t="n">
        <f aca="false">CE92*K92</f>
        <v>0</v>
      </c>
      <c r="CH92" s="901" t="n">
        <f aca="false">$BM92*(1-$BR92)*Tables!$C$36</f>
        <v>0</v>
      </c>
      <c r="CI92" s="902" t="n">
        <f aca="false">(CH92*BB92)/1000</f>
        <v>0</v>
      </c>
      <c r="CJ92" s="883" t="n">
        <f aca="false">CI92*K92</f>
        <v>0</v>
      </c>
      <c r="CK92" s="292"/>
      <c r="CL92" s="292" t="n">
        <f aca="false">C92-1</f>
        <v>2006</v>
      </c>
      <c r="CM92" s="903" t="n">
        <f aca="false">INDEX(OperationalDetail,MATCH("Degraded Heat Rate",ODColumn,0),MATCH('Monthly Table'!CL92,ODRow,0))/1000</f>
        <v>11.9858336</v>
      </c>
      <c r="CN92" s="904" t="n">
        <f aca="false">S92*CM92</f>
        <v>54.1546193574777</v>
      </c>
      <c r="CO92" s="905" t="n">
        <f aca="false">IF(A92="January",(CO91*(1+Assumptions!$E$32)),CO91)</f>
        <v>7.58540774525508</v>
      </c>
      <c r="CP92" s="906" t="n">
        <f aca="false">CN92+CO92</f>
        <v>61.7400271027328</v>
      </c>
      <c r="CQ92" s="292"/>
      <c r="CR92" s="856" t="str">
        <f aca="false">IF(BJ92=0,"",C92)</f>
        <v/>
      </c>
      <c r="CS92" s="856" t="str">
        <f aca="false">IF(BO92=0,"",$C92)</f>
        <v/>
      </c>
      <c r="CT92" s="856" t="str">
        <f aca="false">IF(BL92=0,"",$C92)</f>
        <v/>
      </c>
      <c r="CU92" s="856" t="str">
        <f aca="false">IF(BP92=0,"",$C92)</f>
        <v/>
      </c>
      <c r="CV92" s="856" t="str">
        <f aca="false">IF(BD92=0,"",$C92)</f>
        <v/>
      </c>
      <c r="CW92" s="907" t="n">
        <f aca="false">YEAR(BF92)</f>
        <v>2007</v>
      </c>
      <c r="CX92" s="908" t="n">
        <f aca="false">INDEX('NY Curve'!$A$4:$G$256,MATCH('Monthly Table'!B92,'NY Curve'!$A$4:$A$256,0),MATCH("New York 5 X 16",'NY Curve'!$A$4:$G$4,0))</f>
        <v>25.7</v>
      </c>
      <c r="CY92" s="909" t="n">
        <f aca="false">K92</f>
        <v>1.35340887185028</v>
      </c>
      <c r="CZ92" s="910" t="n">
        <f aca="false">CX92*CY92</f>
        <v>34.7826080065522</v>
      </c>
      <c r="DB92" s="911"/>
      <c r="DC92" s="911"/>
    </row>
    <row r="93" customFormat="false" ht="18.75" hidden="false" customHeight="true" outlineLevel="0" collapsed="false">
      <c r="A93" s="49" t="s">
        <v>820</v>
      </c>
      <c r="B93" s="863" t="n">
        <v>39387</v>
      </c>
      <c r="C93" s="288" t="n">
        <f aca="false">YEAR(B93)</f>
        <v>2007</v>
      </c>
      <c r="D93" s="864" t="n">
        <f aca="false">IF(A93="January",D92+1,D92)</f>
        <v>7</v>
      </c>
      <c r="E93" s="865" t="n">
        <v>21</v>
      </c>
      <c r="F93" s="866" t="n">
        <v>4</v>
      </c>
      <c r="G93" s="866" t="n">
        <v>4</v>
      </c>
      <c r="H93" s="866" t="n">
        <v>1</v>
      </c>
      <c r="I93" s="867" t="n">
        <f aca="false">SUM(E93:H93)</f>
        <v>30</v>
      </c>
      <c r="J93" s="868"/>
      <c r="K93" s="869" t="n">
        <f aca="false">INDEX(FX!$A$3:$C$362,MATCH(B93,FX!$A$3:$A$362,0),MATCH("Monthly Curve",FX!$A$2:$C$2,0))</f>
        <v>1.35248262723193</v>
      </c>
      <c r="L93" s="869"/>
      <c r="M93" s="914" t="n">
        <v>3.0345</v>
      </c>
      <c r="N93" s="915" t="n">
        <v>0.23</v>
      </c>
      <c r="O93" s="714" t="n">
        <v>0.05</v>
      </c>
      <c r="P93" s="872" t="n">
        <f aca="false">N93+O93</f>
        <v>0.28</v>
      </c>
      <c r="Q93" s="873" t="n">
        <f aca="false">SUM(M93:O93)</f>
        <v>3.3145</v>
      </c>
      <c r="R93" s="974" t="n">
        <f aca="false">IF(A93="January",(R92+R92*Assumptions!$E$32),R92)</f>
        <v>0.338215553711823</v>
      </c>
      <c r="S93" s="875" t="n">
        <f aca="false">(Q93*K93)+R93</f>
        <v>4.82101922167206</v>
      </c>
      <c r="T93" s="869"/>
      <c r="U93" s="984"/>
      <c r="V93" s="978"/>
      <c r="W93" s="978"/>
      <c r="X93" s="971"/>
      <c r="Y93" s="975" t="n">
        <f aca="false">Tables!$D$36</f>
        <v>312</v>
      </c>
      <c r="Z93" s="879" t="n">
        <f aca="false">IF($Z$10=$V$10,V93,IF($Z$10=$W$10,W93,IF($Z$10=$X$10,X93,0)))</f>
        <v>0</v>
      </c>
      <c r="AA93" s="880" t="n">
        <f aca="false">Y93*Z93</f>
        <v>0</v>
      </c>
      <c r="AB93" s="881" t="n">
        <f aca="false">AA93*K93</f>
        <v>0</v>
      </c>
      <c r="AC93" s="188"/>
      <c r="AD93" s="882" t="n">
        <f aca="false">IF(Tables!$E$30="Michigan",INDEX('Michigan Curve'!$A$4:$S$256,MATCH('Monthly Table'!B93,'Michigan Curve'!$A$4:$A$256,0),MATCH("Michigan Selected Option Value US$/month",'Michigan Curve'!$A$4:$S$4,0)),INDEX('NY Curve'!$A$4:$T$256,MATCH('Monthly Table'!B93,'NY Curve'!$A$4:$A$256,0),MATCH("New York Selected Option Value US$/month",'NY Curve'!$A$4:$T$4,0)))</f>
        <v>48106.5276055128</v>
      </c>
      <c r="AE93" s="883" t="n">
        <f aca="false">AD93*K93</f>
        <v>65063.2428429093</v>
      </c>
      <c r="AF93" s="188"/>
      <c r="AG93" s="884"/>
      <c r="AH93" s="188"/>
      <c r="AI93" s="885" t="n">
        <f aca="false">Assumptions!$B$50</f>
        <v>65</v>
      </c>
      <c r="AJ93" s="916"/>
      <c r="AK93" s="887" t="n">
        <f aca="false">IF(Tables!$E$30="Custom",'Monthly Table'!AI93,IF(Tables!$E$30="New York",INDEX('NY Curve'!$A$4:$G$256,MATCH('Monthly Table'!B93,'NY Curve'!$A$4:$A$256,0),MATCH("Super Peak Curve",'NY Curve'!$A$4:$G$4,0)),IF(Tables!$E$30="New York Flat",INDEX('NY Curve'!$A$4:$G$256,MATCH('Monthly Table'!B93,'NY Curve'!$A$4:$A$256,0),MATCH("Flat NY West",'NY Curve'!$A$4:$G$4,0)),INDEX('Michigan Curve'!$A$4:$F$256,MATCH('Monthly Table'!B93,'Michigan Curve'!$A$4:$A$256,0),MATCH("Michigan Super Peak Curve US$/MWhr",'Michigan Curve'!$A$4:$F$4,0)))))</f>
        <v>28.3283953857422</v>
      </c>
      <c r="AL93" s="888" t="n">
        <f aca="false">IF(D93&lt;=Tables!$B$21,IF($AL$10=$AI$10,AI93,IF($AL$10=$AJ$10,AJ93,IF($AL$10=$AK$10,AK93,0))),0)</f>
        <v>28.3283953857422</v>
      </c>
      <c r="AM93" s="889" t="n">
        <f aca="false">+AL93*K93</f>
        <v>38.3136626165735</v>
      </c>
      <c r="AN93" s="890" t="n">
        <f aca="false">IF((AL93*K93)&gt;(CP93+$BF$4),1,0)</f>
        <v>0</v>
      </c>
      <c r="AO93" s="891"/>
      <c r="AP93" s="894"/>
      <c r="AQ93" s="892" t="n">
        <f aca="false">IF(Tables!$E$30="New York",INDEX('NY Curve'!$A$4:$L$256,MATCH('Monthly Table'!B93,'NY Curve'!$A$4:$A$256,0),MATCH("New York Shoulder Hour Curve Mon-Fri",'NY Curve'!$A$4:$L$4,0)),IF(Tables!$E$30="Michigan",INDEX('Michigan Curve'!$A$4:$K$256,MATCH('Monthly Table'!B93,'Michigan Curve'!$A$4:$A$256,0),MATCH("Michigan Shoulder Hour Curve Mon-Fri",'Michigan Curve'!$A$4:$K$4,0))))</f>
        <v>24.1315960693359</v>
      </c>
      <c r="AR93" s="889" t="n">
        <f aca="false">AQ93*K93</f>
        <v>32.6375644511552</v>
      </c>
      <c r="AS93" s="893" t="n">
        <f aca="false">IF(AR93&gt;($CP93+$BF$4),1,0)</f>
        <v>0</v>
      </c>
      <c r="AT93" s="188"/>
      <c r="AU93" s="892" t="n">
        <f aca="false">IF(Tables!$E$30="New York",INDEX('NY Curve'!$A$4:$L$256,MATCH('Monthly Table'!$B93,'NY Curve'!$A$4:$A$256,0),MATCH("New York Saturday Super Peak",'NY Curve'!$A$4:$L$4,0)),IF(Tables!$E$30="Michigan",INDEX('Michigan Curve'!$A$4:$K$256,MATCH('Monthly Table'!$B93,'Michigan Curve'!$A$4:$A$256,0),MATCH("Michigan Saturday Super Peak",'Michigan Curve'!$A$4:$K$4,0))))</f>
        <v>21.6</v>
      </c>
      <c r="AV93" s="894" t="n">
        <f aca="false">AU93*K93</f>
        <v>29.2136247482097</v>
      </c>
      <c r="AW93" s="893" t="n">
        <f aca="false">IF(AV93&gt;($CP93+$BF$4),1,0)</f>
        <v>0</v>
      </c>
      <c r="AX93" s="892" t="n">
        <f aca="false">IF(Tables!$E$30="New York",INDEX('NY Curve'!$A$4:$L$256,MATCH('Monthly Table'!$B93,'NY Curve'!$A$4:$A$256,0),MATCH("New York Saturday Shoulder Peak",'NY Curve'!$A$4:$L$4,0)),IF(Tables!$E$30="Michigan",INDEX('Michigan Curve'!$A$4:$K$256,MATCH('Monthly Table'!$B93,'Michigan Curve'!$A$4:$A$256,0),MATCH("Michigan Saturday Shoulder Peak",'Michigan Curve'!$A$4:$K$4,0))))</f>
        <v>18.4</v>
      </c>
      <c r="AY93" s="895" t="n">
        <f aca="false">AX93*K93</f>
        <v>24.8856803410675</v>
      </c>
      <c r="AZ93" s="893" t="n">
        <f aca="false">IF(AY93&gt;($CP93+$BF$4),1,0)</f>
        <v>0</v>
      </c>
      <c r="BA93" s="188"/>
      <c r="BB93" s="892" t="n">
        <f aca="false">IF(Tables!$E$30="New York",INDEX('NY Curve'!$A$4:$M$256,MATCH('Monthly Table'!$B93,'NY Curve'!$A$4:$A$256,0),MATCH("NY Sunday Super Peak",'NY Curve'!$A$4:$M$4,0)),IF(Tables!$E$30="Michigan",INDEX('Michigan Curve'!$A$4:$L$256,MATCH('Monthly Table'!$B93,'Michigan Curve'!$A$4:$A$256,0),MATCH("Michigan Sunday Super Peak",'Michigan Curve'!$A$4:$L$4,0))))</f>
        <v>20.52</v>
      </c>
      <c r="BC93" s="894" t="n">
        <f aca="false">BB93*K93</f>
        <v>27.7529435107992</v>
      </c>
      <c r="BD93" s="893" t="n">
        <f aca="false">IF(BC93&gt;($CP93+$BF$4),1,0)</f>
        <v>0</v>
      </c>
      <c r="BE93" s="188"/>
      <c r="BF93" s="896" t="n">
        <f aca="false">B93</f>
        <v>39387</v>
      </c>
      <c r="BG93" s="897" t="n">
        <f aca="false">IF($AN93=1,$E93*$BF$5,0)</f>
        <v>0</v>
      </c>
      <c r="BH93" s="976" t="n">
        <f aca="false">IF(Tables!$B$36="Combined Cycle",(BF93-BF92)*24*Assumptions!$B$21,0)</f>
        <v>0</v>
      </c>
      <c r="BI93" s="714" t="n">
        <f aca="false">IF($AN93=1,$E93*$BF$5,0)</f>
        <v>0</v>
      </c>
      <c r="BJ93" s="898" t="n">
        <f aca="false">IF('Monthly Table'!D93&lt;=Tables!$B$21,IF($BJ$10=$BG$10,BG93,IF($BJ$10=$BH$10,BH93,IF($BJ$10=$BI$10,BI93,0))),0)</f>
        <v>0</v>
      </c>
      <c r="BK93" s="288"/>
      <c r="BL93" s="898" t="n">
        <f aca="false">IF($AW93=1,$F93*$BF$5,0)</f>
        <v>0</v>
      </c>
      <c r="BM93" s="898" t="n">
        <f aca="false">IF($BD93=1,($G93+H93)*$BF$5,0)</f>
        <v>0</v>
      </c>
      <c r="BO93" s="898" t="n">
        <f aca="false">IF(AS93=1,BJ93,0)</f>
        <v>0</v>
      </c>
      <c r="BP93" s="898" t="n">
        <f aca="false">IF(AZ93=1,F93*$BF$5,0)</f>
        <v>0</v>
      </c>
      <c r="BR93" s="899" t="n">
        <f aca="false">IF(BJ93&gt;0,INDEX(OperationalDetail,MATCH("Capacity Degradation",ODColumn,0),MATCH('Monthly Table'!C93,ODRow,0)),0)</f>
        <v>0</v>
      </c>
      <c r="BS93" s="900" t="n">
        <f aca="false">BJ93*(1-BR93)*Tables!$C$36</f>
        <v>0</v>
      </c>
      <c r="BT93" s="883" t="n">
        <f aca="false">BS93*AL93/1000</f>
        <v>0</v>
      </c>
      <c r="BU93" s="883" t="n">
        <f aca="false">BT93*K93</f>
        <v>0</v>
      </c>
      <c r="BV93" s="188"/>
      <c r="BW93" s="901" t="n">
        <f aca="false">$BO93*(1-$BR93)*Tables!$C$36</f>
        <v>0</v>
      </c>
      <c r="BX93" s="902" t="n">
        <f aca="false">(BW93*AQ93)/1000</f>
        <v>0</v>
      </c>
      <c r="BY93" s="883" t="n">
        <f aca="false">BX93*K93</f>
        <v>0</v>
      </c>
      <c r="BZ93" s="188"/>
      <c r="CA93" s="901" t="n">
        <f aca="false">$BL93*(1-$BR93)*Tables!$C$36</f>
        <v>0</v>
      </c>
      <c r="CB93" s="902" t="n">
        <f aca="false">(CA93*AU93)/1000</f>
        <v>0</v>
      </c>
      <c r="CC93" s="883" t="n">
        <f aca="false">CB93*K93</f>
        <v>0</v>
      </c>
      <c r="CD93" s="901" t="n">
        <f aca="false">$BP93*(1-$BR93)*Tables!$C$36</f>
        <v>0</v>
      </c>
      <c r="CE93" s="902" t="n">
        <f aca="false">(CD93*AX93)/1000</f>
        <v>0</v>
      </c>
      <c r="CF93" s="883" t="n">
        <f aca="false">CE93*K93</f>
        <v>0</v>
      </c>
      <c r="CH93" s="901" t="n">
        <f aca="false">$BM93*(1-$BR93)*Tables!$C$36</f>
        <v>0</v>
      </c>
      <c r="CI93" s="902" t="n">
        <f aca="false">(CH93*BB93)/1000</f>
        <v>0</v>
      </c>
      <c r="CJ93" s="883" t="n">
        <f aca="false">CI93*K93</f>
        <v>0</v>
      </c>
      <c r="CK93" s="292"/>
      <c r="CL93" s="292" t="n">
        <f aca="false">C93-1</f>
        <v>2006</v>
      </c>
      <c r="CM93" s="903" t="n">
        <f aca="false">INDEX(OperationalDetail,MATCH("Degraded Heat Rate",ODColumn,0),MATCH('Monthly Table'!CL93,ODRow,0))/1000</f>
        <v>11.9858336</v>
      </c>
      <c r="CN93" s="904" t="n">
        <f aca="false">S93*CM93</f>
        <v>57.7839341733628</v>
      </c>
      <c r="CO93" s="905" t="n">
        <f aca="false">IF(A93="January",(CO92*(1+Assumptions!$E$32)),CO92)</f>
        <v>7.58540774525508</v>
      </c>
      <c r="CP93" s="906" t="n">
        <f aca="false">CN93+CO93</f>
        <v>65.3693419186178</v>
      </c>
      <c r="CQ93" s="292"/>
      <c r="CR93" s="856" t="str">
        <f aca="false">IF(BJ93=0,"",C93)</f>
        <v/>
      </c>
      <c r="CS93" s="856" t="str">
        <f aca="false">IF(BO93=0,"",$C93)</f>
        <v/>
      </c>
      <c r="CT93" s="856" t="str">
        <f aca="false">IF(BL93=0,"",$C93)</f>
        <v/>
      </c>
      <c r="CU93" s="856" t="str">
        <f aca="false">IF(BP93=0,"",$C93)</f>
        <v/>
      </c>
      <c r="CV93" s="856" t="str">
        <f aca="false">IF(BD93=0,"",$C93)</f>
        <v/>
      </c>
      <c r="CW93" s="907" t="n">
        <f aca="false">YEAR(BF93)</f>
        <v>2007</v>
      </c>
      <c r="CX93" s="908" t="n">
        <f aca="false">INDEX('NY Curve'!$A$4:$G$256,MATCH('Monthly Table'!B93,'NY Curve'!$A$4:$A$256,0),MATCH("New York 5 X 16",'NY Curve'!$A$4:$G$4,0))</f>
        <v>26.2</v>
      </c>
      <c r="CY93" s="909" t="n">
        <f aca="false">K93</f>
        <v>1.35248262723193</v>
      </c>
      <c r="CZ93" s="910" t="n">
        <f aca="false">CX93*CY93</f>
        <v>35.4350448334766</v>
      </c>
      <c r="DB93" s="911"/>
      <c r="DC93" s="911"/>
    </row>
    <row r="94" customFormat="false" ht="18.75" hidden="false" customHeight="true" outlineLevel="0" collapsed="false">
      <c r="A94" s="110" t="s">
        <v>821</v>
      </c>
      <c r="B94" s="918" t="n">
        <v>39417</v>
      </c>
      <c r="C94" s="917" t="n">
        <f aca="false">YEAR(B94)</f>
        <v>2007</v>
      </c>
      <c r="D94" s="919" t="n">
        <f aca="false">IF(A94="January",D93+1,D93)</f>
        <v>7</v>
      </c>
      <c r="E94" s="865" t="n">
        <v>20</v>
      </c>
      <c r="F94" s="866" t="n">
        <v>5</v>
      </c>
      <c r="G94" s="866" t="n">
        <v>5</v>
      </c>
      <c r="H94" s="866" t="n">
        <v>1</v>
      </c>
      <c r="I94" s="867" t="n">
        <f aca="false">SUM(E94:H94)</f>
        <v>31</v>
      </c>
      <c r="J94" s="923"/>
      <c r="K94" s="924" t="n">
        <f aca="false">INDEX(FX!$A$3:$C$362,MATCH(B94,FX!$A$3:$A$362,0),MATCH("Monthly Curve",FX!$A$2:$C$2,0))</f>
        <v>1.35159023039789</v>
      </c>
      <c r="L94" s="924"/>
      <c r="M94" s="925" t="n">
        <v>3.1605</v>
      </c>
      <c r="N94" s="926" t="n">
        <v>0.27</v>
      </c>
      <c r="O94" s="927" t="n">
        <v>0.05</v>
      </c>
      <c r="P94" s="928" t="n">
        <f aca="false">N94+O94</f>
        <v>0.32</v>
      </c>
      <c r="Q94" s="929" t="n">
        <f aca="false">SUM(M94:O94)</f>
        <v>3.4805</v>
      </c>
      <c r="R94" s="979" t="n">
        <f aca="false">IF(A94="January",(R93+R93*Assumptions!$E$32),R93)</f>
        <v>0.338215553711823</v>
      </c>
      <c r="S94" s="931" t="n">
        <f aca="false">(Q94*K94)+R94</f>
        <v>5.04242535061168</v>
      </c>
      <c r="T94" s="924"/>
      <c r="U94" s="983"/>
      <c r="V94" s="980"/>
      <c r="W94" s="980"/>
      <c r="X94" s="972"/>
      <c r="Y94" s="981" t="n">
        <f aca="false">Tables!$D$36</f>
        <v>312</v>
      </c>
      <c r="Z94" s="935" t="n">
        <f aca="false">IF($Z$10=$V$10,V94,IF($Z$10=$W$10,W94,IF($Z$10=$X$10,X94,0)))</f>
        <v>0</v>
      </c>
      <c r="AA94" s="936" t="n">
        <f aca="false">Y94*Z94</f>
        <v>0</v>
      </c>
      <c r="AB94" s="937" t="n">
        <f aca="false">AA94*K94</f>
        <v>0</v>
      </c>
      <c r="AC94" s="938"/>
      <c r="AD94" s="882" t="n">
        <f aca="false">IF(Tables!$E$30="Michigan",INDEX('Michigan Curve'!$A$4:$S$256,MATCH('Monthly Table'!B94,'Michigan Curve'!$A$4:$A$256,0),MATCH("Michigan Selected Option Value US$/month",'Michigan Curve'!$A$4:$S$4,0)),INDEX('NY Curve'!$A$4:$T$256,MATCH('Monthly Table'!B94,'NY Curve'!$A$4:$A$256,0),MATCH("New York Selected Option Value US$/month",'NY Curve'!$A$4:$T$4,0)))</f>
        <v>27456.8030873137</v>
      </c>
      <c r="AE94" s="883" t="n">
        <f aca="false">AD94*K94</f>
        <v>37110.3468107718</v>
      </c>
      <c r="AF94" s="938"/>
      <c r="AG94" s="939"/>
      <c r="AH94" s="938"/>
      <c r="AI94" s="885" t="n">
        <f aca="false">Assumptions!$B$50</f>
        <v>65</v>
      </c>
      <c r="AJ94" s="940"/>
      <c r="AK94" s="887" t="n">
        <f aca="false">IF(Tables!$E$30="Custom",'Monthly Table'!AI94,IF(Tables!$E$30="New York",INDEX('NY Curve'!$A$4:$G$256,MATCH('Monthly Table'!B94,'NY Curve'!$A$4:$A$256,0),MATCH("Super Peak Curve",'NY Curve'!$A$4:$G$4,0)),IF(Tables!$E$30="New York Flat",INDEX('NY Curve'!$A$4:$G$256,MATCH('Monthly Table'!B94,'NY Curve'!$A$4:$A$256,0),MATCH("Flat NY West",'NY Curve'!$A$4:$G$4,0)),INDEX('Michigan Curve'!$A$4:$F$256,MATCH('Monthly Table'!B94,'Michigan Curve'!$A$4:$A$256,0),MATCH("Michigan Super Peak Curve US$/MWhr",'Michigan Curve'!$A$4:$F$4,0)))))</f>
        <v>27.2339949417114</v>
      </c>
      <c r="AL94" s="941" t="n">
        <f aca="false">IF(D94&lt;=Tables!$B$21,IF($AL$10=$AI$10,AI94,IF($AL$10=$AJ$10,AJ94,IF($AL$10=$AK$10,AK94,0))),0)</f>
        <v>27.2339949417114</v>
      </c>
      <c r="AM94" s="942" t="n">
        <f aca="false">+AL94*K94</f>
        <v>36.8092014979227</v>
      </c>
      <c r="AN94" s="943" t="n">
        <f aca="false">IF((AL94*K94)&gt;(CP94+$BF$4),1,0)</f>
        <v>0</v>
      </c>
      <c r="AO94" s="944"/>
      <c r="AP94" s="894"/>
      <c r="AQ94" s="892" t="n">
        <f aca="false">IF(Tables!$E$30="New York",INDEX('NY Curve'!$A$4:$L$256,MATCH('Monthly Table'!B94,'NY Curve'!$A$4:$A$256,0),MATCH("New York Shoulder Hour Curve Mon-Fri",'NY Curve'!$A$4:$L$4,0)),IF(Tables!$E$30="Michigan",INDEX('Michigan Curve'!$A$4:$K$256,MATCH('Monthly Table'!B94,'Michigan Curve'!$A$4:$A$256,0),MATCH("Michigan Shoulder Hour Curve Mon-Fri",'Michigan Curve'!$A$4:$K$4,0))))</f>
        <v>26.1659951400757</v>
      </c>
      <c r="AR94" s="889" t="n">
        <f aca="false">AQ94*K94</f>
        <v>35.365703399965</v>
      </c>
      <c r="AS94" s="893" t="n">
        <f aca="false">IF(AR94&gt;($CP94+$BF$4),1,0)</f>
        <v>0</v>
      </c>
      <c r="AT94" s="938"/>
      <c r="AU94" s="892" t="n">
        <f aca="false">IF(Tables!$E$30="New York",INDEX('NY Curve'!$A$4:$L$256,MATCH('Monthly Table'!$B94,'NY Curve'!$A$4:$A$256,0),MATCH("New York Saturday Super Peak",'NY Curve'!$A$4:$L$4,0)),IF(Tables!$E$30="Michigan",INDEX('Michigan Curve'!$A$4:$K$256,MATCH('Monthly Table'!$B94,'Michigan Curve'!$A$4:$A$256,0),MATCH("Michigan Saturday Super Peak",'Michigan Curve'!$A$4:$K$4,0))))</f>
        <v>20.4</v>
      </c>
      <c r="AV94" s="894" t="n">
        <f aca="false">AU94*K94</f>
        <v>27.572440700117</v>
      </c>
      <c r="AW94" s="893" t="n">
        <f aca="false">IF(AV94&gt;($CP94+$BF$4),1,0)</f>
        <v>0</v>
      </c>
      <c r="AX94" s="892" t="n">
        <f aca="false">IF(Tables!$E$30="New York",INDEX('NY Curve'!$A$4:$L$256,MATCH('Monthly Table'!$B94,'NY Curve'!$A$4:$A$256,0),MATCH("New York Saturday Shoulder Peak",'NY Curve'!$A$4:$L$4,0)),IF(Tables!$E$30="Michigan",INDEX('Michigan Curve'!$A$4:$K$256,MATCH('Monthly Table'!$B94,'Michigan Curve'!$A$4:$A$256,0),MATCH("Michigan Saturday Shoulder Peak",'Michigan Curve'!$A$4:$K$4,0))))</f>
        <v>19.6</v>
      </c>
      <c r="AY94" s="895" t="n">
        <f aca="false">AX94*K94</f>
        <v>26.4911685157986</v>
      </c>
      <c r="AZ94" s="893" t="n">
        <f aca="false">IF(AY94&gt;($CP94+$BF$4),1,0)</f>
        <v>0</v>
      </c>
      <c r="BA94" s="938"/>
      <c r="BB94" s="892" t="n">
        <f aca="false">IF(Tables!$E$30="New York",INDEX('NY Curve'!$A$4:$M$256,MATCH('Monthly Table'!$B94,'NY Curve'!$A$4:$A$256,0),MATCH("NY Sunday Super Peak",'NY Curve'!$A$4:$M$4,0)),IF(Tables!$E$30="Michigan",INDEX('Michigan Curve'!$A$4:$L$256,MATCH('Monthly Table'!$B94,'Michigan Curve'!$A$4:$A$256,0),MATCH("Michigan Sunday Super Peak",'Michigan Curve'!$A$4:$L$4,0))))</f>
        <v>19.38</v>
      </c>
      <c r="BC94" s="894" t="n">
        <f aca="false">BB94*K94</f>
        <v>26.1938186651111</v>
      </c>
      <c r="BD94" s="893" t="n">
        <f aca="false">IF(BC94&gt;($CP94+$BF$4),1,0)</f>
        <v>0</v>
      </c>
      <c r="BE94" s="938"/>
      <c r="BF94" s="948" t="n">
        <f aca="false">B94</f>
        <v>39417</v>
      </c>
      <c r="BG94" s="897" t="n">
        <f aca="false">IF($AN94=1,$E94*$BF$5,0)</f>
        <v>0</v>
      </c>
      <c r="BH94" s="982" t="n">
        <f aca="false">IF(Tables!$B$36="Combined Cycle",(BF94-BF93)*24*Assumptions!$B$21,0)</f>
        <v>0</v>
      </c>
      <c r="BI94" s="714" t="n">
        <f aca="false">IF($AN94=1,$E94*$BF$5,0)</f>
        <v>0</v>
      </c>
      <c r="BJ94" s="950" t="n">
        <f aca="false">IF('Monthly Table'!D94&lt;=Tables!$B$21,IF($BJ$10=$BG$10,BG94,IF($BJ$10=$BH$10,BH94,IF($BJ$10=$BI$10,BI94,0))),0)</f>
        <v>0</v>
      </c>
      <c r="BK94" s="288"/>
      <c r="BL94" s="898" t="n">
        <f aca="false">IF($AW94=1,$F94*$BF$5,0)</f>
        <v>0</v>
      </c>
      <c r="BM94" s="898" t="n">
        <f aca="false">IF($BD94=1,($G94+H94)*$BF$5,0)</f>
        <v>0</v>
      </c>
      <c r="BO94" s="898" t="n">
        <f aca="false">IF(AS94=1,BJ94,0)</f>
        <v>0</v>
      </c>
      <c r="BP94" s="898" t="n">
        <f aca="false">IF(AZ94=1,F94*$BF$5,0)</f>
        <v>0</v>
      </c>
      <c r="BR94" s="951" t="n">
        <f aca="false">IF(BJ94&gt;0,INDEX(OperationalDetail,MATCH("Capacity Degradation",ODColumn,0),MATCH('Monthly Table'!C94,ODRow,0)),0)</f>
        <v>0</v>
      </c>
      <c r="BS94" s="900" t="n">
        <f aca="false">BJ94*(1-BR94)*Tables!$C$36</f>
        <v>0</v>
      </c>
      <c r="BT94" s="953" t="n">
        <f aca="false">BS94*AL94/1000</f>
        <v>0</v>
      </c>
      <c r="BU94" s="953" t="n">
        <f aca="false">BT94*K94</f>
        <v>0</v>
      </c>
      <c r="BV94" s="188"/>
      <c r="BW94" s="901" t="n">
        <f aca="false">$BO94*(1-$BR94)*Tables!$C$36</f>
        <v>0</v>
      </c>
      <c r="BX94" s="902" t="n">
        <f aca="false">(BW94*AQ94)/1000</f>
        <v>0</v>
      </c>
      <c r="BY94" s="883" t="n">
        <f aca="false">BX94*K94</f>
        <v>0</v>
      </c>
      <c r="BZ94" s="938"/>
      <c r="CA94" s="901" t="n">
        <f aca="false">$BL94*(1-$BR94)*Tables!$C$36</f>
        <v>0</v>
      </c>
      <c r="CB94" s="902" t="n">
        <f aca="false">(CA94*AU94)/1000</f>
        <v>0</v>
      </c>
      <c r="CC94" s="883" t="n">
        <f aca="false">CB94*K94</f>
        <v>0</v>
      </c>
      <c r="CD94" s="901" t="n">
        <f aca="false">$BP94*(1-$BR94)*Tables!$C$36</f>
        <v>0</v>
      </c>
      <c r="CE94" s="902" t="n">
        <f aca="false">(CD94*AX94)/1000</f>
        <v>0</v>
      </c>
      <c r="CF94" s="883" t="n">
        <f aca="false">CE94*K94</f>
        <v>0</v>
      </c>
      <c r="CG94" s="110"/>
      <c r="CH94" s="901" t="n">
        <f aca="false">$BM94*(1-$BR94)*Tables!$C$36</f>
        <v>0</v>
      </c>
      <c r="CI94" s="902" t="n">
        <f aca="false">(CH94*BB94)/1000</f>
        <v>0</v>
      </c>
      <c r="CJ94" s="883" t="n">
        <f aca="false">CI94*K94</f>
        <v>0</v>
      </c>
      <c r="CK94" s="956"/>
      <c r="CL94" s="292" t="n">
        <f aca="false">C94-1</f>
        <v>2006</v>
      </c>
      <c r="CM94" s="903" t="n">
        <f aca="false">INDEX(OperationalDetail,MATCH("Degraded Heat Rate",ODColumn,0),MATCH('Monthly Table'!CL94,ODRow,0))/1000</f>
        <v>11.9858336</v>
      </c>
      <c r="CN94" s="958" t="n">
        <f aca="false">S94*CM94</f>
        <v>60.4376711928532</v>
      </c>
      <c r="CO94" s="959" t="n">
        <f aca="false">IF(A94="January",(CO93*(1+Assumptions!$E$32)),CO93)</f>
        <v>7.58540774525508</v>
      </c>
      <c r="CP94" s="960" t="n">
        <f aca="false">CN94+CO94</f>
        <v>68.0230789381083</v>
      </c>
      <c r="CQ94" s="956"/>
      <c r="CR94" s="961" t="str">
        <f aca="false">IF(BJ94=0,"",C94)</f>
        <v/>
      </c>
      <c r="CS94" s="856" t="str">
        <f aca="false">IF(BO94=0,"",$C94)</f>
        <v/>
      </c>
      <c r="CT94" s="856" t="str">
        <f aca="false">IF(BL94=0,"",$C94)</f>
        <v/>
      </c>
      <c r="CU94" s="856" t="str">
        <f aca="false">IF(BP94=0,"",$C94)</f>
        <v/>
      </c>
      <c r="CV94" s="856" t="str">
        <f aca="false">IF(BD94=0,"",$C94)</f>
        <v/>
      </c>
      <c r="CW94" s="962" t="n">
        <f aca="false">YEAR(BF94)</f>
        <v>2007</v>
      </c>
      <c r="CX94" s="963" t="n">
        <f aca="false">INDEX('NY Curve'!$A$4:$G$256,MATCH('Monthly Table'!B94,'NY Curve'!$A$4:$A$256,0),MATCH("New York 5 X 16",'NY Curve'!$A$4:$G$4,0))</f>
        <v>26.7</v>
      </c>
      <c r="CY94" s="964" t="n">
        <f aca="false">K94</f>
        <v>1.35159023039789</v>
      </c>
      <c r="CZ94" s="965" t="n">
        <f aca="false">CX94*CY94</f>
        <v>36.0874591516237</v>
      </c>
      <c r="DA94" s="110"/>
      <c r="DB94" s="966"/>
      <c r="DC94" s="966"/>
      <c r="DD94" s="110"/>
      <c r="DE94" s="110"/>
      <c r="DF94" s="110"/>
      <c r="DG94" s="110"/>
      <c r="DH94" s="110"/>
    </row>
    <row r="95" customFormat="false" ht="18.75" hidden="false" customHeight="true" outlineLevel="0" collapsed="false">
      <c r="A95" s="49" t="s">
        <v>810</v>
      </c>
      <c r="B95" s="863" t="n">
        <v>39448</v>
      </c>
      <c r="C95" s="288" t="n">
        <f aca="false">YEAR(B95)</f>
        <v>2008</v>
      </c>
      <c r="D95" s="864" t="n">
        <f aca="false">IF(A95="January",D94+1,D94)</f>
        <v>8</v>
      </c>
      <c r="E95" s="865" t="n">
        <v>22</v>
      </c>
      <c r="F95" s="866" t="n">
        <v>4</v>
      </c>
      <c r="G95" s="866" t="n">
        <v>4</v>
      </c>
      <c r="H95" s="866" t="n">
        <v>1</v>
      </c>
      <c r="I95" s="867" t="n">
        <f aca="false">SUM(E95:H95)</f>
        <v>31</v>
      </c>
      <c r="J95" s="868"/>
      <c r="K95" s="869" t="n">
        <f aca="false">INDEX(FX!$A$3:$C$362,MATCH(B95,FX!$A$3:$A$362,0),MATCH("Monthly Curve",FX!$A$2:$C$2,0))</f>
        <v>1.35067218070793</v>
      </c>
      <c r="L95" s="869"/>
      <c r="M95" s="914" t="n">
        <v>3.226</v>
      </c>
      <c r="N95" s="915" t="n">
        <v>0.28</v>
      </c>
      <c r="O95" s="714" t="n">
        <v>0.05</v>
      </c>
      <c r="P95" s="872" t="n">
        <f aca="false">N95+O95</f>
        <v>0.33</v>
      </c>
      <c r="Q95" s="873" t="n">
        <f aca="false">SUM(M95:O95)</f>
        <v>3.556</v>
      </c>
      <c r="R95" s="974" t="n">
        <f aca="false">IF(A95="January",(R94+R94*Assumptions!$E$32),R94)</f>
        <v>0.344979864786059</v>
      </c>
      <c r="S95" s="875" t="n">
        <f aca="false">(Q95*K95)+R95</f>
        <v>5.14797013938346</v>
      </c>
      <c r="T95" s="869"/>
      <c r="U95" s="984"/>
      <c r="V95" s="978"/>
      <c r="W95" s="978"/>
      <c r="X95" s="971"/>
      <c r="Y95" s="975" t="n">
        <f aca="false">Tables!$D$36</f>
        <v>312</v>
      </c>
      <c r="Z95" s="879" t="n">
        <f aca="false">IF($Z$10=$V$10,V95,IF($Z$10=$W$10,W95,IF($Z$10=$X$10,X95,0)))</f>
        <v>0</v>
      </c>
      <c r="AA95" s="880" t="n">
        <f aca="false">Y95*Z95</f>
        <v>0</v>
      </c>
      <c r="AB95" s="881" t="n">
        <f aca="false">AA95*K95</f>
        <v>0</v>
      </c>
      <c r="AC95" s="188"/>
      <c r="AD95" s="882" t="n">
        <f aca="false">IF(Tables!$E$30="Michigan",INDEX('Michigan Curve'!$A$4:$S$256,MATCH('Monthly Table'!B95,'Michigan Curve'!$A$4:$A$256,0),MATCH("Michigan Selected Option Value US$/month",'Michigan Curve'!$A$4:$S$4,0)),INDEX('NY Curve'!$A$4:$T$256,MATCH('Monthly Table'!B95,'NY Curve'!$A$4:$A$256,0),MATCH("New York Selected Option Value US$/month",'NY Curve'!$A$4:$T$4,0)))</f>
        <v>43070.5198190197</v>
      </c>
      <c r="AE95" s="883" t="n">
        <f aca="false">AD95*K95</f>
        <v>58174.1529281794</v>
      </c>
      <c r="AF95" s="188"/>
      <c r="AG95" s="884"/>
      <c r="AH95" s="188"/>
      <c r="AI95" s="885" t="n">
        <f aca="false">Assumptions!$B$50</f>
        <v>65</v>
      </c>
      <c r="AJ95" s="916"/>
      <c r="AK95" s="887" t="n">
        <f aca="false">IF(Tables!$E$30="Custom",'Monthly Table'!AI95,IF(Tables!$E$30="New York",INDEX('NY Curve'!$A$4:$G$256,MATCH('Monthly Table'!B95,'NY Curve'!$A$4:$A$256,0),MATCH("Super Peak Curve",'NY Curve'!$A$4:$G$4,0)),IF(Tables!$E$30="New York Flat",INDEX('NY Curve'!$A$4:$G$256,MATCH('Monthly Table'!B95,'NY Curve'!$A$4:$A$256,0),MATCH("Flat NY West",'NY Curve'!$A$4:$G$4,0)),INDEX('Michigan Curve'!$A$4:$F$256,MATCH('Monthly Table'!B95,'Michigan Curve'!$A$4:$A$256,0),MATCH("Michigan Super Peak Curve US$/MWhr",'Michigan Curve'!$A$4:$F$4,0)))))</f>
        <v>32.8440003890991</v>
      </c>
      <c r="AL95" s="888" t="n">
        <f aca="false">IF(D95&lt;=Tables!$B$21,IF($AL$10=$AI$10,AI95,IF($AL$10=$AJ$10,AJ95,IF($AL$10=$AK$10,AK95,0))),0)</f>
        <v>32.8440003890991</v>
      </c>
      <c r="AM95" s="889" t="n">
        <f aca="false">+AL95*K95</f>
        <v>44.3614776287166</v>
      </c>
      <c r="AN95" s="890" t="n">
        <f aca="false">IF((AL95*K95)&gt;(CP95+$BF$4),1,0)</f>
        <v>0</v>
      </c>
      <c r="AO95" s="891"/>
      <c r="AP95" s="894"/>
      <c r="AQ95" s="892" t="n">
        <f aca="false">IF(Tables!$E$30="New York",INDEX('NY Curve'!$A$4:$L$256,MATCH('Monthly Table'!B95,'NY Curve'!$A$4:$A$256,0),MATCH("New York Shoulder Hour Curve Mon-Fri",'NY Curve'!$A$4:$L$4,0)),IF(Tables!$E$30="Michigan",INDEX('Michigan Curve'!$A$4:$K$256,MATCH('Monthly Table'!B95,'Michigan Curve'!$A$4:$A$256,0),MATCH("Michigan Shoulder Hour Curve Mon-Fri",'Michigan Curve'!$A$4:$K$4,0))))</f>
        <v>31.5560003738403</v>
      </c>
      <c r="AR95" s="889" t="n">
        <f aca="false">AQ95*K95</f>
        <v>42.6218118393552</v>
      </c>
      <c r="AS95" s="893" t="n">
        <f aca="false">IF(AR95&gt;($CP95+$BF$4),1,0)</f>
        <v>0</v>
      </c>
      <c r="AT95" s="188"/>
      <c r="AU95" s="892" t="n">
        <f aca="false">IF(Tables!$E$30="New York",INDEX('NY Curve'!$A$4:$L$256,MATCH('Monthly Table'!$B95,'NY Curve'!$A$4:$A$256,0),MATCH("New York Saturday Super Peak",'NY Curve'!$A$4:$L$4,0)),IF(Tables!$E$30="Michigan",INDEX('Michigan Curve'!$A$4:$K$256,MATCH('Monthly Table'!$B95,'Michigan Curve'!$A$4:$A$256,0),MATCH("Michigan Saturday Super Peak",'Michigan Curve'!$A$4:$K$4,0))))</f>
        <v>22.44</v>
      </c>
      <c r="AV95" s="894" t="n">
        <f aca="false">AU95*K95</f>
        <v>30.309083735086</v>
      </c>
      <c r="AW95" s="893" t="n">
        <f aca="false">IF(AV95&gt;($CP95+$BF$4),1,0)</f>
        <v>0</v>
      </c>
      <c r="AX95" s="892" t="n">
        <f aca="false">IF(Tables!$E$30="New York",INDEX('NY Curve'!$A$4:$L$256,MATCH('Monthly Table'!$B95,'NY Curve'!$A$4:$A$256,0),MATCH("New York Saturday Shoulder Peak",'NY Curve'!$A$4:$L$4,0)),IF(Tables!$E$30="Michigan",INDEX('Michigan Curve'!$A$4:$K$256,MATCH('Monthly Table'!$B95,'Michigan Curve'!$A$4:$A$256,0),MATCH("Michigan Saturday Shoulder Peak",'Michigan Curve'!$A$4:$K$4,0))))</f>
        <v>21.56</v>
      </c>
      <c r="AY95" s="895" t="n">
        <f aca="false">AX95*K95</f>
        <v>29.120492216063</v>
      </c>
      <c r="AZ95" s="893" t="n">
        <f aca="false">IF(AY95&gt;($CP95+$BF$4),1,0)</f>
        <v>0</v>
      </c>
      <c r="BA95" s="188"/>
      <c r="BB95" s="892" t="n">
        <f aca="false">IF(Tables!$E$30="New York",INDEX('NY Curve'!$A$4:$M$256,MATCH('Monthly Table'!$B95,'NY Curve'!$A$4:$A$256,0),MATCH("NY Sunday Super Peak",'NY Curve'!$A$4:$M$4,0)),IF(Tables!$E$30="Michigan",INDEX('Michigan Curve'!$A$4:$L$256,MATCH('Monthly Table'!$B95,'Michigan Curve'!$A$4:$A$256,0),MATCH("Michigan Sunday Super Peak",'Michigan Curve'!$A$4:$L$4,0))))</f>
        <v>21.42</v>
      </c>
      <c r="BC95" s="894" t="n">
        <f aca="false">BB95*K95</f>
        <v>28.9313981107639</v>
      </c>
      <c r="BD95" s="893" t="n">
        <f aca="false">IF(BC95&gt;($CP95+$BF$4),1,0)</f>
        <v>0</v>
      </c>
      <c r="BE95" s="188"/>
      <c r="BF95" s="896" t="n">
        <f aca="false">B95</f>
        <v>39448</v>
      </c>
      <c r="BG95" s="897" t="n">
        <f aca="false">IF($AN95=1,$E95*$BF$5,0)</f>
        <v>0</v>
      </c>
      <c r="BH95" s="976" t="n">
        <f aca="false">IF(Tables!$B$36="Combined Cycle",(BF95-BF94)*24*Assumptions!$B$21,0)</f>
        <v>0</v>
      </c>
      <c r="BI95" s="714" t="n">
        <f aca="false">IF($AN95=1,$E95*$BF$5,0)</f>
        <v>0</v>
      </c>
      <c r="BJ95" s="898" t="n">
        <f aca="false">IF('Monthly Table'!D95&lt;=Tables!$B$21,IF($BJ$10=$BG$10,BG95,IF($BJ$10=$BH$10,BH95,IF($BJ$10=$BI$10,BI95,0))),0)</f>
        <v>0</v>
      </c>
      <c r="BK95" s="288"/>
      <c r="BL95" s="898" t="n">
        <f aca="false">IF($AW95=1,$F95*$BF$5,0)</f>
        <v>0</v>
      </c>
      <c r="BM95" s="898" t="n">
        <f aca="false">IF($BD95=1,($G95+H95)*$BF$5,0)</f>
        <v>0</v>
      </c>
      <c r="BO95" s="898" t="n">
        <f aca="false">IF(AS95=1,BJ95,0)</f>
        <v>0</v>
      </c>
      <c r="BP95" s="898" t="n">
        <f aca="false">IF(AZ95=1,F95*$BF$5,0)</f>
        <v>0</v>
      </c>
      <c r="BR95" s="899" t="n">
        <f aca="false">IF(BJ95&gt;0,INDEX(OperationalDetail,MATCH("Capacity Degradation",ODColumn,0),MATCH('Monthly Table'!C95,ODRow,0)),0)</f>
        <v>0</v>
      </c>
      <c r="BS95" s="900" t="n">
        <f aca="false">BJ95*(1-BR95)*Tables!$C$36</f>
        <v>0</v>
      </c>
      <c r="BT95" s="883" t="n">
        <f aca="false">BS95*AL95/1000</f>
        <v>0</v>
      </c>
      <c r="BU95" s="883" t="n">
        <f aca="false">BT95*K95</f>
        <v>0</v>
      </c>
      <c r="BV95" s="188"/>
      <c r="BW95" s="901" t="n">
        <f aca="false">$BO95*(1-$BR95)*Tables!$C$36</f>
        <v>0</v>
      </c>
      <c r="BX95" s="902" t="n">
        <f aca="false">(BW95*AQ95)/1000</f>
        <v>0</v>
      </c>
      <c r="BY95" s="883" t="n">
        <f aca="false">BX95*K95</f>
        <v>0</v>
      </c>
      <c r="BZ95" s="188"/>
      <c r="CA95" s="901" t="n">
        <f aca="false">$BL95*(1-$BR95)*Tables!$C$36</f>
        <v>0</v>
      </c>
      <c r="CB95" s="902" t="n">
        <f aca="false">(CA95*AU95)/1000</f>
        <v>0</v>
      </c>
      <c r="CC95" s="883" t="n">
        <f aca="false">CB95*K95</f>
        <v>0</v>
      </c>
      <c r="CD95" s="901" t="n">
        <f aca="false">$BP95*(1-$BR95)*Tables!$C$36</f>
        <v>0</v>
      </c>
      <c r="CE95" s="902" t="n">
        <f aca="false">(CD95*AX95)/1000</f>
        <v>0</v>
      </c>
      <c r="CF95" s="883" t="n">
        <f aca="false">CE95*K95</f>
        <v>0</v>
      </c>
      <c r="CH95" s="901" t="n">
        <f aca="false">$BM95*(1-$BR95)*Tables!$C$36</f>
        <v>0</v>
      </c>
      <c r="CI95" s="902" t="n">
        <f aca="false">(CH95*BB95)/1000</f>
        <v>0</v>
      </c>
      <c r="CJ95" s="883" t="n">
        <f aca="false">CI95*K95</f>
        <v>0</v>
      </c>
      <c r="CK95" s="292"/>
      <c r="CL95" s="292" t="n">
        <f aca="false">C95-1</f>
        <v>2007</v>
      </c>
      <c r="CM95" s="903" t="n">
        <f aca="false">INDEX(OperationalDetail,MATCH("Degraded Heat Rate",ODColumn,0),MATCH('Monthly Table'!CL95,ODRow,0))/1000</f>
        <v>12.0166904</v>
      </c>
      <c r="CN95" s="904" t="n">
        <f aca="false">S95*CM95</f>
        <v>61.8615633534159</v>
      </c>
      <c r="CO95" s="905" t="n">
        <f aca="false">IF(A95="January",(CO94*(1+Assumptions!$E$32)),CO94)</f>
        <v>7.73711590016018</v>
      </c>
      <c r="CP95" s="906" t="n">
        <f aca="false">CN95+CO95</f>
        <v>69.5986792535761</v>
      </c>
      <c r="CQ95" s="292"/>
      <c r="CR95" s="856" t="str">
        <f aca="false">IF(BJ95=0,"",C95)</f>
        <v/>
      </c>
      <c r="CS95" s="856" t="str">
        <f aca="false">IF(BO95=0,"",$C95)</f>
        <v/>
      </c>
      <c r="CT95" s="856" t="str">
        <f aca="false">IF(BL95=0,"",$C95)</f>
        <v/>
      </c>
      <c r="CU95" s="856" t="str">
        <f aca="false">IF(BP95=0,"",$C95)</f>
        <v/>
      </c>
      <c r="CV95" s="856" t="str">
        <f aca="false">IF(BD95=0,"",$C95)</f>
        <v/>
      </c>
      <c r="CW95" s="907" t="n">
        <f aca="false">YEAR(BF95)</f>
        <v>2008</v>
      </c>
      <c r="CX95" s="908" t="n">
        <f aca="false">INDEX('NY Curve'!$A$4:$G$256,MATCH('Monthly Table'!B95,'NY Curve'!$A$4:$A$256,0),MATCH("New York 5 X 16",'NY Curve'!$A$4:$G$4,0))</f>
        <v>32.05</v>
      </c>
      <c r="CY95" s="909" t="n">
        <f aca="false">K95</f>
        <v>1.35067218070793</v>
      </c>
      <c r="CZ95" s="910" t="n">
        <f aca="false">CX95*CY95</f>
        <v>43.2890433916892</v>
      </c>
      <c r="DB95" s="911"/>
      <c r="DC95" s="911"/>
    </row>
    <row r="96" customFormat="false" ht="18.75" hidden="false" customHeight="true" outlineLevel="0" collapsed="false">
      <c r="A96" s="49" t="s">
        <v>811</v>
      </c>
      <c r="B96" s="863" t="n">
        <v>39479</v>
      </c>
      <c r="C96" s="288" t="n">
        <f aca="false">YEAR(B96)</f>
        <v>2008</v>
      </c>
      <c r="D96" s="864" t="n">
        <f aca="false">IF(A96="January",D95+1,D95)</f>
        <v>8</v>
      </c>
      <c r="E96" s="865" t="n">
        <v>21</v>
      </c>
      <c r="F96" s="866" t="n">
        <v>4</v>
      </c>
      <c r="G96" s="866" t="n">
        <v>4</v>
      </c>
      <c r="H96" s="866" t="n">
        <v>0</v>
      </c>
      <c r="I96" s="867" t="n">
        <f aca="false">SUM(E96:H96)</f>
        <v>29</v>
      </c>
      <c r="J96" s="868"/>
      <c r="K96" s="869" t="n">
        <f aca="false">INDEX(FX!$A$3:$C$362,MATCH(B96,FX!$A$3:$A$362,0),MATCH("Monthly Curve",FX!$A$2:$C$2,0))</f>
        <v>1.34975828422918</v>
      </c>
      <c r="L96" s="869"/>
      <c r="M96" s="914" t="n">
        <v>3.113</v>
      </c>
      <c r="N96" s="915" t="n">
        <v>0.31</v>
      </c>
      <c r="O96" s="714" t="n">
        <v>0.05</v>
      </c>
      <c r="P96" s="872" t="n">
        <f aca="false">N96+O96</f>
        <v>0.36</v>
      </c>
      <c r="Q96" s="873" t="n">
        <f aca="false">SUM(M96:O96)</f>
        <v>3.473</v>
      </c>
      <c r="R96" s="974" t="n">
        <f aca="false">IF(A96="January",(R95+R95*Assumptions!$E$32),R95)</f>
        <v>0.344979864786059</v>
      </c>
      <c r="S96" s="875" t="n">
        <f aca="false">(Q96*K96)+R96</f>
        <v>5.032690385914</v>
      </c>
      <c r="T96" s="869"/>
      <c r="U96" s="984"/>
      <c r="V96" s="978"/>
      <c r="W96" s="978"/>
      <c r="X96" s="971"/>
      <c r="Y96" s="975" t="n">
        <f aca="false">Tables!$D$36</f>
        <v>312</v>
      </c>
      <c r="Z96" s="879" t="n">
        <f aca="false">IF($Z$10=$V$10,V96,IF($Z$10=$W$10,W96,IF($Z$10=$X$10,X96,0)))</f>
        <v>0</v>
      </c>
      <c r="AA96" s="880" t="n">
        <f aca="false">Y96*Z96</f>
        <v>0</v>
      </c>
      <c r="AB96" s="881" t="n">
        <f aca="false">AA96*K96</f>
        <v>0</v>
      </c>
      <c r="AC96" s="188"/>
      <c r="AD96" s="882" t="n">
        <f aca="false">IF(Tables!$E$30="Michigan",INDEX('Michigan Curve'!$A$4:$S$256,MATCH('Monthly Table'!B96,'Michigan Curve'!$A$4:$A$256,0),MATCH("Michigan Selected Option Value US$/month",'Michigan Curve'!$A$4:$S$4,0)),INDEX('NY Curve'!$A$4:$T$256,MATCH('Monthly Table'!B96,'NY Curve'!$A$4:$A$256,0),MATCH("New York Selected Option Value US$/month",'NY Curve'!$A$4:$T$4,0)))</f>
        <v>42310.9014816573</v>
      </c>
      <c r="AE96" s="883" t="n">
        <f aca="false">AD96*K96</f>
        <v>57109.4897880717</v>
      </c>
      <c r="AF96" s="188"/>
      <c r="AG96" s="884"/>
      <c r="AH96" s="188"/>
      <c r="AI96" s="885" t="n">
        <f aca="false">Assumptions!$B$50</f>
        <v>65</v>
      </c>
      <c r="AJ96" s="916"/>
      <c r="AK96" s="887" t="n">
        <f aca="false">IF(Tables!$E$30="Custom",'Monthly Table'!AI96,IF(Tables!$E$30="New York",INDEX('NY Curve'!$A$4:$G$256,MATCH('Monthly Table'!B96,'NY Curve'!$A$4:$A$256,0),MATCH("Super Peak Curve",'NY Curve'!$A$4:$G$4,0)),IF(Tables!$E$30="New York Flat",INDEX('NY Curve'!$A$4:$G$256,MATCH('Monthly Table'!B96,'NY Curve'!$A$4:$A$256,0),MATCH("Flat NY West",'NY Curve'!$A$4:$G$4,0)),INDEX('Michigan Curve'!$A$4:$F$256,MATCH('Monthly Table'!B96,'Michigan Curve'!$A$4:$A$256,0),MATCH("Michigan Super Peak Curve US$/MWhr",'Michigan Curve'!$A$4:$F$4,0)))))</f>
        <v>32.8439984436035</v>
      </c>
      <c r="AL96" s="888" t="n">
        <f aca="false">IF(D96&lt;=Tables!$B$21,IF($AL$10=$AI$10,AI96,IF($AL$10=$AJ$10,AJ96,IF($AL$10=$AK$10,AK96,0))),0)</f>
        <v>32.8439984436035</v>
      </c>
      <c r="AM96" s="889" t="n">
        <f aca="false">+AL96*K96</f>
        <v>44.3314589864641</v>
      </c>
      <c r="AN96" s="890" t="n">
        <f aca="false">IF((AL96*K96)&gt;(CP96+$BF$4),1,0)</f>
        <v>0</v>
      </c>
      <c r="AO96" s="891"/>
      <c r="AP96" s="894"/>
      <c r="AQ96" s="892" t="n">
        <f aca="false">IF(Tables!$E$30="New York",INDEX('NY Curve'!$A$4:$L$256,MATCH('Monthly Table'!B96,'NY Curve'!$A$4:$A$256,0),MATCH("New York Shoulder Hour Curve Mon-Fri",'NY Curve'!$A$4:$L$4,0)),IF(Tables!$E$30="Michigan",INDEX('Michigan Curve'!$A$4:$K$256,MATCH('Monthly Table'!B96,'Michigan Curve'!$A$4:$A$256,0),MATCH("Michigan Shoulder Hour Curve Mon-Fri",'Michigan Curve'!$A$4:$K$4,0))))</f>
        <v>31.5559985046387</v>
      </c>
      <c r="AR96" s="889" t="n">
        <f aca="false">AQ96*K96</f>
        <v>42.5929703987597</v>
      </c>
      <c r="AS96" s="893" t="n">
        <f aca="false">IF(AR96&gt;($CP96+$BF$4),1,0)</f>
        <v>0</v>
      </c>
      <c r="AT96" s="188"/>
      <c r="AU96" s="892" t="n">
        <f aca="false">IF(Tables!$E$30="New York",INDEX('NY Curve'!$A$4:$L$256,MATCH('Monthly Table'!$B96,'NY Curve'!$A$4:$A$256,0),MATCH("New York Saturday Super Peak",'NY Curve'!$A$4:$L$4,0)),IF(Tables!$E$30="Michigan",INDEX('Michigan Curve'!$A$4:$K$256,MATCH('Monthly Table'!$B96,'Michigan Curve'!$A$4:$A$256,0),MATCH("Michigan Saturday Super Peak",'Michigan Curve'!$A$4:$K$4,0))))</f>
        <v>22.4359202957153</v>
      </c>
      <c r="AV96" s="894" t="n">
        <f aca="false">AU96*K96</f>
        <v>30.2830692834474</v>
      </c>
      <c r="AW96" s="893" t="n">
        <f aca="false">IF(AV96&gt;($CP96+$BF$4),1,0)</f>
        <v>0</v>
      </c>
      <c r="AX96" s="892" t="n">
        <f aca="false">IF(Tables!$E$30="New York",INDEX('NY Curve'!$A$4:$L$256,MATCH('Monthly Table'!$B96,'NY Curve'!$A$4:$A$256,0),MATCH("New York Saturday Shoulder Peak",'NY Curve'!$A$4:$L$4,0)),IF(Tables!$E$30="Michigan",INDEX('Michigan Curve'!$A$4:$K$256,MATCH('Monthly Table'!$B96,'Michigan Curve'!$A$4:$A$256,0),MATCH("Michigan Saturday Shoulder Peak",'Michigan Curve'!$A$4:$K$4,0))))</f>
        <v>21.5560802841187</v>
      </c>
      <c r="AY96" s="895" t="n">
        <f aca="false">AX96*K96</f>
        <v>29.0954979389985</v>
      </c>
      <c r="AZ96" s="893" t="n">
        <f aca="false">IF(AY96&gt;($CP96+$BF$4),1,0)</f>
        <v>0</v>
      </c>
      <c r="BA96" s="188"/>
      <c r="BB96" s="892" t="n">
        <f aca="false">IF(Tables!$E$30="New York",INDEX('NY Curve'!$A$4:$M$256,MATCH('Monthly Table'!$B96,'NY Curve'!$A$4:$A$256,0),MATCH("NY Sunday Super Peak",'NY Curve'!$A$4:$M$4,0)),IF(Tables!$E$30="Michigan",INDEX('Michigan Curve'!$A$4:$L$256,MATCH('Monthly Table'!$B96,'Michigan Curve'!$A$4:$A$256,0),MATCH("Michigan Sunday Super Peak",'Michigan Curve'!$A$4:$L$4,0))))</f>
        <v>21.4164319610596</v>
      </c>
      <c r="BC96" s="894" t="n">
        <f aca="false">BB96*K96</f>
        <v>28.9070064580707</v>
      </c>
      <c r="BD96" s="893" t="n">
        <f aca="false">IF(BC96&gt;($CP96+$BF$4),1,0)</f>
        <v>0</v>
      </c>
      <c r="BE96" s="188"/>
      <c r="BF96" s="896" t="n">
        <f aca="false">B96</f>
        <v>39479</v>
      </c>
      <c r="BG96" s="897" t="n">
        <f aca="false">IF($AN96=1,$E96*$BF$5,0)</f>
        <v>0</v>
      </c>
      <c r="BH96" s="976" t="n">
        <f aca="false">IF(Tables!$B$36="Combined Cycle",(BF96-BF95)*24*Assumptions!$B$21,0)</f>
        <v>0</v>
      </c>
      <c r="BI96" s="714" t="n">
        <f aca="false">IF($AN96=1,$E96*$BF$5,0)</f>
        <v>0</v>
      </c>
      <c r="BJ96" s="898" t="n">
        <f aca="false">IF('Monthly Table'!D96&lt;=Tables!$B$21,IF($BJ$10=$BG$10,BG96,IF($BJ$10=$BH$10,BH96,IF($BJ$10=$BI$10,BI96,0))),0)</f>
        <v>0</v>
      </c>
      <c r="BK96" s="288"/>
      <c r="BL96" s="898" t="n">
        <f aca="false">IF($AW96=1,$F96*$BF$5,0)</f>
        <v>0</v>
      </c>
      <c r="BM96" s="898" t="n">
        <f aca="false">IF($BD96=1,($G96+H96)*$BF$5,0)</f>
        <v>0</v>
      </c>
      <c r="BO96" s="898" t="n">
        <f aca="false">IF(AS96=1,BJ96,0)</f>
        <v>0</v>
      </c>
      <c r="BP96" s="898" t="n">
        <f aca="false">IF(AZ96=1,F96*$BF$5,0)</f>
        <v>0</v>
      </c>
      <c r="BR96" s="899" t="n">
        <f aca="false">IF(BJ96&gt;0,INDEX(OperationalDetail,MATCH("Capacity Degradation",ODColumn,0),MATCH('Monthly Table'!C96,ODRow,0)),0)</f>
        <v>0</v>
      </c>
      <c r="BS96" s="900" t="n">
        <f aca="false">BJ96*(1-BR96)*Tables!$C$36</f>
        <v>0</v>
      </c>
      <c r="BT96" s="883" t="n">
        <f aca="false">BS96*AL96/1000</f>
        <v>0</v>
      </c>
      <c r="BU96" s="883" t="n">
        <f aca="false">BT96*K96</f>
        <v>0</v>
      </c>
      <c r="BV96" s="188"/>
      <c r="BW96" s="901" t="n">
        <f aca="false">$BO96*(1-$BR96)*Tables!$C$36</f>
        <v>0</v>
      </c>
      <c r="BX96" s="902" t="n">
        <f aca="false">(BW96*AQ96)/1000</f>
        <v>0</v>
      </c>
      <c r="BY96" s="883" t="n">
        <f aca="false">BX96*K96</f>
        <v>0</v>
      </c>
      <c r="BZ96" s="188"/>
      <c r="CA96" s="901" t="n">
        <f aca="false">$BL96*(1-$BR96)*Tables!$C$36</f>
        <v>0</v>
      </c>
      <c r="CB96" s="902" t="n">
        <f aca="false">(CA96*AU96)/1000</f>
        <v>0</v>
      </c>
      <c r="CC96" s="883" t="n">
        <f aca="false">CB96*K96</f>
        <v>0</v>
      </c>
      <c r="CD96" s="901" t="n">
        <f aca="false">$BP96*(1-$BR96)*Tables!$C$36</f>
        <v>0</v>
      </c>
      <c r="CE96" s="902" t="n">
        <f aca="false">(CD96*AX96)/1000</f>
        <v>0</v>
      </c>
      <c r="CF96" s="883" t="n">
        <f aca="false">CE96*K96</f>
        <v>0</v>
      </c>
      <c r="CH96" s="901" t="n">
        <f aca="false">$BM96*(1-$BR96)*Tables!$C$36</f>
        <v>0</v>
      </c>
      <c r="CI96" s="902" t="n">
        <f aca="false">(CH96*BB96)/1000</f>
        <v>0</v>
      </c>
      <c r="CJ96" s="883" t="n">
        <f aca="false">CI96*K96</f>
        <v>0</v>
      </c>
      <c r="CK96" s="292"/>
      <c r="CL96" s="292" t="n">
        <f aca="false">C96-1</f>
        <v>2007</v>
      </c>
      <c r="CM96" s="903" t="n">
        <f aca="false">INDEX(OperationalDetail,MATCH("Degraded Heat Rate",ODColumn,0),MATCH('Monthly Table'!CL96,ODRow,0))/1000</f>
        <v>12.0166904</v>
      </c>
      <c r="CN96" s="904" t="n">
        <f aca="false">S96*CM96</f>
        <v>60.4762822465851</v>
      </c>
      <c r="CO96" s="905" t="n">
        <f aca="false">IF(A96="January",(CO95*(1+Assumptions!$E$32)),CO95)</f>
        <v>7.73711590016018</v>
      </c>
      <c r="CP96" s="906" t="n">
        <f aca="false">CN96+CO96</f>
        <v>68.2133981467453</v>
      </c>
      <c r="CQ96" s="292"/>
      <c r="CR96" s="856" t="str">
        <f aca="false">IF(BJ96=0,"",C96)</f>
        <v/>
      </c>
      <c r="CS96" s="856" t="str">
        <f aca="false">IF(BO96=0,"",$C96)</f>
        <v/>
      </c>
      <c r="CT96" s="856" t="str">
        <f aca="false">IF(BL96=0,"",$C96)</f>
        <v/>
      </c>
      <c r="CU96" s="856" t="str">
        <f aca="false">IF(BP96=0,"",$C96)</f>
        <v/>
      </c>
      <c r="CV96" s="856" t="str">
        <f aca="false">IF(BD96=0,"",$C96)</f>
        <v/>
      </c>
      <c r="CW96" s="907" t="n">
        <f aca="false">YEAR(BF96)</f>
        <v>2008</v>
      </c>
      <c r="CX96" s="908" t="n">
        <f aca="false">INDEX('NY Curve'!$A$4:$G$256,MATCH('Monthly Table'!B96,'NY Curve'!$A$4:$A$256,0),MATCH("New York 5 X 16",'NY Curve'!$A$4:$G$4,0))</f>
        <v>32.05</v>
      </c>
      <c r="CY96" s="909" t="n">
        <f aca="false">K96</f>
        <v>1.34975828422918</v>
      </c>
      <c r="CZ96" s="910" t="n">
        <f aca="false">CX96*CY96</f>
        <v>43.2597530095452</v>
      </c>
      <c r="DB96" s="911"/>
      <c r="DC96" s="911"/>
    </row>
    <row r="97" customFormat="false" ht="18.75" hidden="false" customHeight="true" outlineLevel="0" collapsed="false">
      <c r="A97" s="49" t="s">
        <v>812</v>
      </c>
      <c r="B97" s="863" t="n">
        <v>39508</v>
      </c>
      <c r="C97" s="288" t="n">
        <f aca="false">YEAR(B97)</f>
        <v>2008</v>
      </c>
      <c r="D97" s="864" t="n">
        <f aca="false">IF(A97="January",D96+1,D96)</f>
        <v>8</v>
      </c>
      <c r="E97" s="865" t="n">
        <v>21</v>
      </c>
      <c r="F97" s="866" t="n">
        <v>5</v>
      </c>
      <c r="G97" s="866" t="n">
        <v>5</v>
      </c>
      <c r="H97" s="866" t="n">
        <v>0</v>
      </c>
      <c r="I97" s="867" t="n">
        <f aca="false">SUM(E97:H97)</f>
        <v>31</v>
      </c>
      <c r="J97" s="868"/>
      <c r="K97" s="869" t="n">
        <f aca="false">INDEX(FX!$A$3:$C$362,MATCH(B97,FX!$A$3:$A$362,0),MATCH("Monthly Curve",FX!$A$2:$C$2,0))</f>
        <v>1.34890710196832</v>
      </c>
      <c r="L97" s="869"/>
      <c r="M97" s="914" t="n">
        <v>2.998</v>
      </c>
      <c r="N97" s="915" t="n">
        <v>0.31</v>
      </c>
      <c r="O97" s="714" t="n">
        <v>0.05</v>
      </c>
      <c r="P97" s="872" t="n">
        <f aca="false">N97+O97</f>
        <v>0.36</v>
      </c>
      <c r="Q97" s="873" t="n">
        <f aca="false">SUM(M97:O97)</f>
        <v>3.358</v>
      </c>
      <c r="R97" s="974" t="n">
        <f aca="false">IF(A97="January",(R96+R96*Assumptions!$E$32),R96)</f>
        <v>0.344979864786059</v>
      </c>
      <c r="S97" s="875" t="n">
        <f aca="false">(Q97*K97)+R97</f>
        <v>4.87460991319568</v>
      </c>
      <c r="T97" s="869"/>
      <c r="U97" s="984"/>
      <c r="V97" s="978"/>
      <c r="W97" s="978"/>
      <c r="X97" s="971"/>
      <c r="Y97" s="975" t="n">
        <f aca="false">Tables!$D$36</f>
        <v>312</v>
      </c>
      <c r="Z97" s="879" t="n">
        <f aca="false">IF($Z$10=$V$10,V97,IF($Z$10=$W$10,W97,IF($Z$10=$X$10,X97,0)))</f>
        <v>0</v>
      </c>
      <c r="AA97" s="880" t="n">
        <f aca="false">Y97*Z97</f>
        <v>0</v>
      </c>
      <c r="AB97" s="881" t="n">
        <f aca="false">AA97*K97</f>
        <v>0</v>
      </c>
      <c r="AC97" s="188"/>
      <c r="AD97" s="882" t="n">
        <f aca="false">IF(Tables!$E$30="Michigan",INDEX('Michigan Curve'!$A$4:$S$256,MATCH('Monthly Table'!B97,'Michigan Curve'!$A$4:$A$256,0),MATCH("Michigan Selected Option Value US$/month",'Michigan Curve'!$A$4:$S$4,0)),INDEX('NY Curve'!$A$4:$T$256,MATCH('Monthly Table'!B97,'NY Curve'!$A$4:$A$256,0),MATCH("New York Selected Option Value US$/month",'NY Curve'!$A$4:$T$4,0)))</f>
        <v>9239.96006232065</v>
      </c>
      <c r="AE97" s="883" t="n">
        <f aca="false">AD97*K97</f>
        <v>12463.847749968</v>
      </c>
      <c r="AF97" s="188"/>
      <c r="AG97" s="884"/>
      <c r="AH97" s="188"/>
      <c r="AI97" s="885" t="n">
        <f aca="false">Assumptions!$B$50</f>
        <v>65</v>
      </c>
      <c r="AJ97" s="916"/>
      <c r="AK97" s="887" t="n">
        <f aca="false">IF(Tables!$E$30="Custom",'Monthly Table'!AI97,IF(Tables!$E$30="New York",INDEX('NY Curve'!$A$4:$G$256,MATCH('Monthly Table'!B97,'NY Curve'!$A$4:$A$256,0),MATCH("Super Peak Curve",'NY Curve'!$A$4:$G$4,0)),IF(Tables!$E$30="New York Flat",INDEX('NY Curve'!$A$4:$G$256,MATCH('Monthly Table'!B97,'NY Curve'!$A$4:$A$256,0),MATCH("Flat NY West",'NY Curve'!$A$4:$G$4,0)),INDEX('Michigan Curve'!$A$4:$F$256,MATCH('Monthly Table'!B97,'Michigan Curve'!$A$4:$A$256,0),MATCH("Michigan Super Peak Curve US$/MWhr",'Michigan Curve'!$A$4:$F$4,0)))))</f>
        <v>27.54</v>
      </c>
      <c r="AL97" s="888" t="n">
        <f aca="false">IF(D97&lt;=Tables!$B$21,IF($AL$10=$AI$10,AI97,IF($AL$10=$AJ$10,AJ97,IF($AL$10=$AK$10,AK97,0))),0)</f>
        <v>27.54</v>
      </c>
      <c r="AM97" s="889" t="n">
        <f aca="false">+AL97*K97</f>
        <v>37.1489015882075</v>
      </c>
      <c r="AN97" s="890" t="n">
        <f aca="false">IF((AL97*K97)&gt;(CP97+$BF$4),1,0)</f>
        <v>0</v>
      </c>
      <c r="AO97" s="891"/>
      <c r="AP97" s="894"/>
      <c r="AQ97" s="892" t="n">
        <f aca="false">IF(Tables!$E$30="New York",INDEX('NY Curve'!$A$4:$L$256,MATCH('Monthly Table'!B97,'NY Curve'!$A$4:$A$256,0),MATCH("New York Shoulder Hour Curve Mon-Fri",'NY Curve'!$A$4:$L$4,0)),IF(Tables!$E$30="Michigan",INDEX('Michigan Curve'!$A$4:$K$256,MATCH('Monthly Table'!B97,'Michigan Curve'!$A$4:$A$256,0),MATCH("Michigan Shoulder Hour Curve Mon-Fri",'Michigan Curve'!$A$4:$K$4,0))))</f>
        <v>26.46</v>
      </c>
      <c r="AR97" s="889" t="n">
        <f aca="false">AQ97*K97</f>
        <v>35.6920819180818</v>
      </c>
      <c r="AS97" s="893" t="n">
        <f aca="false">IF(AR97&gt;($CP97+$BF$4),1,0)</f>
        <v>0</v>
      </c>
      <c r="AT97" s="188"/>
      <c r="AU97" s="892" t="n">
        <f aca="false">IF(Tables!$E$30="New York",INDEX('NY Curve'!$A$4:$L$256,MATCH('Monthly Table'!$B97,'NY Curve'!$A$4:$A$256,0),MATCH("New York Saturday Super Peak",'NY Curve'!$A$4:$L$4,0)),IF(Tables!$E$30="Michigan",INDEX('Michigan Curve'!$A$4:$K$256,MATCH('Monthly Table'!$B97,'Michigan Curve'!$A$4:$A$256,0),MATCH("Michigan Saturday Super Peak",'Michigan Curve'!$A$4:$K$4,0))))</f>
        <v>20.4</v>
      </c>
      <c r="AV97" s="894" t="n">
        <f aca="false">AU97*K97</f>
        <v>27.5177048801537</v>
      </c>
      <c r="AW97" s="893" t="n">
        <f aca="false">IF(AV97&gt;($CP97+$BF$4),1,0)</f>
        <v>0</v>
      </c>
      <c r="AX97" s="892" t="n">
        <f aca="false">IF(Tables!$E$30="New York",INDEX('NY Curve'!$A$4:$L$256,MATCH('Monthly Table'!$B97,'NY Curve'!$A$4:$A$256,0),MATCH("New York Saturday Shoulder Peak",'NY Curve'!$A$4:$L$4,0)),IF(Tables!$E$30="Michigan",INDEX('Michigan Curve'!$A$4:$K$256,MATCH('Monthly Table'!$B97,'Michigan Curve'!$A$4:$A$256,0),MATCH("Michigan Saturday Shoulder Peak",'Michigan Curve'!$A$4:$K$4,0))))</f>
        <v>19.6</v>
      </c>
      <c r="AY97" s="895" t="n">
        <f aca="false">AX97*K97</f>
        <v>26.4385791985791</v>
      </c>
      <c r="AZ97" s="893" t="n">
        <f aca="false">IF(AY97&gt;($CP97+$BF$4),1,0)</f>
        <v>0</v>
      </c>
      <c r="BA97" s="188"/>
      <c r="BB97" s="892" t="n">
        <f aca="false">IF(Tables!$E$30="New York",INDEX('NY Curve'!$A$4:$M$256,MATCH('Monthly Table'!$B97,'NY Curve'!$A$4:$A$256,0),MATCH("NY Sunday Super Peak",'NY Curve'!$A$4:$M$4,0)),IF(Tables!$E$30="Michigan",INDEX('Michigan Curve'!$A$4:$L$256,MATCH('Monthly Table'!$B97,'Michigan Curve'!$A$4:$A$256,0),MATCH("Michigan Sunday Super Peak",'Michigan Curve'!$A$4:$L$4,0))))</f>
        <v>19.38</v>
      </c>
      <c r="BC97" s="894" t="n">
        <f aca="false">BB97*K97</f>
        <v>26.141819636146</v>
      </c>
      <c r="BD97" s="893" t="n">
        <f aca="false">IF(BC97&gt;($CP97+$BF$4),1,0)</f>
        <v>0</v>
      </c>
      <c r="BE97" s="188"/>
      <c r="BF97" s="896" t="n">
        <f aca="false">B97</f>
        <v>39508</v>
      </c>
      <c r="BG97" s="897" t="n">
        <f aca="false">IF($AN97=1,$E97*$BF$5,0)</f>
        <v>0</v>
      </c>
      <c r="BH97" s="976" t="n">
        <f aca="false">IF(Tables!$B$36="Combined Cycle",(BF97-BF96)*24*Assumptions!$B$21,0)</f>
        <v>0</v>
      </c>
      <c r="BI97" s="714" t="n">
        <f aca="false">IF($AN97=1,$E97*$BF$5,0)</f>
        <v>0</v>
      </c>
      <c r="BJ97" s="898" t="n">
        <f aca="false">IF('Monthly Table'!D97&lt;=Tables!$B$21,IF($BJ$10=$BG$10,BG97,IF($BJ$10=$BH$10,BH97,IF($BJ$10=$BI$10,BI97,0))),0)</f>
        <v>0</v>
      </c>
      <c r="BK97" s="288"/>
      <c r="BL97" s="898" t="n">
        <f aca="false">IF($AW97=1,$F97*$BF$5,0)</f>
        <v>0</v>
      </c>
      <c r="BM97" s="898" t="n">
        <f aca="false">IF($BD97=1,($G97+H97)*$BF$5,0)</f>
        <v>0</v>
      </c>
      <c r="BO97" s="898" t="n">
        <f aca="false">IF(AS97=1,BJ97,0)</f>
        <v>0</v>
      </c>
      <c r="BP97" s="898" t="n">
        <f aca="false">IF(AZ97=1,F97*$BF$5,0)</f>
        <v>0</v>
      </c>
      <c r="BR97" s="899" t="n">
        <f aca="false">IF(BJ97&gt;0,INDEX(OperationalDetail,MATCH("Capacity Degradation",ODColumn,0),MATCH('Monthly Table'!C97,ODRow,0)),0)</f>
        <v>0</v>
      </c>
      <c r="BS97" s="900" t="n">
        <f aca="false">BJ97*(1-BR97)*Tables!$C$36</f>
        <v>0</v>
      </c>
      <c r="BT97" s="883" t="n">
        <f aca="false">BS97*AL97/1000</f>
        <v>0</v>
      </c>
      <c r="BU97" s="883" t="n">
        <f aca="false">BT97*K97</f>
        <v>0</v>
      </c>
      <c r="BV97" s="188"/>
      <c r="BW97" s="901" t="n">
        <f aca="false">$BO97*(1-$BR97)*Tables!$C$36</f>
        <v>0</v>
      </c>
      <c r="BX97" s="902" t="n">
        <f aca="false">(BW97*AQ97)/1000</f>
        <v>0</v>
      </c>
      <c r="BY97" s="883" t="n">
        <f aca="false">BX97*K97</f>
        <v>0</v>
      </c>
      <c r="BZ97" s="188"/>
      <c r="CA97" s="901" t="n">
        <f aca="false">$BL97*(1-$BR97)*Tables!$C$36</f>
        <v>0</v>
      </c>
      <c r="CB97" s="902" t="n">
        <f aca="false">(CA97*AU97)/1000</f>
        <v>0</v>
      </c>
      <c r="CC97" s="883" t="n">
        <f aca="false">CB97*K97</f>
        <v>0</v>
      </c>
      <c r="CD97" s="901" t="n">
        <f aca="false">$BP97*(1-$BR97)*Tables!$C$36</f>
        <v>0</v>
      </c>
      <c r="CE97" s="902" t="n">
        <f aca="false">(CD97*AX97)/1000</f>
        <v>0</v>
      </c>
      <c r="CF97" s="883" t="n">
        <f aca="false">CE97*K97</f>
        <v>0</v>
      </c>
      <c r="CH97" s="901" t="n">
        <f aca="false">$BM97*(1-$BR97)*Tables!$C$36</f>
        <v>0</v>
      </c>
      <c r="CI97" s="902" t="n">
        <f aca="false">(CH97*BB97)/1000</f>
        <v>0</v>
      </c>
      <c r="CJ97" s="883" t="n">
        <f aca="false">CI97*K97</f>
        <v>0</v>
      </c>
      <c r="CK97" s="292"/>
      <c r="CL97" s="292" t="n">
        <f aca="false">C97-1</f>
        <v>2007</v>
      </c>
      <c r="CM97" s="903" t="n">
        <f aca="false">INDEX(OperationalDetail,MATCH("Degraded Heat Rate",ODColumn,0),MATCH('Monthly Table'!CL97,ODRow,0))/1000</f>
        <v>12.0166904</v>
      </c>
      <c r="CN97" s="904" t="n">
        <f aca="false">S97*CM97</f>
        <v>58.5766781476433</v>
      </c>
      <c r="CO97" s="905" t="n">
        <f aca="false">IF(A97="January",(CO96*(1+Assumptions!$E$32)),CO96)</f>
        <v>7.73711590016018</v>
      </c>
      <c r="CP97" s="906" t="n">
        <f aca="false">CN97+CO97</f>
        <v>66.3137940478035</v>
      </c>
      <c r="CQ97" s="292"/>
      <c r="CR97" s="856" t="str">
        <f aca="false">IF(BJ97=0,"",C97)</f>
        <v/>
      </c>
      <c r="CS97" s="856" t="str">
        <f aca="false">IF(BO97=0,"",$C97)</f>
        <v/>
      </c>
      <c r="CT97" s="856" t="str">
        <f aca="false">IF(BL97=0,"",$C97)</f>
        <v/>
      </c>
      <c r="CU97" s="856" t="str">
        <f aca="false">IF(BP97=0,"",$C97)</f>
        <v/>
      </c>
      <c r="CV97" s="856" t="str">
        <f aca="false">IF(BD97=0,"",$C97)</f>
        <v/>
      </c>
      <c r="CW97" s="907" t="n">
        <f aca="false">YEAR(BF97)</f>
        <v>2008</v>
      </c>
      <c r="CX97" s="908" t="n">
        <f aca="false">INDEX('NY Curve'!$A$4:$G$256,MATCH('Monthly Table'!B97,'NY Curve'!$A$4:$A$256,0),MATCH("New York 5 X 16",'NY Curve'!$A$4:$G$4,0))</f>
        <v>27.05</v>
      </c>
      <c r="CY97" s="909" t="n">
        <f aca="false">K97</f>
        <v>1.34890710196832</v>
      </c>
      <c r="CZ97" s="910" t="n">
        <f aca="false">CX97*CY97</f>
        <v>36.4879371082431</v>
      </c>
      <c r="DB97" s="911"/>
      <c r="DC97" s="911"/>
    </row>
    <row r="98" customFormat="false" ht="18.75" hidden="false" customHeight="true" outlineLevel="0" collapsed="false">
      <c r="A98" s="49" t="s">
        <v>813</v>
      </c>
      <c r="B98" s="863" t="n">
        <v>39539</v>
      </c>
      <c r="C98" s="288" t="n">
        <f aca="false">YEAR(B98)</f>
        <v>2008</v>
      </c>
      <c r="D98" s="864" t="n">
        <f aca="false">IF(A98="January",D97+1,D97)</f>
        <v>8</v>
      </c>
      <c r="E98" s="865" t="n">
        <v>22</v>
      </c>
      <c r="F98" s="866" t="n">
        <v>4</v>
      </c>
      <c r="G98" s="866" t="n">
        <v>4</v>
      </c>
      <c r="H98" s="866" t="n">
        <v>0</v>
      </c>
      <c r="I98" s="867" t="n">
        <f aca="false">SUM(E98:H98)</f>
        <v>30</v>
      </c>
      <c r="J98" s="868"/>
      <c r="K98" s="869" t="n">
        <f aca="false">INDEX(FX!$A$3:$C$362,MATCH(B98,FX!$A$3:$A$362,0),MATCH("Monthly Curve",FX!$A$2:$C$2,0))</f>
        <v>1.3480012222672</v>
      </c>
      <c r="L98" s="869"/>
      <c r="M98" s="914" t="n">
        <v>2.9305</v>
      </c>
      <c r="N98" s="915" t="n">
        <v>0.145</v>
      </c>
      <c r="O98" s="714" t="n">
        <v>0.05</v>
      </c>
      <c r="P98" s="872" t="n">
        <f aca="false">N98+O98</f>
        <v>0.195</v>
      </c>
      <c r="Q98" s="873" t="n">
        <f aca="false">SUM(M98:O98)</f>
        <v>3.1255</v>
      </c>
      <c r="R98" s="974" t="n">
        <f aca="false">IF(A98="January",(R97+R97*Assumptions!$E$32),R97)</f>
        <v>0.344979864786059</v>
      </c>
      <c r="S98" s="875" t="n">
        <f aca="false">(Q98*K98)+R98</f>
        <v>4.55815768498219</v>
      </c>
      <c r="T98" s="869"/>
      <c r="U98" s="984"/>
      <c r="V98" s="978"/>
      <c r="W98" s="978"/>
      <c r="X98" s="971"/>
      <c r="Y98" s="975" t="n">
        <f aca="false">Tables!$D$36</f>
        <v>312</v>
      </c>
      <c r="Z98" s="879" t="n">
        <f aca="false">IF($Z$10=$V$10,V98,IF($Z$10=$W$10,W98,IF($Z$10=$X$10,X98,0)))</f>
        <v>0</v>
      </c>
      <c r="AA98" s="880" t="n">
        <f aca="false">Y98*Z98</f>
        <v>0</v>
      </c>
      <c r="AB98" s="881" t="n">
        <f aca="false">AA98*K98</f>
        <v>0</v>
      </c>
      <c r="AC98" s="188"/>
      <c r="AD98" s="882" t="n">
        <f aca="false">IF(Tables!$E$30="Michigan",INDEX('Michigan Curve'!$A$4:$S$256,MATCH('Monthly Table'!B98,'Michigan Curve'!$A$4:$A$256,0),MATCH("Michigan Selected Option Value US$/month",'Michigan Curve'!$A$4:$S$4,0)),INDEX('NY Curve'!$A$4:$T$256,MATCH('Monthly Table'!B98,'NY Curve'!$A$4:$A$256,0),MATCH("New York Selected Option Value US$/month",'NY Curve'!$A$4:$T$4,0)))</f>
        <v>12942.5403421929</v>
      </c>
      <c r="AE98" s="883" t="n">
        <f aca="false">AD98*K98</f>
        <v>17446.5602005185</v>
      </c>
      <c r="AF98" s="188"/>
      <c r="AG98" s="884"/>
      <c r="AH98" s="188"/>
      <c r="AI98" s="885" t="n">
        <f aca="false">Assumptions!$B$50</f>
        <v>65</v>
      </c>
      <c r="AJ98" s="916"/>
      <c r="AK98" s="887" t="n">
        <f aca="false">IF(Tables!$E$30="Custom",'Monthly Table'!AI98,IF(Tables!$E$30="New York",INDEX('NY Curve'!$A$4:$G$256,MATCH('Monthly Table'!B98,'NY Curve'!$A$4:$A$256,0),MATCH("Super Peak Curve",'NY Curve'!$A$4:$G$4,0)),IF(Tables!$E$30="New York Flat",INDEX('NY Curve'!$A$4:$G$256,MATCH('Monthly Table'!B98,'NY Curve'!$A$4:$A$256,0),MATCH("Flat NY West",'NY Curve'!$A$4:$G$4,0)),INDEX('Michigan Curve'!$A$4:$F$256,MATCH('Monthly Table'!B98,'Michigan Curve'!$A$4:$A$256,0),MATCH("Michigan Super Peak Curve US$/MWhr",'Michigan Curve'!$A$4:$F$4,0)))))</f>
        <v>27.25</v>
      </c>
      <c r="AL98" s="888" t="n">
        <f aca="false">IF(D98&lt;=Tables!$B$21,IF($AL$10=$AI$10,AI98,IF($AL$10=$AJ$10,AJ98,IF($AL$10=$AK$10,AK98,0))),0)</f>
        <v>27.25</v>
      </c>
      <c r="AM98" s="889" t="n">
        <f aca="false">+AL98*K98</f>
        <v>36.7330333067812</v>
      </c>
      <c r="AN98" s="890" t="n">
        <f aca="false">IF((AL98*K98)&gt;(CP98+$BF$4),1,0)</f>
        <v>0</v>
      </c>
      <c r="AO98" s="891"/>
      <c r="AP98" s="894"/>
      <c r="AQ98" s="892" t="n">
        <f aca="false">IF(Tables!$E$30="New York",INDEX('NY Curve'!$A$4:$L$256,MATCH('Monthly Table'!B98,'NY Curve'!$A$4:$A$256,0),MATCH("New York Shoulder Hour Curve Mon-Fri",'NY Curve'!$A$4:$L$4,0)),IF(Tables!$E$30="Michigan",INDEX('Michigan Curve'!$A$4:$K$256,MATCH('Monthly Table'!B98,'Michigan Curve'!$A$4:$A$256,0),MATCH("Michigan Shoulder Hour Curve Mon-Fri",'Michigan Curve'!$A$4:$K$4,0))))</f>
        <v>27.25</v>
      </c>
      <c r="AR98" s="889" t="n">
        <f aca="false">AQ98*K98</f>
        <v>36.7330333067812</v>
      </c>
      <c r="AS98" s="893" t="n">
        <f aca="false">IF(AR98&gt;($CP98+$BF$4),1,0)</f>
        <v>0</v>
      </c>
      <c r="AT98" s="188"/>
      <c r="AU98" s="892" t="n">
        <f aca="false">IF(Tables!$E$30="New York",INDEX('NY Curve'!$A$4:$L$256,MATCH('Monthly Table'!$B98,'NY Curve'!$A$4:$A$256,0),MATCH("New York Saturday Super Peak",'NY Curve'!$A$4:$L$4,0)),IF(Tables!$E$30="Michigan",INDEX('Michigan Curve'!$A$4:$K$256,MATCH('Monthly Table'!$B98,'Michigan Curve'!$A$4:$A$256,0),MATCH("Michigan Saturday Super Peak",'Michigan Curve'!$A$4:$K$4,0))))</f>
        <v>20</v>
      </c>
      <c r="AV98" s="894" t="n">
        <f aca="false">AU98*K98</f>
        <v>26.960024445344</v>
      </c>
      <c r="AW98" s="893" t="n">
        <f aca="false">IF(AV98&gt;($CP98+$BF$4),1,0)</f>
        <v>0</v>
      </c>
      <c r="AX98" s="892" t="n">
        <f aca="false">IF(Tables!$E$30="New York",INDEX('NY Curve'!$A$4:$L$256,MATCH('Monthly Table'!$B98,'NY Curve'!$A$4:$A$256,0),MATCH("New York Saturday Shoulder Peak",'NY Curve'!$A$4:$L$4,0)),IF(Tables!$E$30="Michigan",INDEX('Michigan Curve'!$A$4:$K$256,MATCH('Monthly Table'!$B98,'Michigan Curve'!$A$4:$A$256,0),MATCH("Michigan Saturday Shoulder Peak",'Michigan Curve'!$A$4:$K$4,0))))</f>
        <v>20</v>
      </c>
      <c r="AY98" s="895" t="n">
        <f aca="false">AX98*K98</f>
        <v>26.960024445344</v>
      </c>
      <c r="AZ98" s="893" t="n">
        <f aca="false">IF(AY98&gt;($CP98+$BF$4),1,0)</f>
        <v>0</v>
      </c>
      <c r="BA98" s="188"/>
      <c r="BB98" s="892" t="n">
        <f aca="false">IF(Tables!$E$30="New York",INDEX('NY Curve'!$A$4:$M$256,MATCH('Monthly Table'!$B98,'NY Curve'!$A$4:$A$256,0),MATCH("NY Sunday Super Peak",'NY Curve'!$A$4:$M$4,0)),IF(Tables!$E$30="Michigan",INDEX('Michigan Curve'!$A$4:$L$256,MATCH('Monthly Table'!$B98,'Michigan Curve'!$A$4:$A$256,0),MATCH("Michigan Sunday Super Peak",'Michigan Curve'!$A$4:$L$4,0))))</f>
        <v>18.9950008392334</v>
      </c>
      <c r="BC98" s="894" t="n">
        <f aca="false">BB98*K98</f>
        <v>25.6052843482531</v>
      </c>
      <c r="BD98" s="893" t="n">
        <f aca="false">IF(BC98&gt;($CP98+$BF$4),1,0)</f>
        <v>0</v>
      </c>
      <c r="BE98" s="188"/>
      <c r="BF98" s="896" t="n">
        <f aca="false">B98</f>
        <v>39539</v>
      </c>
      <c r="BG98" s="897" t="n">
        <f aca="false">IF($AN98=1,$E98*$BF$5,0)</f>
        <v>0</v>
      </c>
      <c r="BH98" s="976" t="n">
        <f aca="false">IF(Tables!$B$36="Combined Cycle",(BF98-BF97)*24*Assumptions!$B$21,0)</f>
        <v>0</v>
      </c>
      <c r="BI98" s="714" t="n">
        <f aca="false">IF($AN98=1,$E98*$BF$5,0)</f>
        <v>0</v>
      </c>
      <c r="BJ98" s="898" t="n">
        <f aca="false">IF('Monthly Table'!D98&lt;=Tables!$B$21,IF($BJ$10=$BG$10,BG98,IF($BJ$10=$BH$10,BH98,IF($BJ$10=$BI$10,BI98,0))),0)</f>
        <v>0</v>
      </c>
      <c r="BK98" s="288"/>
      <c r="BL98" s="898" t="n">
        <f aca="false">IF($AW98=1,$F98*$BF$5,0)</f>
        <v>0</v>
      </c>
      <c r="BM98" s="898" t="n">
        <f aca="false">IF($BD98=1,($G98+H98)*$BF$5,0)</f>
        <v>0</v>
      </c>
      <c r="BO98" s="898" t="n">
        <f aca="false">IF(AS98=1,BJ98,0)</f>
        <v>0</v>
      </c>
      <c r="BP98" s="898" t="n">
        <f aca="false">IF(AZ98=1,F98*$BF$5,0)</f>
        <v>0</v>
      </c>
      <c r="BR98" s="899" t="n">
        <f aca="false">IF(BJ98&gt;0,INDEX(OperationalDetail,MATCH("Capacity Degradation",ODColumn,0),MATCH('Monthly Table'!C98,ODRow,0)),0)</f>
        <v>0</v>
      </c>
      <c r="BS98" s="900" t="n">
        <f aca="false">BJ98*(1-BR98)*Tables!$C$36</f>
        <v>0</v>
      </c>
      <c r="BT98" s="883" t="n">
        <f aca="false">BS98*AL98/1000</f>
        <v>0</v>
      </c>
      <c r="BU98" s="883" t="n">
        <f aca="false">BT98*K98</f>
        <v>0</v>
      </c>
      <c r="BV98" s="188"/>
      <c r="BW98" s="901" t="n">
        <f aca="false">$BO98*(1-$BR98)*Tables!$C$36</f>
        <v>0</v>
      </c>
      <c r="BX98" s="902" t="n">
        <f aca="false">(BW98*AQ98)/1000</f>
        <v>0</v>
      </c>
      <c r="BY98" s="883" t="n">
        <f aca="false">BX98*K98</f>
        <v>0</v>
      </c>
      <c r="BZ98" s="188"/>
      <c r="CA98" s="901" t="n">
        <f aca="false">$BL98*(1-$BR98)*Tables!$C$36</f>
        <v>0</v>
      </c>
      <c r="CB98" s="902" t="n">
        <f aca="false">(CA98*AU98)/1000</f>
        <v>0</v>
      </c>
      <c r="CC98" s="883" t="n">
        <f aca="false">CB98*K98</f>
        <v>0</v>
      </c>
      <c r="CD98" s="901" t="n">
        <f aca="false">$BP98*(1-$BR98)*Tables!$C$36</f>
        <v>0</v>
      </c>
      <c r="CE98" s="902" t="n">
        <f aca="false">(CD98*AX98)/1000</f>
        <v>0</v>
      </c>
      <c r="CF98" s="883" t="n">
        <f aca="false">CE98*K98</f>
        <v>0</v>
      </c>
      <c r="CH98" s="901" t="n">
        <f aca="false">$BM98*(1-$BR98)*Tables!$C$36</f>
        <v>0</v>
      </c>
      <c r="CI98" s="902" t="n">
        <f aca="false">(CH98*BB98)/1000</f>
        <v>0</v>
      </c>
      <c r="CJ98" s="883" t="n">
        <f aca="false">CI98*K98</f>
        <v>0</v>
      </c>
      <c r="CK98" s="292"/>
      <c r="CL98" s="292" t="n">
        <f aca="false">C98-1</f>
        <v>2007</v>
      </c>
      <c r="CM98" s="903" t="n">
        <f aca="false">INDEX(OperationalDetail,MATCH("Degraded Heat Rate",ODColumn,0),MATCH('Monthly Table'!CL98,ODRow,0))/1000</f>
        <v>12.0166904</v>
      </c>
      <c r="CN98" s="904" t="n">
        <f aca="false">S98*CM98</f>
        <v>54.7739696948118</v>
      </c>
      <c r="CO98" s="905" t="n">
        <f aca="false">IF(A98="January",(CO97*(1+Assumptions!$E$32)),CO97)</f>
        <v>7.73711590016018</v>
      </c>
      <c r="CP98" s="906" t="n">
        <f aca="false">CN98+CO98</f>
        <v>62.5110855949719</v>
      </c>
      <c r="CQ98" s="292"/>
      <c r="CR98" s="856" t="str">
        <f aca="false">IF(BJ98=0,"",C98)</f>
        <v/>
      </c>
      <c r="CS98" s="856" t="str">
        <f aca="false">IF(BO98=0,"",$C98)</f>
        <v/>
      </c>
      <c r="CT98" s="856" t="str">
        <f aca="false">IF(BL98=0,"",$C98)</f>
        <v/>
      </c>
      <c r="CU98" s="856" t="str">
        <f aca="false">IF(BP98=0,"",$C98)</f>
        <v/>
      </c>
      <c r="CV98" s="856" t="str">
        <f aca="false">IF(BD98=0,"",$C98)</f>
        <v/>
      </c>
      <c r="CW98" s="907" t="n">
        <f aca="false">YEAR(BF98)</f>
        <v>2008</v>
      </c>
      <c r="CX98" s="908" t="n">
        <f aca="false">INDEX('NY Curve'!$A$4:$G$256,MATCH('Monthly Table'!B98,'NY Curve'!$A$4:$A$256,0),MATCH("New York 5 X 16",'NY Curve'!$A$4:$G$4,0))</f>
        <v>25.8</v>
      </c>
      <c r="CY98" s="909" t="n">
        <f aca="false">K98</f>
        <v>1.3480012222672</v>
      </c>
      <c r="CZ98" s="910" t="n">
        <f aca="false">CX98*CY98</f>
        <v>34.7784315344938</v>
      </c>
      <c r="DB98" s="911"/>
      <c r="DC98" s="911"/>
    </row>
    <row r="99" customFormat="false" ht="18.75" hidden="false" customHeight="true" outlineLevel="0" collapsed="false">
      <c r="A99" s="49" t="s">
        <v>814</v>
      </c>
      <c r="B99" s="863" t="n">
        <v>39569</v>
      </c>
      <c r="C99" s="288" t="n">
        <f aca="false">YEAR(B99)</f>
        <v>2008</v>
      </c>
      <c r="D99" s="864" t="n">
        <f aca="false">IF(A99="January",D98+1,D98)</f>
        <v>8</v>
      </c>
      <c r="E99" s="865" t="n">
        <v>21</v>
      </c>
      <c r="F99" s="866" t="n">
        <v>5</v>
      </c>
      <c r="G99" s="866" t="n">
        <v>4</v>
      </c>
      <c r="H99" s="866" t="n">
        <v>1</v>
      </c>
      <c r="I99" s="867" t="n">
        <f aca="false">SUM(E99:H99)</f>
        <v>31</v>
      </c>
      <c r="J99" s="868"/>
      <c r="K99" s="869" t="n">
        <f aca="false">INDEX(FX!$A$3:$C$362,MATCH(B99,FX!$A$3:$A$362,0),MATCH("Monthly Curve",FX!$A$2:$C$2,0))</f>
        <v>1.34712849770293</v>
      </c>
      <c r="L99" s="869"/>
      <c r="M99" s="914" t="n">
        <v>2.9045</v>
      </c>
      <c r="N99" s="915" t="n">
        <v>0.145</v>
      </c>
      <c r="O99" s="714" t="n">
        <v>0.05</v>
      </c>
      <c r="P99" s="872" t="n">
        <f aca="false">N99+O99</f>
        <v>0.195</v>
      </c>
      <c r="Q99" s="873" t="n">
        <f aca="false">SUM(M99:O99)</f>
        <v>3.0995</v>
      </c>
      <c r="R99" s="974" t="n">
        <f aca="false">IF(A99="January",(R98+R98*Assumptions!$E$32),R98)</f>
        <v>0.344979864786059</v>
      </c>
      <c r="S99" s="875" t="n">
        <f aca="false">(Q99*K99)+R99</f>
        <v>4.52040464341629</v>
      </c>
      <c r="T99" s="869"/>
      <c r="U99" s="984"/>
      <c r="V99" s="978"/>
      <c r="W99" s="978"/>
      <c r="X99" s="971"/>
      <c r="Y99" s="975" t="n">
        <f aca="false">Tables!$D$36</f>
        <v>312</v>
      </c>
      <c r="Z99" s="879" t="n">
        <f aca="false">IF($Z$10=$V$10,V99,IF($Z$10=$W$10,W99,IF($Z$10=$X$10,X99,0)))</f>
        <v>0</v>
      </c>
      <c r="AA99" s="880" t="n">
        <f aca="false">Y99*Z99</f>
        <v>0</v>
      </c>
      <c r="AB99" s="881" t="n">
        <f aca="false">AA99*K99</f>
        <v>0</v>
      </c>
      <c r="AC99" s="188"/>
      <c r="AD99" s="882" t="n">
        <f aca="false">IF(Tables!$E$30="Michigan",INDEX('Michigan Curve'!$A$4:$S$256,MATCH('Monthly Table'!B99,'Michigan Curve'!$A$4:$A$256,0),MATCH("Michigan Selected Option Value US$/month",'Michigan Curve'!$A$4:$S$4,0)),INDEX('NY Curve'!$A$4:$T$256,MATCH('Monthly Table'!B99,'NY Curve'!$A$4:$A$256,0),MATCH("New York Selected Option Value US$/month",'NY Curve'!$A$4:$T$4,0)))</f>
        <v>32329.5035669469</v>
      </c>
      <c r="AE99" s="883" t="n">
        <f aca="false">AD99*K99</f>
        <v>43551.9955716227</v>
      </c>
      <c r="AF99" s="188"/>
      <c r="AG99" s="884"/>
      <c r="AH99" s="188"/>
      <c r="AI99" s="885" t="n">
        <f aca="false">Assumptions!$B$50</f>
        <v>65</v>
      </c>
      <c r="AJ99" s="916"/>
      <c r="AK99" s="887" t="n">
        <f aca="false">IF(Tables!$E$30="Custom",'Monthly Table'!AI99,IF(Tables!$E$30="New York",INDEX('NY Curve'!$A$4:$G$256,MATCH('Monthly Table'!B99,'NY Curve'!$A$4:$A$256,0),MATCH("Super Peak Curve",'NY Curve'!$A$4:$G$4,0)),IF(Tables!$E$30="New York Flat",INDEX('NY Curve'!$A$4:$G$256,MATCH('Monthly Table'!B99,'NY Curve'!$A$4:$A$256,0),MATCH("Flat NY West",'NY Curve'!$A$4:$G$4,0)),INDEX('Michigan Curve'!$A$4:$F$256,MATCH('Monthly Table'!B99,'Michigan Curve'!$A$4:$A$256,0),MATCH("Michigan Super Peak Curve US$/MWhr",'Michigan Curve'!$A$4:$F$4,0)))))</f>
        <v>33.3637500554323</v>
      </c>
      <c r="AL99" s="888" t="n">
        <f aca="false">IF(D99&lt;=Tables!$B$21,IF($AL$10=$AI$10,AI99,IF($AL$10=$AJ$10,AJ99,IF($AL$10=$AK$10,AK99,0))),0)</f>
        <v>33.3637500554323</v>
      </c>
      <c r="AM99" s="889" t="n">
        <f aca="false">+AL99*K99</f>
        <v>44.9452584899106</v>
      </c>
      <c r="AN99" s="890" t="n">
        <f aca="false">IF((AL99*K99)&gt;(CP99+$BF$4),1,0)</f>
        <v>0</v>
      </c>
      <c r="AO99" s="891"/>
      <c r="AP99" s="894"/>
      <c r="AQ99" s="892" t="n">
        <f aca="false">IF(Tables!$E$30="New York",INDEX('NY Curve'!$A$4:$L$256,MATCH('Monthly Table'!B99,'NY Curve'!$A$4:$A$256,0),MATCH("New York Shoulder Hour Curve Mon-Fri",'NY Curve'!$A$4:$L$4,0)),IF(Tables!$E$30="Michigan",INDEX('Michigan Curve'!$A$4:$K$256,MATCH('Monthly Table'!B99,'Michigan Curve'!$A$4:$A$256,0),MATCH("Michigan Shoulder Hour Curve Mon-Fri",'Michigan Curve'!$A$4:$K$4,0))))</f>
        <v>28.6362499445677</v>
      </c>
      <c r="AR99" s="889" t="n">
        <f aca="false">AQ99*K99</f>
        <v>38.5767083676711</v>
      </c>
      <c r="AS99" s="893" t="n">
        <f aca="false">IF(AR99&gt;($CP99+$BF$4),1,0)</f>
        <v>0</v>
      </c>
      <c r="AT99" s="188"/>
      <c r="AU99" s="892" t="n">
        <f aca="false">IF(Tables!$E$30="New York",INDEX('NY Curve'!$A$4:$L$256,MATCH('Monthly Table'!$B99,'NY Curve'!$A$4:$A$256,0),MATCH("New York Saturday Super Peak",'NY Curve'!$A$4:$L$4,0)),IF(Tables!$E$30="Michigan",INDEX('Michigan Curve'!$A$4:$K$256,MATCH('Monthly Table'!$B99,'Michigan Curve'!$A$4:$A$256,0),MATCH("Michigan Saturday Super Peak",'Michigan Curve'!$A$4:$K$4,0))))</f>
        <v>22.6012500375509</v>
      </c>
      <c r="AV99" s="894" t="n">
        <f aca="false">AU99*K99</f>
        <v>30.4467880092943</v>
      </c>
      <c r="AW99" s="893" t="n">
        <f aca="false">IF(AV99&gt;($CP99+$BF$4),1,0)</f>
        <v>0</v>
      </c>
      <c r="AX99" s="892" t="n">
        <f aca="false">IF(Tables!$E$30="New York",INDEX('NY Curve'!$A$4:$L$256,MATCH('Monthly Table'!$B99,'NY Curve'!$A$4:$A$256,0),MATCH("New York Saturday Shoulder Peak",'NY Curve'!$A$4:$L$4,0)),IF(Tables!$E$30="Michigan",INDEX('Michigan Curve'!$A$4:$K$256,MATCH('Monthly Table'!$B99,'Michigan Curve'!$A$4:$A$256,0),MATCH("Michigan Saturday Shoulder Peak",'Michigan Curve'!$A$4:$K$4,0))))</f>
        <v>19.3987499624491</v>
      </c>
      <c r="AY99" s="895" t="n">
        <f aca="false">AX99*K99</f>
        <v>26.1326088942288</v>
      </c>
      <c r="AZ99" s="893" t="n">
        <f aca="false">IF(AY99&gt;($CP99+$BF$4),1,0)</f>
        <v>0</v>
      </c>
      <c r="BA99" s="188"/>
      <c r="BB99" s="892" t="n">
        <f aca="false">IF(Tables!$E$30="New York",INDEX('NY Curve'!$A$4:$M$256,MATCH('Monthly Table'!$B99,'NY Curve'!$A$4:$A$256,0),MATCH("NY Sunday Super Peak",'NY Curve'!$A$4:$M$4,0)),IF(Tables!$E$30="Michigan",INDEX('Michigan Curve'!$A$4:$L$256,MATCH('Monthly Table'!$B99,'Michigan Curve'!$A$4:$A$256,0),MATCH("Michigan Sunday Super Peak",'Michigan Curve'!$A$4:$L$4,0))))</f>
        <v>21.5303803825468</v>
      </c>
      <c r="BC99" s="894" t="n">
        <f aca="false">BB99*K99</f>
        <v>29.0041889797129</v>
      </c>
      <c r="BD99" s="893" t="n">
        <f aca="false">IF(BC99&gt;($CP99+$BF$4),1,0)</f>
        <v>0</v>
      </c>
      <c r="BE99" s="188"/>
      <c r="BF99" s="896" t="n">
        <f aca="false">B99</f>
        <v>39569</v>
      </c>
      <c r="BG99" s="897" t="n">
        <f aca="false">IF($AN99=1,$E99*$BF$5,0)</f>
        <v>0</v>
      </c>
      <c r="BH99" s="976" t="n">
        <f aca="false">IF(Tables!$B$36="Combined Cycle",(BF99-BF98)*24*Assumptions!$B$21,0)</f>
        <v>0</v>
      </c>
      <c r="BI99" s="714" t="n">
        <f aca="false">IF($AN99=1,$E99*$BF$5,0)</f>
        <v>0</v>
      </c>
      <c r="BJ99" s="898" t="n">
        <f aca="false">IF('Monthly Table'!D99&lt;=Tables!$B$21,IF($BJ$10=$BG$10,BG99,IF($BJ$10=$BH$10,BH99,IF($BJ$10=$BI$10,BI99,0))),0)</f>
        <v>0</v>
      </c>
      <c r="BK99" s="288"/>
      <c r="BL99" s="898" t="n">
        <f aca="false">IF($AW99=1,$F99*$BF$5,0)</f>
        <v>0</v>
      </c>
      <c r="BM99" s="898" t="n">
        <f aca="false">IF($BD99=1,($G99+H99)*$BF$5,0)</f>
        <v>0</v>
      </c>
      <c r="BO99" s="898" t="n">
        <f aca="false">IF(AS99=1,BJ99,0)</f>
        <v>0</v>
      </c>
      <c r="BP99" s="898" t="n">
        <f aca="false">IF(AZ99=1,F99*$BF$5,0)</f>
        <v>0</v>
      </c>
      <c r="BR99" s="899" t="n">
        <f aca="false">IF(BJ99&gt;0,INDEX(OperationalDetail,MATCH("Capacity Degradation",ODColumn,0),MATCH('Monthly Table'!C99,ODRow,0)),0)</f>
        <v>0</v>
      </c>
      <c r="BS99" s="900" t="n">
        <f aca="false">BJ99*(1-BR99)*Tables!$C$36</f>
        <v>0</v>
      </c>
      <c r="BT99" s="883" t="n">
        <f aca="false">BS99*AL99/1000</f>
        <v>0</v>
      </c>
      <c r="BU99" s="883" t="n">
        <f aca="false">BT99*K99</f>
        <v>0</v>
      </c>
      <c r="BV99" s="188"/>
      <c r="BW99" s="901" t="n">
        <f aca="false">$BO99*(1-$BR99)*Tables!$C$36</f>
        <v>0</v>
      </c>
      <c r="BX99" s="902" t="n">
        <f aca="false">(BW99*AQ99)/1000</f>
        <v>0</v>
      </c>
      <c r="BY99" s="883" t="n">
        <f aca="false">BX99*K99</f>
        <v>0</v>
      </c>
      <c r="BZ99" s="188"/>
      <c r="CA99" s="901" t="n">
        <f aca="false">$BL99*(1-$BR99)*Tables!$C$36</f>
        <v>0</v>
      </c>
      <c r="CB99" s="902" t="n">
        <f aca="false">(CA99*AU99)/1000</f>
        <v>0</v>
      </c>
      <c r="CC99" s="883" t="n">
        <f aca="false">CB99*K99</f>
        <v>0</v>
      </c>
      <c r="CD99" s="901" t="n">
        <f aca="false">$BP99*(1-$BR99)*Tables!$C$36</f>
        <v>0</v>
      </c>
      <c r="CE99" s="902" t="n">
        <f aca="false">(CD99*AX99)/1000</f>
        <v>0</v>
      </c>
      <c r="CF99" s="883" t="n">
        <f aca="false">CE99*K99</f>
        <v>0</v>
      </c>
      <c r="CH99" s="901" t="n">
        <f aca="false">$BM99*(1-$BR99)*Tables!$C$36</f>
        <v>0</v>
      </c>
      <c r="CI99" s="902" t="n">
        <f aca="false">(CH99*BB99)/1000</f>
        <v>0</v>
      </c>
      <c r="CJ99" s="883" t="n">
        <f aca="false">CI99*K99</f>
        <v>0</v>
      </c>
      <c r="CK99" s="292"/>
      <c r="CL99" s="292" t="n">
        <f aca="false">C99-1</f>
        <v>2007</v>
      </c>
      <c r="CM99" s="903" t="n">
        <f aca="false">INDEX(OperationalDetail,MATCH("Degraded Heat Rate",ODColumn,0),MATCH('Monthly Table'!CL99,ODRow,0))/1000</f>
        <v>12.0166904</v>
      </c>
      <c r="CN99" s="904" t="n">
        <f aca="false">S99*CM99</f>
        <v>54.320303082656</v>
      </c>
      <c r="CO99" s="905" t="n">
        <f aca="false">IF(A99="January",(CO98*(1+Assumptions!$E$32)),CO98)</f>
        <v>7.73711590016018</v>
      </c>
      <c r="CP99" s="906" t="n">
        <f aca="false">CN99+CO99</f>
        <v>62.0574189828162</v>
      </c>
      <c r="CQ99" s="292"/>
      <c r="CR99" s="856" t="str">
        <f aca="false">IF(BJ99=0,"",C99)</f>
        <v/>
      </c>
      <c r="CS99" s="856" t="str">
        <f aca="false">IF(BO99=0,"",$C99)</f>
        <v/>
      </c>
      <c r="CT99" s="856" t="str">
        <f aca="false">IF(BL99=0,"",$C99)</f>
        <v/>
      </c>
      <c r="CU99" s="856" t="str">
        <f aca="false">IF(BP99=0,"",$C99)</f>
        <v/>
      </c>
      <c r="CV99" s="856" t="str">
        <f aca="false">IF(BD99=0,"",$C99)</f>
        <v/>
      </c>
      <c r="CW99" s="907" t="n">
        <f aca="false">YEAR(BF99)</f>
        <v>2008</v>
      </c>
      <c r="CX99" s="908" t="n">
        <f aca="false">INDEX('NY Curve'!$A$4:$G$256,MATCH('Monthly Table'!B99,'NY Curve'!$A$4:$A$256,0),MATCH("New York 5 X 16",'NY Curve'!$A$4:$G$4,0))</f>
        <v>30.05</v>
      </c>
      <c r="CY99" s="909" t="n">
        <f aca="false">K99</f>
        <v>1.34712849770293</v>
      </c>
      <c r="CZ99" s="910" t="n">
        <f aca="false">CX99*CY99</f>
        <v>40.4812113559731</v>
      </c>
      <c r="DB99" s="911"/>
      <c r="DC99" s="911"/>
    </row>
    <row r="100" customFormat="false" ht="18.75" hidden="false" customHeight="true" outlineLevel="0" collapsed="false">
      <c r="A100" s="49" t="s">
        <v>815</v>
      </c>
      <c r="B100" s="863" t="n">
        <v>39600</v>
      </c>
      <c r="C100" s="288" t="n">
        <f aca="false">YEAR(B100)</f>
        <v>2008</v>
      </c>
      <c r="D100" s="864" t="n">
        <f aca="false">IF(A100="January",D99+1,D99)</f>
        <v>8</v>
      </c>
      <c r="E100" s="865" t="n">
        <v>21</v>
      </c>
      <c r="F100" s="866" t="n">
        <v>4</v>
      </c>
      <c r="G100" s="866" t="n">
        <v>5</v>
      </c>
      <c r="H100" s="866" t="n">
        <v>0</v>
      </c>
      <c r="I100" s="867" t="n">
        <f aca="false">SUM(E100:H100)</f>
        <v>30</v>
      </c>
      <c r="J100" s="868"/>
      <c r="K100" s="869" t="n">
        <f aca="false">INDEX(FX!$A$3:$C$362,MATCH(B100,FX!$A$3:$A$362,0),MATCH("Monthly Curve",FX!$A$2:$C$2,0))</f>
        <v>1.34623073930033</v>
      </c>
      <c r="L100" s="869"/>
      <c r="M100" s="914" t="n">
        <v>2.9135</v>
      </c>
      <c r="N100" s="915" t="n">
        <v>0.145</v>
      </c>
      <c r="O100" s="714" t="n">
        <v>0.05</v>
      </c>
      <c r="P100" s="872" t="n">
        <f aca="false">N100+O100</f>
        <v>0.195</v>
      </c>
      <c r="Q100" s="873" t="n">
        <f aca="false">SUM(M100:O100)</f>
        <v>3.1085</v>
      </c>
      <c r="R100" s="974" t="n">
        <f aca="false">IF(A100="January",(R99+R99*Assumptions!$E$32),R99)</f>
        <v>0.344979864786059</v>
      </c>
      <c r="S100" s="875" t="n">
        <f aca="false">(Q100*K100)+R100</f>
        <v>4.52973811790114</v>
      </c>
      <c r="T100" s="869"/>
      <c r="U100" s="983"/>
      <c r="V100" s="985"/>
      <c r="W100" s="985"/>
      <c r="X100" s="973"/>
      <c r="Y100" s="975" t="n">
        <f aca="false">Tables!$D$36</f>
        <v>312</v>
      </c>
      <c r="Z100" s="879" t="n">
        <f aca="false">IF($Z$10=$V$10,V100,IF($Z$10=$W$10,W100,IF($Z$10=$X$10,X100,0)))</f>
        <v>0</v>
      </c>
      <c r="AA100" s="880" t="n">
        <f aca="false">Y100*Z100</f>
        <v>0</v>
      </c>
      <c r="AB100" s="881" t="n">
        <f aca="false">AA100*K100</f>
        <v>0</v>
      </c>
      <c r="AC100" s="188"/>
      <c r="AD100" s="882" t="n">
        <f aca="false">IF(Tables!$E$30="Michigan",INDEX('Michigan Curve'!$A$4:$S$256,MATCH('Monthly Table'!B100,'Michigan Curve'!$A$4:$A$256,0),MATCH("Michigan Selected Option Value US$/month",'Michigan Curve'!$A$4:$S$4,0)),INDEX('NY Curve'!$A$4:$T$256,MATCH('Monthly Table'!B100,'NY Curve'!$A$4:$A$256,0),MATCH("New York Selected Option Value US$/month",'NY Curve'!$A$4:$T$4,0)))</f>
        <v>121409.182297031</v>
      </c>
      <c r="AE100" s="883" t="n">
        <f aca="false">AD100*K100</f>
        <v>163444.773241581</v>
      </c>
      <c r="AF100" s="188"/>
      <c r="AG100" s="884"/>
      <c r="AH100" s="188"/>
      <c r="AI100" s="885" t="n">
        <f aca="false">Assumptions!$B$50</f>
        <v>65</v>
      </c>
      <c r="AJ100" s="916"/>
      <c r="AK100" s="887" t="n">
        <f aca="false">IF(Tables!$E$30="Custom",'Monthly Table'!AI100,IF(Tables!$E$30="New York",INDEX('NY Curve'!$A$4:$G$256,MATCH('Monthly Table'!B100,'NY Curve'!$A$4:$A$256,0),MATCH("Super Peak Curve",'NY Curve'!$A$4:$G$4,0)),IF(Tables!$E$30="New York Flat",INDEX('NY Curve'!$A$4:$G$256,MATCH('Monthly Table'!B100,'NY Curve'!$A$4:$A$256,0),MATCH("Flat NY West",'NY Curve'!$A$4:$G$4,0)),INDEX('Michigan Curve'!$A$4:$F$256,MATCH('Monthly Table'!B100,'Michigan Curve'!$A$4:$A$256,0),MATCH("Michigan Super Peak Curve US$/MWhr",'Michigan Curve'!$A$4:$F$4,0)))))</f>
        <v>76.2698023375832</v>
      </c>
      <c r="AL100" s="888" t="n">
        <f aca="false">IF(D100&lt;=Tables!$B$21,IF($AL$10=$AI$10,AI100,IF($AL$10=$AJ$10,AJ100,IF($AL$10=$AK$10,AK100,0))),0)</f>
        <v>76.2698023375832</v>
      </c>
      <c r="AM100" s="889" t="n">
        <f aca="false">+AL100*K100</f>
        <v>102.676752387215</v>
      </c>
      <c r="AN100" s="890" t="n">
        <f aca="false">IF((AL100*K100)&gt;(CP100+$BF$4),1,0)</f>
        <v>1</v>
      </c>
      <c r="AO100" s="891"/>
      <c r="AP100" s="894"/>
      <c r="AQ100" s="892" t="n">
        <f aca="false">IF(Tables!$E$30="New York",INDEX('NY Curve'!$A$4:$L$256,MATCH('Monthly Table'!B100,'NY Curve'!$A$4:$A$256,0),MATCH("New York Shoulder Hour Curve Mon-Fri",'NY Curve'!$A$4:$L$4,0)),IF(Tables!$E$30="Michigan",INDEX('Michigan Curve'!$A$4:$K$256,MATCH('Monthly Table'!B100,'Michigan Curve'!$A$4:$A$256,0),MATCH("Michigan Shoulder Hour Curve Mon-Fri",'Michigan Curve'!$A$4:$K$4,0))))</f>
        <v>22.2301976624168</v>
      </c>
      <c r="AR100" s="889" t="n">
        <f aca="false">AQ100*K100</f>
        <v>29.9269754338679</v>
      </c>
      <c r="AS100" s="893" t="n">
        <f aca="false">IF(AR100&gt;($CP100+$BF$4),1,0)</f>
        <v>0</v>
      </c>
      <c r="AT100" s="188"/>
      <c r="AU100" s="892" t="n">
        <f aca="false">IF(Tables!$E$30="New York",INDEX('NY Curve'!$A$4:$L$256,MATCH('Monthly Table'!$B100,'NY Curve'!$A$4:$A$256,0),MATCH("New York Saturday Super Peak",'NY Curve'!$A$4:$L$4,0)),IF(Tables!$E$30="Michigan",INDEX('Michigan Curve'!$A$4:$K$256,MATCH('Monthly Table'!$B100,'Michigan Curve'!$A$4:$A$256,0),MATCH("Michigan Saturday Super Peak",'Michigan Curve'!$A$4:$K$4,0))))</f>
        <v>40.2642611325312</v>
      </c>
      <c r="AV100" s="894" t="n">
        <f aca="false">AU100*K100</f>
        <v>54.204986031829</v>
      </c>
      <c r="AW100" s="893" t="n">
        <f aca="false">IF(AV100&gt;($CP100+$BF$4),1,0)</f>
        <v>0</v>
      </c>
      <c r="AX100" s="892" t="n">
        <f aca="false">IF(Tables!$E$30="New York",INDEX('NY Curve'!$A$4:$L$256,MATCH('Monthly Table'!$B100,'NY Curve'!$A$4:$A$256,0),MATCH("New York Saturday Shoulder Peak",'NY Curve'!$A$4:$L$4,0)),IF(Tables!$E$30="Michigan",INDEX('Michigan Curve'!$A$4:$K$256,MATCH('Monthly Table'!$B100,'Michigan Curve'!$A$4:$A$256,0),MATCH("Michigan Saturday Shoulder Peak",'Michigan Curve'!$A$4:$K$4,0))))</f>
        <v>11.7357388674688</v>
      </c>
      <c r="AY100" s="895" t="n">
        <f aca="false">AX100*K100</f>
        <v>15.7990124117881</v>
      </c>
      <c r="AZ100" s="893" t="n">
        <f aca="false">IF(AY100&gt;($CP100+$BF$4),1,0)</f>
        <v>0</v>
      </c>
      <c r="BA100" s="188"/>
      <c r="BB100" s="892" t="n">
        <f aca="false">IF(Tables!$E$30="New York",INDEX('NY Curve'!$A$4:$M$256,MATCH('Monthly Table'!$B100,'NY Curve'!$A$4:$A$256,0),MATCH("NY Sunday Super Peak",'NY Curve'!$A$4:$M$4,0)),IF(Tables!$E$30="Michigan",INDEX('Michigan Curve'!$A$4:$L$256,MATCH('Monthly Table'!$B100,'Michigan Curve'!$A$4:$A$256,0),MATCH("Michigan Sunday Super Peak",'Michigan Curve'!$A$4:$L$4,0))))</f>
        <v>37.1670102761827</v>
      </c>
      <c r="BC100" s="894" t="n">
        <f aca="false">BB100*K100</f>
        <v>50.0353717216884</v>
      </c>
      <c r="BD100" s="893" t="n">
        <f aca="false">IF(BC100&gt;($CP100+$BF$4),1,0)</f>
        <v>0</v>
      </c>
      <c r="BE100" s="188"/>
      <c r="BF100" s="896" t="n">
        <f aca="false">B100</f>
        <v>39600</v>
      </c>
      <c r="BG100" s="897" t="n">
        <f aca="false">IF($AN100=1,$E100*$BF$5,0)</f>
        <v>168</v>
      </c>
      <c r="BH100" s="976" t="n">
        <f aca="false">IF(Tables!$B$36="Combined Cycle",(BF100-BF99)*24*Assumptions!$B$21,0)</f>
        <v>0</v>
      </c>
      <c r="BI100" s="714" t="n">
        <f aca="false">IF($AN100=1,$E100*$BF$5,0)</f>
        <v>168</v>
      </c>
      <c r="BJ100" s="898" t="n">
        <f aca="false">IF('Monthly Table'!D100&lt;=Tables!$B$21,IF($BJ$10=$BG$10,BG100,IF($BJ$10=$BH$10,BH100,IF($BJ$10=$BI$10,BI100,0))),0)</f>
        <v>168</v>
      </c>
      <c r="BK100" s="288"/>
      <c r="BL100" s="898" t="n">
        <f aca="false">IF($AW100=1,$F100*$BF$5,0)</f>
        <v>0</v>
      </c>
      <c r="BM100" s="898" t="n">
        <f aca="false">IF($BD100=1,($G100+H100)*$BF$5,0)</f>
        <v>0</v>
      </c>
      <c r="BO100" s="898" t="n">
        <f aca="false">IF(AS100=1,BJ100,0)</f>
        <v>0</v>
      </c>
      <c r="BP100" s="898" t="n">
        <f aca="false">IF(AZ100=1,F100*$BF$5,0)</f>
        <v>0</v>
      </c>
      <c r="BR100" s="899" t="n">
        <f aca="false">IF(BJ100&gt;0,INDEX(OperationalDetail,MATCH("Capacity Degradation",ODColumn,0),MATCH('Monthly Table'!C100,ODRow,0)),0)</f>
        <v>0.00732</v>
      </c>
      <c r="BS100" s="900" t="n">
        <f aca="false">BJ100*(1-BR100)*Tables!$C$36</f>
        <v>54033.55776</v>
      </c>
      <c r="BT100" s="883" t="n">
        <f aca="false">BS100*AL100/1000</f>
        <v>4121.12876995158</v>
      </c>
      <c r="BU100" s="883" t="n">
        <f aca="false">BT100*K100</f>
        <v>5547.99023072378</v>
      </c>
      <c r="BV100" s="188"/>
      <c r="BW100" s="901" t="n">
        <f aca="false">$BO100*(1-$BR100)*Tables!$C$36</f>
        <v>0</v>
      </c>
      <c r="BX100" s="902" t="n">
        <f aca="false">(BW100*AQ100)/1000</f>
        <v>0</v>
      </c>
      <c r="BY100" s="883" t="n">
        <f aca="false">BX100*K100</f>
        <v>0</v>
      </c>
      <c r="BZ100" s="188"/>
      <c r="CA100" s="901" t="n">
        <f aca="false">$BL100*(1-$BR100)*Tables!$C$36</f>
        <v>0</v>
      </c>
      <c r="CB100" s="902" t="n">
        <f aca="false">(CA100*AU100)/1000</f>
        <v>0</v>
      </c>
      <c r="CC100" s="883" t="n">
        <f aca="false">CB100*K100</f>
        <v>0</v>
      </c>
      <c r="CD100" s="901" t="n">
        <f aca="false">$BP100*(1-$BR100)*Tables!$C$36</f>
        <v>0</v>
      </c>
      <c r="CE100" s="902" t="n">
        <f aca="false">(CD100*AX100)/1000</f>
        <v>0</v>
      </c>
      <c r="CF100" s="883" t="n">
        <f aca="false">CE100*K100</f>
        <v>0</v>
      </c>
      <c r="CH100" s="901" t="n">
        <f aca="false">$BM100*(1-$BR100)*Tables!$C$36</f>
        <v>0</v>
      </c>
      <c r="CI100" s="902" t="n">
        <f aca="false">(CH100*BB100)/1000</f>
        <v>0</v>
      </c>
      <c r="CJ100" s="883" t="n">
        <f aca="false">CI100*K100</f>
        <v>0</v>
      </c>
      <c r="CK100" s="292"/>
      <c r="CL100" s="292" t="n">
        <f aca="false">C100-1</f>
        <v>2007</v>
      </c>
      <c r="CM100" s="903" t="n">
        <f aca="false">INDEX(OperationalDetail,MATCH("Degraded Heat Rate",ODColumn,0),MATCH('Monthly Table'!CL100,ODRow,0))/1000</f>
        <v>12.0166904</v>
      </c>
      <c r="CN100" s="904" t="n">
        <f aca="false">S100*CM100</f>
        <v>54.4324605558967</v>
      </c>
      <c r="CO100" s="905" t="n">
        <f aca="false">IF(A100="January",(CO99*(1+Assumptions!$E$32)),CO99)</f>
        <v>7.73711590016018</v>
      </c>
      <c r="CP100" s="906" t="n">
        <f aca="false">CN100+CO100</f>
        <v>62.1695764560568</v>
      </c>
      <c r="CQ100" s="292"/>
      <c r="CR100" s="856" t="n">
        <f aca="false">IF(BJ100=0,"",C100)</f>
        <v>2008</v>
      </c>
      <c r="CS100" s="856" t="str">
        <f aca="false">IF(BO100=0,"",$C100)</f>
        <v/>
      </c>
      <c r="CT100" s="856" t="str">
        <f aca="false">IF(BL100=0,"",$C100)</f>
        <v/>
      </c>
      <c r="CU100" s="856" t="str">
        <f aca="false">IF(BP100=0,"",$C100)</f>
        <v/>
      </c>
      <c r="CV100" s="856" t="str">
        <f aca="false">IF(BD100=0,"",$C100)</f>
        <v/>
      </c>
      <c r="CW100" s="907" t="n">
        <f aca="false">YEAR(BF100)</f>
        <v>2008</v>
      </c>
      <c r="CX100" s="908" t="n">
        <f aca="false">INDEX('NY Curve'!$A$4:$G$256,MATCH('Monthly Table'!B100,'NY Curve'!$A$4:$A$256,0),MATCH("New York 5 X 16",'NY Curve'!$A$4:$G$4,0))</f>
        <v>49.25</v>
      </c>
      <c r="CY100" s="909" t="n">
        <f aca="false">K100</f>
        <v>1.34623073930033</v>
      </c>
      <c r="CZ100" s="910" t="n">
        <f aca="false">CX100*CY100</f>
        <v>66.3018639105413</v>
      </c>
      <c r="DB100" s="911"/>
      <c r="DC100" s="911"/>
    </row>
    <row r="101" customFormat="false" ht="18.75" hidden="false" customHeight="true" outlineLevel="0" collapsed="false">
      <c r="A101" s="49" t="s">
        <v>816</v>
      </c>
      <c r="B101" s="863" t="n">
        <v>39630</v>
      </c>
      <c r="C101" s="288" t="n">
        <f aca="false">YEAR(B101)</f>
        <v>2008</v>
      </c>
      <c r="D101" s="864" t="n">
        <f aca="false">IF(A101="January",D100+1,D100)</f>
        <v>8</v>
      </c>
      <c r="E101" s="865" t="n">
        <v>22</v>
      </c>
      <c r="F101" s="866" t="n">
        <v>4</v>
      </c>
      <c r="G101" s="866" t="n">
        <v>4</v>
      </c>
      <c r="H101" s="866" t="n">
        <v>1</v>
      </c>
      <c r="I101" s="867" t="n">
        <f aca="false">SUM(E101:H101)</f>
        <v>31</v>
      </c>
      <c r="J101" s="868"/>
      <c r="K101" s="869" t="n">
        <f aca="false">INDEX(FX!$A$3:$C$362,MATCH(B101,FX!$A$3:$A$362,0),MATCH("Monthly Curve",FX!$A$2:$C$2,0))</f>
        <v>1.34536585996701</v>
      </c>
      <c r="L101" s="869"/>
      <c r="M101" s="914" t="n">
        <v>2.9225</v>
      </c>
      <c r="N101" s="915" t="n">
        <v>0.145</v>
      </c>
      <c r="O101" s="714" t="n">
        <v>0.05</v>
      </c>
      <c r="P101" s="872" t="n">
        <f aca="false">N101+O101</f>
        <v>0.195</v>
      </c>
      <c r="Q101" s="873" t="n">
        <f aca="false">SUM(M101:O101)</f>
        <v>3.1175</v>
      </c>
      <c r="R101" s="974" t="n">
        <f aca="false">IF(A101="January",(R100+R100*Assumptions!$E$32),R100)</f>
        <v>0.344979864786059</v>
      </c>
      <c r="S101" s="875" t="n">
        <f aca="false">(Q101*K101)+R101</f>
        <v>4.53915793323321</v>
      </c>
      <c r="T101" s="869"/>
      <c r="U101" s="984"/>
      <c r="V101" s="985"/>
      <c r="W101" s="985"/>
      <c r="X101" s="971"/>
      <c r="Y101" s="975" t="n">
        <f aca="false">Tables!$D$36</f>
        <v>312</v>
      </c>
      <c r="Z101" s="879" t="n">
        <f aca="false">IF($Z$10=$V$10,V101,IF($Z$10=$W$10,W101,IF($Z$10=$X$10,X101,0)))</f>
        <v>0</v>
      </c>
      <c r="AA101" s="880" t="n">
        <f aca="false">Y101*Z101</f>
        <v>0</v>
      </c>
      <c r="AB101" s="881" t="n">
        <f aca="false">AA101*K101</f>
        <v>0</v>
      </c>
      <c r="AC101" s="188"/>
      <c r="AD101" s="882" t="n">
        <f aca="false">IF(Tables!$E$30="Michigan",INDEX('Michigan Curve'!$A$4:$S$256,MATCH('Monthly Table'!B101,'Michigan Curve'!$A$4:$A$256,0),MATCH("Michigan Selected Option Value US$/month",'Michigan Curve'!$A$4:$S$4,0)),INDEX('NY Curve'!$A$4:$T$256,MATCH('Monthly Table'!B101,'NY Curve'!$A$4:$A$256,0),MATCH("New York Selected Option Value US$/month",'NY Curve'!$A$4:$T$4,0)))</f>
        <v>287943.740309441</v>
      </c>
      <c r="AE101" s="883" t="n">
        <f aca="false">AD101*K101</f>
        <v>387389.677803528</v>
      </c>
      <c r="AF101" s="188"/>
      <c r="AG101" s="884"/>
      <c r="AH101" s="188"/>
      <c r="AI101" s="885" t="n">
        <f aca="false">Assumptions!$B$50</f>
        <v>65</v>
      </c>
      <c r="AJ101" s="916"/>
      <c r="AK101" s="887" t="n">
        <f aca="false">IF(Tables!$E$30="Custom",'Monthly Table'!AI101,IF(Tables!$E$30="New York",INDEX('NY Curve'!$A$4:$G$256,MATCH('Monthly Table'!B101,'NY Curve'!$A$4:$A$256,0),MATCH("Super Peak Curve",'NY Curve'!$A$4:$G$4,0)),IF(Tables!$E$30="New York Flat",INDEX('NY Curve'!$A$4:$G$256,MATCH('Monthly Table'!B101,'NY Curve'!$A$4:$A$256,0),MATCH("Flat NY West",'NY Curve'!$A$4:$G$4,0)),INDEX('Michigan Curve'!$A$4:$F$256,MATCH('Monthly Table'!B101,'Michigan Curve'!$A$4:$A$256,0),MATCH("Michigan Super Peak Curve US$/MWhr",'Michigan Curve'!$A$4:$F$4,0)))))</f>
        <v>132.419249612669</v>
      </c>
      <c r="AL101" s="888" t="n">
        <f aca="false">IF(D101&lt;=Tables!$B$21,IF($AL$10=$AI$10,AI101,IF($AL$10=$AJ$10,AJ101,IF($AL$10=$AK$10,AK101,0))),0)</f>
        <v>132.419249612669</v>
      </c>
      <c r="AM101" s="889" t="n">
        <f aca="false">+AL101*K101</f>
        <v>178.152337631335</v>
      </c>
      <c r="AN101" s="890" t="n">
        <f aca="false">IF((AL101*K101)&gt;(CP101+$BF$4),1,0)</f>
        <v>1</v>
      </c>
      <c r="AO101" s="891"/>
      <c r="AP101" s="894"/>
      <c r="AQ101" s="892" t="n">
        <f aca="false">IF(Tables!$E$30="New York",INDEX('NY Curve'!$A$4:$L$256,MATCH('Monthly Table'!B101,'NY Curve'!$A$4:$A$256,0),MATCH("New York Shoulder Hour Curve Mon-Fri",'NY Curve'!$A$4:$L$4,0)),IF(Tables!$E$30="Michigan",INDEX('Michigan Curve'!$A$4:$K$256,MATCH('Monthly Table'!B101,'Michigan Curve'!$A$4:$A$256,0),MATCH("Michigan Shoulder Hour Curve Mon-Fri",'Michigan Curve'!$A$4:$K$4,0))))</f>
        <v>27.5807503873306</v>
      </c>
      <c r="AR101" s="889" t="n">
        <f aca="false">AQ101*K101</f>
        <v>37.1061999633865</v>
      </c>
      <c r="AS101" s="893" t="n">
        <f aca="false">IF(AR101&gt;($CP101+$BF$4),1,0)</f>
        <v>0</v>
      </c>
      <c r="AT101" s="188"/>
      <c r="AU101" s="892" t="n">
        <f aca="false">IF(Tables!$E$30="New York",INDEX('NY Curve'!$A$4:$L$256,MATCH('Monthly Table'!$B101,'NY Curve'!$A$4:$A$256,0),MATCH("New York Saturday Super Peak",'NY Curve'!$A$4:$L$4,0)),IF(Tables!$E$30="Michigan",INDEX('Michigan Curve'!$A$4:$K$256,MATCH('Monthly Table'!$B101,'Michigan Curve'!$A$4:$A$256,0),MATCH("Michigan Saturday Super Peak",'Michigan Curve'!$A$4:$K$4,0))))</f>
        <v>57.9334217055428</v>
      </c>
      <c r="AV101" s="894" t="n">
        <f aca="false">AU101*K101</f>
        <v>77.9416477137091</v>
      </c>
      <c r="AW101" s="893" t="n">
        <f aca="false">IF(AV101&gt;($CP101+$BF$4),1,0)</f>
        <v>1</v>
      </c>
      <c r="AX101" s="892" t="n">
        <f aca="false">IF(Tables!$E$30="New York",INDEX('NY Curve'!$A$4:$L$256,MATCH('Monthly Table'!$B101,'NY Curve'!$A$4:$A$256,0),MATCH("New York Saturday Shoulder Peak",'NY Curve'!$A$4:$L$4,0)),IF(Tables!$E$30="Michigan",INDEX('Michigan Curve'!$A$4:$K$256,MATCH('Monthly Table'!$B101,'Michigan Curve'!$A$4:$A$256,0),MATCH("Michigan Saturday Shoulder Peak",'Michigan Curve'!$A$4:$K$4,0))))</f>
        <v>12.0665782944572</v>
      </c>
      <c r="AY101" s="895" t="n">
        <f aca="false">AX101*K101</f>
        <v>16.2339624839816</v>
      </c>
      <c r="AZ101" s="893" t="n">
        <f aca="false">IF(AY101&gt;($CP101+$BF$4),1,0)</f>
        <v>0</v>
      </c>
      <c r="BA101" s="188"/>
      <c r="BB101" s="892" t="n">
        <f aca="false">IF(Tables!$E$30="New York",INDEX('NY Curve'!$A$4:$M$256,MATCH('Monthly Table'!$B101,'NY Curve'!$A$4:$A$256,0),MATCH("NY Sunday Super Peak",'NY Curve'!$A$4:$M$4,0)),IF(Tables!$E$30="Michigan",INDEX('Michigan Curve'!$A$4:$L$256,MATCH('Monthly Table'!$B101,'Michigan Curve'!$A$4:$A$256,0),MATCH("Michigan Sunday Super Peak",'Michigan Curve'!$A$4:$L$4,0))))</f>
        <v>51.3124560677884</v>
      </c>
      <c r="BC101" s="894" t="n">
        <f aca="false">BB101*K101</f>
        <v>69.0340265846596</v>
      </c>
      <c r="BD101" s="893" t="n">
        <f aca="false">IF(BC101&gt;($CP101+$BF$4),1,0)</f>
        <v>1</v>
      </c>
      <c r="BE101" s="188"/>
      <c r="BF101" s="896" t="n">
        <f aca="false">B101</f>
        <v>39630</v>
      </c>
      <c r="BG101" s="897" t="n">
        <f aca="false">IF($AN101=1,$E101*$BF$5,0)</f>
        <v>176</v>
      </c>
      <c r="BH101" s="976" t="n">
        <f aca="false">IF(Tables!$B$36="Combined Cycle",(BF101-BF100)*24*Assumptions!$B$21,0)</f>
        <v>0</v>
      </c>
      <c r="BI101" s="714" t="n">
        <f aca="false">IF($AN101=1,$E101*$BF$5,0)</f>
        <v>176</v>
      </c>
      <c r="BJ101" s="898" t="n">
        <f aca="false">IF('Monthly Table'!D101&lt;=Tables!$B$21,IF($BJ$10=$BG$10,BG101,IF($BJ$10=$BH$10,BH101,IF($BJ$10=$BI$10,BI101,0))),0)</f>
        <v>176</v>
      </c>
      <c r="BK101" s="288"/>
      <c r="BL101" s="898" t="n">
        <f aca="false">IF($AW101=1,$F101*$BF$5,0)</f>
        <v>32</v>
      </c>
      <c r="BM101" s="898" t="n">
        <f aca="false">IF($BD101=1,($G101+H101)*$BF$5,0)</f>
        <v>40</v>
      </c>
      <c r="BO101" s="898" t="n">
        <f aca="false">IF(AS101=1,BJ101,0)</f>
        <v>0</v>
      </c>
      <c r="BP101" s="898" t="n">
        <f aca="false">IF(AZ101=1,F101*$BF$5,0)</f>
        <v>0</v>
      </c>
      <c r="BR101" s="899" t="n">
        <f aca="false">IF(BJ101&gt;0,INDEX(OperationalDetail,MATCH("Capacity Degradation",ODColumn,0),MATCH('Monthly Table'!C101,ODRow,0)),0)</f>
        <v>0.00732</v>
      </c>
      <c r="BS101" s="900" t="n">
        <f aca="false">BJ101*(1-BR101)*Tables!$C$36</f>
        <v>56606.58432</v>
      </c>
      <c r="BT101" s="883" t="n">
        <f aca="false">BS101*AL101/1000</f>
        <v>7495.8014187907</v>
      </c>
      <c r="BU101" s="883" t="n">
        <f aca="false">BT101*K101</f>
        <v>10084.5953219333</v>
      </c>
      <c r="BV101" s="188"/>
      <c r="BW101" s="901" t="n">
        <f aca="false">$BO101*(1-$BR101)*Tables!$C$36</f>
        <v>0</v>
      </c>
      <c r="BX101" s="902" t="n">
        <f aca="false">(BW101*AQ101)/1000</f>
        <v>0</v>
      </c>
      <c r="BY101" s="883" t="n">
        <f aca="false">BX101*K101</f>
        <v>0</v>
      </c>
      <c r="BZ101" s="188"/>
      <c r="CA101" s="901" t="n">
        <f aca="false">$BL101*(1-$BR101)*Tables!$C$36</f>
        <v>10292.10624</v>
      </c>
      <c r="CB101" s="902" t="n">
        <f aca="false">(CA101*AU101)/1000</f>
        <v>596.256931040169</v>
      </c>
      <c r="CC101" s="883" t="n">
        <f aca="false">CB101*K101</f>
        <v>802.183718790147</v>
      </c>
      <c r="CD101" s="901" t="n">
        <f aca="false">$BP101*(1-$BR101)*Tables!$C$36</f>
        <v>0</v>
      </c>
      <c r="CE101" s="902" t="n">
        <f aca="false">(CD101*AX101)/1000</f>
        <v>0</v>
      </c>
      <c r="CF101" s="883" t="n">
        <f aca="false">CE101*K101</f>
        <v>0</v>
      </c>
      <c r="CH101" s="901" t="n">
        <f aca="false">$BM101*(1-$BR101)*Tables!$C$36</f>
        <v>12865.1328</v>
      </c>
      <c r="CI101" s="902" t="n">
        <f aca="false">(CH101*BB101)/1000</f>
        <v>660.141561606264</v>
      </c>
      <c r="CJ101" s="883" t="n">
        <f aca="false">CI101*K101</f>
        <v>888.131919730376</v>
      </c>
      <c r="CK101" s="292"/>
      <c r="CL101" s="292" t="n">
        <f aca="false">C101-1</f>
        <v>2007</v>
      </c>
      <c r="CM101" s="903" t="n">
        <f aca="false">INDEX(OperationalDetail,MATCH("Degraded Heat Rate",ODColumn,0),MATCH('Monthly Table'!CL101,ODRow,0))/1000</f>
        <v>12.0166904</v>
      </c>
      <c r="CN101" s="904" t="n">
        <f aca="false">S101*CM101</f>
        <v>54.5456555603674</v>
      </c>
      <c r="CO101" s="905" t="n">
        <f aca="false">IF(A101="January",(CO100*(1+Assumptions!$E$32)),CO100)</f>
        <v>7.73711590016018</v>
      </c>
      <c r="CP101" s="906" t="n">
        <f aca="false">CN101+CO101</f>
        <v>62.2827714605276</v>
      </c>
      <c r="CQ101" s="292"/>
      <c r="CR101" s="856" t="n">
        <f aca="false">IF(BJ101=0,"",C101)</f>
        <v>2008</v>
      </c>
      <c r="CS101" s="856" t="str">
        <f aca="false">IF(BO101=0,"",$C101)</f>
        <v/>
      </c>
      <c r="CT101" s="856" t="n">
        <f aca="false">IF(BL101=0,"",$C101)</f>
        <v>2008</v>
      </c>
      <c r="CU101" s="856" t="str">
        <f aca="false">IF(BP101=0,"",$C101)</f>
        <v/>
      </c>
      <c r="CV101" s="856" t="n">
        <f aca="false">IF(BD101=0,"",$C101)</f>
        <v>2008</v>
      </c>
      <c r="CW101" s="907" t="n">
        <f aca="false">YEAR(BF101)</f>
        <v>2008</v>
      </c>
      <c r="CX101" s="908" t="n">
        <f aca="false">INDEX('NY Curve'!$A$4:$G$256,MATCH('Monthly Table'!B101,'NY Curve'!$A$4:$A$256,0),MATCH("New York 5 X 16",'NY Curve'!$A$4:$G$4,0))</f>
        <v>74</v>
      </c>
      <c r="CY101" s="909" t="n">
        <f aca="false">K101</f>
        <v>1.34536585996701</v>
      </c>
      <c r="CZ101" s="910" t="n">
        <f aca="false">CX101*CY101</f>
        <v>99.5570736375587</v>
      </c>
      <c r="DB101" s="911"/>
      <c r="DC101" s="911"/>
    </row>
    <row r="102" customFormat="false" ht="18.75" hidden="false" customHeight="true" outlineLevel="0" collapsed="false">
      <c r="A102" s="49" t="s">
        <v>817</v>
      </c>
      <c r="B102" s="863" t="n">
        <v>39661</v>
      </c>
      <c r="C102" s="288" t="n">
        <f aca="false">YEAR(B102)</f>
        <v>2008</v>
      </c>
      <c r="D102" s="864" t="n">
        <f aca="false">IF(A102="January",D101+1,D101)</f>
        <v>8</v>
      </c>
      <c r="E102" s="865" t="n">
        <v>21</v>
      </c>
      <c r="F102" s="866" t="n">
        <v>5</v>
      </c>
      <c r="G102" s="866" t="n">
        <v>5</v>
      </c>
      <c r="H102" s="866" t="n">
        <v>0</v>
      </c>
      <c r="I102" s="867" t="n">
        <f aca="false">SUM(E102:H102)</f>
        <v>31</v>
      </c>
      <c r="J102" s="868"/>
      <c r="K102" s="869" t="n">
        <f aca="false">INDEX(FX!$A$3:$C$362,MATCH(B102,FX!$A$3:$A$362,0),MATCH("Monthly Curve",FX!$A$2:$C$2,0))</f>
        <v>1.34447619381491</v>
      </c>
      <c r="L102" s="869"/>
      <c r="M102" s="914" t="n">
        <v>2.9295</v>
      </c>
      <c r="N102" s="915" t="n">
        <v>0.145</v>
      </c>
      <c r="O102" s="714" t="n">
        <v>0.05</v>
      </c>
      <c r="P102" s="872" t="n">
        <f aca="false">N102+O102</f>
        <v>0.195</v>
      </c>
      <c r="Q102" s="873" t="n">
        <f aca="false">SUM(M102:O102)</f>
        <v>3.1245</v>
      </c>
      <c r="R102" s="974" t="n">
        <f aca="false">IF(A102="January",(R101+R101*Assumptions!$E$32),R101)</f>
        <v>0.344979864786059</v>
      </c>
      <c r="S102" s="875" t="n">
        <f aca="false">(Q102*K102)+R102</f>
        <v>4.54579573236074</v>
      </c>
      <c r="T102" s="869"/>
      <c r="U102" s="984"/>
      <c r="V102" s="985"/>
      <c r="W102" s="985"/>
      <c r="X102" s="971"/>
      <c r="Y102" s="975" t="n">
        <f aca="false">Tables!$D$36</f>
        <v>312</v>
      </c>
      <c r="Z102" s="879" t="n">
        <f aca="false">IF($Z$10=$V$10,V102,IF($Z$10=$W$10,W102,IF($Z$10=$X$10,X102,0)))</f>
        <v>0</v>
      </c>
      <c r="AA102" s="880" t="n">
        <f aca="false">Y102*Z102</f>
        <v>0</v>
      </c>
      <c r="AB102" s="881" t="n">
        <f aca="false">AA102*K102</f>
        <v>0</v>
      </c>
      <c r="AC102" s="188"/>
      <c r="AD102" s="882" t="n">
        <f aca="false">IF(Tables!$E$30="Michigan",INDEX('Michigan Curve'!$A$4:$S$256,MATCH('Monthly Table'!B102,'Michigan Curve'!$A$4:$A$256,0),MATCH("Michigan Selected Option Value US$/month",'Michigan Curve'!$A$4:$S$4,0)),INDEX('NY Curve'!$A$4:$T$256,MATCH('Monthly Table'!B102,'NY Curve'!$A$4:$A$256,0),MATCH("New York Selected Option Value US$/month",'NY Curve'!$A$4:$T$4,0)))</f>
        <v>301071.835401227</v>
      </c>
      <c r="AE102" s="883" t="n">
        <f aca="false">AD102*K102</f>
        <v>404783.91532511</v>
      </c>
      <c r="AF102" s="188"/>
      <c r="AG102" s="884"/>
      <c r="AH102" s="188"/>
      <c r="AI102" s="885" t="n">
        <f aca="false">Assumptions!$B$50</f>
        <v>65</v>
      </c>
      <c r="AJ102" s="916"/>
      <c r="AK102" s="887" t="n">
        <f aca="false">IF(Tables!$E$30="Custom",'Monthly Table'!AI102,IF(Tables!$E$30="New York",INDEX('NY Curve'!$A$4:$G$256,MATCH('Monthly Table'!B102,'NY Curve'!$A$4:$A$256,0),MATCH("Super Peak Curve",'NY Curve'!$A$4:$G$4,0)),IF(Tables!$E$30="New York Flat",INDEX('NY Curve'!$A$4:$G$256,MATCH('Monthly Table'!B102,'NY Curve'!$A$4:$A$256,0),MATCH("Flat NY West",'NY Curve'!$A$4:$G$4,0)),INDEX('Michigan Curve'!$A$4:$F$256,MATCH('Monthly Table'!B102,'Michigan Curve'!$A$4:$A$256,0),MATCH("Michigan Super Peak Curve US$/MWhr",'Michigan Curve'!$A$4:$F$4,0)))))</f>
        <v>132.419249612669</v>
      </c>
      <c r="AL102" s="888" t="n">
        <f aca="false">IF(D102&lt;=Tables!$B$21,IF($AL$10=$AI$10,AI102,IF($AL$10=$AJ$10,AJ102,IF($AL$10=$AK$10,AK102,0))),0)</f>
        <v>132.419249612669</v>
      </c>
      <c r="AM102" s="889" t="n">
        <f aca="false">+AL102*K102</f>
        <v>178.034528707068</v>
      </c>
      <c r="AN102" s="890" t="n">
        <f aca="false">IF((AL102*K102)&gt;(CP102+$BF$4),1,0)</f>
        <v>1</v>
      </c>
      <c r="AO102" s="891"/>
      <c r="AP102" s="894"/>
      <c r="AQ102" s="892" t="n">
        <f aca="false">IF(Tables!$E$30="New York",INDEX('NY Curve'!$A$4:$L$256,MATCH('Monthly Table'!B102,'NY Curve'!$A$4:$A$256,0),MATCH("New York Shoulder Hour Curve Mon-Fri",'NY Curve'!$A$4:$L$4,0)),IF(Tables!$E$30="Michigan",INDEX('Michigan Curve'!$A$4:$K$256,MATCH('Monthly Table'!B102,'Michigan Curve'!$A$4:$A$256,0),MATCH("Michigan Shoulder Hour Curve Mon-Fri",'Michigan Curve'!$A$4:$K$4,0))))</f>
        <v>27.5807503873306</v>
      </c>
      <c r="AR102" s="889" t="n">
        <f aca="false">AQ102*K102</f>
        <v>37.0816623033174</v>
      </c>
      <c r="AS102" s="893" t="n">
        <f aca="false">IF(AR102&gt;($CP102+$BF$4),1,0)</f>
        <v>0</v>
      </c>
      <c r="AT102" s="188"/>
      <c r="AU102" s="892" t="n">
        <f aca="false">IF(Tables!$E$30="New York",INDEX('NY Curve'!$A$4:$L$256,MATCH('Monthly Table'!$B102,'NY Curve'!$A$4:$A$256,0),MATCH("New York Saturday Super Peak",'NY Curve'!$A$4:$L$4,0)),IF(Tables!$E$30="Michigan",INDEX('Michigan Curve'!$A$4:$K$256,MATCH('Monthly Table'!$B102,'Michigan Curve'!$A$4:$A$256,0),MATCH("Michigan Saturday Super Peak",'Michigan Curve'!$A$4:$K$4,0))))</f>
        <v>57.9334280197847</v>
      </c>
      <c r="AV102" s="894" t="n">
        <f aca="false">AU102*K102</f>
        <v>77.8901147986902</v>
      </c>
      <c r="AW102" s="893" t="n">
        <f aca="false">IF(AV102&gt;($CP102+$BF$4),1,0)</f>
        <v>1</v>
      </c>
      <c r="AX102" s="892" t="n">
        <f aca="false">IF(Tables!$E$30="New York",INDEX('NY Curve'!$A$4:$L$256,MATCH('Monthly Table'!$B102,'NY Curve'!$A$4:$A$256,0),MATCH("New York Saturday Shoulder Peak",'NY Curve'!$A$4:$L$4,0)),IF(Tables!$E$30="Michigan",INDEX('Michigan Curve'!$A$4:$K$256,MATCH('Monthly Table'!$B102,'Michigan Curve'!$A$4:$A$256,0),MATCH("Michigan Saturday Shoulder Peak",'Michigan Curve'!$A$4:$K$4,0))))</f>
        <v>12.0665796096098</v>
      </c>
      <c r="AY102" s="895" t="n">
        <f aca="false">AX102*K102</f>
        <v>16.2232290258928</v>
      </c>
      <c r="AZ102" s="893" t="n">
        <f aca="false">IF(AY102&gt;($CP102+$BF$4),1,0)</f>
        <v>0</v>
      </c>
      <c r="BA102" s="188"/>
      <c r="BB102" s="892" t="n">
        <f aca="false">IF(Tables!$E$30="New York",INDEX('NY Curve'!$A$4:$M$256,MATCH('Monthly Table'!$B102,'NY Curve'!$A$4:$A$256,0),MATCH("NY Sunday Super Peak",'NY Curve'!$A$4:$M$4,0)),IF(Tables!$E$30="Michigan",INDEX('Michigan Curve'!$A$4:$L$256,MATCH('Monthly Table'!$B102,'Michigan Curve'!$A$4:$A$256,0),MATCH("Michigan Sunday Super Peak",'Michigan Curve'!$A$4:$L$4,0))))</f>
        <v>51.3124592249094</v>
      </c>
      <c r="BC102" s="894" t="n">
        <f aca="false">BB102*K102</f>
        <v>68.9883798739889</v>
      </c>
      <c r="BD102" s="893" t="n">
        <f aca="false">IF(BC102&gt;($CP102+$BF$4),1,0)</f>
        <v>1</v>
      </c>
      <c r="BE102" s="188"/>
      <c r="BF102" s="896" t="n">
        <f aca="false">B102</f>
        <v>39661</v>
      </c>
      <c r="BG102" s="897" t="n">
        <f aca="false">IF($AN102=1,$E102*$BF$5,0)</f>
        <v>168</v>
      </c>
      <c r="BH102" s="976" t="n">
        <f aca="false">IF(Tables!$B$36="Combined Cycle",(BF102-BF101)*24*Assumptions!$B$21,0)</f>
        <v>0</v>
      </c>
      <c r="BI102" s="714" t="n">
        <f aca="false">IF($AN102=1,$E102*$BF$5,0)</f>
        <v>168</v>
      </c>
      <c r="BJ102" s="898" t="n">
        <f aca="false">IF('Monthly Table'!D102&lt;=Tables!$B$21,IF($BJ$10=$BG$10,BG102,IF($BJ$10=$BH$10,BH102,IF($BJ$10=$BI$10,BI102,0))),0)</f>
        <v>168</v>
      </c>
      <c r="BK102" s="288"/>
      <c r="BL102" s="898" t="n">
        <f aca="false">IF($AW102=1,$F102*$BF$5,0)</f>
        <v>40</v>
      </c>
      <c r="BM102" s="898" t="n">
        <f aca="false">IF($BD102=1,($G102+H102)*$BF$5,0)</f>
        <v>40</v>
      </c>
      <c r="BO102" s="898" t="n">
        <f aca="false">IF(AS102=1,BJ102,0)</f>
        <v>0</v>
      </c>
      <c r="BP102" s="898" t="n">
        <f aca="false">IF(AZ102=1,F102*$BF$5,0)</f>
        <v>0</v>
      </c>
      <c r="BR102" s="899" t="n">
        <f aca="false">IF(BJ102&gt;0,INDEX(OperationalDetail,MATCH("Capacity Degradation",ODColumn,0),MATCH('Monthly Table'!C102,ODRow,0)),0)</f>
        <v>0.00732</v>
      </c>
      <c r="BS102" s="900" t="n">
        <f aca="false">BJ102*(1-BR102)*Tables!$C$36</f>
        <v>54033.55776</v>
      </c>
      <c r="BT102" s="883" t="n">
        <f aca="false">BS102*AL102/1000</f>
        <v>7155.08317248203</v>
      </c>
      <c r="BU102" s="883" t="n">
        <f aca="false">BT102*K102</f>
        <v>9619.83899016775</v>
      </c>
      <c r="BV102" s="188"/>
      <c r="BW102" s="901" t="n">
        <f aca="false">$BO102*(1-$BR102)*Tables!$C$36</f>
        <v>0</v>
      </c>
      <c r="BX102" s="902" t="n">
        <f aca="false">(BW102*AQ102)/1000</f>
        <v>0</v>
      </c>
      <c r="BY102" s="883" t="n">
        <f aca="false">BX102*K102</f>
        <v>0</v>
      </c>
      <c r="BZ102" s="188"/>
      <c r="CA102" s="901" t="n">
        <f aca="false">$BL102*(1-$BR102)*Tables!$C$36</f>
        <v>12865.1328</v>
      </c>
      <c r="CB102" s="902" t="n">
        <f aca="false">(CA102*AU102)/1000</f>
        <v>745.321245033771</v>
      </c>
      <c r="CC102" s="883" t="n">
        <f aca="false">CB102*K102</f>
        <v>1002.06667069239</v>
      </c>
      <c r="CD102" s="901" t="n">
        <f aca="false">$BP102*(1-$BR102)*Tables!$C$36</f>
        <v>0</v>
      </c>
      <c r="CE102" s="902" t="n">
        <f aca="false">(CD102*AX102)/1000</f>
        <v>0</v>
      </c>
      <c r="CF102" s="883" t="n">
        <f aca="false">CE102*K102</f>
        <v>0</v>
      </c>
      <c r="CH102" s="901" t="n">
        <f aca="false">$BM102*(1-$BR102)*Tables!$C$36</f>
        <v>12865.1328</v>
      </c>
      <c r="CI102" s="902" t="n">
        <f aca="false">(CH102*BB102)/1000</f>
        <v>660.141602223044</v>
      </c>
      <c r="CJ102" s="883" t="n">
        <f aca="false">CI102*K102</f>
        <v>887.544668735715</v>
      </c>
      <c r="CK102" s="292"/>
      <c r="CL102" s="292" t="n">
        <f aca="false">C102-1</f>
        <v>2007</v>
      </c>
      <c r="CM102" s="903" t="n">
        <f aca="false">INDEX(OperationalDetail,MATCH("Degraded Heat Rate",ODColumn,0),MATCH('Monthly Table'!CL102,ODRow,0))/1000</f>
        <v>12.0166904</v>
      </c>
      <c r="CN102" s="904" t="n">
        <f aca="false">S102*CM102</f>
        <v>54.6254199374203</v>
      </c>
      <c r="CO102" s="905" t="n">
        <f aca="false">IF(A102="January",(CO101*(1+Assumptions!$E$32)),CO101)</f>
        <v>7.73711590016018</v>
      </c>
      <c r="CP102" s="906" t="n">
        <f aca="false">CN102+CO102</f>
        <v>62.3625358375805</v>
      </c>
      <c r="CQ102" s="292"/>
      <c r="CR102" s="856" t="n">
        <f aca="false">IF(BJ102=0,"",C102)</f>
        <v>2008</v>
      </c>
      <c r="CS102" s="856" t="str">
        <f aca="false">IF(BO102=0,"",$C102)</f>
        <v/>
      </c>
      <c r="CT102" s="856" t="n">
        <f aca="false">IF(BL102=0,"",$C102)</f>
        <v>2008</v>
      </c>
      <c r="CU102" s="856" t="str">
        <f aca="false">IF(BP102=0,"",$C102)</f>
        <v/>
      </c>
      <c r="CV102" s="856" t="n">
        <f aca="false">IF(BD102=0,"",$C102)</f>
        <v>2008</v>
      </c>
      <c r="CW102" s="907" t="n">
        <f aca="false">YEAR(BF102)</f>
        <v>2008</v>
      </c>
      <c r="CX102" s="908" t="n">
        <f aca="false">INDEX('NY Curve'!$A$4:$G$256,MATCH('Monthly Table'!B102,'NY Curve'!$A$4:$A$256,0),MATCH("New York 5 X 16",'NY Curve'!$A$4:$G$4,0))</f>
        <v>66.5</v>
      </c>
      <c r="CY102" s="909" t="n">
        <f aca="false">K102</f>
        <v>1.34447619381491</v>
      </c>
      <c r="CZ102" s="910" t="n">
        <f aca="false">CX102*CY102</f>
        <v>89.4076668886915</v>
      </c>
      <c r="DB102" s="911"/>
      <c r="DC102" s="911"/>
    </row>
    <row r="103" customFormat="false" ht="18.75" hidden="false" customHeight="true" outlineLevel="0" collapsed="false">
      <c r="A103" s="49" t="s">
        <v>818</v>
      </c>
      <c r="B103" s="863" t="n">
        <v>39692</v>
      </c>
      <c r="C103" s="288" t="n">
        <f aca="false">YEAR(B103)</f>
        <v>2008</v>
      </c>
      <c r="D103" s="864" t="n">
        <f aca="false">IF(A103="January",D102+1,D102)</f>
        <v>8</v>
      </c>
      <c r="E103" s="865" t="n">
        <v>21</v>
      </c>
      <c r="F103" s="866" t="n">
        <v>4</v>
      </c>
      <c r="G103" s="866" t="n">
        <v>4</v>
      </c>
      <c r="H103" s="866" t="n">
        <v>1</v>
      </c>
      <c r="I103" s="867" t="n">
        <f aca="false">SUM(E103:H103)</f>
        <v>30</v>
      </c>
      <c r="J103" s="868"/>
      <c r="K103" s="869" t="n">
        <f aca="false">INDEX(FX!$A$3:$C$362,MATCH(B103,FX!$A$3:$A$362,0),MATCH("Monthly Curve",FX!$A$2:$C$2,0))</f>
        <v>1.34359062907711</v>
      </c>
      <c r="L103" s="869"/>
      <c r="M103" s="914" t="n">
        <v>2.9365</v>
      </c>
      <c r="N103" s="915" t="n">
        <v>0.145</v>
      </c>
      <c r="O103" s="714" t="n">
        <v>0.05</v>
      </c>
      <c r="P103" s="872" t="n">
        <f aca="false">N103+O103</f>
        <v>0.195</v>
      </c>
      <c r="Q103" s="873" t="n">
        <f aca="false">SUM(M103:O103)</f>
        <v>3.1315</v>
      </c>
      <c r="R103" s="974" t="n">
        <f aca="false">IF(A103="January",(R102+R102*Assumptions!$E$32),R102)</f>
        <v>0.344979864786059</v>
      </c>
      <c r="S103" s="875" t="n">
        <f aca="false">(Q103*K103)+R103</f>
        <v>4.55243391974103</v>
      </c>
      <c r="T103" s="869"/>
      <c r="U103" s="984"/>
      <c r="V103" s="985"/>
      <c r="W103" s="985"/>
      <c r="X103" s="971"/>
      <c r="Y103" s="975" t="n">
        <f aca="false">Tables!$D$36</f>
        <v>312</v>
      </c>
      <c r="Z103" s="879" t="n">
        <f aca="false">IF($Z$10=$V$10,V103,IF($Z$10=$W$10,W103,IF($Z$10=$X$10,X103,0)))</f>
        <v>0</v>
      </c>
      <c r="AA103" s="880" t="n">
        <f aca="false">Y103*Z103</f>
        <v>0</v>
      </c>
      <c r="AB103" s="881" t="n">
        <f aca="false">AA103*K103</f>
        <v>0</v>
      </c>
      <c r="AC103" s="188"/>
      <c r="AD103" s="882" t="n">
        <f aca="false">IF(Tables!$E$30="Michigan",INDEX('Michigan Curve'!$A$4:$S$256,MATCH('Monthly Table'!B103,'Michigan Curve'!$A$4:$A$256,0),MATCH("Michigan Selected Option Value US$/month",'Michigan Curve'!$A$4:$S$4,0)),INDEX('NY Curve'!$A$4:$T$256,MATCH('Monthly Table'!B103,'NY Curve'!$A$4:$A$256,0),MATCH("New York Selected Option Value US$/month",'NY Curve'!$A$4:$T$4,0)))</f>
        <v>217876.894048022</v>
      </c>
      <c r="AE103" s="883" t="n">
        <f aca="false">AD103*K103</f>
        <v>292737.353135349</v>
      </c>
      <c r="AF103" s="188"/>
      <c r="AG103" s="884"/>
      <c r="AH103" s="188"/>
      <c r="AI103" s="885" t="n">
        <f aca="false">Assumptions!$B$50</f>
        <v>65</v>
      </c>
      <c r="AJ103" s="916"/>
      <c r="AK103" s="887" t="n">
        <f aca="false">IF(Tables!$E$30="Custom",'Monthly Table'!AI103,IF(Tables!$E$30="New York",INDEX('NY Curve'!$A$4:$G$256,MATCH('Monthly Table'!B103,'NY Curve'!$A$4:$A$256,0),MATCH("Super Peak Curve",'NY Curve'!$A$4:$G$4,0)),IF(Tables!$E$30="New York Flat",INDEX('NY Curve'!$A$4:$G$256,MATCH('Monthly Table'!B103,'NY Curve'!$A$4:$A$256,0),MATCH("Flat NY West",'NY Curve'!$A$4:$G$4,0)),INDEX('Michigan Curve'!$A$4:$F$256,MATCH('Monthly Table'!B103,'Michigan Curve'!$A$4:$A$256,0),MATCH("Michigan Super Peak Curve US$/MWhr",'Michigan Curve'!$A$4:$F$4,0)))))</f>
        <v>45.6046872586012</v>
      </c>
      <c r="AL103" s="888" t="n">
        <f aca="false">IF(D103&lt;=Tables!$B$21,IF($AL$10=$AI$10,AI103,IF($AL$10=$AJ$10,AJ103,IF($AL$10=$AK$10,AK103,0))),0)</f>
        <v>45.6046872586012</v>
      </c>
      <c r="AM103" s="889" t="n">
        <f aca="false">+AL103*K103</f>
        <v>61.2740304426488</v>
      </c>
      <c r="AN103" s="890" t="n">
        <f aca="false">IF((AL103*K103)&gt;(CP103+$BF$4),1,0)</f>
        <v>0</v>
      </c>
      <c r="AO103" s="891"/>
      <c r="AP103" s="894"/>
      <c r="AQ103" s="892" t="n">
        <f aca="false">IF(Tables!$E$30="New York",INDEX('NY Curve'!$A$4:$L$256,MATCH('Monthly Table'!B103,'NY Curve'!$A$4:$A$256,0),MATCH("New York Shoulder Hour Curve Mon-Fri",'NY Curve'!$A$4:$L$4,0)),IF(Tables!$E$30="Michigan",INDEX('Michigan Curve'!$A$4:$K$256,MATCH('Monthly Table'!B103,'Michigan Curve'!$A$4:$A$256,0),MATCH("Michigan Shoulder Hour Curve Mon-Fri",'Michigan Curve'!$A$4:$K$4,0))))</f>
        <v>21.8953127413988</v>
      </c>
      <c r="AR103" s="889" t="n">
        <f aca="false">AQ103*K103</f>
        <v>29.4183370200561</v>
      </c>
      <c r="AS103" s="893" t="n">
        <f aca="false">IF(AR103&gt;($CP103+$BF$4),1,0)</f>
        <v>0</v>
      </c>
      <c r="AT103" s="188"/>
      <c r="AU103" s="892" t="n">
        <f aca="false">IF(Tables!$E$30="New York",INDEX('NY Curve'!$A$4:$L$256,MATCH('Monthly Table'!$B103,'NY Curve'!$A$4:$A$256,0),MATCH("New York Saturday Super Peak",'NY Curve'!$A$4:$L$4,0)),IF(Tables!$E$30="Michigan",INDEX('Michigan Curve'!$A$4:$K$256,MATCH('Monthly Table'!$B103,'Michigan Curve'!$A$4:$A$256,0),MATCH("Michigan Saturday Super Peak",'Michigan Curve'!$A$4:$K$4,0))))</f>
        <v>33.7812498211861</v>
      </c>
      <c r="AV103" s="894" t="n">
        <f aca="false">AU103*K103</f>
        <v>45.3881706982584</v>
      </c>
      <c r="AW103" s="893" t="n">
        <f aca="false">IF(AV103&gt;($CP103+$BF$4),1,0)</f>
        <v>0</v>
      </c>
      <c r="AX103" s="892" t="n">
        <f aca="false">IF(Tables!$E$30="New York",INDEX('NY Curve'!$A$4:$L$256,MATCH('Monthly Table'!$B103,'NY Curve'!$A$4:$A$256,0),MATCH("New York Saturday Shoulder Peak",'NY Curve'!$A$4:$L$4,0)),IF(Tables!$E$30="Michigan",INDEX('Michigan Curve'!$A$4:$K$256,MATCH('Monthly Table'!$B103,'Michigan Curve'!$A$4:$A$256,0),MATCH("Michigan Saturday Shoulder Peak",'Michigan Curve'!$A$4:$K$4,0))))</f>
        <v>16.2187501788139</v>
      </c>
      <c r="AY103" s="895" t="n">
        <f aca="false">AX103*K103</f>
        <v>21.7913607555971</v>
      </c>
      <c r="AZ103" s="893" t="n">
        <f aca="false">IF(AY103&gt;($CP103+$BF$4),1,0)</f>
        <v>0</v>
      </c>
      <c r="BA103" s="188"/>
      <c r="BB103" s="892" t="n">
        <f aca="false">IF(Tables!$E$30="New York",INDEX('NY Curve'!$A$4:$M$256,MATCH('Monthly Table'!$B103,'NY Curve'!$A$4:$A$256,0),MATCH("NY Sunday Super Peak",'NY Curve'!$A$4:$M$4,0)),IF(Tables!$E$30="Michigan",INDEX('Michigan Curve'!$A$4:$L$256,MATCH('Monthly Table'!$B103,'Michigan Curve'!$A$4:$A$256,0),MATCH("Michigan Sunday Super Peak",'Michigan Curve'!$A$4:$L$4,0))))</f>
        <v>32.4299998283386</v>
      </c>
      <c r="BC103" s="894" t="n">
        <f aca="false">BB103*K103</f>
        <v>43.5726438703281</v>
      </c>
      <c r="BD103" s="893" t="n">
        <f aca="false">IF(BC103&gt;($CP103+$BF$4),1,0)</f>
        <v>0</v>
      </c>
      <c r="BE103" s="188"/>
      <c r="BF103" s="896" t="n">
        <f aca="false">B103</f>
        <v>39692</v>
      </c>
      <c r="BG103" s="897" t="n">
        <f aca="false">IF($AN103=1,$E103*$BF$5,0)</f>
        <v>0</v>
      </c>
      <c r="BH103" s="976" t="n">
        <f aca="false">IF(Tables!$B$36="Combined Cycle",(BF103-BF102)*24*Assumptions!$B$21,0)</f>
        <v>0</v>
      </c>
      <c r="BI103" s="714" t="n">
        <f aca="false">IF($AN103=1,$E103*$BF$5,0)</f>
        <v>0</v>
      </c>
      <c r="BJ103" s="898" t="n">
        <f aca="false">IF('Monthly Table'!D103&lt;=Tables!$B$21,IF($BJ$10=$BG$10,BG103,IF($BJ$10=$BH$10,BH103,IF($BJ$10=$BI$10,BI103,0))),0)</f>
        <v>0</v>
      </c>
      <c r="BK103" s="288"/>
      <c r="BL103" s="898" t="n">
        <f aca="false">IF($AW103=1,$F103*$BF$5,0)</f>
        <v>0</v>
      </c>
      <c r="BM103" s="898" t="n">
        <f aca="false">IF($BD103=1,($G103+H103)*$BF$5,0)</f>
        <v>0</v>
      </c>
      <c r="BO103" s="898" t="n">
        <f aca="false">IF(AS103=1,BJ103,0)</f>
        <v>0</v>
      </c>
      <c r="BP103" s="898" t="n">
        <f aca="false">IF(AZ103=1,F103*$BF$5,0)</f>
        <v>0</v>
      </c>
      <c r="BR103" s="899" t="n">
        <f aca="false">IF(BJ103&gt;0,INDEX(OperationalDetail,MATCH("Capacity Degradation",ODColumn,0),MATCH('Monthly Table'!C103,ODRow,0)),0)</f>
        <v>0</v>
      </c>
      <c r="BS103" s="900" t="n">
        <f aca="false">BJ103*(1-BR103)*Tables!$C$36</f>
        <v>0</v>
      </c>
      <c r="BT103" s="883" t="n">
        <f aca="false">BS103*AL103/1000</f>
        <v>0</v>
      </c>
      <c r="BU103" s="883" t="n">
        <f aca="false">BT103*K103</f>
        <v>0</v>
      </c>
      <c r="BV103" s="188"/>
      <c r="BW103" s="901" t="n">
        <f aca="false">$BO103*(1-$BR103)*Tables!$C$36</f>
        <v>0</v>
      </c>
      <c r="BX103" s="902" t="n">
        <f aca="false">(BW103*AQ103)/1000</f>
        <v>0</v>
      </c>
      <c r="BY103" s="883" t="n">
        <f aca="false">BX103*K103</f>
        <v>0</v>
      </c>
      <c r="BZ103" s="188"/>
      <c r="CA103" s="901" t="n">
        <f aca="false">$BL103*(1-$BR103)*Tables!$C$36</f>
        <v>0</v>
      </c>
      <c r="CB103" s="902" t="n">
        <f aca="false">(CA103*AU103)/1000</f>
        <v>0</v>
      </c>
      <c r="CC103" s="883" t="n">
        <f aca="false">CB103*K103</f>
        <v>0</v>
      </c>
      <c r="CD103" s="901" t="n">
        <f aca="false">$BP103*(1-$BR103)*Tables!$C$36</f>
        <v>0</v>
      </c>
      <c r="CE103" s="902" t="n">
        <f aca="false">(CD103*AX103)/1000</f>
        <v>0</v>
      </c>
      <c r="CF103" s="883" t="n">
        <f aca="false">CE103*K103</f>
        <v>0</v>
      </c>
      <c r="CH103" s="901" t="n">
        <f aca="false">$BM103*(1-$BR103)*Tables!$C$36</f>
        <v>0</v>
      </c>
      <c r="CI103" s="902" t="n">
        <f aca="false">(CH103*BB103)/1000</f>
        <v>0</v>
      </c>
      <c r="CJ103" s="883" t="n">
        <f aca="false">CI103*K103</f>
        <v>0</v>
      </c>
      <c r="CK103" s="292"/>
      <c r="CL103" s="292" t="n">
        <f aca="false">C103-1</f>
        <v>2007</v>
      </c>
      <c r="CM103" s="903" t="n">
        <f aca="false">INDEX(OperationalDetail,MATCH("Degraded Heat Rate",ODColumn,0),MATCH('Monthly Table'!CL103,ODRow,0))/1000</f>
        <v>12.0166904</v>
      </c>
      <c r="CN103" s="904" t="n">
        <f aca="false">S103*CM103</f>
        <v>54.7051889799864</v>
      </c>
      <c r="CO103" s="905" t="n">
        <f aca="false">IF(A103="January",(CO102*(1+Assumptions!$E$32)),CO102)</f>
        <v>7.73711590016018</v>
      </c>
      <c r="CP103" s="906" t="n">
        <f aca="false">CN103+CO103</f>
        <v>62.4423048801466</v>
      </c>
      <c r="CQ103" s="292"/>
      <c r="CR103" s="856" t="str">
        <f aca="false">IF(BJ103=0,"",C103)</f>
        <v/>
      </c>
      <c r="CS103" s="856" t="str">
        <f aca="false">IF(BO103=0,"",$C103)</f>
        <v/>
      </c>
      <c r="CT103" s="856" t="str">
        <f aca="false">IF(BL103=0,"",$C103)</f>
        <v/>
      </c>
      <c r="CU103" s="856" t="str">
        <f aca="false">IF(BP103=0,"",$C103)</f>
        <v/>
      </c>
      <c r="CV103" s="856" t="str">
        <f aca="false">IF(BD103=0,"",$C103)</f>
        <v/>
      </c>
      <c r="CW103" s="907" t="n">
        <f aca="false">YEAR(BF103)</f>
        <v>2008</v>
      </c>
      <c r="CX103" s="908" t="n">
        <f aca="false">INDEX('NY Curve'!$A$4:$G$256,MATCH('Monthly Table'!B103,'NY Curve'!$A$4:$A$256,0),MATCH("New York 5 X 16",'NY Curve'!$A$4:$G$4,0))</f>
        <v>30.05</v>
      </c>
      <c r="CY103" s="909" t="n">
        <f aca="false">K103</f>
        <v>1.34359062907711</v>
      </c>
      <c r="CZ103" s="910" t="n">
        <f aca="false">CX103*CY103</f>
        <v>40.3748984037672</v>
      </c>
      <c r="DB103" s="911"/>
      <c r="DC103" s="911"/>
    </row>
    <row r="104" customFormat="false" ht="18.75" hidden="false" customHeight="true" outlineLevel="0" collapsed="false">
      <c r="A104" s="49" t="s">
        <v>819</v>
      </c>
      <c r="B104" s="863" t="n">
        <v>39722</v>
      </c>
      <c r="C104" s="288" t="n">
        <f aca="false">YEAR(B104)</f>
        <v>2008</v>
      </c>
      <c r="D104" s="864" t="n">
        <f aca="false">IF(A104="January",D103+1,D103)</f>
        <v>8</v>
      </c>
      <c r="E104" s="865" t="n">
        <v>23</v>
      </c>
      <c r="F104" s="866" t="n">
        <v>4</v>
      </c>
      <c r="G104" s="866" t="n">
        <v>4</v>
      </c>
      <c r="H104" s="866" t="n">
        <v>0</v>
      </c>
      <c r="I104" s="867" t="n">
        <f aca="false">SUM(E104:H104)</f>
        <v>31</v>
      </c>
      <c r="J104" s="868"/>
      <c r="K104" s="869" t="n">
        <f aca="false">INDEX(FX!$A$3:$C$362,MATCH(B104,FX!$A$3:$A$362,0),MATCH("Monthly Curve",FX!$A$2:$C$2,0))</f>
        <v>1.34273752907428</v>
      </c>
      <c r="L104" s="869"/>
      <c r="M104" s="914" t="n">
        <v>2.9635</v>
      </c>
      <c r="N104" s="915" t="n">
        <v>0.145</v>
      </c>
      <c r="O104" s="714" t="n">
        <v>0.05</v>
      </c>
      <c r="P104" s="872" t="n">
        <f aca="false">N104+O104</f>
        <v>0.195</v>
      </c>
      <c r="Q104" s="873" t="n">
        <f aca="false">SUM(M104:O104)</f>
        <v>3.1585</v>
      </c>
      <c r="R104" s="974" t="n">
        <f aca="false">IF(A104="January",(R103+R103*Assumptions!$E$32),R103)</f>
        <v>0.344979864786059</v>
      </c>
      <c r="S104" s="875" t="n">
        <f aca="false">(Q104*K104)+R104</f>
        <v>4.58601635036717</v>
      </c>
      <c r="T104" s="869"/>
      <c r="U104" s="984"/>
      <c r="V104" s="978"/>
      <c r="W104" s="978"/>
      <c r="X104" s="971"/>
      <c r="Y104" s="975" t="n">
        <f aca="false">Tables!$D$36</f>
        <v>312</v>
      </c>
      <c r="Z104" s="879" t="n">
        <f aca="false">IF($Z$10=$V$10,V104,IF($Z$10=$W$10,W104,IF($Z$10=$X$10,X104,0)))</f>
        <v>0</v>
      </c>
      <c r="AA104" s="880" t="n">
        <f aca="false">Y104*Z104</f>
        <v>0</v>
      </c>
      <c r="AB104" s="881" t="n">
        <f aca="false">AA104*K104</f>
        <v>0</v>
      </c>
      <c r="AC104" s="188"/>
      <c r="AD104" s="882" t="n">
        <f aca="false">IF(Tables!$E$30="Michigan",INDEX('Michigan Curve'!$A$4:$S$256,MATCH('Monthly Table'!B104,'Michigan Curve'!$A$4:$A$256,0),MATCH("Michigan Selected Option Value US$/month",'Michigan Curve'!$A$4:$S$4,0)),INDEX('NY Curve'!$A$4:$T$256,MATCH('Monthly Table'!B104,'NY Curve'!$A$4:$A$256,0),MATCH("New York Selected Option Value US$/month",'NY Curve'!$A$4:$T$4,0)))</f>
        <v>3720.90685095633</v>
      </c>
      <c r="AE104" s="883" t="n">
        <f aca="false">AD104*K104</f>
        <v>4996.20127096866</v>
      </c>
      <c r="AF104" s="188"/>
      <c r="AG104" s="884"/>
      <c r="AH104" s="188"/>
      <c r="AI104" s="885" t="n">
        <f aca="false">Assumptions!$B$50</f>
        <v>65</v>
      </c>
      <c r="AJ104" s="916"/>
      <c r="AK104" s="887" t="n">
        <f aca="false">IF(Tables!$E$30="Custom",'Monthly Table'!AI104,IF(Tables!$E$30="New York",INDEX('NY Curve'!$A$4:$G$256,MATCH('Monthly Table'!B104,'NY Curve'!$A$4:$A$256,0),MATCH("Super Peak Curve",'NY Curve'!$A$4:$G$4,0)),IF(Tables!$E$30="New York Flat",INDEX('NY Curve'!$A$4:$G$256,MATCH('Monthly Table'!B104,'NY Curve'!$A$4:$A$256,0),MATCH("Flat NY West",'NY Curve'!$A$4:$G$4,0)),INDEX('Michigan Curve'!$A$4:$F$256,MATCH('Monthly Table'!B104,'Michigan Curve'!$A$4:$A$256,0),MATCH("Michigan Super Peak Curve US$/MWhr",'Michigan Curve'!$A$4:$F$4,0)))))</f>
        <v>26.8499946594238</v>
      </c>
      <c r="AL104" s="888" t="n">
        <f aca="false">IF(D104&lt;=Tables!$B$21,IF($AL$10=$AI$10,AI104,IF($AL$10=$AJ$10,AJ104,IF($AL$10=$AK$10,AK104,0))),0)</f>
        <v>26.8499946594238</v>
      </c>
      <c r="AM104" s="889" t="n">
        <f aca="false">+AL104*K104</f>
        <v>36.0524954846524</v>
      </c>
      <c r="AN104" s="890" t="n">
        <f aca="false">IF((AL104*K104)&gt;(CP104+$BF$4),1,0)</f>
        <v>0</v>
      </c>
      <c r="AO104" s="891"/>
      <c r="AP104" s="894"/>
      <c r="AQ104" s="892" t="n">
        <f aca="false">IF(Tables!$E$30="New York",INDEX('NY Curve'!$A$4:$L$256,MATCH('Monthly Table'!B104,'NY Curve'!$A$4:$A$256,0),MATCH("New York Shoulder Hour Curve Mon-Fri",'NY Curve'!$A$4:$L$4,0)),IF(Tables!$E$30="Michigan",INDEX('Michigan Curve'!$A$4:$K$256,MATCH('Monthly Table'!B104,'Michigan Curve'!$A$4:$A$256,0),MATCH("Michigan Shoulder Hour Curve Mon-Fri",'Michigan Curve'!$A$4:$K$4,0))))</f>
        <v>26.8499946594238</v>
      </c>
      <c r="AR104" s="889" t="n">
        <f aca="false">AQ104*K104</f>
        <v>36.0524954846524</v>
      </c>
      <c r="AS104" s="893" t="n">
        <f aca="false">IF(AR104&gt;($CP104+$BF$4),1,0)</f>
        <v>0</v>
      </c>
      <c r="AT104" s="188"/>
      <c r="AU104" s="892" t="n">
        <f aca="false">IF(Tables!$E$30="New York",INDEX('NY Curve'!$A$4:$L$256,MATCH('Monthly Table'!$B104,'NY Curve'!$A$4:$A$256,0),MATCH("New York Saturday Super Peak",'NY Curve'!$A$4:$L$4,0)),IF(Tables!$E$30="Michigan",INDEX('Michigan Curve'!$A$4:$K$256,MATCH('Monthly Table'!$B104,'Michigan Curve'!$A$4:$A$256,0),MATCH("Michigan Saturday Super Peak",'Michigan Curve'!$A$4:$K$4,0))))</f>
        <v>19.996000289917</v>
      </c>
      <c r="AV104" s="894" t="n">
        <f aca="false">AU104*K104</f>
        <v>26.8493800206517</v>
      </c>
      <c r="AW104" s="893" t="n">
        <f aca="false">IF(AV104&gt;($CP104+$BF$4),1,0)</f>
        <v>0</v>
      </c>
      <c r="AX104" s="892" t="n">
        <f aca="false">IF(Tables!$E$30="New York",INDEX('NY Curve'!$A$4:$L$256,MATCH('Monthly Table'!$B104,'NY Curve'!$A$4:$A$256,0),MATCH("New York Saturday Shoulder Peak",'NY Curve'!$A$4:$L$4,0)),IF(Tables!$E$30="Michigan",INDEX('Michigan Curve'!$A$4:$K$256,MATCH('Monthly Table'!$B104,'Michigan Curve'!$A$4:$A$256,0),MATCH("Michigan Saturday Shoulder Peak",'Michigan Curve'!$A$4:$K$4,0))))</f>
        <v>19.996000289917</v>
      </c>
      <c r="AY104" s="895" t="n">
        <f aca="false">AX104*K104</f>
        <v>26.8493800206517</v>
      </c>
      <c r="AZ104" s="893" t="n">
        <f aca="false">IF(AY104&gt;($CP104+$BF$4),1,0)</f>
        <v>0</v>
      </c>
      <c r="BA104" s="188"/>
      <c r="BB104" s="892" t="n">
        <f aca="false">IF(Tables!$E$30="New York",INDEX('NY Curve'!$A$4:$M$256,MATCH('Monthly Table'!$B104,'NY Curve'!$A$4:$A$256,0),MATCH("NY Sunday Super Peak",'NY Curve'!$A$4:$M$4,0)),IF(Tables!$E$30="Michigan",INDEX('Michigan Curve'!$A$4:$L$256,MATCH('Monthly Table'!$B104,'Michigan Curve'!$A$4:$A$256,0),MATCH("Michigan Sunday Super Peak",'Michigan Curve'!$A$4:$L$4,0))))</f>
        <v>18.9965000152588</v>
      </c>
      <c r="BC104" s="894" t="n">
        <f aca="false">BB104*K104</f>
        <v>25.5073134915481</v>
      </c>
      <c r="BD104" s="893" t="n">
        <f aca="false">IF(BC104&gt;($CP104+$BF$4),1,0)</f>
        <v>0</v>
      </c>
      <c r="BE104" s="188"/>
      <c r="BF104" s="896" t="n">
        <f aca="false">B104</f>
        <v>39722</v>
      </c>
      <c r="BG104" s="897" t="n">
        <f aca="false">IF($AN104=1,$E104*$BF$5,0)</f>
        <v>0</v>
      </c>
      <c r="BH104" s="976" t="n">
        <f aca="false">IF(Tables!$B$36="Combined Cycle",(BF104-BF103)*24*Assumptions!$B$21,0)</f>
        <v>0</v>
      </c>
      <c r="BI104" s="714" t="n">
        <f aca="false">IF($AN104=1,$E104*$BF$5,0)</f>
        <v>0</v>
      </c>
      <c r="BJ104" s="898" t="n">
        <f aca="false">IF('Monthly Table'!D104&lt;=Tables!$B$21,IF($BJ$10=$BG$10,BG104,IF($BJ$10=$BH$10,BH104,IF($BJ$10=$BI$10,BI104,0))),0)</f>
        <v>0</v>
      </c>
      <c r="BK104" s="288"/>
      <c r="BL104" s="898" t="n">
        <f aca="false">IF($AW104=1,$F104*$BF$5,0)</f>
        <v>0</v>
      </c>
      <c r="BM104" s="898" t="n">
        <f aca="false">IF($BD104=1,($G104+H104)*$BF$5,0)</f>
        <v>0</v>
      </c>
      <c r="BO104" s="898" t="n">
        <f aca="false">IF(AS104=1,BJ104,0)</f>
        <v>0</v>
      </c>
      <c r="BP104" s="898" t="n">
        <f aca="false">IF(AZ104=1,F104*$BF$5,0)</f>
        <v>0</v>
      </c>
      <c r="BR104" s="899" t="n">
        <f aca="false">IF(BJ104&gt;0,INDEX(OperationalDetail,MATCH("Capacity Degradation",ODColumn,0),MATCH('Monthly Table'!C104,ODRow,0)),0)</f>
        <v>0</v>
      </c>
      <c r="BS104" s="900" t="n">
        <f aca="false">BJ104*(1-BR104)*Tables!$C$36</f>
        <v>0</v>
      </c>
      <c r="BT104" s="883" t="n">
        <f aca="false">BS104*AL104/1000</f>
        <v>0</v>
      </c>
      <c r="BU104" s="883" t="n">
        <f aca="false">BT104*K104</f>
        <v>0</v>
      </c>
      <c r="BV104" s="188"/>
      <c r="BW104" s="901" t="n">
        <f aca="false">$BO104*(1-$BR104)*Tables!$C$36</f>
        <v>0</v>
      </c>
      <c r="BX104" s="902" t="n">
        <f aca="false">(BW104*AQ104)/1000</f>
        <v>0</v>
      </c>
      <c r="BY104" s="883" t="n">
        <f aca="false">BX104*K104</f>
        <v>0</v>
      </c>
      <c r="BZ104" s="188"/>
      <c r="CA104" s="901" t="n">
        <f aca="false">$BL104*(1-$BR104)*Tables!$C$36</f>
        <v>0</v>
      </c>
      <c r="CB104" s="902" t="n">
        <f aca="false">(CA104*AU104)/1000</f>
        <v>0</v>
      </c>
      <c r="CC104" s="883" t="n">
        <f aca="false">CB104*K104</f>
        <v>0</v>
      </c>
      <c r="CD104" s="901" t="n">
        <f aca="false">$BP104*(1-$BR104)*Tables!$C$36</f>
        <v>0</v>
      </c>
      <c r="CE104" s="902" t="n">
        <f aca="false">(CD104*AX104)/1000</f>
        <v>0</v>
      </c>
      <c r="CF104" s="883" t="n">
        <f aca="false">CE104*K104</f>
        <v>0</v>
      </c>
      <c r="CH104" s="901" t="n">
        <f aca="false">$BM104*(1-$BR104)*Tables!$C$36</f>
        <v>0</v>
      </c>
      <c r="CI104" s="902" t="n">
        <f aca="false">(CH104*BB104)/1000</f>
        <v>0</v>
      </c>
      <c r="CJ104" s="883" t="n">
        <f aca="false">CI104*K104</f>
        <v>0</v>
      </c>
      <c r="CK104" s="292"/>
      <c r="CL104" s="292" t="n">
        <f aca="false">C104-1</f>
        <v>2007</v>
      </c>
      <c r="CM104" s="903" t="n">
        <f aca="false">INDEX(OperationalDetail,MATCH("Degraded Heat Rate",ODColumn,0),MATCH('Monthly Table'!CL104,ODRow,0))/1000</f>
        <v>12.0166904</v>
      </c>
      <c r="CN104" s="904" t="n">
        <f aca="false">S104*CM104</f>
        <v>55.1087386517002</v>
      </c>
      <c r="CO104" s="905" t="n">
        <f aca="false">IF(A104="January",(CO103*(1+Assumptions!$E$32)),CO103)</f>
        <v>7.73711590016018</v>
      </c>
      <c r="CP104" s="906" t="n">
        <f aca="false">CN104+CO104</f>
        <v>62.8458545518604</v>
      </c>
      <c r="CQ104" s="292"/>
      <c r="CR104" s="856" t="str">
        <f aca="false">IF(BJ104=0,"",C104)</f>
        <v/>
      </c>
      <c r="CS104" s="856" t="str">
        <f aca="false">IF(BO104=0,"",$C104)</f>
        <v/>
      </c>
      <c r="CT104" s="856" t="str">
        <f aca="false">IF(BL104=0,"",$C104)</f>
        <v/>
      </c>
      <c r="CU104" s="856" t="str">
        <f aca="false">IF(BP104=0,"",$C104)</f>
        <v/>
      </c>
      <c r="CV104" s="856" t="str">
        <f aca="false">IF(BD104=0,"",$C104)</f>
        <v/>
      </c>
      <c r="CW104" s="907" t="n">
        <f aca="false">YEAR(BF104)</f>
        <v>2008</v>
      </c>
      <c r="CX104" s="908" t="n">
        <f aca="false">INDEX('NY Curve'!$A$4:$G$256,MATCH('Monthly Table'!B104,'NY Curve'!$A$4:$A$256,0),MATCH("New York 5 X 16",'NY Curve'!$A$4:$G$4,0))</f>
        <v>25.8</v>
      </c>
      <c r="CY104" s="909" t="n">
        <f aca="false">K104</f>
        <v>1.34273752907428</v>
      </c>
      <c r="CZ104" s="910" t="n">
        <f aca="false">CX104*CY104</f>
        <v>34.6426282501164</v>
      </c>
      <c r="DB104" s="911"/>
      <c r="DC104" s="911"/>
    </row>
    <row r="105" customFormat="false" ht="18.75" hidden="false" customHeight="true" outlineLevel="0" collapsed="false">
      <c r="A105" s="49" t="s">
        <v>820</v>
      </c>
      <c r="B105" s="863" t="n">
        <v>39753</v>
      </c>
      <c r="C105" s="288" t="n">
        <f aca="false">YEAR(B105)</f>
        <v>2008</v>
      </c>
      <c r="D105" s="864" t="n">
        <f aca="false">IF(A105="January",D104+1,D104)</f>
        <v>8</v>
      </c>
      <c r="E105" s="865" t="n">
        <v>19</v>
      </c>
      <c r="F105" s="866" t="n">
        <v>5</v>
      </c>
      <c r="G105" s="866" t="n">
        <v>5</v>
      </c>
      <c r="H105" s="866" t="n">
        <v>1</v>
      </c>
      <c r="I105" s="867" t="n">
        <f aca="false">SUM(E105:H105)</f>
        <v>30</v>
      </c>
      <c r="J105" s="868"/>
      <c r="K105" s="869" t="n">
        <f aca="false">INDEX(FX!$A$3:$C$362,MATCH(B105,FX!$A$3:$A$362,0),MATCH("Monthly Curve",FX!$A$2:$C$2,0))</f>
        <v>1.34186001331446</v>
      </c>
      <c r="L105" s="869"/>
      <c r="M105" s="914" t="n">
        <v>3.0995</v>
      </c>
      <c r="N105" s="915" t="n">
        <v>0.23</v>
      </c>
      <c r="O105" s="714" t="n">
        <v>0.05</v>
      </c>
      <c r="P105" s="872" t="n">
        <f aca="false">N105+O105</f>
        <v>0.28</v>
      </c>
      <c r="Q105" s="873" t="n">
        <f aca="false">SUM(M105:O105)</f>
        <v>3.3795</v>
      </c>
      <c r="R105" s="974" t="n">
        <f aca="false">IF(A105="January",(R104+R104*Assumptions!$E$32),R104)</f>
        <v>0.344979864786059</v>
      </c>
      <c r="S105" s="875" t="n">
        <f aca="false">(Q105*K105)+R105</f>
        <v>4.87979577978228</v>
      </c>
      <c r="T105" s="869"/>
      <c r="U105" s="984"/>
      <c r="V105" s="978"/>
      <c r="W105" s="978"/>
      <c r="X105" s="971"/>
      <c r="Y105" s="975" t="n">
        <f aca="false">Tables!$D$36</f>
        <v>312</v>
      </c>
      <c r="Z105" s="879" t="n">
        <f aca="false">IF($Z$10=$V$10,V105,IF($Z$10=$W$10,W105,IF($Z$10=$X$10,X105,0)))</f>
        <v>0</v>
      </c>
      <c r="AA105" s="880" t="n">
        <f aca="false">Y105*Z105</f>
        <v>0</v>
      </c>
      <c r="AB105" s="881" t="n">
        <f aca="false">AA105*K105</f>
        <v>0</v>
      </c>
      <c r="AC105" s="188"/>
      <c r="AD105" s="882" t="n">
        <f aca="false">IF(Tables!$E$30="Michigan",INDEX('Michigan Curve'!$A$4:$S$256,MATCH('Monthly Table'!B105,'Michigan Curve'!$A$4:$A$256,0),MATCH("Michigan Selected Option Value US$/month",'Michigan Curve'!$A$4:$S$4,0)),INDEX('NY Curve'!$A$4:$T$256,MATCH('Monthly Table'!B105,'NY Curve'!$A$4:$A$256,0),MATCH("New York Selected Option Value US$/month",'NY Curve'!$A$4:$T$4,0)))</f>
        <v>14003.418388359</v>
      </c>
      <c r="AE105" s="883" t="n">
        <f aca="false">AD105*K105</f>
        <v>18790.6271850513</v>
      </c>
      <c r="AF105" s="188"/>
      <c r="AG105" s="884"/>
      <c r="AH105" s="188"/>
      <c r="AI105" s="885" t="n">
        <f aca="false">Assumptions!$B$50</f>
        <v>65</v>
      </c>
      <c r="AJ105" s="916"/>
      <c r="AK105" s="887" t="n">
        <f aca="false">IF(Tables!$E$30="Custom",'Monthly Table'!AI105,IF(Tables!$E$30="New York",INDEX('NY Curve'!$A$4:$G$256,MATCH('Monthly Table'!B105,'NY Curve'!$A$4:$A$256,0),MATCH("Super Peak Curve",'NY Curve'!$A$4:$G$4,0)),IF(Tables!$E$30="New York Flat",INDEX('NY Curve'!$A$4:$G$256,MATCH('Monthly Table'!B105,'NY Curve'!$A$4:$A$256,0),MATCH("Flat NY West",'NY Curve'!$A$4:$G$4,0)),INDEX('Michigan Curve'!$A$4:$F$256,MATCH('Monthly Table'!B105,'Michigan Curve'!$A$4:$A$256,0),MATCH("Michigan Super Peak Curve US$/MWhr",'Michigan Curve'!$A$4:$F$4,0)))))</f>
        <v>28.8683953857422</v>
      </c>
      <c r="AL105" s="888" t="n">
        <f aca="false">IF(D105&lt;=Tables!$B$21,IF($AL$10=$AI$10,AI105,IF($AL$10=$AJ$10,AJ105,IF($AL$10=$AK$10,AK105,0))),0)</f>
        <v>28.8683953857422</v>
      </c>
      <c r="AM105" s="889" t="n">
        <f aca="false">+AL105*K105</f>
        <v>38.7373454166791</v>
      </c>
      <c r="AN105" s="890" t="n">
        <f aca="false">IF((AL105*K105)&gt;(CP105+$BF$4),1,0)</f>
        <v>0</v>
      </c>
      <c r="AO105" s="891"/>
      <c r="AP105" s="894"/>
      <c r="AQ105" s="892" t="n">
        <f aca="false">IF(Tables!$E$30="New York",INDEX('NY Curve'!$A$4:$L$256,MATCH('Monthly Table'!B105,'NY Curve'!$A$4:$A$256,0),MATCH("New York Shoulder Hour Curve Mon-Fri",'NY Curve'!$A$4:$L$4,0)),IF(Tables!$E$30="Michigan",INDEX('Michigan Curve'!$A$4:$K$256,MATCH('Monthly Table'!B105,'Michigan Curve'!$A$4:$A$256,0),MATCH("Michigan Shoulder Hour Curve Mon-Fri",'Michigan Curve'!$A$4:$K$4,0))))</f>
        <v>24.5915960693359</v>
      </c>
      <c r="AR105" s="889" t="n">
        <f aca="false">AQ105*K105</f>
        <v>32.9984794290229</v>
      </c>
      <c r="AS105" s="893" t="n">
        <f aca="false">IF(AR105&gt;($CP105+$BF$4),1,0)</f>
        <v>0</v>
      </c>
      <c r="AT105" s="188"/>
      <c r="AU105" s="892" t="n">
        <f aca="false">IF(Tables!$E$30="New York",INDEX('NY Curve'!$A$4:$L$256,MATCH('Monthly Table'!$B105,'NY Curve'!$A$4:$A$256,0),MATCH("New York Saturday Super Peak",'NY Curve'!$A$4:$L$4,0)),IF(Tables!$E$30="Michigan",INDEX('Michigan Curve'!$A$4:$K$256,MATCH('Monthly Table'!$B105,'Michigan Curve'!$A$4:$A$256,0),MATCH("Michigan Saturday Super Peak",'Michigan Curve'!$A$4:$K$4,0))))</f>
        <v>21.6</v>
      </c>
      <c r="AV105" s="894" t="n">
        <f aca="false">AU105*K105</f>
        <v>28.9841762875923</v>
      </c>
      <c r="AW105" s="893" t="n">
        <f aca="false">IF(AV105&gt;($CP105+$BF$4),1,0)</f>
        <v>0</v>
      </c>
      <c r="AX105" s="892" t="n">
        <f aca="false">IF(Tables!$E$30="New York",INDEX('NY Curve'!$A$4:$L$256,MATCH('Monthly Table'!$B105,'NY Curve'!$A$4:$A$256,0),MATCH("New York Saturday Shoulder Peak",'NY Curve'!$A$4:$L$4,0)),IF(Tables!$E$30="Michigan",INDEX('Michigan Curve'!$A$4:$K$256,MATCH('Monthly Table'!$B105,'Michigan Curve'!$A$4:$A$256,0),MATCH("Michigan Saturday Shoulder Peak",'Michigan Curve'!$A$4:$K$4,0))))</f>
        <v>18.4</v>
      </c>
      <c r="AY105" s="895" t="n">
        <f aca="false">AX105*K105</f>
        <v>24.6902242449861</v>
      </c>
      <c r="AZ105" s="893" t="n">
        <f aca="false">IF(AY105&gt;($CP105+$BF$4),1,0)</f>
        <v>0</v>
      </c>
      <c r="BA105" s="188"/>
      <c r="BB105" s="892" t="n">
        <f aca="false">IF(Tables!$E$30="New York",INDEX('NY Curve'!$A$4:$M$256,MATCH('Monthly Table'!$B105,'NY Curve'!$A$4:$A$256,0),MATCH("NY Sunday Super Peak",'NY Curve'!$A$4:$M$4,0)),IF(Tables!$E$30="Michigan",INDEX('Michigan Curve'!$A$4:$L$256,MATCH('Monthly Table'!$B105,'Michigan Curve'!$A$4:$A$256,0),MATCH("Michigan Sunday Super Peak",'Michigan Curve'!$A$4:$L$4,0))))</f>
        <v>20.52</v>
      </c>
      <c r="BC105" s="894" t="n">
        <f aca="false">BB105*K105</f>
        <v>27.5349674732127</v>
      </c>
      <c r="BD105" s="893" t="n">
        <f aca="false">IF(BC105&gt;($CP105+$BF$4),1,0)</f>
        <v>0</v>
      </c>
      <c r="BE105" s="188"/>
      <c r="BF105" s="896" t="n">
        <f aca="false">B105</f>
        <v>39753</v>
      </c>
      <c r="BG105" s="897" t="n">
        <f aca="false">IF($AN105=1,$E105*$BF$5,0)</f>
        <v>0</v>
      </c>
      <c r="BH105" s="976" t="n">
        <f aca="false">IF(Tables!$B$36="Combined Cycle",(BF105-BF104)*24*Assumptions!$B$21,0)</f>
        <v>0</v>
      </c>
      <c r="BI105" s="714" t="n">
        <f aca="false">IF($AN105=1,$E105*$BF$5,0)</f>
        <v>0</v>
      </c>
      <c r="BJ105" s="898" t="n">
        <f aca="false">IF('Monthly Table'!D105&lt;=Tables!$B$21,IF($BJ$10=$BG$10,BG105,IF($BJ$10=$BH$10,BH105,IF($BJ$10=$BI$10,BI105,0))),0)</f>
        <v>0</v>
      </c>
      <c r="BK105" s="288"/>
      <c r="BL105" s="898" t="n">
        <f aca="false">IF($AW105=1,$F105*$BF$5,0)</f>
        <v>0</v>
      </c>
      <c r="BM105" s="898" t="n">
        <f aca="false">IF($BD105=1,($G105+H105)*$BF$5,0)</f>
        <v>0</v>
      </c>
      <c r="BO105" s="898" t="n">
        <f aca="false">IF(AS105=1,BJ105,0)</f>
        <v>0</v>
      </c>
      <c r="BP105" s="898" t="n">
        <f aca="false">IF(AZ105=1,F105*$BF$5,0)</f>
        <v>0</v>
      </c>
      <c r="BR105" s="899" t="n">
        <f aca="false">IF(BJ105&gt;0,INDEX(OperationalDetail,MATCH("Capacity Degradation",ODColumn,0),MATCH('Monthly Table'!C105,ODRow,0)),0)</f>
        <v>0</v>
      </c>
      <c r="BS105" s="900" t="n">
        <f aca="false">BJ105*(1-BR105)*Tables!$C$36</f>
        <v>0</v>
      </c>
      <c r="BT105" s="883" t="n">
        <f aca="false">BS105*AL105/1000</f>
        <v>0</v>
      </c>
      <c r="BU105" s="883" t="n">
        <f aca="false">BT105*K105</f>
        <v>0</v>
      </c>
      <c r="BV105" s="188"/>
      <c r="BW105" s="901" t="n">
        <f aca="false">$BO105*(1-$BR105)*Tables!$C$36</f>
        <v>0</v>
      </c>
      <c r="BX105" s="902" t="n">
        <f aca="false">(BW105*AQ105)/1000</f>
        <v>0</v>
      </c>
      <c r="BY105" s="883" t="n">
        <f aca="false">BX105*K105</f>
        <v>0</v>
      </c>
      <c r="BZ105" s="188"/>
      <c r="CA105" s="901" t="n">
        <f aca="false">$BL105*(1-$BR105)*Tables!$C$36</f>
        <v>0</v>
      </c>
      <c r="CB105" s="902" t="n">
        <f aca="false">(CA105*AU105)/1000</f>
        <v>0</v>
      </c>
      <c r="CC105" s="883" t="n">
        <f aca="false">CB105*K105</f>
        <v>0</v>
      </c>
      <c r="CD105" s="901" t="n">
        <f aca="false">$BP105*(1-$BR105)*Tables!$C$36</f>
        <v>0</v>
      </c>
      <c r="CE105" s="902" t="n">
        <f aca="false">(CD105*AX105)/1000</f>
        <v>0</v>
      </c>
      <c r="CF105" s="883" t="n">
        <f aca="false">CE105*K105</f>
        <v>0</v>
      </c>
      <c r="CH105" s="901" t="n">
        <f aca="false">$BM105*(1-$BR105)*Tables!$C$36</f>
        <v>0</v>
      </c>
      <c r="CI105" s="902" t="n">
        <f aca="false">(CH105*BB105)/1000</f>
        <v>0</v>
      </c>
      <c r="CJ105" s="883" t="n">
        <f aca="false">CI105*K105</f>
        <v>0</v>
      </c>
      <c r="CK105" s="292"/>
      <c r="CL105" s="292" t="n">
        <f aca="false">C105-1</f>
        <v>2007</v>
      </c>
      <c r="CM105" s="903" t="n">
        <f aca="false">INDEX(OperationalDetail,MATCH("Degraded Heat Rate",ODColumn,0),MATCH('Monthly Table'!CL105,ODRow,0))/1000</f>
        <v>12.0166904</v>
      </c>
      <c r="CN105" s="904" t="n">
        <f aca="false">S105*CM105</f>
        <v>58.6389951008702</v>
      </c>
      <c r="CO105" s="905" t="n">
        <f aca="false">IF(A105="January",(CO104*(1+Assumptions!$E$32)),CO104)</f>
        <v>7.73711590016018</v>
      </c>
      <c r="CP105" s="906" t="n">
        <f aca="false">CN105+CO105</f>
        <v>66.3761110010304</v>
      </c>
      <c r="CQ105" s="292"/>
      <c r="CR105" s="856" t="str">
        <f aca="false">IF(BJ105=0,"",C105)</f>
        <v/>
      </c>
      <c r="CS105" s="856" t="str">
        <f aca="false">IF(BO105=0,"",$C105)</f>
        <v/>
      </c>
      <c r="CT105" s="856" t="str">
        <f aca="false">IF(BL105=0,"",$C105)</f>
        <v/>
      </c>
      <c r="CU105" s="856" t="str">
        <f aca="false">IF(BP105=0,"",$C105)</f>
        <v/>
      </c>
      <c r="CV105" s="856" t="str">
        <f aca="false">IF(BD105=0,"",$C105)</f>
        <v/>
      </c>
      <c r="CW105" s="907" t="n">
        <f aca="false">YEAR(BF105)</f>
        <v>2008</v>
      </c>
      <c r="CX105" s="908" t="n">
        <f aca="false">INDEX('NY Curve'!$A$4:$G$256,MATCH('Monthly Table'!B105,'NY Curve'!$A$4:$A$256,0),MATCH("New York 5 X 16",'NY Curve'!$A$4:$G$4,0))</f>
        <v>26.3</v>
      </c>
      <c r="CY105" s="909" t="n">
        <f aca="false">K105</f>
        <v>1.34186001331446</v>
      </c>
      <c r="CZ105" s="910" t="n">
        <f aca="false">CX105*CY105</f>
        <v>35.2909183501703</v>
      </c>
      <c r="DB105" s="911"/>
      <c r="DC105" s="911"/>
    </row>
    <row r="106" customFormat="false" ht="18.75" hidden="false" customHeight="true" outlineLevel="0" collapsed="false">
      <c r="A106" s="110" t="s">
        <v>821</v>
      </c>
      <c r="B106" s="918" t="n">
        <v>39783</v>
      </c>
      <c r="C106" s="917" t="n">
        <f aca="false">YEAR(B106)</f>
        <v>2008</v>
      </c>
      <c r="D106" s="919" t="n">
        <f aca="false">IF(A106="January",D105+1,D105)</f>
        <v>8</v>
      </c>
      <c r="E106" s="865" t="n">
        <v>22</v>
      </c>
      <c r="F106" s="866" t="n">
        <v>4</v>
      </c>
      <c r="G106" s="866" t="n">
        <v>4</v>
      </c>
      <c r="H106" s="866" t="n">
        <v>1</v>
      </c>
      <c r="I106" s="867" t="n">
        <f aca="false">SUM(E106:H106)</f>
        <v>31</v>
      </c>
      <c r="J106" s="923"/>
      <c r="K106" s="924" t="n">
        <f aca="false">INDEX(FX!$A$3:$C$362,MATCH(B106,FX!$A$3:$A$362,0),MATCH("Monthly Curve",FX!$A$2:$C$2,0))</f>
        <v>1.34101468889929</v>
      </c>
      <c r="L106" s="924"/>
      <c r="M106" s="925" t="n">
        <v>3.2255</v>
      </c>
      <c r="N106" s="926" t="n">
        <v>0.27</v>
      </c>
      <c r="O106" s="927" t="n">
        <v>0.05</v>
      </c>
      <c r="P106" s="928" t="n">
        <f aca="false">N106+O106</f>
        <v>0.32</v>
      </c>
      <c r="Q106" s="929" t="n">
        <f aca="false">SUM(M106:O106)</f>
        <v>3.5455</v>
      </c>
      <c r="R106" s="979" t="n">
        <f aca="false">IF(A106="January",(R105+R105*Assumptions!$E$32),R105)</f>
        <v>0.344979864786059</v>
      </c>
      <c r="S106" s="931" t="n">
        <f aca="false">(Q106*K106)+R106</f>
        <v>5.09954744427849</v>
      </c>
      <c r="T106" s="924"/>
      <c r="U106" s="983"/>
      <c r="V106" s="980"/>
      <c r="W106" s="980"/>
      <c r="X106" s="972"/>
      <c r="Y106" s="981" t="n">
        <f aca="false">Tables!$D$36</f>
        <v>312</v>
      </c>
      <c r="Z106" s="935" t="n">
        <f aca="false">IF($Z$10=$V$10,V106,IF($Z$10=$W$10,W106,IF($Z$10=$X$10,X106,0)))</f>
        <v>0</v>
      </c>
      <c r="AA106" s="936" t="n">
        <f aca="false">Y106*Z106</f>
        <v>0</v>
      </c>
      <c r="AB106" s="937" t="n">
        <f aca="false">AA106*K106</f>
        <v>0</v>
      </c>
      <c r="AC106" s="938"/>
      <c r="AD106" s="882" t="n">
        <f aca="false">IF(Tables!$E$30="Michigan",INDEX('Michigan Curve'!$A$4:$S$256,MATCH('Monthly Table'!B106,'Michigan Curve'!$A$4:$A$256,0),MATCH("Michigan Selected Option Value US$/month",'Michigan Curve'!$A$4:$S$4,0)),INDEX('NY Curve'!$A$4:$T$256,MATCH('Monthly Table'!B106,'NY Curve'!$A$4:$A$256,0),MATCH("New York Selected Option Value US$/month",'NY Curve'!$A$4:$T$4,0)))</f>
        <v>8068.92045981202</v>
      </c>
      <c r="AE106" s="883" t="n">
        <f aca="false">AD106*K106</f>
        <v>10820.5408601679</v>
      </c>
      <c r="AF106" s="938"/>
      <c r="AG106" s="939"/>
      <c r="AH106" s="938"/>
      <c r="AI106" s="885" t="n">
        <f aca="false">Assumptions!$B$50</f>
        <v>65</v>
      </c>
      <c r="AJ106" s="940"/>
      <c r="AK106" s="887" t="n">
        <f aca="false">IF(Tables!$E$30="Custom",'Monthly Table'!AI106,IF(Tables!$E$30="New York",INDEX('NY Curve'!$A$4:$G$256,MATCH('Monthly Table'!B106,'NY Curve'!$A$4:$A$256,0),MATCH("Super Peak Curve",'NY Curve'!$A$4:$G$4,0)),IF(Tables!$E$30="New York Flat",INDEX('NY Curve'!$A$4:$G$256,MATCH('Monthly Table'!B106,'NY Curve'!$A$4:$A$256,0),MATCH("Flat NY West",'NY Curve'!$A$4:$G$4,0)),INDEX('Michigan Curve'!$A$4:$F$256,MATCH('Monthly Table'!B106,'Michigan Curve'!$A$4:$A$256,0),MATCH("Michigan Super Peak Curve US$/MWhr",'Michigan Curve'!$A$4:$F$4,0)))))</f>
        <v>27.7439949417114</v>
      </c>
      <c r="AL106" s="941" t="n">
        <f aca="false">IF(D106&lt;=Tables!$B$21,IF($AL$10=$AI$10,AI106,IF($AL$10=$AJ$10,AJ106,IF($AL$10=$AK$10,AK106,0))),0)</f>
        <v>27.7439949417114</v>
      </c>
      <c r="AM106" s="942" t="n">
        <f aca="false">+AL106*K106</f>
        <v>37.2051047455826</v>
      </c>
      <c r="AN106" s="943" t="n">
        <f aca="false">IF((AL106*K106)&gt;(CP106+$BF$4),1,0)</f>
        <v>0</v>
      </c>
      <c r="AO106" s="944"/>
      <c r="AP106" s="894"/>
      <c r="AQ106" s="892" t="n">
        <f aca="false">IF(Tables!$E$30="New York",INDEX('NY Curve'!$A$4:$L$256,MATCH('Monthly Table'!B106,'NY Curve'!$A$4:$A$256,0),MATCH("New York Shoulder Hour Curve Mon-Fri",'NY Curve'!$A$4:$L$4,0)),IF(Tables!$E$30="Michigan",INDEX('Michigan Curve'!$A$4:$K$256,MATCH('Monthly Table'!B106,'Michigan Curve'!$A$4:$A$256,0),MATCH("Michigan Shoulder Hour Curve Mon-Fri",'Michigan Curve'!$A$4:$K$4,0))))</f>
        <v>26.6559951400757</v>
      </c>
      <c r="AR106" s="889" t="n">
        <f aca="false">AQ106*K106</f>
        <v>35.7460810300696</v>
      </c>
      <c r="AS106" s="893" t="n">
        <f aca="false">IF(AR106&gt;($CP106+$BF$4),1,0)</f>
        <v>0</v>
      </c>
      <c r="AT106" s="938"/>
      <c r="AU106" s="892" t="n">
        <f aca="false">IF(Tables!$E$30="New York",INDEX('NY Curve'!$A$4:$L$256,MATCH('Monthly Table'!$B106,'NY Curve'!$A$4:$A$256,0),MATCH("New York Saturday Super Peak",'NY Curve'!$A$4:$L$4,0)),IF(Tables!$E$30="Michigan",INDEX('Michigan Curve'!$A$4:$K$256,MATCH('Monthly Table'!$B106,'Michigan Curve'!$A$4:$A$256,0),MATCH("Michigan Saturday Super Peak",'Michigan Curve'!$A$4:$K$4,0))))</f>
        <v>20.4</v>
      </c>
      <c r="AV106" s="894" t="n">
        <f aca="false">AU106*K106</f>
        <v>27.3566996535455</v>
      </c>
      <c r="AW106" s="893" t="n">
        <f aca="false">IF(AV106&gt;($CP106+$BF$4),1,0)</f>
        <v>0</v>
      </c>
      <c r="AX106" s="892" t="n">
        <f aca="false">IF(Tables!$E$30="New York",INDEX('NY Curve'!$A$4:$L$256,MATCH('Monthly Table'!$B106,'NY Curve'!$A$4:$A$256,0),MATCH("New York Saturday Shoulder Peak",'NY Curve'!$A$4:$L$4,0)),IF(Tables!$E$30="Michigan",INDEX('Michigan Curve'!$A$4:$K$256,MATCH('Monthly Table'!$B106,'Michigan Curve'!$A$4:$A$256,0),MATCH("Michigan Saturday Shoulder Peak",'Michigan Curve'!$A$4:$K$4,0))))</f>
        <v>19.6</v>
      </c>
      <c r="AY106" s="895" t="n">
        <f aca="false">AX106*K106</f>
        <v>26.2838879024261</v>
      </c>
      <c r="AZ106" s="893" t="n">
        <f aca="false">IF(AY106&gt;($CP106+$BF$4),1,0)</f>
        <v>0</v>
      </c>
      <c r="BA106" s="938"/>
      <c r="BB106" s="892" t="n">
        <f aca="false">IF(Tables!$E$30="New York",INDEX('NY Curve'!$A$4:$M$256,MATCH('Monthly Table'!$B106,'NY Curve'!$A$4:$A$256,0),MATCH("NY Sunday Super Peak",'NY Curve'!$A$4:$M$4,0)),IF(Tables!$E$30="Michigan",INDEX('Michigan Curve'!$A$4:$L$256,MATCH('Monthly Table'!$B106,'Michigan Curve'!$A$4:$A$256,0),MATCH("Michigan Sunday Super Peak",'Michigan Curve'!$A$4:$L$4,0))))</f>
        <v>19.38</v>
      </c>
      <c r="BC106" s="894" t="n">
        <f aca="false">BB106*K106</f>
        <v>25.9888646708682</v>
      </c>
      <c r="BD106" s="893" t="n">
        <f aca="false">IF(BC106&gt;($CP106+$BF$4),1,0)</f>
        <v>0</v>
      </c>
      <c r="BE106" s="938"/>
      <c r="BF106" s="948" t="n">
        <f aca="false">B106</f>
        <v>39783</v>
      </c>
      <c r="BG106" s="897" t="n">
        <f aca="false">IF($AN106=1,$E106*$BF$5,0)</f>
        <v>0</v>
      </c>
      <c r="BH106" s="982" t="n">
        <f aca="false">IF(Tables!$B$36="Combined Cycle",(BF106-BF105)*24*Assumptions!$B$21,0)</f>
        <v>0</v>
      </c>
      <c r="BI106" s="714" t="n">
        <f aca="false">IF($AN106=1,$E106*$BF$5,0)</f>
        <v>0</v>
      </c>
      <c r="BJ106" s="950" t="n">
        <f aca="false">IF('Monthly Table'!D106&lt;=Tables!$B$21,IF($BJ$10=$BG$10,BG106,IF($BJ$10=$BH$10,BH106,IF($BJ$10=$BI$10,BI106,0))),0)</f>
        <v>0</v>
      </c>
      <c r="BK106" s="288"/>
      <c r="BL106" s="898" t="n">
        <f aca="false">IF($AW106=1,$F106*$BF$5,0)</f>
        <v>0</v>
      </c>
      <c r="BM106" s="898" t="n">
        <f aca="false">IF($BD106=1,($G106+H106)*$BF$5,0)</f>
        <v>0</v>
      </c>
      <c r="BO106" s="898" t="n">
        <f aca="false">IF(AS106=1,BJ106,0)</f>
        <v>0</v>
      </c>
      <c r="BP106" s="898" t="n">
        <f aca="false">IF(AZ106=1,F106*$BF$5,0)</f>
        <v>0</v>
      </c>
      <c r="BR106" s="951" t="n">
        <f aca="false">IF(BJ106&gt;0,INDEX(OperationalDetail,MATCH("Capacity Degradation",ODColumn,0),MATCH('Monthly Table'!C106,ODRow,0)),0)</f>
        <v>0</v>
      </c>
      <c r="BS106" s="900" t="n">
        <f aca="false">BJ106*(1-BR106)*Tables!$C$36</f>
        <v>0</v>
      </c>
      <c r="BT106" s="953" t="n">
        <f aca="false">BS106*AL106/1000</f>
        <v>0</v>
      </c>
      <c r="BU106" s="953" t="n">
        <f aca="false">BT106*K106</f>
        <v>0</v>
      </c>
      <c r="BV106" s="188"/>
      <c r="BW106" s="901" t="n">
        <f aca="false">$BO106*(1-$BR106)*Tables!$C$36</f>
        <v>0</v>
      </c>
      <c r="BX106" s="902" t="n">
        <f aca="false">(BW106*AQ106)/1000</f>
        <v>0</v>
      </c>
      <c r="BY106" s="883" t="n">
        <f aca="false">BX106*K106</f>
        <v>0</v>
      </c>
      <c r="BZ106" s="938"/>
      <c r="CA106" s="901" t="n">
        <f aca="false">$BL106*(1-$BR106)*Tables!$C$36</f>
        <v>0</v>
      </c>
      <c r="CB106" s="902" t="n">
        <f aca="false">(CA106*AU106)/1000</f>
        <v>0</v>
      </c>
      <c r="CC106" s="883" t="n">
        <f aca="false">CB106*K106</f>
        <v>0</v>
      </c>
      <c r="CD106" s="901" t="n">
        <f aca="false">$BP106*(1-$BR106)*Tables!$C$36</f>
        <v>0</v>
      </c>
      <c r="CE106" s="902" t="n">
        <f aca="false">(CD106*AX106)/1000</f>
        <v>0</v>
      </c>
      <c r="CF106" s="883" t="n">
        <f aca="false">CE106*K106</f>
        <v>0</v>
      </c>
      <c r="CG106" s="110"/>
      <c r="CH106" s="901" t="n">
        <f aca="false">$BM106*(1-$BR106)*Tables!$C$36</f>
        <v>0</v>
      </c>
      <c r="CI106" s="902" t="n">
        <f aca="false">(CH106*BB106)/1000</f>
        <v>0</v>
      </c>
      <c r="CJ106" s="883" t="n">
        <f aca="false">CI106*K106</f>
        <v>0</v>
      </c>
      <c r="CK106" s="956"/>
      <c r="CL106" s="292" t="n">
        <f aca="false">C106-1</f>
        <v>2007</v>
      </c>
      <c r="CM106" s="903" t="n">
        <f aca="false">INDEX(OperationalDetail,MATCH("Degraded Heat Rate",ODColumn,0),MATCH('Monthly Table'!CL106,ODRow,0))/1000</f>
        <v>12.0166904</v>
      </c>
      <c r="CN106" s="958" t="n">
        <f aca="false">S106*CM106</f>
        <v>61.2796828180059</v>
      </c>
      <c r="CO106" s="959" t="n">
        <f aca="false">IF(A106="January",(CO105*(1+Assumptions!$E$32)),CO105)</f>
        <v>7.73711590016018</v>
      </c>
      <c r="CP106" s="960" t="n">
        <f aca="false">CN106+CO106</f>
        <v>69.0167987181661</v>
      </c>
      <c r="CQ106" s="956"/>
      <c r="CR106" s="961" t="str">
        <f aca="false">IF(BJ106=0,"",C106)</f>
        <v/>
      </c>
      <c r="CS106" s="856" t="str">
        <f aca="false">IF(BO106=0,"",$C106)</f>
        <v/>
      </c>
      <c r="CT106" s="856" t="str">
        <f aca="false">IF(BL106=0,"",$C106)</f>
        <v/>
      </c>
      <c r="CU106" s="856" t="str">
        <f aca="false">IF(BP106=0,"",$C106)</f>
        <v/>
      </c>
      <c r="CV106" s="856" t="str">
        <f aca="false">IF(BD106=0,"",$C106)</f>
        <v/>
      </c>
      <c r="CW106" s="962" t="n">
        <f aca="false">YEAR(BF106)</f>
        <v>2008</v>
      </c>
      <c r="CX106" s="963" t="n">
        <f aca="false">INDEX('NY Curve'!$A$4:$G$256,MATCH('Monthly Table'!B106,'NY Curve'!$A$4:$A$256,0),MATCH("New York 5 X 16",'NY Curve'!$A$4:$G$4,0))</f>
        <v>26.8</v>
      </c>
      <c r="CY106" s="964" t="n">
        <f aca="false">K106</f>
        <v>1.34101468889929</v>
      </c>
      <c r="CZ106" s="965" t="n">
        <f aca="false">CX106*CY106</f>
        <v>35.939193662501</v>
      </c>
      <c r="DA106" s="110"/>
      <c r="DB106" s="966"/>
      <c r="DC106" s="966"/>
      <c r="DD106" s="110"/>
      <c r="DE106" s="110"/>
      <c r="DF106" s="110"/>
      <c r="DG106" s="110"/>
      <c r="DH106" s="110"/>
    </row>
    <row r="107" customFormat="false" ht="18.75" hidden="false" customHeight="true" outlineLevel="0" collapsed="false">
      <c r="A107" s="49" t="s">
        <v>810</v>
      </c>
      <c r="B107" s="863" t="n">
        <v>39814</v>
      </c>
      <c r="C107" s="288" t="n">
        <f aca="false">YEAR(B107)</f>
        <v>2009</v>
      </c>
      <c r="D107" s="864" t="n">
        <f aca="false">IF(A107="January",D106+1,D106)</f>
        <v>9</v>
      </c>
      <c r="E107" s="865" t="n">
        <v>21</v>
      </c>
      <c r="F107" s="866" t="n">
        <v>5</v>
      </c>
      <c r="G107" s="866" t="n">
        <v>4</v>
      </c>
      <c r="H107" s="866" t="n">
        <v>1</v>
      </c>
      <c r="I107" s="867" t="n">
        <f aca="false">SUM(E107:H107)</f>
        <v>31</v>
      </c>
      <c r="J107" s="868"/>
      <c r="K107" s="869" t="n">
        <f aca="false">INDEX(FX!$A$3:$C$362,MATCH(B107,FX!$A$3:$A$362,0),MATCH("Monthly Curve",FX!$A$2:$C$2,0))</f>
        <v>1.34014519378005</v>
      </c>
      <c r="L107" s="869"/>
      <c r="M107" s="914" t="n">
        <v>3.296</v>
      </c>
      <c r="N107" s="915" t="n">
        <v>0.28</v>
      </c>
      <c r="O107" s="714" t="n">
        <v>0.05</v>
      </c>
      <c r="P107" s="872" t="n">
        <f aca="false">N107+O107</f>
        <v>0.33</v>
      </c>
      <c r="Q107" s="873" t="n">
        <f aca="false">SUM(M107:O107)</f>
        <v>3.626</v>
      </c>
      <c r="R107" s="974" t="n">
        <f aca="false">IF(A107="January",(R106+R106*Assumptions!$E$32),R106)</f>
        <v>0.35187946208178</v>
      </c>
      <c r="S107" s="875" t="n">
        <f aca="false">(Q107*K107)+R107</f>
        <v>5.21124593472824</v>
      </c>
      <c r="T107" s="869"/>
      <c r="U107" s="984"/>
      <c r="V107" s="978"/>
      <c r="W107" s="978"/>
      <c r="X107" s="971"/>
      <c r="Y107" s="975" t="n">
        <f aca="false">Tables!$D$36</f>
        <v>312</v>
      </c>
      <c r="Z107" s="879" t="n">
        <f aca="false">IF($Z$10=$V$10,V107,IF($Z$10=$W$10,W107,IF($Z$10=$X$10,X107,0)))</f>
        <v>0</v>
      </c>
      <c r="AA107" s="880" t="n">
        <f aca="false">Y107*Z107</f>
        <v>0</v>
      </c>
      <c r="AB107" s="881" t="n">
        <f aca="false">AA107*K107</f>
        <v>0</v>
      </c>
      <c r="AC107" s="188"/>
      <c r="AD107" s="882" t="n">
        <f aca="false">IF(Tables!$E$30="Michigan",INDEX('Michigan Curve'!$A$4:$S$256,MATCH('Monthly Table'!B107,'Michigan Curve'!$A$4:$A$256,0),MATCH("Michigan Selected Option Value US$/month",'Michigan Curve'!$A$4:$S$4,0)),INDEX('NY Curve'!$A$4:$T$256,MATCH('Monthly Table'!B107,'NY Curve'!$A$4:$A$256,0),MATCH("New York Selected Option Value US$/month",'NY Curve'!$A$4:$T$4,0)))</f>
        <v>37676.3208319755</v>
      </c>
      <c r="AE107" s="883" t="n">
        <f aca="false">AD107*K107</f>
        <v>50491.7402822871</v>
      </c>
      <c r="AF107" s="188"/>
      <c r="AG107" s="884"/>
      <c r="AH107" s="188"/>
      <c r="AI107" s="885" t="n">
        <f aca="false">Assumptions!$B$50</f>
        <v>65</v>
      </c>
      <c r="AJ107" s="916"/>
      <c r="AK107" s="887" t="n">
        <f aca="false">IF(Tables!$E$30="Custom",'Monthly Table'!AI107,IF(Tables!$E$30="New York",INDEX('NY Curve'!$A$4:$G$256,MATCH('Monthly Table'!B107,'NY Curve'!$A$4:$A$256,0),MATCH("Super Peak Curve",'NY Curve'!$A$4:$G$4,0)),IF(Tables!$E$30="New York Flat",INDEX('NY Curve'!$A$4:$G$256,MATCH('Monthly Table'!B107,'NY Curve'!$A$4:$A$256,0),MATCH("Flat NY West",'NY Curve'!$A$4:$G$4,0)),INDEX('Michigan Curve'!$A$4:$F$256,MATCH('Monthly Table'!B107,'Michigan Curve'!$A$4:$A$256,0),MATCH("Michigan Super Peak Curve US$/MWhr",'Michigan Curve'!$A$4:$F$4,0)))))</f>
        <v>33.3540003890991</v>
      </c>
      <c r="AL107" s="888" t="n">
        <f aca="false">IF(D107&lt;=Tables!$B$21,IF($AL$10=$AI$10,AI107,IF($AL$10=$AJ$10,AJ107,IF($AL$10=$AK$10,AK107,0))),0)</f>
        <v>33.3540003890991</v>
      </c>
      <c r="AM107" s="889" t="n">
        <f aca="false">+AL107*K107</f>
        <v>44.6992033147891</v>
      </c>
      <c r="AN107" s="890" t="n">
        <f aca="false">IF((AL107*K107)&gt;(CP107+$BF$4),1,0)</f>
        <v>0</v>
      </c>
      <c r="AO107" s="891"/>
      <c r="AP107" s="894"/>
      <c r="AQ107" s="892" t="n">
        <f aca="false">IF(Tables!$E$30="New York",INDEX('NY Curve'!$A$4:$L$256,MATCH('Monthly Table'!B107,'NY Curve'!$A$4:$A$256,0),MATCH("New York Shoulder Hour Curve Mon-Fri",'NY Curve'!$A$4:$L$4,0)),IF(Tables!$E$30="Michigan",INDEX('Michigan Curve'!$A$4:$K$256,MATCH('Monthly Table'!B107,'Michigan Curve'!$A$4:$A$256,0),MATCH("Michigan Shoulder Hour Curve Mon-Fri",'Michigan Curve'!$A$4:$K$4,0))))</f>
        <v>32.0460003738403</v>
      </c>
      <c r="AR107" s="889" t="n">
        <f aca="false">AQ107*K107</f>
        <v>42.9462933808758</v>
      </c>
      <c r="AS107" s="893" t="n">
        <f aca="false">IF(AR107&gt;($CP107+$BF$4),1,0)</f>
        <v>0</v>
      </c>
      <c r="AT107" s="188"/>
      <c r="AU107" s="892" t="n">
        <f aca="false">IF(Tables!$E$30="New York",INDEX('NY Curve'!$A$4:$L$256,MATCH('Monthly Table'!$B107,'NY Curve'!$A$4:$A$256,0),MATCH("New York Saturday Super Peak",'NY Curve'!$A$4:$L$4,0)),IF(Tables!$E$30="Michigan",INDEX('Michigan Curve'!$A$4:$K$256,MATCH('Monthly Table'!$B107,'Michigan Curve'!$A$4:$A$256,0),MATCH("Michigan Saturday Super Peak",'Michigan Curve'!$A$4:$K$4,0))))</f>
        <v>22.44</v>
      </c>
      <c r="AV107" s="894" t="n">
        <f aca="false">AU107*K107</f>
        <v>30.0728581484243</v>
      </c>
      <c r="AW107" s="893" t="n">
        <f aca="false">IF(AV107&gt;($CP107+$BF$4),1,0)</f>
        <v>0</v>
      </c>
      <c r="AX107" s="892" t="n">
        <f aca="false">IF(Tables!$E$30="New York",INDEX('NY Curve'!$A$4:$L$256,MATCH('Monthly Table'!$B107,'NY Curve'!$A$4:$A$256,0),MATCH("New York Saturday Shoulder Peak",'NY Curve'!$A$4:$L$4,0)),IF(Tables!$E$30="Michigan",INDEX('Michigan Curve'!$A$4:$K$256,MATCH('Monthly Table'!$B107,'Michigan Curve'!$A$4:$A$256,0),MATCH("Michigan Saturday Shoulder Peak",'Michigan Curve'!$A$4:$K$4,0))))</f>
        <v>21.56</v>
      </c>
      <c r="AY107" s="895" t="n">
        <f aca="false">AX107*K107</f>
        <v>28.8935303778979</v>
      </c>
      <c r="AZ107" s="893" t="n">
        <f aca="false">IF(AY107&gt;($CP107+$BF$4),1,0)</f>
        <v>0</v>
      </c>
      <c r="BA107" s="188"/>
      <c r="BB107" s="892" t="n">
        <f aca="false">IF(Tables!$E$30="New York",INDEX('NY Curve'!$A$4:$M$256,MATCH('Monthly Table'!$B107,'NY Curve'!$A$4:$A$256,0),MATCH("NY Sunday Super Peak",'NY Curve'!$A$4:$M$4,0)),IF(Tables!$E$30="Michigan",INDEX('Michigan Curve'!$A$4:$L$256,MATCH('Monthly Table'!$B107,'Michigan Curve'!$A$4:$A$256,0),MATCH("Michigan Sunday Super Peak",'Michigan Curve'!$A$4:$L$4,0))))</f>
        <v>21.42</v>
      </c>
      <c r="BC107" s="894" t="n">
        <f aca="false">BB107*K107</f>
        <v>28.7059100507687</v>
      </c>
      <c r="BD107" s="893" t="n">
        <f aca="false">IF(BC107&gt;($CP107+$BF$4),1,0)</f>
        <v>0</v>
      </c>
      <c r="BE107" s="188"/>
      <c r="BF107" s="896" t="n">
        <f aca="false">B107</f>
        <v>39814</v>
      </c>
      <c r="BG107" s="897" t="n">
        <f aca="false">IF($AN107=1,$E107*$BF$5,0)</f>
        <v>0</v>
      </c>
      <c r="BH107" s="976" t="n">
        <f aca="false">IF(Tables!$B$36="Combined Cycle",(BF107-BF106)*24*Assumptions!$B$21,0)</f>
        <v>0</v>
      </c>
      <c r="BI107" s="714" t="n">
        <f aca="false">IF($AN107=1,$E107*$BF$5,0)</f>
        <v>0</v>
      </c>
      <c r="BJ107" s="898" t="n">
        <f aca="false">IF('Monthly Table'!D107&lt;=Tables!$B$21,IF($BJ$10=$BG$10,BG107,IF($BJ$10=$BH$10,BH107,IF($BJ$10=$BI$10,BI107,0))),0)</f>
        <v>0</v>
      </c>
      <c r="BK107" s="288"/>
      <c r="BL107" s="898" t="n">
        <f aca="false">IF($AW107=1,$F107*$BF$5,0)</f>
        <v>0</v>
      </c>
      <c r="BM107" s="898" t="n">
        <f aca="false">IF($BD107=1,($G107+H107)*$BF$5,0)</f>
        <v>0</v>
      </c>
      <c r="BO107" s="898" t="n">
        <f aca="false">IF(AS107=1,BJ107,0)</f>
        <v>0</v>
      </c>
      <c r="BP107" s="898" t="n">
        <f aca="false">IF(AZ107=1,F107*$BF$5,0)</f>
        <v>0</v>
      </c>
      <c r="BR107" s="899" t="n">
        <f aca="false">IF(BJ107&gt;0,INDEX(OperationalDetail,MATCH("Capacity Degradation",ODColumn,0),MATCH('Monthly Table'!C107,ODRow,0)),0)</f>
        <v>0</v>
      </c>
      <c r="BS107" s="900" t="n">
        <f aca="false">BJ107*(1-BR107)*Tables!$C$36</f>
        <v>0</v>
      </c>
      <c r="BT107" s="883" t="n">
        <f aca="false">BS107*AL107/1000</f>
        <v>0</v>
      </c>
      <c r="BU107" s="883" t="n">
        <f aca="false">BT107*K107</f>
        <v>0</v>
      </c>
      <c r="BV107" s="188"/>
      <c r="BW107" s="901" t="n">
        <f aca="false">$BO107*(1-$BR107)*Tables!$C$36</f>
        <v>0</v>
      </c>
      <c r="BX107" s="902" t="n">
        <f aca="false">(BW107*AQ107)/1000</f>
        <v>0</v>
      </c>
      <c r="BY107" s="883" t="n">
        <f aca="false">BX107*K107</f>
        <v>0</v>
      </c>
      <c r="BZ107" s="188"/>
      <c r="CA107" s="901" t="n">
        <f aca="false">$BL107*(1-$BR107)*Tables!$C$36</f>
        <v>0</v>
      </c>
      <c r="CB107" s="902" t="n">
        <f aca="false">(CA107*AU107)/1000</f>
        <v>0</v>
      </c>
      <c r="CC107" s="883" t="n">
        <f aca="false">CB107*K107</f>
        <v>0</v>
      </c>
      <c r="CD107" s="901" t="n">
        <f aca="false">$BP107*(1-$BR107)*Tables!$C$36</f>
        <v>0</v>
      </c>
      <c r="CE107" s="902" t="n">
        <f aca="false">(CD107*AX107)/1000</f>
        <v>0</v>
      </c>
      <c r="CF107" s="883" t="n">
        <f aca="false">CE107*K107</f>
        <v>0</v>
      </c>
      <c r="CH107" s="901" t="n">
        <f aca="false">$BM107*(1-$BR107)*Tables!$C$36</f>
        <v>0</v>
      </c>
      <c r="CI107" s="902" t="n">
        <f aca="false">(CH107*BB107)/1000</f>
        <v>0</v>
      </c>
      <c r="CJ107" s="883" t="n">
        <f aca="false">CI107*K107</f>
        <v>0</v>
      </c>
      <c r="CK107" s="292"/>
      <c r="CL107" s="292" t="n">
        <f aca="false">C107-1</f>
        <v>2008</v>
      </c>
      <c r="CM107" s="903" t="n">
        <f aca="false">INDEX(OperationalDetail,MATCH("Degraded Heat Rate",ODColumn,0),MATCH('Monthly Table'!CL107,ODRow,0))/1000</f>
        <v>12.0475472</v>
      </c>
      <c r="CN107" s="904" t="n">
        <f aca="false">S107*CM107</f>
        <v>62.7827313694466</v>
      </c>
      <c r="CO107" s="905" t="n">
        <f aca="false">IF(A107="January",(CO106*(1+Assumptions!$E$32)),CO106)</f>
        <v>7.89185821816339</v>
      </c>
      <c r="CP107" s="906" t="n">
        <f aca="false">CN107+CO107</f>
        <v>70.67458958761</v>
      </c>
      <c r="CQ107" s="292"/>
      <c r="CR107" s="856" t="str">
        <f aca="false">IF(BJ107=0,"",C107)</f>
        <v/>
      </c>
      <c r="CS107" s="856" t="str">
        <f aca="false">IF(BO107=0,"",$C107)</f>
        <v/>
      </c>
      <c r="CT107" s="856" t="str">
        <f aca="false">IF(BL107=0,"",$C107)</f>
        <v/>
      </c>
      <c r="CU107" s="856" t="str">
        <f aca="false">IF(BP107=0,"",$C107)</f>
        <v/>
      </c>
      <c r="CV107" s="856" t="str">
        <f aca="false">IF(BD107=0,"",$C107)</f>
        <v/>
      </c>
      <c r="CW107" s="907" t="n">
        <f aca="false">YEAR(BF107)</f>
        <v>2009</v>
      </c>
      <c r="CX107" s="908" t="n">
        <f aca="false">INDEX('NY Curve'!$A$4:$G$256,MATCH('Monthly Table'!B107,'NY Curve'!$A$4:$A$256,0),MATCH("New York 5 X 16",'NY Curve'!$A$4:$G$4,0))</f>
        <v>32.15</v>
      </c>
      <c r="CY107" s="909" t="n">
        <f aca="false">K107</f>
        <v>1.34014519378005</v>
      </c>
      <c r="CZ107" s="910" t="n">
        <f aca="false">CX107*CY107</f>
        <v>43.0856679800286</v>
      </c>
      <c r="DB107" s="911"/>
      <c r="DC107" s="911"/>
    </row>
    <row r="108" customFormat="false" ht="18.75" hidden="false" customHeight="true" outlineLevel="0" collapsed="false">
      <c r="A108" s="49" t="s">
        <v>811</v>
      </c>
      <c r="B108" s="863" t="n">
        <v>39845</v>
      </c>
      <c r="C108" s="288" t="n">
        <f aca="false">YEAR(B108)</f>
        <v>2009</v>
      </c>
      <c r="D108" s="864" t="n">
        <f aca="false">IF(A108="January",D107+1,D107)</f>
        <v>9</v>
      </c>
      <c r="E108" s="865" t="n">
        <v>20</v>
      </c>
      <c r="F108" s="866" t="n">
        <v>4</v>
      </c>
      <c r="G108" s="866" t="n">
        <v>4</v>
      </c>
      <c r="H108" s="866" t="n">
        <v>0</v>
      </c>
      <c r="I108" s="867" t="n">
        <f aca="false">SUM(E108:H108)</f>
        <v>28</v>
      </c>
      <c r="J108" s="868"/>
      <c r="K108" s="869" t="n">
        <f aca="false">INDEX(FX!$A$3:$C$362,MATCH(B108,FX!$A$3:$A$362,0),MATCH("Monthly Curve",FX!$A$2:$C$2,0))</f>
        <v>1.33927976395429</v>
      </c>
      <c r="L108" s="869"/>
      <c r="M108" s="914" t="n">
        <v>3.183</v>
      </c>
      <c r="N108" s="915" t="n">
        <v>0.31</v>
      </c>
      <c r="O108" s="714" t="n">
        <v>0.05</v>
      </c>
      <c r="P108" s="872" t="n">
        <f aca="false">N108+O108</f>
        <v>0.36</v>
      </c>
      <c r="Q108" s="873" t="n">
        <f aca="false">SUM(M108:O108)</f>
        <v>3.543</v>
      </c>
      <c r="R108" s="974" t="n">
        <f aca="false">IF(A108="January",(R107+R107*Assumptions!$E$32),R107)</f>
        <v>0.35187946208178</v>
      </c>
      <c r="S108" s="875" t="n">
        <f aca="false">(Q108*K108)+R108</f>
        <v>5.09694766577183</v>
      </c>
      <c r="T108" s="869"/>
      <c r="U108" s="984"/>
      <c r="V108" s="978"/>
      <c r="W108" s="978"/>
      <c r="X108" s="971"/>
      <c r="Y108" s="975" t="n">
        <f aca="false">Tables!$D$36</f>
        <v>312</v>
      </c>
      <c r="Z108" s="879" t="n">
        <f aca="false">IF($Z$10=$V$10,V108,IF($Z$10=$W$10,W108,IF($Z$10=$X$10,X108,0)))</f>
        <v>0</v>
      </c>
      <c r="AA108" s="880" t="n">
        <f aca="false">Y108*Z108</f>
        <v>0</v>
      </c>
      <c r="AB108" s="881" t="n">
        <f aca="false">AA108*K108</f>
        <v>0</v>
      </c>
      <c r="AC108" s="188"/>
      <c r="AD108" s="882" t="n">
        <f aca="false">IF(Tables!$E$30="Michigan",INDEX('Michigan Curve'!$A$4:$S$256,MATCH('Monthly Table'!B108,'Michigan Curve'!$A$4:$A$256,0),MATCH("Michigan Selected Option Value US$/month",'Michigan Curve'!$A$4:$S$4,0)),INDEX('NY Curve'!$A$4:$T$256,MATCH('Monthly Table'!B108,'NY Curve'!$A$4:$A$256,0),MATCH("New York Selected Option Value US$/month",'NY Curve'!$A$4:$T$4,0)))</f>
        <v>36761.0219839915</v>
      </c>
      <c r="AE108" s="883" t="n">
        <f aca="false">AD108*K108</f>
        <v>49233.2928454386</v>
      </c>
      <c r="AF108" s="188"/>
      <c r="AG108" s="884"/>
      <c r="AH108" s="188"/>
      <c r="AI108" s="885" t="n">
        <f aca="false">Assumptions!$B$50</f>
        <v>65</v>
      </c>
      <c r="AJ108" s="916"/>
      <c r="AK108" s="887" t="n">
        <f aca="false">IF(Tables!$E$30="Custom",'Monthly Table'!AI108,IF(Tables!$E$30="New York",INDEX('NY Curve'!$A$4:$G$256,MATCH('Monthly Table'!B108,'NY Curve'!$A$4:$A$256,0),MATCH("Super Peak Curve",'NY Curve'!$A$4:$G$4,0)),IF(Tables!$E$30="New York Flat",INDEX('NY Curve'!$A$4:$G$256,MATCH('Monthly Table'!B108,'NY Curve'!$A$4:$A$256,0),MATCH("Flat NY West",'NY Curve'!$A$4:$G$4,0)),INDEX('Michigan Curve'!$A$4:$F$256,MATCH('Monthly Table'!B108,'Michigan Curve'!$A$4:$A$256,0),MATCH("Michigan Super Peak Curve US$/MWhr",'Michigan Curve'!$A$4:$F$4,0)))))</f>
        <v>33.3539984436035</v>
      </c>
      <c r="AL108" s="888" t="n">
        <f aca="false">IF(D108&lt;=Tables!$B$21,IF($AL$10=$AI$10,AI108,IF($AL$10=$AJ$10,AJ108,IF($AL$10=$AK$10,AK108,0))),0)</f>
        <v>33.3539984436035</v>
      </c>
      <c r="AM108" s="889" t="n">
        <f aca="false">+AL108*K108</f>
        <v>44.6703351624811</v>
      </c>
      <c r="AN108" s="890" t="n">
        <f aca="false">IF((AL108*K108)&gt;(CP108+$BF$4),1,0)</f>
        <v>0</v>
      </c>
      <c r="AO108" s="891"/>
      <c r="AP108" s="894"/>
      <c r="AQ108" s="892" t="n">
        <f aca="false">IF(Tables!$E$30="New York",INDEX('NY Curve'!$A$4:$L$256,MATCH('Monthly Table'!B108,'NY Curve'!$A$4:$A$256,0),MATCH("New York Shoulder Hour Curve Mon-Fri",'NY Curve'!$A$4:$L$4,0)),IF(Tables!$E$30="Michigan",INDEX('Michigan Curve'!$A$4:$K$256,MATCH('Monthly Table'!B108,'Michigan Curve'!$A$4:$A$256,0),MATCH("Michigan Shoulder Hour Curve Mon-Fri",'Michigan Curve'!$A$4:$K$4,0))))</f>
        <v>32.0459985046387</v>
      </c>
      <c r="AR108" s="889" t="n">
        <f aca="false">AQ108*K108</f>
        <v>42.918557312972</v>
      </c>
      <c r="AS108" s="893" t="n">
        <f aca="false">IF(AR108&gt;($CP108+$BF$4),1,0)</f>
        <v>0</v>
      </c>
      <c r="AT108" s="188"/>
      <c r="AU108" s="892" t="n">
        <f aca="false">IF(Tables!$E$30="New York",INDEX('NY Curve'!$A$4:$L$256,MATCH('Monthly Table'!$B108,'NY Curve'!$A$4:$A$256,0),MATCH("New York Saturday Super Peak",'NY Curve'!$A$4:$L$4,0)),IF(Tables!$E$30="Michigan",INDEX('Michigan Curve'!$A$4:$K$256,MATCH('Monthly Table'!$B108,'Michigan Curve'!$A$4:$A$256,0),MATCH("Michigan Saturday Super Peak",'Michigan Curve'!$A$4:$K$4,0))))</f>
        <v>22.4359202957153</v>
      </c>
      <c r="AV108" s="894" t="n">
        <f aca="false">AU108*K108</f>
        <v>30.0479740377429</v>
      </c>
      <c r="AW108" s="893" t="n">
        <f aca="false">IF(AV108&gt;($CP108+$BF$4),1,0)</f>
        <v>0</v>
      </c>
      <c r="AX108" s="892" t="n">
        <f aca="false">IF(Tables!$E$30="New York",INDEX('NY Curve'!$A$4:$L$256,MATCH('Monthly Table'!$B108,'NY Curve'!$A$4:$A$256,0),MATCH("New York Saturday Shoulder Peak",'NY Curve'!$A$4:$L$4,0)),IF(Tables!$E$30="Michigan",INDEX('Michigan Curve'!$A$4:$K$256,MATCH('Monthly Table'!$B108,'Michigan Curve'!$A$4:$A$256,0),MATCH("Michigan Saturday Shoulder Peak",'Michigan Curve'!$A$4:$K$4,0))))</f>
        <v>21.5560802841187</v>
      </c>
      <c r="AY108" s="895" t="n">
        <f aca="false">AX108*K108</f>
        <v>28.8696221146942</v>
      </c>
      <c r="AZ108" s="893" t="n">
        <f aca="false">IF(AY108&gt;($CP108+$BF$4),1,0)</f>
        <v>0</v>
      </c>
      <c r="BA108" s="188"/>
      <c r="BB108" s="892" t="n">
        <f aca="false">IF(Tables!$E$30="New York",INDEX('NY Curve'!$A$4:$M$256,MATCH('Monthly Table'!$B108,'NY Curve'!$A$4:$A$256,0),MATCH("NY Sunday Super Peak",'NY Curve'!$A$4:$M$4,0)),IF(Tables!$E$30="Michigan",INDEX('Michigan Curve'!$A$4:$L$256,MATCH('Monthly Table'!$B108,'Michigan Curve'!$A$4:$A$256,0),MATCH("Michigan Sunday Super Peak",'Michigan Curve'!$A$4:$L$4,0))))</f>
        <v>21.4164319610596</v>
      </c>
      <c r="BC108" s="894" t="n">
        <f aca="false">BB108*K108</f>
        <v>28.682593941551</v>
      </c>
      <c r="BD108" s="893" t="n">
        <f aca="false">IF(BC108&gt;($CP108+$BF$4),1,0)</f>
        <v>0</v>
      </c>
      <c r="BE108" s="188"/>
      <c r="BF108" s="896" t="n">
        <f aca="false">B108</f>
        <v>39845</v>
      </c>
      <c r="BG108" s="897" t="n">
        <f aca="false">IF($AN108=1,$E108*$BF$5,0)</f>
        <v>0</v>
      </c>
      <c r="BH108" s="976" t="n">
        <f aca="false">IF(Tables!$B$36="Combined Cycle",(BF108-BF107)*24*Assumptions!$B$21,0)</f>
        <v>0</v>
      </c>
      <c r="BI108" s="714" t="n">
        <f aca="false">IF($AN108=1,$E108*$BF$5,0)</f>
        <v>0</v>
      </c>
      <c r="BJ108" s="898" t="n">
        <f aca="false">IF('Monthly Table'!D108&lt;=Tables!$B$21,IF($BJ$10=$BG$10,BG108,IF($BJ$10=$BH$10,BH108,IF($BJ$10=$BI$10,BI108,0))),0)</f>
        <v>0</v>
      </c>
      <c r="BK108" s="288"/>
      <c r="BL108" s="898" t="n">
        <f aca="false">IF($AW108=1,$F108*$BF$5,0)</f>
        <v>0</v>
      </c>
      <c r="BM108" s="898" t="n">
        <f aca="false">IF($BD108=1,($G108+H108)*$BF$5,0)</f>
        <v>0</v>
      </c>
      <c r="BO108" s="898" t="n">
        <f aca="false">IF(AS108=1,BJ108,0)</f>
        <v>0</v>
      </c>
      <c r="BP108" s="898" t="n">
        <f aca="false">IF(AZ108=1,F108*$BF$5,0)</f>
        <v>0</v>
      </c>
      <c r="BR108" s="899" t="n">
        <f aca="false">IF(BJ108&gt;0,INDEX(OperationalDetail,MATCH("Capacity Degradation",ODColumn,0),MATCH('Monthly Table'!C108,ODRow,0)),0)</f>
        <v>0</v>
      </c>
      <c r="BS108" s="900" t="n">
        <f aca="false">BJ108*(1-BR108)*Tables!$C$36</f>
        <v>0</v>
      </c>
      <c r="BT108" s="883" t="n">
        <f aca="false">BS108*AL108/1000</f>
        <v>0</v>
      </c>
      <c r="BU108" s="883" t="n">
        <f aca="false">BT108*K108</f>
        <v>0</v>
      </c>
      <c r="BV108" s="188"/>
      <c r="BW108" s="901" t="n">
        <f aca="false">$BO108*(1-$BR108)*Tables!$C$36</f>
        <v>0</v>
      </c>
      <c r="BX108" s="902" t="n">
        <f aca="false">(BW108*AQ108)/1000</f>
        <v>0</v>
      </c>
      <c r="BY108" s="883" t="n">
        <f aca="false">BX108*K108</f>
        <v>0</v>
      </c>
      <c r="BZ108" s="188"/>
      <c r="CA108" s="901" t="n">
        <f aca="false">$BL108*(1-$BR108)*Tables!$C$36</f>
        <v>0</v>
      </c>
      <c r="CB108" s="902" t="n">
        <f aca="false">(CA108*AU108)/1000</f>
        <v>0</v>
      </c>
      <c r="CC108" s="883" t="n">
        <f aca="false">CB108*K108</f>
        <v>0</v>
      </c>
      <c r="CD108" s="901" t="n">
        <f aca="false">$BP108*(1-$BR108)*Tables!$C$36</f>
        <v>0</v>
      </c>
      <c r="CE108" s="902" t="n">
        <f aca="false">(CD108*AX108)/1000</f>
        <v>0</v>
      </c>
      <c r="CF108" s="883" t="n">
        <f aca="false">CE108*K108</f>
        <v>0</v>
      </c>
      <c r="CH108" s="901" t="n">
        <f aca="false">$BM108*(1-$BR108)*Tables!$C$36</f>
        <v>0</v>
      </c>
      <c r="CI108" s="902" t="n">
        <f aca="false">(CH108*BB108)/1000</f>
        <v>0</v>
      </c>
      <c r="CJ108" s="883" t="n">
        <f aca="false">CI108*K108</f>
        <v>0</v>
      </c>
      <c r="CK108" s="292"/>
      <c r="CL108" s="292" t="n">
        <f aca="false">C108-1</f>
        <v>2008</v>
      </c>
      <c r="CM108" s="903" t="n">
        <f aca="false">INDEX(OperationalDetail,MATCH("Degraded Heat Rate",ODColumn,0),MATCH('Monthly Table'!CL108,ODRow,0))/1000</f>
        <v>12.0475472</v>
      </c>
      <c r="CN108" s="904" t="n">
        <f aca="false">S108*CM108</f>
        <v>61.4057175793159</v>
      </c>
      <c r="CO108" s="905" t="n">
        <f aca="false">IF(A108="January",(CO107*(1+Assumptions!$E$32)),CO107)</f>
        <v>7.89185821816339</v>
      </c>
      <c r="CP108" s="906" t="n">
        <f aca="false">CN108+CO108</f>
        <v>69.2975757974793</v>
      </c>
      <c r="CQ108" s="292"/>
      <c r="CR108" s="856" t="str">
        <f aca="false">IF(BJ108=0,"",C108)</f>
        <v/>
      </c>
      <c r="CS108" s="856" t="str">
        <f aca="false">IF(BO108=0,"",$C108)</f>
        <v/>
      </c>
      <c r="CT108" s="856" t="str">
        <f aca="false">IF(BL108=0,"",$C108)</f>
        <v/>
      </c>
      <c r="CU108" s="856" t="str">
        <f aca="false">IF(BP108=0,"",$C108)</f>
        <v/>
      </c>
      <c r="CV108" s="856" t="str">
        <f aca="false">IF(BD108=0,"",$C108)</f>
        <v/>
      </c>
      <c r="CW108" s="907" t="n">
        <f aca="false">YEAR(BF108)</f>
        <v>2009</v>
      </c>
      <c r="CX108" s="908" t="n">
        <f aca="false">INDEX('NY Curve'!$A$4:$G$256,MATCH('Monthly Table'!B108,'NY Curve'!$A$4:$A$256,0),MATCH("New York 5 X 16",'NY Curve'!$A$4:$G$4,0))</f>
        <v>32.15</v>
      </c>
      <c r="CY108" s="909" t="n">
        <f aca="false">K108</f>
        <v>1.33927976395429</v>
      </c>
      <c r="CZ108" s="910" t="n">
        <f aca="false">CX108*CY108</f>
        <v>43.0578444111304</v>
      </c>
      <c r="DB108" s="911"/>
      <c r="DC108" s="911"/>
    </row>
    <row r="109" customFormat="false" ht="18.75" hidden="false" customHeight="true" outlineLevel="0" collapsed="false">
      <c r="A109" s="49" t="s">
        <v>812</v>
      </c>
      <c r="B109" s="863" t="n">
        <v>39873</v>
      </c>
      <c r="C109" s="288" t="n">
        <f aca="false">YEAR(B109)</f>
        <v>2009</v>
      </c>
      <c r="D109" s="864" t="n">
        <f aca="false">IF(A109="January",D108+1,D108)</f>
        <v>9</v>
      </c>
      <c r="E109" s="865" t="n">
        <v>22</v>
      </c>
      <c r="F109" s="866" t="n">
        <v>4</v>
      </c>
      <c r="G109" s="866" t="n">
        <v>5</v>
      </c>
      <c r="H109" s="866" t="n">
        <v>0</v>
      </c>
      <c r="I109" s="867" t="n">
        <f aca="false">SUM(E109:H109)</f>
        <v>31</v>
      </c>
      <c r="J109" s="868"/>
      <c r="K109" s="869" t="n">
        <f aca="false">INDEX(FX!$A$3:$C$362,MATCH(B109,FX!$A$3:$A$362,0),MATCH("Monthly Curve",FX!$A$2:$C$2,0))</f>
        <v>1.33850157361104</v>
      </c>
      <c r="L109" s="869"/>
      <c r="M109" s="914" t="n">
        <v>3.068</v>
      </c>
      <c r="N109" s="915" t="n">
        <v>0.31</v>
      </c>
      <c r="O109" s="714" t="n">
        <v>0.05</v>
      </c>
      <c r="P109" s="872" t="n">
        <f aca="false">N109+O109</f>
        <v>0.36</v>
      </c>
      <c r="Q109" s="873" t="n">
        <f aca="false">SUM(M109:O109)</f>
        <v>3.428</v>
      </c>
      <c r="R109" s="974" t="n">
        <f aca="false">IF(A109="January",(R108+R108*Assumptions!$E$32),R108)</f>
        <v>0.35187946208178</v>
      </c>
      <c r="S109" s="875" t="n">
        <f aca="false">(Q109*K109)+R109</f>
        <v>4.94026285642043</v>
      </c>
      <c r="T109" s="869"/>
      <c r="U109" s="984"/>
      <c r="V109" s="978"/>
      <c r="W109" s="978"/>
      <c r="X109" s="971"/>
      <c r="Y109" s="975" t="n">
        <f aca="false">Tables!$D$36</f>
        <v>312</v>
      </c>
      <c r="Z109" s="879" t="n">
        <f aca="false">IF($Z$10=$V$10,V109,IF($Z$10=$W$10,W109,IF($Z$10=$X$10,X109,0)))</f>
        <v>0</v>
      </c>
      <c r="AA109" s="880" t="n">
        <f aca="false">Y109*Z109</f>
        <v>0</v>
      </c>
      <c r="AB109" s="881" t="n">
        <f aca="false">AA109*K109</f>
        <v>0</v>
      </c>
      <c r="AC109" s="188"/>
      <c r="AD109" s="882" t="n">
        <f aca="false">IF(Tables!$E$30="Michigan",INDEX('Michigan Curve'!$A$4:$S$256,MATCH('Monthly Table'!B109,'Michigan Curve'!$A$4:$A$256,0),MATCH("Michigan Selected Option Value US$/month",'Michigan Curve'!$A$4:$S$4,0)),INDEX('NY Curve'!$A$4:$T$256,MATCH('Monthly Table'!B109,'NY Curve'!$A$4:$A$256,0),MATCH("New York Selected Option Value US$/month",'NY Curve'!$A$4:$T$4,0)))</f>
        <v>8237.97529676286</v>
      </c>
      <c r="AE109" s="883" t="n">
        <f aca="false">AD109*K109</f>
        <v>11026.542898086</v>
      </c>
      <c r="AF109" s="188"/>
      <c r="AG109" s="884"/>
      <c r="AH109" s="188"/>
      <c r="AI109" s="885" t="n">
        <f aca="false">Assumptions!$B$50</f>
        <v>65</v>
      </c>
      <c r="AJ109" s="916"/>
      <c r="AK109" s="887" t="n">
        <f aca="false">IF(Tables!$E$30="Custom",'Monthly Table'!AI109,IF(Tables!$E$30="New York",INDEX('NY Curve'!$A$4:$G$256,MATCH('Monthly Table'!B109,'NY Curve'!$A$4:$A$256,0),MATCH("Super Peak Curve",'NY Curve'!$A$4:$G$4,0)),IF(Tables!$E$30="New York Flat",INDEX('NY Curve'!$A$4:$G$256,MATCH('Monthly Table'!B109,'NY Curve'!$A$4:$A$256,0),MATCH("Flat NY West",'NY Curve'!$A$4:$G$4,0)),INDEX('Michigan Curve'!$A$4:$F$256,MATCH('Monthly Table'!B109,'Michigan Curve'!$A$4:$A$256,0),MATCH("Michigan Super Peak Curve US$/MWhr",'Michigan Curve'!$A$4:$F$4,0)))))</f>
        <v>28.05</v>
      </c>
      <c r="AL109" s="888" t="n">
        <f aca="false">IF(D109&lt;=Tables!$B$21,IF($AL$10=$AI$10,AI109,IF($AL$10=$AJ$10,AJ109,IF($AL$10=$AK$10,AK109,0))),0)</f>
        <v>28.05</v>
      </c>
      <c r="AM109" s="889" t="n">
        <f aca="false">+AL109*K109</f>
        <v>37.5449691397897</v>
      </c>
      <c r="AN109" s="890" t="n">
        <f aca="false">IF((AL109*K109)&gt;(CP109+$BF$4),1,0)</f>
        <v>0</v>
      </c>
      <c r="AO109" s="891"/>
      <c r="AP109" s="894"/>
      <c r="AQ109" s="892" t="n">
        <f aca="false">IF(Tables!$E$30="New York",INDEX('NY Curve'!$A$4:$L$256,MATCH('Monthly Table'!B109,'NY Curve'!$A$4:$A$256,0),MATCH("New York Shoulder Hour Curve Mon-Fri",'NY Curve'!$A$4:$L$4,0)),IF(Tables!$E$30="Michigan",INDEX('Michigan Curve'!$A$4:$K$256,MATCH('Monthly Table'!B109,'Michigan Curve'!$A$4:$A$256,0),MATCH("Michigan Shoulder Hour Curve Mon-Fri",'Michigan Curve'!$A$4:$K$4,0))))</f>
        <v>26.95</v>
      </c>
      <c r="AR109" s="889" t="n">
        <f aca="false">AQ109*K109</f>
        <v>36.0726174088175</v>
      </c>
      <c r="AS109" s="893" t="n">
        <f aca="false">IF(AR109&gt;($CP109+$BF$4),1,0)</f>
        <v>0</v>
      </c>
      <c r="AT109" s="188"/>
      <c r="AU109" s="892" t="n">
        <f aca="false">IF(Tables!$E$30="New York",INDEX('NY Curve'!$A$4:$L$256,MATCH('Monthly Table'!$B109,'NY Curve'!$A$4:$A$256,0),MATCH("New York Saturday Super Peak",'NY Curve'!$A$4:$L$4,0)),IF(Tables!$E$30="Michigan",INDEX('Michigan Curve'!$A$4:$K$256,MATCH('Monthly Table'!$B109,'Michigan Curve'!$A$4:$A$256,0),MATCH("Michigan Saturday Super Peak",'Michigan Curve'!$A$4:$K$4,0))))</f>
        <v>20.4</v>
      </c>
      <c r="AV109" s="894" t="n">
        <f aca="false">AU109*K109</f>
        <v>27.3054321016652</v>
      </c>
      <c r="AW109" s="893" t="n">
        <f aca="false">IF(AV109&gt;($CP109+$BF$4),1,0)</f>
        <v>0</v>
      </c>
      <c r="AX109" s="892" t="n">
        <f aca="false">IF(Tables!$E$30="New York",INDEX('NY Curve'!$A$4:$L$256,MATCH('Monthly Table'!$B109,'NY Curve'!$A$4:$A$256,0),MATCH("New York Saturday Shoulder Peak",'NY Curve'!$A$4:$L$4,0)),IF(Tables!$E$30="Michigan",INDEX('Michigan Curve'!$A$4:$K$256,MATCH('Monthly Table'!$B109,'Michigan Curve'!$A$4:$A$256,0),MATCH("Michigan Saturday Shoulder Peak",'Michigan Curve'!$A$4:$K$4,0))))</f>
        <v>19.6</v>
      </c>
      <c r="AY109" s="895" t="n">
        <f aca="false">AX109*K109</f>
        <v>26.2346308427764</v>
      </c>
      <c r="AZ109" s="893" t="n">
        <f aca="false">IF(AY109&gt;($CP109+$BF$4),1,0)</f>
        <v>0</v>
      </c>
      <c r="BA109" s="188"/>
      <c r="BB109" s="892" t="n">
        <f aca="false">IF(Tables!$E$30="New York",INDEX('NY Curve'!$A$4:$M$256,MATCH('Monthly Table'!$B109,'NY Curve'!$A$4:$A$256,0),MATCH("NY Sunday Super Peak",'NY Curve'!$A$4:$M$4,0)),IF(Tables!$E$30="Michigan",INDEX('Michigan Curve'!$A$4:$L$256,MATCH('Monthly Table'!$B109,'Michigan Curve'!$A$4:$A$256,0),MATCH("Michigan Sunday Super Peak",'Michigan Curve'!$A$4:$L$4,0))))</f>
        <v>19.38</v>
      </c>
      <c r="BC109" s="894" t="n">
        <f aca="false">BB109*K109</f>
        <v>25.940160496582</v>
      </c>
      <c r="BD109" s="893" t="n">
        <f aca="false">IF(BC109&gt;($CP109+$BF$4),1,0)</f>
        <v>0</v>
      </c>
      <c r="BE109" s="188"/>
      <c r="BF109" s="896" t="n">
        <f aca="false">B109</f>
        <v>39873</v>
      </c>
      <c r="BG109" s="897" t="n">
        <f aca="false">IF($AN109=1,$E109*$BF$5,0)</f>
        <v>0</v>
      </c>
      <c r="BH109" s="976" t="n">
        <f aca="false">IF(Tables!$B$36="Combined Cycle",(BF109-BF108)*24*Assumptions!$B$21,0)</f>
        <v>0</v>
      </c>
      <c r="BI109" s="714" t="n">
        <f aca="false">IF($AN109=1,$E109*$BF$5,0)</f>
        <v>0</v>
      </c>
      <c r="BJ109" s="898" t="n">
        <f aca="false">IF('Monthly Table'!D109&lt;=Tables!$B$21,IF($BJ$10=$BG$10,BG109,IF($BJ$10=$BH$10,BH109,IF($BJ$10=$BI$10,BI109,0))),0)</f>
        <v>0</v>
      </c>
      <c r="BK109" s="288"/>
      <c r="BL109" s="898" t="n">
        <f aca="false">IF($AW109=1,$F109*$BF$5,0)</f>
        <v>0</v>
      </c>
      <c r="BM109" s="898" t="n">
        <f aca="false">IF($BD109=1,($G109+H109)*$BF$5,0)</f>
        <v>0</v>
      </c>
      <c r="BO109" s="898" t="n">
        <f aca="false">IF(AS109=1,BJ109,0)</f>
        <v>0</v>
      </c>
      <c r="BP109" s="898" t="n">
        <f aca="false">IF(AZ109=1,F109*$BF$5,0)</f>
        <v>0</v>
      </c>
      <c r="BR109" s="899" t="n">
        <f aca="false">IF(BJ109&gt;0,INDEX(OperationalDetail,MATCH("Capacity Degradation",ODColumn,0),MATCH('Monthly Table'!C109,ODRow,0)),0)</f>
        <v>0</v>
      </c>
      <c r="BS109" s="900" t="n">
        <f aca="false">BJ109*(1-BR109)*Tables!$C$36</f>
        <v>0</v>
      </c>
      <c r="BT109" s="883" t="n">
        <f aca="false">BS109*AL109/1000</f>
        <v>0</v>
      </c>
      <c r="BU109" s="883" t="n">
        <f aca="false">BT109*K109</f>
        <v>0</v>
      </c>
      <c r="BV109" s="188"/>
      <c r="BW109" s="901" t="n">
        <f aca="false">$BO109*(1-$BR109)*Tables!$C$36</f>
        <v>0</v>
      </c>
      <c r="BX109" s="902" t="n">
        <f aca="false">(BW109*AQ109)/1000</f>
        <v>0</v>
      </c>
      <c r="BY109" s="883" t="n">
        <f aca="false">BX109*K109</f>
        <v>0</v>
      </c>
      <c r="BZ109" s="188"/>
      <c r="CA109" s="901" t="n">
        <f aca="false">$BL109*(1-$BR109)*Tables!$C$36</f>
        <v>0</v>
      </c>
      <c r="CB109" s="902" t="n">
        <f aca="false">(CA109*AU109)/1000</f>
        <v>0</v>
      </c>
      <c r="CC109" s="883" t="n">
        <f aca="false">CB109*K109</f>
        <v>0</v>
      </c>
      <c r="CD109" s="901" t="n">
        <f aca="false">$BP109*(1-$BR109)*Tables!$C$36</f>
        <v>0</v>
      </c>
      <c r="CE109" s="902" t="n">
        <f aca="false">(CD109*AX109)/1000</f>
        <v>0</v>
      </c>
      <c r="CF109" s="883" t="n">
        <f aca="false">CE109*K109</f>
        <v>0</v>
      </c>
      <c r="CH109" s="901" t="n">
        <f aca="false">$BM109*(1-$BR109)*Tables!$C$36</f>
        <v>0</v>
      </c>
      <c r="CI109" s="902" t="n">
        <f aca="false">(CH109*BB109)/1000</f>
        <v>0</v>
      </c>
      <c r="CJ109" s="883" t="n">
        <f aca="false">CI109*K109</f>
        <v>0</v>
      </c>
      <c r="CK109" s="292"/>
      <c r="CL109" s="292" t="n">
        <f aca="false">C109-1</f>
        <v>2008</v>
      </c>
      <c r="CM109" s="903" t="n">
        <f aca="false">INDEX(OperationalDetail,MATCH("Degraded Heat Rate",ODColumn,0),MATCH('Monthly Table'!CL109,ODRow,0))/1000</f>
        <v>12.0475472</v>
      </c>
      <c r="CN109" s="904" t="n">
        <f aca="false">S109*CM109</f>
        <v>59.5180499431319</v>
      </c>
      <c r="CO109" s="905" t="n">
        <f aca="false">IF(A109="January",(CO108*(1+Assumptions!$E$32)),CO108)</f>
        <v>7.89185821816339</v>
      </c>
      <c r="CP109" s="906" t="n">
        <f aca="false">CN109+CO109</f>
        <v>67.4099081612953</v>
      </c>
      <c r="CQ109" s="292"/>
      <c r="CR109" s="856" t="str">
        <f aca="false">IF(BJ109=0,"",C109)</f>
        <v/>
      </c>
      <c r="CS109" s="856" t="str">
        <f aca="false">IF(BO109=0,"",$C109)</f>
        <v/>
      </c>
      <c r="CT109" s="856" t="str">
        <f aca="false">IF(BL109=0,"",$C109)</f>
        <v/>
      </c>
      <c r="CU109" s="856" t="str">
        <f aca="false">IF(BP109=0,"",$C109)</f>
        <v/>
      </c>
      <c r="CV109" s="856" t="str">
        <f aca="false">IF(BD109=0,"",$C109)</f>
        <v/>
      </c>
      <c r="CW109" s="907" t="n">
        <f aca="false">YEAR(BF109)</f>
        <v>2009</v>
      </c>
      <c r="CX109" s="908" t="n">
        <f aca="false">INDEX('NY Curve'!$A$4:$G$256,MATCH('Monthly Table'!B109,'NY Curve'!$A$4:$A$256,0),MATCH("New York 5 X 16",'NY Curve'!$A$4:$G$4,0))</f>
        <v>27.15</v>
      </c>
      <c r="CY109" s="909" t="n">
        <f aca="false">K109</f>
        <v>1.33850157361104</v>
      </c>
      <c r="CZ109" s="910" t="n">
        <f aca="false">CX109*CY109</f>
        <v>36.3403177235397</v>
      </c>
      <c r="DB109" s="911"/>
      <c r="DC109" s="911"/>
    </row>
    <row r="110" customFormat="false" ht="18.75" hidden="false" customHeight="true" outlineLevel="0" collapsed="false">
      <c r="A110" s="49" t="s">
        <v>813</v>
      </c>
      <c r="B110" s="863" t="n">
        <v>39904</v>
      </c>
      <c r="C110" s="288" t="n">
        <f aca="false">YEAR(B110)</f>
        <v>2009</v>
      </c>
      <c r="D110" s="864" t="n">
        <f aca="false">IF(A110="January",D109+1,D109)</f>
        <v>9</v>
      </c>
      <c r="E110" s="865" t="n">
        <v>22</v>
      </c>
      <c r="F110" s="866" t="n">
        <v>4</v>
      </c>
      <c r="G110" s="866" t="n">
        <v>4</v>
      </c>
      <c r="H110" s="866" t="n">
        <v>0</v>
      </c>
      <c r="I110" s="867" t="n">
        <f aca="false">SUM(E110:H110)</f>
        <v>30</v>
      </c>
      <c r="J110" s="868"/>
      <c r="K110" s="869" t="n">
        <f aca="false">INDEX(FX!$A$3:$C$362,MATCH(B110,FX!$A$3:$A$362,0),MATCH("Monthly Curve",FX!$A$2:$C$2,0))</f>
        <v>1.33764386106961</v>
      </c>
      <c r="L110" s="869"/>
      <c r="M110" s="914" t="n">
        <v>3.0005</v>
      </c>
      <c r="N110" s="915" t="n">
        <v>0.145</v>
      </c>
      <c r="O110" s="714" t="n">
        <v>0.05</v>
      </c>
      <c r="P110" s="872" t="n">
        <f aca="false">N110+O110</f>
        <v>0.195</v>
      </c>
      <c r="Q110" s="873" t="n">
        <f aca="false">SUM(M110:O110)</f>
        <v>3.1955</v>
      </c>
      <c r="R110" s="974" t="n">
        <f aca="false">IF(A110="January",(R109+R109*Assumptions!$E$32),R109)</f>
        <v>0.35187946208178</v>
      </c>
      <c r="S110" s="875" t="n">
        <f aca="false">(Q110*K110)+R110</f>
        <v>4.62632042012972</v>
      </c>
      <c r="T110" s="869"/>
      <c r="U110" s="984"/>
      <c r="V110" s="978"/>
      <c r="W110" s="978"/>
      <c r="X110" s="971"/>
      <c r="Y110" s="975" t="n">
        <f aca="false">Tables!$D$36</f>
        <v>312</v>
      </c>
      <c r="Z110" s="879" t="n">
        <f aca="false">IF($Z$10=$V$10,V110,IF($Z$10=$W$10,W110,IF($Z$10=$X$10,X110,0)))</f>
        <v>0</v>
      </c>
      <c r="AA110" s="880" t="n">
        <f aca="false">Y110*Z110</f>
        <v>0</v>
      </c>
      <c r="AB110" s="881" t="n">
        <f aca="false">AA110*K110</f>
        <v>0</v>
      </c>
      <c r="AC110" s="188"/>
      <c r="AD110" s="882" t="n">
        <f aca="false">IF(Tables!$E$30="Michigan",INDEX('Michigan Curve'!$A$4:$S$256,MATCH('Monthly Table'!B110,'Michigan Curve'!$A$4:$A$256,0),MATCH("Michigan Selected Option Value US$/month",'Michigan Curve'!$A$4:$S$4,0)),INDEX('NY Curve'!$A$4:$T$256,MATCH('Monthly Table'!B110,'NY Curve'!$A$4:$A$256,0),MATCH("New York Selected Option Value US$/month",'NY Curve'!$A$4:$T$4,0)))</f>
        <v>10543.0099283942</v>
      </c>
      <c r="AE110" s="883" t="n">
        <f aca="false">AD110*K110</f>
        <v>14102.7925079125</v>
      </c>
      <c r="AF110" s="188"/>
      <c r="AG110" s="884"/>
      <c r="AH110" s="188"/>
      <c r="AI110" s="885" t="n">
        <f aca="false">Assumptions!$B$50</f>
        <v>65</v>
      </c>
      <c r="AJ110" s="916"/>
      <c r="AK110" s="887" t="n">
        <f aca="false">IF(Tables!$E$30="Custom",'Monthly Table'!AI110,IF(Tables!$E$30="New York",INDEX('NY Curve'!$A$4:$G$256,MATCH('Monthly Table'!B110,'NY Curve'!$A$4:$A$256,0),MATCH("Super Peak Curve",'NY Curve'!$A$4:$G$4,0)),IF(Tables!$E$30="New York Flat",INDEX('NY Curve'!$A$4:$G$256,MATCH('Monthly Table'!B110,'NY Curve'!$A$4:$A$256,0),MATCH("Flat NY West",'NY Curve'!$A$4:$G$4,0)),INDEX('Michigan Curve'!$A$4:$F$256,MATCH('Monthly Table'!B110,'Michigan Curve'!$A$4:$A$256,0),MATCH("Michigan Super Peak Curve US$/MWhr",'Michigan Curve'!$A$4:$F$4,0)))))</f>
        <v>27.75</v>
      </c>
      <c r="AL110" s="888" t="n">
        <f aca="false">IF(D110&lt;=Tables!$B$21,IF($AL$10=$AI$10,AI110,IF($AL$10=$AJ$10,AJ110,IF($AL$10=$AK$10,AK110,0))),0)</f>
        <v>27.75</v>
      </c>
      <c r="AM110" s="889" t="n">
        <f aca="false">+AL110*K110</f>
        <v>37.1196171446817</v>
      </c>
      <c r="AN110" s="890" t="n">
        <f aca="false">IF((AL110*K110)&gt;(CP110+$BF$4),1,0)</f>
        <v>0</v>
      </c>
      <c r="AO110" s="891"/>
      <c r="AP110" s="894"/>
      <c r="AQ110" s="892" t="n">
        <f aca="false">IF(Tables!$E$30="New York",INDEX('NY Curve'!$A$4:$L$256,MATCH('Monthly Table'!B110,'NY Curve'!$A$4:$A$256,0),MATCH("New York Shoulder Hour Curve Mon-Fri",'NY Curve'!$A$4:$L$4,0)),IF(Tables!$E$30="Michigan",INDEX('Michigan Curve'!$A$4:$K$256,MATCH('Monthly Table'!B110,'Michigan Curve'!$A$4:$A$256,0),MATCH("Michigan Shoulder Hour Curve Mon-Fri",'Michigan Curve'!$A$4:$K$4,0))))</f>
        <v>27.75</v>
      </c>
      <c r="AR110" s="889" t="n">
        <f aca="false">AQ110*K110</f>
        <v>37.1196171446817</v>
      </c>
      <c r="AS110" s="893" t="n">
        <f aca="false">IF(AR110&gt;($CP110+$BF$4),1,0)</f>
        <v>0</v>
      </c>
      <c r="AT110" s="188"/>
      <c r="AU110" s="892" t="n">
        <f aca="false">IF(Tables!$E$30="New York",INDEX('NY Curve'!$A$4:$L$256,MATCH('Monthly Table'!$B110,'NY Curve'!$A$4:$A$256,0),MATCH("New York Saturday Super Peak",'NY Curve'!$A$4:$L$4,0)),IF(Tables!$E$30="Michigan",INDEX('Michigan Curve'!$A$4:$K$256,MATCH('Monthly Table'!$B110,'Michigan Curve'!$A$4:$A$256,0),MATCH("Michigan Saturday Super Peak",'Michigan Curve'!$A$4:$K$4,0))))</f>
        <v>20</v>
      </c>
      <c r="AV110" s="894" t="n">
        <f aca="false">AU110*K110</f>
        <v>26.7528772213922</v>
      </c>
      <c r="AW110" s="893" t="n">
        <f aca="false">IF(AV110&gt;($CP110+$BF$4),1,0)</f>
        <v>0</v>
      </c>
      <c r="AX110" s="892" t="n">
        <f aca="false">IF(Tables!$E$30="New York",INDEX('NY Curve'!$A$4:$L$256,MATCH('Monthly Table'!$B110,'NY Curve'!$A$4:$A$256,0),MATCH("New York Saturday Shoulder Peak",'NY Curve'!$A$4:$L$4,0)),IF(Tables!$E$30="Michigan",INDEX('Michigan Curve'!$A$4:$K$256,MATCH('Monthly Table'!$B110,'Michigan Curve'!$A$4:$A$256,0),MATCH("Michigan Saturday Shoulder Peak",'Michigan Curve'!$A$4:$K$4,0))))</f>
        <v>20</v>
      </c>
      <c r="AY110" s="895" t="n">
        <f aca="false">AX110*K110</f>
        <v>26.7528772213922</v>
      </c>
      <c r="AZ110" s="893" t="n">
        <f aca="false">IF(AY110&gt;($CP110+$BF$4),1,0)</f>
        <v>0</v>
      </c>
      <c r="BA110" s="188"/>
      <c r="BB110" s="892" t="n">
        <f aca="false">IF(Tables!$E$30="New York",INDEX('NY Curve'!$A$4:$M$256,MATCH('Monthly Table'!$B110,'NY Curve'!$A$4:$A$256,0),MATCH("NY Sunday Super Peak",'NY Curve'!$A$4:$M$4,0)),IF(Tables!$E$30="Michigan",INDEX('Michigan Curve'!$A$4:$L$256,MATCH('Monthly Table'!$B110,'Michigan Curve'!$A$4:$A$256,0),MATCH("Michigan Sunday Super Peak",'Michigan Curve'!$A$4:$L$4,0))))</f>
        <v>18.9950008392334</v>
      </c>
      <c r="BC110" s="894" t="n">
        <f aca="false">BB110*K110</f>
        <v>25.4085462636126</v>
      </c>
      <c r="BD110" s="893" t="n">
        <f aca="false">IF(BC110&gt;($CP110+$BF$4),1,0)</f>
        <v>0</v>
      </c>
      <c r="BE110" s="188"/>
      <c r="BF110" s="896" t="n">
        <f aca="false">B110</f>
        <v>39904</v>
      </c>
      <c r="BG110" s="897" t="n">
        <f aca="false">IF($AN110=1,$E110*$BF$5,0)</f>
        <v>0</v>
      </c>
      <c r="BH110" s="976" t="n">
        <f aca="false">IF(Tables!$B$36="Combined Cycle",(BF110-BF109)*24*Assumptions!$B$21,0)</f>
        <v>0</v>
      </c>
      <c r="BI110" s="714" t="n">
        <f aca="false">IF($AN110=1,$E110*$BF$5,0)</f>
        <v>0</v>
      </c>
      <c r="BJ110" s="898" t="n">
        <f aca="false">IF('Monthly Table'!D110&lt;=Tables!$B$21,IF($BJ$10=$BG$10,BG110,IF($BJ$10=$BH$10,BH110,IF($BJ$10=$BI$10,BI110,0))),0)</f>
        <v>0</v>
      </c>
      <c r="BK110" s="288"/>
      <c r="BL110" s="898" t="n">
        <f aca="false">IF($AW110=1,$F110*$BF$5,0)</f>
        <v>0</v>
      </c>
      <c r="BM110" s="898" t="n">
        <f aca="false">IF($BD110=1,($G110+H110)*$BF$5,0)</f>
        <v>0</v>
      </c>
      <c r="BO110" s="898" t="n">
        <f aca="false">IF(AS110=1,BJ110,0)</f>
        <v>0</v>
      </c>
      <c r="BP110" s="898" t="n">
        <f aca="false">IF(AZ110=1,F110*$BF$5,0)</f>
        <v>0</v>
      </c>
      <c r="BR110" s="899" t="n">
        <f aca="false">IF(BJ110&gt;0,INDEX(OperationalDetail,MATCH("Capacity Degradation",ODColumn,0),MATCH('Monthly Table'!C110,ODRow,0)),0)</f>
        <v>0</v>
      </c>
      <c r="BS110" s="900" t="n">
        <f aca="false">BJ110*(1-BR110)*Tables!$C$36</f>
        <v>0</v>
      </c>
      <c r="BT110" s="883" t="n">
        <f aca="false">BS110*AL110/1000</f>
        <v>0</v>
      </c>
      <c r="BU110" s="883" t="n">
        <f aca="false">BT110*K110</f>
        <v>0</v>
      </c>
      <c r="BV110" s="188"/>
      <c r="BW110" s="901" t="n">
        <f aca="false">$BO110*(1-$BR110)*Tables!$C$36</f>
        <v>0</v>
      </c>
      <c r="BX110" s="902" t="n">
        <f aca="false">(BW110*AQ110)/1000</f>
        <v>0</v>
      </c>
      <c r="BY110" s="883" t="n">
        <f aca="false">BX110*K110</f>
        <v>0</v>
      </c>
      <c r="BZ110" s="188"/>
      <c r="CA110" s="901" t="n">
        <f aca="false">$BL110*(1-$BR110)*Tables!$C$36</f>
        <v>0</v>
      </c>
      <c r="CB110" s="902" t="n">
        <f aca="false">(CA110*AU110)/1000</f>
        <v>0</v>
      </c>
      <c r="CC110" s="883" t="n">
        <f aca="false">CB110*K110</f>
        <v>0</v>
      </c>
      <c r="CD110" s="901" t="n">
        <f aca="false">$BP110*(1-$BR110)*Tables!$C$36</f>
        <v>0</v>
      </c>
      <c r="CE110" s="902" t="n">
        <f aca="false">(CD110*AX110)/1000</f>
        <v>0</v>
      </c>
      <c r="CF110" s="883" t="n">
        <f aca="false">CE110*K110</f>
        <v>0</v>
      </c>
      <c r="CH110" s="901" t="n">
        <f aca="false">$BM110*(1-$BR110)*Tables!$C$36</f>
        <v>0</v>
      </c>
      <c r="CI110" s="902" t="n">
        <f aca="false">(CH110*BB110)/1000</f>
        <v>0</v>
      </c>
      <c r="CJ110" s="883" t="n">
        <f aca="false">CI110*K110</f>
        <v>0</v>
      </c>
      <c r="CK110" s="292"/>
      <c r="CL110" s="292" t="n">
        <f aca="false">C110-1</f>
        <v>2008</v>
      </c>
      <c r="CM110" s="903" t="n">
        <f aca="false">INDEX(OperationalDetail,MATCH("Degraded Heat Rate",ODColumn,0),MATCH('Monthly Table'!CL110,ODRow,0))/1000</f>
        <v>12.0475472</v>
      </c>
      <c r="CN110" s="904" t="n">
        <f aca="false">S110*CM110</f>
        <v>55.7358136238366</v>
      </c>
      <c r="CO110" s="905" t="n">
        <f aca="false">IF(A110="January",(CO109*(1+Assumptions!$E$32)),CO109)</f>
        <v>7.89185821816339</v>
      </c>
      <c r="CP110" s="906" t="n">
        <f aca="false">CN110+CO110</f>
        <v>63.627671842</v>
      </c>
      <c r="CQ110" s="292"/>
      <c r="CR110" s="856" t="str">
        <f aca="false">IF(BJ110=0,"",C110)</f>
        <v/>
      </c>
      <c r="CS110" s="856" t="str">
        <f aca="false">IF(BO110=0,"",$C110)</f>
        <v/>
      </c>
      <c r="CT110" s="856" t="str">
        <f aca="false">IF(BL110=0,"",$C110)</f>
        <v/>
      </c>
      <c r="CU110" s="856" t="str">
        <f aca="false">IF(BP110=0,"",$C110)</f>
        <v/>
      </c>
      <c r="CV110" s="856" t="str">
        <f aca="false">IF(BD110=0,"",$C110)</f>
        <v/>
      </c>
      <c r="CW110" s="907" t="n">
        <f aca="false">YEAR(BF110)</f>
        <v>2009</v>
      </c>
      <c r="CX110" s="908" t="n">
        <f aca="false">INDEX('NY Curve'!$A$4:$G$256,MATCH('Monthly Table'!B110,'NY Curve'!$A$4:$A$256,0),MATCH("New York 5 X 16",'NY Curve'!$A$4:$G$4,0))</f>
        <v>25.9</v>
      </c>
      <c r="CY110" s="909" t="n">
        <f aca="false">K110</f>
        <v>1.33764386106961</v>
      </c>
      <c r="CZ110" s="910" t="n">
        <f aca="false">CX110*CY110</f>
        <v>34.6449760017029</v>
      </c>
      <c r="DB110" s="911"/>
      <c r="DC110" s="911"/>
    </row>
    <row r="111" customFormat="false" ht="18.75" hidden="false" customHeight="true" outlineLevel="0" collapsed="false">
      <c r="A111" s="49" t="s">
        <v>814</v>
      </c>
      <c r="B111" s="863" t="n">
        <v>39934</v>
      </c>
      <c r="C111" s="288" t="n">
        <f aca="false">YEAR(B111)</f>
        <v>2009</v>
      </c>
      <c r="D111" s="864" t="n">
        <f aca="false">IF(A111="January",D110+1,D110)</f>
        <v>9</v>
      </c>
      <c r="E111" s="865" t="n">
        <v>20</v>
      </c>
      <c r="F111" s="866" t="n">
        <v>5</v>
      </c>
      <c r="G111" s="866" t="n">
        <v>5</v>
      </c>
      <c r="H111" s="866" t="n">
        <v>1</v>
      </c>
      <c r="I111" s="867" t="n">
        <f aca="false">SUM(E111:H111)</f>
        <v>31</v>
      </c>
      <c r="J111" s="868"/>
      <c r="K111" s="869" t="n">
        <f aca="false">INDEX(FX!$A$3:$C$362,MATCH(B111,FX!$A$3:$A$362,0),MATCH("Monthly Curve",FX!$A$2:$C$2,0))</f>
        <v>1.33681766761604</v>
      </c>
      <c r="L111" s="869"/>
      <c r="M111" s="914" t="n">
        <v>2.9745</v>
      </c>
      <c r="N111" s="915" t="n">
        <v>0.145</v>
      </c>
      <c r="O111" s="714" t="n">
        <v>0.05</v>
      </c>
      <c r="P111" s="872" t="n">
        <f aca="false">N111+O111</f>
        <v>0.195</v>
      </c>
      <c r="Q111" s="873" t="n">
        <f aca="false">SUM(M111:O111)</f>
        <v>3.1695</v>
      </c>
      <c r="R111" s="974" t="n">
        <f aca="false">IF(A111="January",(R110+R110*Assumptions!$E$32),R110)</f>
        <v>0.35187946208178</v>
      </c>
      <c r="S111" s="875" t="n">
        <f aca="false">(Q111*K111)+R111</f>
        <v>4.58892305959082</v>
      </c>
      <c r="T111" s="869"/>
      <c r="U111" s="984"/>
      <c r="V111" s="978"/>
      <c r="W111" s="978"/>
      <c r="X111" s="971"/>
      <c r="Y111" s="975" t="n">
        <f aca="false">Tables!$D$36</f>
        <v>312</v>
      </c>
      <c r="Z111" s="879" t="n">
        <f aca="false">IF($Z$10=$V$10,V111,IF($Z$10=$W$10,W111,IF($Z$10=$X$10,X111,0)))</f>
        <v>0</v>
      </c>
      <c r="AA111" s="880" t="n">
        <f aca="false">Y111*Z111</f>
        <v>0</v>
      </c>
      <c r="AB111" s="881" t="n">
        <f aca="false">AA111*K111</f>
        <v>0</v>
      </c>
      <c r="AC111" s="188"/>
      <c r="AD111" s="882" t="n">
        <f aca="false">IF(Tables!$E$30="Michigan",INDEX('Michigan Curve'!$A$4:$S$256,MATCH('Monthly Table'!B111,'Michigan Curve'!$A$4:$A$256,0),MATCH("Michigan Selected Option Value US$/month",'Michigan Curve'!$A$4:$S$4,0)),INDEX('NY Curve'!$A$4:$T$256,MATCH('Monthly Table'!B111,'NY Curve'!$A$4:$A$256,0),MATCH("New York Selected Option Value US$/month",'NY Curve'!$A$4:$T$4,0)))</f>
        <v>23892.0169146468</v>
      </c>
      <c r="AE111" s="883" t="n">
        <f aca="false">AD111*K111</f>
        <v>31939.2703264811</v>
      </c>
      <c r="AF111" s="188"/>
      <c r="AG111" s="884"/>
      <c r="AH111" s="188"/>
      <c r="AI111" s="885" t="n">
        <f aca="false">Assumptions!$B$50</f>
        <v>65</v>
      </c>
      <c r="AJ111" s="916"/>
      <c r="AK111" s="887" t="n">
        <f aca="false">IF(Tables!$E$30="Custom",'Monthly Table'!AI111,IF(Tables!$E$30="New York",INDEX('NY Curve'!$A$4:$G$256,MATCH('Monthly Table'!B111,'NY Curve'!$A$4:$A$256,0),MATCH("Super Peak Curve",'NY Curve'!$A$4:$G$4,0)),IF(Tables!$E$30="New York Flat",INDEX('NY Curve'!$A$4:$G$256,MATCH('Monthly Table'!B111,'NY Curve'!$A$4:$A$256,0),MATCH("Flat NY West",'NY Curve'!$A$4:$G$4,0)),INDEX('Michigan Curve'!$A$4:$F$256,MATCH('Monthly Table'!B111,'Michigan Curve'!$A$4:$A$256,0),MATCH("Michigan Super Peak Curve US$/MWhr",'Michigan Curve'!$A$4:$F$4,0)))))</f>
        <v>33.9018750563264</v>
      </c>
      <c r="AL111" s="888" t="n">
        <f aca="false">IF(D111&lt;=Tables!$B$21,IF($AL$10=$AI$10,AI111,IF($AL$10=$AJ$10,AJ111,IF($AL$10=$AK$10,AK111,0))),0)</f>
        <v>33.9018750563264</v>
      </c>
      <c r="AM111" s="889" t="n">
        <f aca="false">+AL111*K111</f>
        <v>45.3206255406086</v>
      </c>
      <c r="AN111" s="890" t="n">
        <f aca="false">IF((AL111*K111)&gt;(CP111+$BF$4),1,0)</f>
        <v>0</v>
      </c>
      <c r="AO111" s="891"/>
      <c r="AP111" s="894"/>
      <c r="AQ111" s="892" t="n">
        <f aca="false">IF(Tables!$E$30="New York",INDEX('NY Curve'!$A$4:$L$256,MATCH('Monthly Table'!B111,'NY Curve'!$A$4:$A$256,0),MATCH("New York Shoulder Hour Curve Mon-Fri",'NY Curve'!$A$4:$L$4,0)),IF(Tables!$E$30="Michigan",INDEX('Michigan Curve'!$A$4:$K$256,MATCH('Monthly Table'!B111,'Michigan Curve'!$A$4:$A$256,0),MATCH("Michigan Shoulder Hour Curve Mon-Fri",'Michigan Curve'!$A$4:$K$4,0))))</f>
        <v>29.0981249436736</v>
      </c>
      <c r="AR111" s="889" t="n">
        <f aca="false">AQ111*K111</f>
        <v>38.8988875192019</v>
      </c>
      <c r="AS111" s="893" t="n">
        <f aca="false">IF(AR111&gt;($CP111+$BF$4),1,0)</f>
        <v>0</v>
      </c>
      <c r="AT111" s="188"/>
      <c r="AU111" s="892" t="n">
        <f aca="false">IF(Tables!$E$30="New York",INDEX('NY Curve'!$A$4:$L$256,MATCH('Monthly Table'!$B111,'NY Curve'!$A$4:$A$256,0),MATCH("New York Saturday Super Peak",'NY Curve'!$A$4:$L$4,0)),IF(Tables!$E$30="Michigan",INDEX('Michigan Curve'!$A$4:$K$256,MATCH('Monthly Table'!$B111,'Michigan Curve'!$A$4:$A$256,0),MATCH("Michigan Saturday Super Peak",'Michigan Curve'!$A$4:$K$4,0))))</f>
        <v>22.6012500375509</v>
      </c>
      <c r="AV111" s="894" t="n">
        <f aca="false">AU111*K111</f>
        <v>30.2137503604058</v>
      </c>
      <c r="AW111" s="893" t="n">
        <f aca="false">IF(AV111&gt;($CP111+$BF$4),1,0)</f>
        <v>0</v>
      </c>
      <c r="AX111" s="892" t="n">
        <f aca="false">IF(Tables!$E$30="New York",INDEX('NY Curve'!$A$4:$L$256,MATCH('Monthly Table'!$B111,'NY Curve'!$A$4:$A$256,0),MATCH("New York Saturday Shoulder Peak",'NY Curve'!$A$4:$L$4,0)),IF(Tables!$E$30="Michigan",INDEX('Michigan Curve'!$A$4:$K$256,MATCH('Monthly Table'!$B111,'Michigan Curve'!$A$4:$A$256,0),MATCH("Michigan Saturday Shoulder Peak",'Michigan Curve'!$A$4:$K$4,0))))</f>
        <v>19.3987499624491</v>
      </c>
      <c r="AY111" s="895" t="n">
        <f aca="false">AX111*K111</f>
        <v>25.9325916794679</v>
      </c>
      <c r="AZ111" s="893" t="n">
        <f aca="false">IF(AY111&gt;($CP111+$BF$4),1,0)</f>
        <v>0</v>
      </c>
      <c r="BA111" s="188"/>
      <c r="BB111" s="892" t="n">
        <f aca="false">IF(Tables!$E$30="New York",INDEX('NY Curve'!$A$4:$M$256,MATCH('Monthly Table'!$B111,'NY Curve'!$A$4:$A$256,0),MATCH("NY Sunday Super Peak",'NY Curve'!$A$4:$M$4,0)),IF(Tables!$E$30="Michigan",INDEX('Michigan Curve'!$A$4:$L$256,MATCH('Monthly Table'!$B111,'Michigan Curve'!$A$4:$A$256,0),MATCH("Michigan Sunday Super Peak",'Michigan Curve'!$A$4:$L$4,0))))</f>
        <v>21.5303803825468</v>
      </c>
      <c r="BC111" s="894" t="n">
        <f aca="false">BB111*K111</f>
        <v>28.7821928858823</v>
      </c>
      <c r="BD111" s="893" t="n">
        <f aca="false">IF(BC111&gt;($CP111+$BF$4),1,0)</f>
        <v>0</v>
      </c>
      <c r="BE111" s="188"/>
      <c r="BF111" s="896" t="n">
        <f aca="false">B111</f>
        <v>39934</v>
      </c>
      <c r="BG111" s="897" t="n">
        <f aca="false">IF($AN111=1,$E111*$BF$5,0)</f>
        <v>0</v>
      </c>
      <c r="BH111" s="976" t="n">
        <f aca="false">IF(Tables!$B$36="Combined Cycle",(BF111-BF110)*24*Assumptions!$B$21,0)</f>
        <v>0</v>
      </c>
      <c r="BI111" s="714" t="n">
        <f aca="false">IF($AN111=1,$E111*$BF$5,0)</f>
        <v>0</v>
      </c>
      <c r="BJ111" s="898" t="n">
        <f aca="false">IF('Monthly Table'!D111&lt;=Tables!$B$21,IF($BJ$10=$BG$10,BG111,IF($BJ$10=$BH$10,BH111,IF($BJ$10=$BI$10,BI111,0))),0)</f>
        <v>0</v>
      </c>
      <c r="BK111" s="288"/>
      <c r="BL111" s="898" t="n">
        <f aca="false">IF($AW111=1,$F111*$BF$5,0)</f>
        <v>0</v>
      </c>
      <c r="BM111" s="898" t="n">
        <f aca="false">IF($BD111=1,($G111+H111)*$BF$5,0)</f>
        <v>0</v>
      </c>
      <c r="BO111" s="898" t="n">
        <f aca="false">IF(AS111=1,BJ111,0)</f>
        <v>0</v>
      </c>
      <c r="BP111" s="898" t="n">
        <f aca="false">IF(AZ111=1,F111*$BF$5,0)</f>
        <v>0</v>
      </c>
      <c r="BR111" s="899" t="n">
        <f aca="false">IF(BJ111&gt;0,INDEX(OperationalDetail,MATCH("Capacity Degradation",ODColumn,0),MATCH('Monthly Table'!C111,ODRow,0)),0)</f>
        <v>0</v>
      </c>
      <c r="BS111" s="900" t="n">
        <f aca="false">BJ111*(1-BR111)*Tables!$C$36</f>
        <v>0</v>
      </c>
      <c r="BT111" s="883" t="n">
        <f aca="false">BS111*AL111/1000</f>
        <v>0</v>
      </c>
      <c r="BU111" s="883" t="n">
        <f aca="false">BT111*K111</f>
        <v>0</v>
      </c>
      <c r="BV111" s="188"/>
      <c r="BW111" s="901" t="n">
        <f aca="false">$BO111*(1-$BR111)*Tables!$C$36</f>
        <v>0</v>
      </c>
      <c r="BX111" s="902" t="n">
        <f aca="false">(BW111*AQ111)/1000</f>
        <v>0</v>
      </c>
      <c r="BY111" s="883" t="n">
        <f aca="false">BX111*K111</f>
        <v>0</v>
      </c>
      <c r="BZ111" s="188"/>
      <c r="CA111" s="901" t="n">
        <f aca="false">$BL111*(1-$BR111)*Tables!$C$36</f>
        <v>0</v>
      </c>
      <c r="CB111" s="902" t="n">
        <f aca="false">(CA111*AU111)/1000</f>
        <v>0</v>
      </c>
      <c r="CC111" s="883" t="n">
        <f aca="false">CB111*K111</f>
        <v>0</v>
      </c>
      <c r="CD111" s="901" t="n">
        <f aca="false">$BP111*(1-$BR111)*Tables!$C$36</f>
        <v>0</v>
      </c>
      <c r="CE111" s="902" t="n">
        <f aca="false">(CD111*AX111)/1000</f>
        <v>0</v>
      </c>
      <c r="CF111" s="883" t="n">
        <f aca="false">CE111*K111</f>
        <v>0</v>
      </c>
      <c r="CH111" s="901" t="n">
        <f aca="false">$BM111*(1-$BR111)*Tables!$C$36</f>
        <v>0</v>
      </c>
      <c r="CI111" s="902" t="n">
        <f aca="false">(CH111*BB111)/1000</f>
        <v>0</v>
      </c>
      <c r="CJ111" s="883" t="n">
        <f aca="false">CI111*K111</f>
        <v>0</v>
      </c>
      <c r="CK111" s="292"/>
      <c r="CL111" s="292" t="n">
        <f aca="false">C111-1</f>
        <v>2008</v>
      </c>
      <c r="CM111" s="903" t="n">
        <f aca="false">INDEX(OperationalDetail,MATCH("Degraded Heat Rate",ODColumn,0),MATCH('Monthly Table'!CL111,ODRow,0))/1000</f>
        <v>12.0475472</v>
      </c>
      <c r="CN111" s="904" t="n">
        <f aca="false">S111*CM111</f>
        <v>55.2852671575888</v>
      </c>
      <c r="CO111" s="905" t="n">
        <f aca="false">IF(A111="January",(CO110*(1+Assumptions!$E$32)),CO110)</f>
        <v>7.89185821816339</v>
      </c>
      <c r="CP111" s="906" t="n">
        <f aca="false">CN111+CO111</f>
        <v>63.1771253757522</v>
      </c>
      <c r="CQ111" s="292"/>
      <c r="CR111" s="856" t="str">
        <f aca="false">IF(BJ111=0,"",C111)</f>
        <v/>
      </c>
      <c r="CS111" s="856" t="str">
        <f aca="false">IF(BO111=0,"",$C111)</f>
        <v/>
      </c>
      <c r="CT111" s="856" t="str">
        <f aca="false">IF(BL111=0,"",$C111)</f>
        <v/>
      </c>
      <c r="CU111" s="856" t="str">
        <f aca="false">IF(BP111=0,"",$C111)</f>
        <v/>
      </c>
      <c r="CV111" s="856" t="str">
        <f aca="false">IF(BD111=0,"",$C111)</f>
        <v/>
      </c>
      <c r="CW111" s="907" t="n">
        <f aca="false">YEAR(BF111)</f>
        <v>2009</v>
      </c>
      <c r="CX111" s="908" t="n">
        <f aca="false">INDEX('NY Curve'!$A$4:$G$256,MATCH('Monthly Table'!B111,'NY Curve'!$A$4:$A$256,0),MATCH("New York 5 X 16",'NY Curve'!$A$4:$G$4,0))</f>
        <v>30.15</v>
      </c>
      <c r="CY111" s="909" t="n">
        <f aca="false">K111</f>
        <v>1.33681766761604</v>
      </c>
      <c r="CZ111" s="910" t="n">
        <f aca="false">CX111*CY111</f>
        <v>40.3050526786236</v>
      </c>
      <c r="DB111" s="911"/>
      <c r="DC111" s="911"/>
    </row>
    <row r="112" customFormat="false" ht="18.75" hidden="false" customHeight="true" outlineLevel="0" collapsed="false">
      <c r="A112" s="49" t="s">
        <v>815</v>
      </c>
      <c r="B112" s="863" t="n">
        <v>39965</v>
      </c>
      <c r="C112" s="288" t="n">
        <f aca="false">YEAR(B112)</f>
        <v>2009</v>
      </c>
      <c r="D112" s="864" t="n">
        <f aca="false">IF(A112="January",D111+1,D111)</f>
        <v>9</v>
      </c>
      <c r="E112" s="865" t="n">
        <v>22</v>
      </c>
      <c r="F112" s="866" t="n">
        <v>4</v>
      </c>
      <c r="G112" s="866" t="n">
        <v>4</v>
      </c>
      <c r="H112" s="866" t="n">
        <v>0</v>
      </c>
      <c r="I112" s="867" t="n">
        <f aca="false">SUM(E112:H112)</f>
        <v>30</v>
      </c>
      <c r="J112" s="868"/>
      <c r="K112" s="869" t="n">
        <f aca="false">INDEX(FX!$A$3:$C$362,MATCH(B112,FX!$A$3:$A$362,0),MATCH("Monthly Curve",FX!$A$2:$C$2,0))</f>
        <v>1.33596790677252</v>
      </c>
      <c r="L112" s="869"/>
      <c r="M112" s="914" t="n">
        <v>2.9835</v>
      </c>
      <c r="N112" s="915" t="n">
        <v>0.145</v>
      </c>
      <c r="O112" s="714" t="n">
        <v>0.05</v>
      </c>
      <c r="P112" s="872" t="n">
        <f aca="false">N112+O112</f>
        <v>0.195</v>
      </c>
      <c r="Q112" s="873" t="n">
        <f aca="false">SUM(M112:O112)</f>
        <v>3.1785</v>
      </c>
      <c r="R112" s="974" t="n">
        <f aca="false">IF(A112="January",(R111+R111*Assumptions!$E$32),R111)</f>
        <v>0.35187946208178</v>
      </c>
      <c r="S112" s="875" t="n">
        <f aca="false">(Q112*K112)+R112</f>
        <v>4.59825345375824</v>
      </c>
      <c r="T112" s="869"/>
      <c r="U112" s="983"/>
      <c r="V112" s="985"/>
      <c r="W112" s="985"/>
      <c r="X112" s="973"/>
      <c r="Y112" s="975" t="n">
        <f aca="false">Tables!$D$36</f>
        <v>312</v>
      </c>
      <c r="Z112" s="879" t="n">
        <f aca="false">IF($Z$10=$V$10,V112,IF($Z$10=$W$10,W112,IF($Z$10=$X$10,X112,0)))</f>
        <v>0</v>
      </c>
      <c r="AA112" s="880" t="n">
        <f aca="false">Y112*Z112</f>
        <v>0</v>
      </c>
      <c r="AB112" s="881" t="n">
        <f aca="false">AA112*K112</f>
        <v>0</v>
      </c>
      <c r="AC112" s="188"/>
      <c r="AD112" s="882" t="n">
        <f aca="false">IF(Tables!$E$30="Michigan",INDEX('Michigan Curve'!$A$4:$S$256,MATCH('Monthly Table'!B112,'Michigan Curve'!$A$4:$A$256,0),MATCH("Michigan Selected Option Value US$/month",'Michigan Curve'!$A$4:$S$4,0)),INDEX('NY Curve'!$A$4:$T$256,MATCH('Monthly Table'!B112,'NY Curve'!$A$4:$A$256,0),MATCH("New York Selected Option Value US$/month",'NY Curve'!$A$4:$T$4,0)))</f>
        <v>99271.1184067261</v>
      </c>
      <c r="AE112" s="883" t="n">
        <f aca="false">AD112*K112</f>
        <v>132623.028260801</v>
      </c>
      <c r="AF112" s="188"/>
      <c r="AG112" s="884"/>
      <c r="AH112" s="188"/>
      <c r="AI112" s="885" t="n">
        <f aca="false">Assumptions!$B$50</f>
        <v>65</v>
      </c>
      <c r="AJ112" s="916"/>
      <c r="AK112" s="887" t="n">
        <f aca="false">IF(Tables!$E$30="Custom",'Monthly Table'!AI112,IF(Tables!$E$30="New York",INDEX('NY Curve'!$A$4:$G$256,MATCH('Monthly Table'!B112,'NY Curve'!$A$4:$A$256,0),MATCH("Super Peak Curve",'NY Curve'!$A$4:$G$4,0)),IF(Tables!$E$30="New York Flat",INDEX('NY Curve'!$A$4:$G$256,MATCH('Monthly Table'!B112,'NY Curve'!$A$4:$A$256,0),MATCH("Flat NY West",'NY Curve'!$A$4:$G$4,0)),INDEX('Michigan Curve'!$A$4:$F$256,MATCH('Monthly Table'!B112,'Michigan Curve'!$A$4:$A$256,0),MATCH("Michigan Super Peak Curve US$/MWhr",'Michigan Curve'!$A$4:$F$4,0)))))</f>
        <v>78.0547621184883</v>
      </c>
      <c r="AL112" s="888" t="n">
        <f aca="false">IF(D112&lt;=Tables!$B$21,IF($AL$10=$AI$10,AI112,IF($AL$10=$AJ$10,AJ112,IF($AL$10=$AK$10,AK112,0))),0)</f>
        <v>78.0547621184883</v>
      </c>
      <c r="AM112" s="889" t="n">
        <f aca="false">+AL112*K112</f>
        <v>104.278657161064</v>
      </c>
      <c r="AN112" s="890" t="n">
        <f aca="false">IF((AL112*K112)&gt;(CP112+$BF$4),1,0)</f>
        <v>1</v>
      </c>
      <c r="AO112" s="891"/>
      <c r="AP112" s="894"/>
      <c r="AQ112" s="892" t="n">
        <f aca="false">IF(Tables!$E$30="New York",INDEX('NY Curve'!$A$4:$L$256,MATCH('Monthly Table'!B112,'NY Curve'!$A$4:$A$256,0),MATCH("New York Shoulder Hour Curve Mon-Fri",'NY Curve'!$A$4:$L$4,0)),IF(Tables!$E$30="Michigan",INDEX('Michigan Curve'!$A$4:$K$256,MATCH('Monthly Table'!B112,'Michigan Curve'!$A$4:$A$256,0),MATCH("Michigan Shoulder Hour Curve Mon-Fri",'Michigan Curve'!$A$4:$K$4,0))))</f>
        <v>22.4452378815117</v>
      </c>
      <c r="AR112" s="889" t="n">
        <f aca="false">AQ112*K112</f>
        <v>29.9861174695745</v>
      </c>
      <c r="AS112" s="893" t="n">
        <f aca="false">IF(AR112&gt;($CP112+$BF$4),1,0)</f>
        <v>0</v>
      </c>
      <c r="AT112" s="188"/>
      <c r="AU112" s="892" t="n">
        <f aca="false">IF(Tables!$E$30="New York",INDEX('NY Curve'!$A$4:$L$256,MATCH('Monthly Table'!$B112,'NY Curve'!$A$4:$A$256,0),MATCH("New York Saturday Super Peak",'NY Curve'!$A$4:$L$4,0)),IF(Tables!$E$30="Michigan",INDEX('Michigan Curve'!$A$4:$K$256,MATCH('Monthly Table'!$B112,'Michigan Curve'!$A$4:$A$256,0),MATCH("Michigan Saturday Super Peak",'Michigan Curve'!$A$4:$K$4,0))))</f>
        <v>40.3865435836954</v>
      </c>
      <c r="AV112" s="894" t="n">
        <f aca="false">AU112*K112</f>
        <v>53.9551260932868</v>
      </c>
      <c r="AW112" s="893" t="n">
        <f aca="false">IF(AV112&gt;($CP112+$BF$4),1,0)</f>
        <v>0</v>
      </c>
      <c r="AX112" s="892" t="n">
        <f aca="false">IF(Tables!$E$30="New York",INDEX('NY Curve'!$A$4:$L$256,MATCH('Monthly Table'!$B112,'NY Curve'!$A$4:$A$256,0),MATCH("New York Saturday Shoulder Peak",'NY Curve'!$A$4:$L$4,0)),IF(Tables!$E$30="Michigan",INDEX('Michigan Curve'!$A$4:$K$256,MATCH('Monthly Table'!$B112,'Michigan Curve'!$A$4:$A$256,0),MATCH("Michigan Saturday Shoulder Peak",'Michigan Curve'!$A$4:$K$4,0))))</f>
        <v>11.6134564163046</v>
      </c>
      <c r="AY112" s="895" t="n">
        <f aca="false">AX112*K112</f>
        <v>15.5152050588843</v>
      </c>
      <c r="AZ112" s="893" t="n">
        <f aca="false">IF(AY112&gt;($CP112+$BF$4),1,0)</f>
        <v>0</v>
      </c>
      <c r="BA112" s="188"/>
      <c r="BB112" s="892" t="n">
        <f aca="false">IF(Tables!$E$30="New York",INDEX('NY Curve'!$A$4:$M$256,MATCH('Monthly Table'!$B112,'NY Curve'!$A$4:$A$256,0),MATCH("NY Sunday Super Peak",'NY Curve'!$A$4:$M$4,0)),IF(Tables!$E$30="Michigan",INDEX('Michigan Curve'!$A$4:$L$256,MATCH('Monthly Table'!$B112,'Michigan Curve'!$A$4:$A$256,0),MATCH("Michigan Sunday Super Peak",'Michigan Curve'!$A$4:$L$4,0))))</f>
        <v>37.2798863849496</v>
      </c>
      <c r="BC112" s="894" t="n">
        <f aca="false">BB112*K112</f>
        <v>49.8047317784185</v>
      </c>
      <c r="BD112" s="893" t="n">
        <f aca="false">IF(BC112&gt;($CP112+$BF$4),1,0)</f>
        <v>0</v>
      </c>
      <c r="BE112" s="188"/>
      <c r="BF112" s="896" t="n">
        <f aca="false">B112</f>
        <v>39965</v>
      </c>
      <c r="BG112" s="897" t="n">
        <f aca="false">IF($AN112=1,$E112*$BF$5,0)</f>
        <v>176</v>
      </c>
      <c r="BH112" s="976" t="n">
        <f aca="false">IF(Tables!$B$36="Combined Cycle",(BF112-BF111)*24*Assumptions!$B$21,0)</f>
        <v>0</v>
      </c>
      <c r="BI112" s="714" t="n">
        <f aca="false">IF($AN112=1,$E112*$BF$5,0)</f>
        <v>176</v>
      </c>
      <c r="BJ112" s="898" t="n">
        <f aca="false">IF('Monthly Table'!D112&lt;=Tables!$B$21,IF($BJ$10=$BG$10,BG112,IF($BJ$10=$BH$10,BH112,IF($BJ$10=$BI$10,BI112,0))),0)</f>
        <v>176</v>
      </c>
      <c r="BK112" s="288"/>
      <c r="BL112" s="898" t="n">
        <f aca="false">IF($AW112=1,$F112*$BF$5,0)</f>
        <v>0</v>
      </c>
      <c r="BM112" s="898" t="n">
        <f aca="false">IF($BD112=1,($G112+H112)*$BF$5,0)</f>
        <v>0</v>
      </c>
      <c r="BO112" s="898" t="n">
        <f aca="false">IF(AS112=1,BJ112,0)</f>
        <v>0</v>
      </c>
      <c r="BP112" s="898" t="n">
        <f aca="false">IF(AZ112=1,F112*$BF$5,0)</f>
        <v>0</v>
      </c>
      <c r="BR112" s="899" t="n">
        <f aca="false">IF(BJ112&gt;0,INDEX(OperationalDetail,MATCH("Capacity Degradation",ODColumn,0),MATCH('Monthly Table'!C112,ODRow,0)),0)</f>
        <v>0.00991</v>
      </c>
      <c r="BS112" s="900" t="n">
        <f aca="false">BJ112*(1-BR112)*Tables!$C$36</f>
        <v>56458.89216</v>
      </c>
      <c r="BT112" s="883" t="n">
        <f aca="false">BS112*AL112/1000</f>
        <v>4406.88539702218</v>
      </c>
      <c r="BU112" s="883" t="n">
        <f aca="false">BT112*K112</f>
        <v>5887.45745924611</v>
      </c>
      <c r="BV112" s="188"/>
      <c r="BW112" s="901" t="n">
        <f aca="false">$BO112*(1-$BR112)*Tables!$C$36</f>
        <v>0</v>
      </c>
      <c r="BX112" s="902" t="n">
        <f aca="false">(BW112*AQ112)/1000</f>
        <v>0</v>
      </c>
      <c r="BY112" s="883" t="n">
        <f aca="false">BX112*K112</f>
        <v>0</v>
      </c>
      <c r="BZ112" s="188"/>
      <c r="CA112" s="901" t="n">
        <f aca="false">$BL112*(1-$BR112)*Tables!$C$36</f>
        <v>0</v>
      </c>
      <c r="CB112" s="902" t="n">
        <f aca="false">(CA112*AU112)/1000</f>
        <v>0</v>
      </c>
      <c r="CC112" s="883" t="n">
        <f aca="false">CB112*K112</f>
        <v>0</v>
      </c>
      <c r="CD112" s="901" t="n">
        <f aca="false">$BP112*(1-$BR112)*Tables!$C$36</f>
        <v>0</v>
      </c>
      <c r="CE112" s="902" t="n">
        <f aca="false">(CD112*AX112)/1000</f>
        <v>0</v>
      </c>
      <c r="CF112" s="883" t="n">
        <f aca="false">CE112*K112</f>
        <v>0</v>
      </c>
      <c r="CH112" s="901" t="n">
        <f aca="false">$BM112*(1-$BR112)*Tables!$C$36</f>
        <v>0</v>
      </c>
      <c r="CI112" s="902" t="n">
        <f aca="false">(CH112*BB112)/1000</f>
        <v>0</v>
      </c>
      <c r="CJ112" s="883" t="n">
        <f aca="false">CI112*K112</f>
        <v>0</v>
      </c>
      <c r="CK112" s="292"/>
      <c r="CL112" s="292" t="n">
        <f aca="false">C112-1</f>
        <v>2008</v>
      </c>
      <c r="CM112" s="903" t="n">
        <f aca="false">INDEX(OperationalDetail,MATCH("Degraded Heat Rate",ODColumn,0),MATCH('Monthly Table'!CL112,ODRow,0))/1000</f>
        <v>12.0475472</v>
      </c>
      <c r="CN112" s="904" t="n">
        <f aca="false">S112*CM112</f>
        <v>55.3976755217154</v>
      </c>
      <c r="CO112" s="905" t="n">
        <f aca="false">IF(A112="January",(CO111*(1+Assumptions!$E$32)),CO111)</f>
        <v>7.89185821816339</v>
      </c>
      <c r="CP112" s="906" t="n">
        <f aca="false">CN112+CO112</f>
        <v>63.2895337398787</v>
      </c>
      <c r="CQ112" s="292"/>
      <c r="CR112" s="856" t="n">
        <f aca="false">IF(BJ112=0,"",C112)</f>
        <v>2009</v>
      </c>
      <c r="CS112" s="856" t="str">
        <f aca="false">IF(BO112=0,"",$C112)</f>
        <v/>
      </c>
      <c r="CT112" s="856" t="str">
        <f aca="false">IF(BL112=0,"",$C112)</f>
        <v/>
      </c>
      <c r="CU112" s="856" t="str">
        <f aca="false">IF(BP112=0,"",$C112)</f>
        <v/>
      </c>
      <c r="CV112" s="856" t="str">
        <f aca="false">IF(BD112=0,"",$C112)</f>
        <v/>
      </c>
      <c r="CW112" s="907" t="n">
        <f aca="false">YEAR(BF112)</f>
        <v>2009</v>
      </c>
      <c r="CX112" s="908" t="n">
        <f aca="false">INDEX('NY Curve'!$A$4:$G$256,MATCH('Monthly Table'!B112,'NY Curve'!$A$4:$A$256,0),MATCH("New York 5 X 16",'NY Curve'!$A$4:$G$4,0))</f>
        <v>50.25</v>
      </c>
      <c r="CY112" s="909" t="n">
        <f aca="false">K112</f>
        <v>1.33596790677252</v>
      </c>
      <c r="CZ112" s="910" t="n">
        <f aca="false">CX112*CY112</f>
        <v>67.1323873153191</v>
      </c>
      <c r="DB112" s="911"/>
      <c r="DC112" s="911"/>
    </row>
    <row r="113" customFormat="false" ht="18.75" hidden="false" customHeight="true" outlineLevel="0" collapsed="false">
      <c r="A113" s="49" t="s">
        <v>816</v>
      </c>
      <c r="B113" s="863" t="n">
        <v>39995</v>
      </c>
      <c r="C113" s="288" t="n">
        <f aca="false">YEAR(B113)</f>
        <v>2009</v>
      </c>
      <c r="D113" s="864" t="n">
        <f aca="false">IF(A113="January",D112+1,D112)</f>
        <v>9</v>
      </c>
      <c r="E113" s="865" t="n">
        <v>23</v>
      </c>
      <c r="F113" s="866" t="n">
        <v>3</v>
      </c>
      <c r="G113" s="866" t="n">
        <v>4</v>
      </c>
      <c r="H113" s="866" t="n">
        <v>1</v>
      </c>
      <c r="I113" s="867" t="n">
        <f aca="false">SUM(E113:H113)</f>
        <v>31</v>
      </c>
      <c r="J113" s="868"/>
      <c r="K113" s="869" t="n">
        <f aca="false">INDEX(FX!$A$3:$C$362,MATCH(B113,FX!$A$3:$A$362,0),MATCH("Monthly Curve",FX!$A$2:$C$2,0))</f>
        <v>1.33514939523407</v>
      </c>
      <c r="L113" s="869"/>
      <c r="M113" s="914" t="n">
        <v>2.9925</v>
      </c>
      <c r="N113" s="915" t="n">
        <v>0.145</v>
      </c>
      <c r="O113" s="714" t="n">
        <v>0.05</v>
      </c>
      <c r="P113" s="872" t="n">
        <f aca="false">N113+O113</f>
        <v>0.195</v>
      </c>
      <c r="Q113" s="873" t="n">
        <f aca="false">SUM(M113:O113)</f>
        <v>3.1875</v>
      </c>
      <c r="R113" s="974" t="n">
        <f aca="false">IF(A113="January",(R112+R112*Assumptions!$E$32),R112)</f>
        <v>0.35187946208178</v>
      </c>
      <c r="S113" s="875" t="n">
        <f aca="false">(Q113*K113)+R113</f>
        <v>4.60766815939038</v>
      </c>
      <c r="T113" s="869"/>
      <c r="U113" s="984"/>
      <c r="V113" s="985"/>
      <c r="W113" s="985"/>
      <c r="X113" s="971"/>
      <c r="Y113" s="975" t="n">
        <f aca="false">Tables!$D$36</f>
        <v>312</v>
      </c>
      <c r="Z113" s="879" t="n">
        <f aca="false">IF($Z$10=$V$10,V113,IF($Z$10=$W$10,W113,IF($Z$10=$X$10,X113,0)))</f>
        <v>0</v>
      </c>
      <c r="AA113" s="880" t="n">
        <f aca="false">Y113*Z113</f>
        <v>0</v>
      </c>
      <c r="AB113" s="881" t="n">
        <f aca="false">AA113*K113</f>
        <v>0</v>
      </c>
      <c r="AC113" s="188"/>
      <c r="AD113" s="882" t="n">
        <f aca="false">IF(Tables!$E$30="Michigan",INDEX('Michigan Curve'!$A$4:$S$256,MATCH('Monthly Table'!B113,'Michigan Curve'!$A$4:$A$256,0),MATCH("Michigan Selected Option Value US$/month",'Michigan Curve'!$A$4:$S$4,0)),INDEX('NY Curve'!$A$4:$T$256,MATCH('Monthly Table'!B113,'NY Curve'!$A$4:$A$256,0),MATCH("New York Selected Option Value US$/month",'NY Curve'!$A$4:$T$4,0)))</f>
        <v>260108.453418607</v>
      </c>
      <c r="AE113" s="883" t="n">
        <f aca="false">AD113*K113</f>
        <v>347283.644277122</v>
      </c>
      <c r="AF113" s="188"/>
      <c r="AG113" s="884"/>
      <c r="AH113" s="188"/>
      <c r="AI113" s="885" t="n">
        <f aca="false">Assumptions!$B$50</f>
        <v>65</v>
      </c>
      <c r="AJ113" s="916"/>
      <c r="AK113" s="887" t="n">
        <f aca="false">IF(Tables!$E$30="Custom",'Monthly Table'!AI113,IF(Tables!$E$30="New York",INDEX('NY Curve'!$A$4:$G$256,MATCH('Monthly Table'!B113,'NY Curve'!$A$4:$A$256,0),MATCH("Super Peak Curve",'NY Curve'!$A$4:$G$4,0)),IF(Tables!$E$30="New York Flat",INDEX('NY Curve'!$A$4:$G$256,MATCH('Monthly Table'!B113,'NY Curve'!$A$4:$A$256,0),MATCH("Flat NY West",'NY Curve'!$A$4:$G$4,0)),INDEX('Michigan Curve'!$A$4:$F$256,MATCH('Monthly Table'!B113,'Michigan Curve'!$A$4:$A$256,0),MATCH("Michigan Super Peak Curve US$/MWhr",'Michigan Curve'!$A$4:$F$4,0)))))</f>
        <v>138.005726340225</v>
      </c>
      <c r="AL113" s="888" t="n">
        <f aca="false">IF(D113&lt;=Tables!$B$21,IF($AL$10=$AI$10,AI113,IF($AL$10=$AJ$10,AJ113,IF($AL$10=$AK$10,AK113,0))),0)</f>
        <v>138.005726340225</v>
      </c>
      <c r="AM113" s="889" t="n">
        <f aca="false">+AL113*K113</f>
        <v>184.25826206199</v>
      </c>
      <c r="AN113" s="890" t="n">
        <f aca="false">IF((AL113*K113)&gt;(CP113+$BF$4),1,0)</f>
        <v>1</v>
      </c>
      <c r="AO113" s="891"/>
      <c r="AP113" s="894"/>
      <c r="AQ113" s="892" t="n">
        <f aca="false">IF(Tables!$E$30="New York",INDEX('NY Curve'!$A$4:$L$256,MATCH('Monthly Table'!B113,'NY Curve'!$A$4:$A$256,0),MATCH("New York Shoulder Hour Curve Mon-Fri",'NY Curve'!$A$4:$L$4,0)),IF(Tables!$E$30="Michigan",INDEX('Michigan Curve'!$A$4:$K$256,MATCH('Monthly Table'!B113,'Michigan Curve'!$A$4:$A$256,0),MATCH("Michigan Shoulder Hour Curve Mon-Fri",'Michigan Curve'!$A$4:$K$4,0))))</f>
        <v>27.9942736597751</v>
      </c>
      <c r="AR113" s="889" t="n">
        <f aca="false">AQ113*K113</f>
        <v>37.3765375468658</v>
      </c>
      <c r="AS113" s="893" t="n">
        <f aca="false">IF(AR113&gt;($CP113+$BF$4),1,0)</f>
        <v>0</v>
      </c>
      <c r="AT113" s="188"/>
      <c r="AU113" s="892" t="n">
        <f aca="false">IF(Tables!$E$30="New York",INDEX('NY Curve'!$A$4:$L$256,MATCH('Monthly Table'!$B113,'NY Curve'!$A$4:$A$256,0),MATCH("New York Saturday Super Peak",'NY Curve'!$A$4:$L$4,0)),IF(Tables!$E$30="Michigan",INDEX('Michigan Curve'!$A$4:$K$256,MATCH('Monthly Table'!$B113,'Michigan Curve'!$A$4:$A$256,0),MATCH("Michigan Saturday Super Peak",'Michigan Curve'!$A$4:$K$4,0))))</f>
        <v>58.1951858061189</v>
      </c>
      <c r="AV113" s="894" t="n">
        <f aca="false">AU113*K113</f>
        <v>77.699267134574</v>
      </c>
      <c r="AW113" s="893" t="n">
        <f aca="false">IF(AV113&gt;($CP113+$BF$4),1,0)</f>
        <v>1</v>
      </c>
      <c r="AX113" s="892" t="n">
        <f aca="false">IF(Tables!$E$30="New York",INDEX('NY Curve'!$A$4:$L$256,MATCH('Monthly Table'!$B113,'NY Curve'!$A$4:$A$256,0),MATCH("New York Saturday Shoulder Peak",'NY Curve'!$A$4:$L$4,0)),IF(Tables!$E$30="Michigan",INDEX('Michigan Curve'!$A$4:$K$256,MATCH('Monthly Table'!$B113,'Michigan Curve'!$A$4:$A$256,0),MATCH("Michigan Saturday Shoulder Peak",'Michigan Curve'!$A$4:$K$4,0))))</f>
        <v>11.8048141938811</v>
      </c>
      <c r="AY113" s="895" t="n">
        <f aca="false">AX113*K113</f>
        <v>15.7611905318109</v>
      </c>
      <c r="AZ113" s="893" t="n">
        <f aca="false">IF(AY113&gt;($CP113+$BF$4),1,0)</f>
        <v>0</v>
      </c>
      <c r="BA113" s="188"/>
      <c r="BB113" s="892" t="n">
        <f aca="false">IF(Tables!$E$30="New York",INDEX('NY Curve'!$A$4:$M$256,MATCH('Monthly Table'!$B113,'NY Curve'!$A$4:$A$256,0),MATCH("NY Sunday Super Peak",'NY Curve'!$A$4:$M$4,0)),IF(Tables!$E$30="Michigan",INDEX('Michigan Curve'!$A$4:$L$256,MATCH('Monthly Table'!$B113,'Michigan Curve'!$A$4:$A$256,0),MATCH("Michigan Sunday Super Peak",'Michigan Curve'!$A$4:$L$4,0))))</f>
        <v>51.5443042568908</v>
      </c>
      <c r="BC113" s="894" t="n">
        <f aca="false">BB113*K113</f>
        <v>68.8193466563487</v>
      </c>
      <c r="BD113" s="893" t="n">
        <f aca="false">IF(BC113&gt;($CP113+$BF$4),1,0)</f>
        <v>1</v>
      </c>
      <c r="BE113" s="188"/>
      <c r="BF113" s="896" t="n">
        <f aca="false">B113</f>
        <v>39995</v>
      </c>
      <c r="BG113" s="897" t="n">
        <f aca="false">IF($AN113=1,$E113*$BF$5,0)</f>
        <v>184</v>
      </c>
      <c r="BH113" s="976" t="n">
        <f aca="false">IF(Tables!$B$36="Combined Cycle",(BF113-BF112)*24*Assumptions!$B$21,0)</f>
        <v>0</v>
      </c>
      <c r="BI113" s="714" t="n">
        <f aca="false">IF($AN113=1,$E113*$BF$5,0)</f>
        <v>184</v>
      </c>
      <c r="BJ113" s="898" t="n">
        <f aca="false">IF('Monthly Table'!D113&lt;=Tables!$B$21,IF($BJ$10=$BG$10,BG113,IF($BJ$10=$BH$10,BH113,IF($BJ$10=$BI$10,BI113,0))),0)</f>
        <v>184</v>
      </c>
      <c r="BK113" s="288"/>
      <c r="BL113" s="898" t="n">
        <f aca="false">IF($AW113=1,$F113*$BF$5,0)</f>
        <v>24</v>
      </c>
      <c r="BM113" s="898" t="n">
        <f aca="false">IF($BD113=1,($G113+H113)*$BF$5,0)</f>
        <v>40</v>
      </c>
      <c r="BO113" s="898" t="n">
        <f aca="false">IF(AS113=1,BJ113,0)</f>
        <v>0</v>
      </c>
      <c r="BP113" s="898" t="n">
        <f aca="false">IF(AZ113=1,F113*$BF$5,0)</f>
        <v>0</v>
      </c>
      <c r="BR113" s="899" t="n">
        <f aca="false">IF(BJ113&gt;0,INDEX(OperationalDetail,MATCH("Capacity Degradation",ODColumn,0),MATCH('Monthly Table'!C113,ODRow,0)),0)</f>
        <v>0.00991</v>
      </c>
      <c r="BS113" s="900" t="n">
        <f aca="false">BJ113*(1-BR113)*Tables!$C$36</f>
        <v>59025.20544</v>
      </c>
      <c r="BT113" s="883" t="n">
        <f aca="false">BS113*AL113/1000</f>
        <v>8145.81634912819</v>
      </c>
      <c r="BU113" s="883" t="n">
        <f aca="false">BT113*K113</f>
        <v>10875.8817722263</v>
      </c>
      <c r="BV113" s="188"/>
      <c r="BW113" s="901" t="n">
        <f aca="false">$BO113*(1-$BR113)*Tables!$C$36</f>
        <v>0</v>
      </c>
      <c r="BX113" s="902" t="n">
        <f aca="false">(BW113*AQ113)/1000</f>
        <v>0</v>
      </c>
      <c r="BY113" s="883" t="n">
        <f aca="false">BX113*K113</f>
        <v>0</v>
      </c>
      <c r="BZ113" s="188"/>
      <c r="CA113" s="901" t="n">
        <f aca="false">$BL113*(1-$BR113)*Tables!$C$36</f>
        <v>7698.93984</v>
      </c>
      <c r="CB113" s="902" t="n">
        <f aca="false">(CA113*AU113)/1000</f>
        <v>448.041234498932</v>
      </c>
      <c r="CC113" s="883" t="n">
        <f aca="false">CB113*K113</f>
        <v>598.201983281175</v>
      </c>
      <c r="CD113" s="901" t="n">
        <f aca="false">$BP113*(1-$BR113)*Tables!$C$36</f>
        <v>0</v>
      </c>
      <c r="CE113" s="902" t="n">
        <f aca="false">(CD113*AX113)/1000</f>
        <v>0</v>
      </c>
      <c r="CF113" s="883" t="n">
        <f aca="false">CE113*K113</f>
        <v>0</v>
      </c>
      <c r="CH113" s="901" t="n">
        <f aca="false">$BM113*(1-$BR113)*Tables!$C$36</f>
        <v>12831.5664</v>
      </c>
      <c r="CI113" s="902" t="n">
        <f aca="false">(CH113*BB113)/1000</f>
        <v>661.394162614097</v>
      </c>
      <c r="CJ113" s="883" t="n">
        <f aca="false">CI113*K113</f>
        <v>883.060016225556</v>
      </c>
      <c r="CK113" s="292"/>
      <c r="CL113" s="292" t="n">
        <f aca="false">C113-1</f>
        <v>2008</v>
      </c>
      <c r="CM113" s="903" t="n">
        <f aca="false">INDEX(OperationalDetail,MATCH("Degraded Heat Rate",ODColumn,0),MATCH('Monthly Table'!CL113,ODRow,0))/1000</f>
        <v>12.0475472</v>
      </c>
      <c r="CN113" s="904" t="n">
        <f aca="false">S113*CM113</f>
        <v>55.5110996321927</v>
      </c>
      <c r="CO113" s="905" t="n">
        <f aca="false">IF(A113="January",(CO112*(1+Assumptions!$E$32)),CO112)</f>
        <v>7.89185821816339</v>
      </c>
      <c r="CP113" s="906" t="n">
        <f aca="false">CN113+CO113</f>
        <v>63.4029578503561</v>
      </c>
      <c r="CQ113" s="292"/>
      <c r="CR113" s="856" t="n">
        <f aca="false">IF(BJ113=0,"",C113)</f>
        <v>2009</v>
      </c>
      <c r="CS113" s="856" t="str">
        <f aca="false">IF(BO113=0,"",$C113)</f>
        <v/>
      </c>
      <c r="CT113" s="856" t="n">
        <f aca="false">IF(BL113=0,"",$C113)</f>
        <v>2009</v>
      </c>
      <c r="CU113" s="856" t="str">
        <f aca="false">IF(BP113=0,"",$C113)</f>
        <v/>
      </c>
      <c r="CV113" s="856" t="n">
        <f aca="false">IF(BD113=0,"",$C113)</f>
        <v>2009</v>
      </c>
      <c r="CW113" s="907" t="n">
        <f aca="false">YEAR(BF113)</f>
        <v>2009</v>
      </c>
      <c r="CX113" s="908" t="n">
        <f aca="false">INDEX('NY Curve'!$A$4:$G$256,MATCH('Monthly Table'!B113,'NY Curve'!$A$4:$A$256,0),MATCH("New York 5 X 16",'NY Curve'!$A$4:$G$4,0))</f>
        <v>76</v>
      </c>
      <c r="CY113" s="909" t="n">
        <f aca="false">K113</f>
        <v>1.33514939523407</v>
      </c>
      <c r="CZ113" s="910" t="n">
        <f aca="false">CX113*CY113</f>
        <v>101.471354037789</v>
      </c>
      <c r="DB113" s="911"/>
      <c r="DC113" s="911"/>
    </row>
    <row r="114" customFormat="false" ht="18.75" hidden="false" customHeight="true" outlineLevel="0" collapsed="false">
      <c r="A114" s="49" t="s">
        <v>817</v>
      </c>
      <c r="B114" s="863" t="n">
        <v>40026</v>
      </c>
      <c r="C114" s="288" t="n">
        <f aca="false">YEAR(B114)</f>
        <v>2009</v>
      </c>
      <c r="D114" s="864" t="n">
        <f aca="false">IF(A114="January",D113+1,D113)</f>
        <v>9</v>
      </c>
      <c r="E114" s="865" t="n">
        <v>21</v>
      </c>
      <c r="F114" s="866" t="n">
        <v>5</v>
      </c>
      <c r="G114" s="866" t="n">
        <v>5</v>
      </c>
      <c r="H114" s="866" t="n">
        <v>0</v>
      </c>
      <c r="I114" s="867" t="n">
        <f aca="false">SUM(E114:H114)</f>
        <v>31</v>
      </c>
      <c r="J114" s="868"/>
      <c r="K114" s="869" t="n">
        <f aca="false">INDEX(FX!$A$3:$C$362,MATCH(B114,FX!$A$3:$A$362,0),MATCH("Monthly Curve",FX!$A$2:$C$2,0))</f>
        <v>1.33430755871995</v>
      </c>
      <c r="L114" s="869"/>
      <c r="M114" s="914" t="n">
        <v>2.9995</v>
      </c>
      <c r="N114" s="915" t="n">
        <v>0.145</v>
      </c>
      <c r="O114" s="714" t="n">
        <v>0.05</v>
      </c>
      <c r="P114" s="872" t="n">
        <f aca="false">N114+O114</f>
        <v>0.195</v>
      </c>
      <c r="Q114" s="873" t="n">
        <f aca="false">SUM(M114:O114)</f>
        <v>3.1945</v>
      </c>
      <c r="R114" s="974" t="n">
        <f aca="false">IF(A114="January",(R113+R113*Assumptions!$E$32),R113)</f>
        <v>0.35187946208178</v>
      </c>
      <c r="S114" s="875" t="n">
        <f aca="false">(Q114*K114)+R114</f>
        <v>4.61432495841266</v>
      </c>
      <c r="T114" s="869"/>
      <c r="U114" s="984"/>
      <c r="V114" s="985"/>
      <c r="W114" s="985"/>
      <c r="X114" s="971"/>
      <c r="Y114" s="975" t="n">
        <f aca="false">Tables!$D$36</f>
        <v>312</v>
      </c>
      <c r="Z114" s="879" t="n">
        <f aca="false">IF($Z$10=$V$10,V114,IF($Z$10=$W$10,W114,IF($Z$10=$X$10,X114,0)))</f>
        <v>0</v>
      </c>
      <c r="AA114" s="880" t="n">
        <f aca="false">Y114*Z114</f>
        <v>0</v>
      </c>
      <c r="AB114" s="881" t="n">
        <f aca="false">AA114*K114</f>
        <v>0</v>
      </c>
      <c r="AC114" s="188"/>
      <c r="AD114" s="882" t="n">
        <f aca="false">IF(Tables!$E$30="Michigan",INDEX('Michigan Curve'!$A$4:$S$256,MATCH('Monthly Table'!B114,'Michigan Curve'!$A$4:$A$256,0),MATCH("Michigan Selected Option Value US$/month",'Michigan Curve'!$A$4:$S$4,0)),INDEX('NY Curve'!$A$4:$T$256,MATCH('Monthly Table'!B114,'NY Curve'!$A$4:$A$256,0),MATCH("New York Selected Option Value US$/month",'NY Curve'!$A$4:$T$4,0)))</f>
        <v>286078.309034907</v>
      </c>
      <c r="AE114" s="883" t="n">
        <f aca="false">AD114*K114</f>
        <v>381716.450131099</v>
      </c>
      <c r="AF114" s="188"/>
      <c r="AG114" s="884"/>
      <c r="AH114" s="188"/>
      <c r="AI114" s="885" t="n">
        <f aca="false">Assumptions!$B$50</f>
        <v>65</v>
      </c>
      <c r="AJ114" s="916"/>
      <c r="AK114" s="887" t="n">
        <f aca="false">IF(Tables!$E$30="Custom",'Monthly Table'!AI114,IF(Tables!$E$30="New York",INDEX('NY Curve'!$A$4:$G$256,MATCH('Monthly Table'!B114,'NY Curve'!$A$4:$A$256,0),MATCH("Super Peak Curve",'NY Curve'!$A$4:$G$4,0)),IF(Tables!$E$30="New York Flat",INDEX('NY Curve'!$A$4:$G$256,MATCH('Monthly Table'!B114,'NY Curve'!$A$4:$A$256,0),MATCH("Flat NY West",'NY Curve'!$A$4:$G$4,0)),INDEX('Michigan Curve'!$A$4:$F$256,MATCH('Monthly Table'!B114,'Michigan Curve'!$A$4:$A$256,0),MATCH("Michigan Super Peak Curve US$/MWhr",'Michigan Curve'!$A$4:$F$4,0)))))</f>
        <v>138.005726340225</v>
      </c>
      <c r="AL114" s="888" t="n">
        <f aca="false">IF(D114&lt;=Tables!$B$21,IF($AL$10=$AI$10,AI114,IF($AL$10=$AJ$10,AJ114,IF($AL$10=$AK$10,AK114,0))),0)</f>
        <v>138.005726340225</v>
      </c>
      <c r="AM114" s="889" t="n">
        <f aca="false">+AL114*K114</f>
        <v>184.142083802399</v>
      </c>
      <c r="AN114" s="890" t="n">
        <f aca="false">IF((AL114*K114)&gt;(CP114+$BF$4),1,0)</f>
        <v>1</v>
      </c>
      <c r="AO114" s="891"/>
      <c r="AP114" s="894"/>
      <c r="AQ114" s="892" t="n">
        <f aca="false">IF(Tables!$E$30="New York",INDEX('NY Curve'!$A$4:$L$256,MATCH('Monthly Table'!B114,'NY Curve'!$A$4:$A$256,0),MATCH("New York Shoulder Hour Curve Mon-Fri",'NY Curve'!$A$4:$L$4,0)),IF(Tables!$E$30="Michigan",INDEX('Michigan Curve'!$A$4:$K$256,MATCH('Monthly Table'!B114,'Michigan Curve'!$A$4:$A$256,0),MATCH("Michigan Shoulder Hour Curve Mon-Fri",'Michigan Curve'!$A$4:$K$4,0))))</f>
        <v>27.9942736597751</v>
      </c>
      <c r="AR114" s="889" t="n">
        <f aca="false">AQ114*K114</f>
        <v>37.3529709451128</v>
      </c>
      <c r="AS114" s="893" t="n">
        <f aca="false">IF(AR114&gt;($CP114+$BF$4),1,0)</f>
        <v>0</v>
      </c>
      <c r="AT114" s="188"/>
      <c r="AU114" s="892" t="n">
        <f aca="false">IF(Tables!$E$30="New York",INDEX('NY Curve'!$A$4:$L$256,MATCH('Monthly Table'!$B114,'NY Curve'!$A$4:$A$256,0),MATCH("New York Saturday Super Peak",'NY Curve'!$A$4:$L$4,0)),IF(Tables!$E$30="Michigan",INDEX('Michigan Curve'!$A$4:$K$256,MATCH('Monthly Table'!$B114,'Michigan Curve'!$A$4:$A$256,0),MATCH("Michigan Saturday Super Peak",'Michigan Curve'!$A$4:$K$4,0))))</f>
        <v>58.1951921488908</v>
      </c>
      <c r="AV114" s="894" t="n">
        <f aca="false">AU114*K114</f>
        <v>77.6502847654249</v>
      </c>
      <c r="AW114" s="893" t="n">
        <f aca="false">IF(AV114&gt;($CP114+$BF$4),1,0)</f>
        <v>1</v>
      </c>
      <c r="AX114" s="892" t="n">
        <f aca="false">IF(Tables!$E$30="New York",INDEX('NY Curve'!$A$4:$L$256,MATCH('Monthly Table'!$B114,'NY Curve'!$A$4:$A$256,0),MATCH("New York Saturday Shoulder Peak",'NY Curve'!$A$4:$L$4,0)),IF(Tables!$E$30="Michigan",INDEX('Michigan Curve'!$A$4:$K$256,MATCH('Monthly Table'!$B114,'Michigan Curve'!$A$4:$A$256,0),MATCH("Michigan Saturday Shoulder Peak",'Michigan Curve'!$A$4:$K$4,0))))</f>
        <v>11.8048154805037</v>
      </c>
      <c r="AY114" s="895" t="n">
        <f aca="false">AX114*K114</f>
        <v>15.7512545249304</v>
      </c>
      <c r="AZ114" s="893" t="n">
        <f aca="false">IF(AY114&gt;($CP114+$BF$4),1,0)</f>
        <v>0</v>
      </c>
      <c r="BA114" s="188"/>
      <c r="BB114" s="892" t="n">
        <f aca="false">IF(Tables!$E$30="New York",INDEX('NY Curve'!$A$4:$M$256,MATCH('Monthly Table'!$B114,'NY Curve'!$A$4:$A$256,0),MATCH("NY Sunday Super Peak",'NY Curve'!$A$4:$M$4,0)),IF(Tables!$E$30="Michigan",INDEX('Michigan Curve'!$A$4:$L$256,MATCH('Monthly Table'!$B114,'Michigan Curve'!$A$4:$A$256,0),MATCH("Michigan Sunday Super Peak",'Michigan Curve'!$A$4:$L$4,0))))</f>
        <v>51.5443074282768</v>
      </c>
      <c r="BC114" s="894" t="n">
        <f aca="false">BB114*K114</f>
        <v>68.7759590105346</v>
      </c>
      <c r="BD114" s="893" t="n">
        <f aca="false">IF(BC114&gt;($CP114+$BF$4),1,0)</f>
        <v>1</v>
      </c>
      <c r="BE114" s="188"/>
      <c r="BF114" s="896" t="n">
        <f aca="false">B114</f>
        <v>40026</v>
      </c>
      <c r="BG114" s="897" t="n">
        <f aca="false">IF($AN114=1,$E114*$BF$5,0)</f>
        <v>168</v>
      </c>
      <c r="BH114" s="976" t="n">
        <f aca="false">IF(Tables!$B$36="Combined Cycle",(BF114-BF113)*24*Assumptions!$B$21,0)</f>
        <v>0</v>
      </c>
      <c r="BI114" s="714" t="n">
        <f aca="false">IF($AN114=1,$E114*$BF$5,0)</f>
        <v>168</v>
      </c>
      <c r="BJ114" s="898" t="n">
        <f aca="false">IF('Monthly Table'!D114&lt;=Tables!$B$21,IF($BJ$10=$BG$10,BG114,IF($BJ$10=$BH$10,BH114,IF($BJ$10=$BI$10,BI114,0))),0)</f>
        <v>168</v>
      </c>
      <c r="BK114" s="288"/>
      <c r="BL114" s="898" t="n">
        <f aca="false">IF($AW114=1,$F114*$BF$5,0)</f>
        <v>40</v>
      </c>
      <c r="BM114" s="898" t="n">
        <f aca="false">IF($BD114=1,($G114+H114)*$BF$5,0)</f>
        <v>40</v>
      </c>
      <c r="BO114" s="898" t="n">
        <f aca="false">IF(AS114=1,BJ114,0)</f>
        <v>0</v>
      </c>
      <c r="BP114" s="898" t="n">
        <f aca="false">IF(AZ114=1,F114*$BF$5,0)</f>
        <v>0</v>
      </c>
      <c r="BR114" s="899" t="n">
        <f aca="false">IF(BJ114&gt;0,INDEX(OperationalDetail,MATCH("Capacity Degradation",ODColumn,0),MATCH('Monthly Table'!C114,ODRow,0)),0)</f>
        <v>0.00991</v>
      </c>
      <c r="BS114" s="900" t="n">
        <f aca="false">BJ114*(1-BR114)*Tables!$C$36</f>
        <v>53892.57888</v>
      </c>
      <c r="BT114" s="883" t="n">
        <f aca="false">BS114*AL114/1000</f>
        <v>7437.48449268226</v>
      </c>
      <c r="BU114" s="883" t="n">
        <f aca="false">BT114*K114</f>
        <v>9923.89177644836</v>
      </c>
      <c r="BV114" s="188"/>
      <c r="BW114" s="901" t="n">
        <f aca="false">$BO114*(1-$BR114)*Tables!$C$36</f>
        <v>0</v>
      </c>
      <c r="BX114" s="902" t="n">
        <f aca="false">(BW114*AQ114)/1000</f>
        <v>0</v>
      </c>
      <c r="BY114" s="883" t="n">
        <f aca="false">BX114*K114</f>
        <v>0</v>
      </c>
      <c r="BZ114" s="188"/>
      <c r="CA114" s="901" t="n">
        <f aca="false">$BL114*(1-$BR114)*Tables!$C$36</f>
        <v>12831.5664</v>
      </c>
      <c r="CB114" s="902" t="n">
        <f aca="false">(CA114*AU114)/1000</f>
        <v>746.735472219251</v>
      </c>
      <c r="CC114" s="883" t="n">
        <f aca="false">CB114*K114</f>
        <v>996.374784946458</v>
      </c>
      <c r="CD114" s="901" t="n">
        <f aca="false">$BP114*(1-$BR114)*Tables!$C$36</f>
        <v>0</v>
      </c>
      <c r="CE114" s="902" t="n">
        <f aca="false">(CD114*AX114)/1000</f>
        <v>0</v>
      </c>
      <c r="CF114" s="883" t="n">
        <f aca="false">CE114*K114</f>
        <v>0</v>
      </c>
      <c r="CH114" s="901" t="n">
        <f aca="false">$BM114*(1-$BR114)*Tables!$C$36</f>
        <v>12831.5664</v>
      </c>
      <c r="CI114" s="902" t="n">
        <f aca="false">(CH114*BB114)/1000</f>
        <v>661.394203307946</v>
      </c>
      <c r="CJ114" s="883" t="n">
        <f aca="false">CI114*K114</f>
        <v>882.503284767352</v>
      </c>
      <c r="CK114" s="292"/>
      <c r="CL114" s="292" t="n">
        <f aca="false">C114-1</f>
        <v>2008</v>
      </c>
      <c r="CM114" s="903" t="n">
        <f aca="false">INDEX(OperationalDetail,MATCH("Degraded Heat Rate",ODColumn,0),MATCH('Monthly Table'!CL114,ODRow,0))/1000</f>
        <v>12.0475472</v>
      </c>
      <c r="CN114" s="904" t="n">
        <f aca="false">S114*CM114</f>
        <v>55.5912977326146</v>
      </c>
      <c r="CO114" s="905" t="n">
        <f aca="false">IF(A114="January",(CO113*(1+Assumptions!$E$32)),CO113)</f>
        <v>7.89185821816339</v>
      </c>
      <c r="CP114" s="906" t="n">
        <f aca="false">CN114+CO114</f>
        <v>63.4831559507779</v>
      </c>
      <c r="CQ114" s="292"/>
      <c r="CR114" s="856" t="n">
        <f aca="false">IF(BJ114=0,"",C114)</f>
        <v>2009</v>
      </c>
      <c r="CS114" s="856" t="str">
        <f aca="false">IF(BO114=0,"",$C114)</f>
        <v/>
      </c>
      <c r="CT114" s="856" t="n">
        <f aca="false">IF(BL114=0,"",$C114)</f>
        <v>2009</v>
      </c>
      <c r="CU114" s="856" t="str">
        <f aca="false">IF(BP114=0,"",$C114)</f>
        <v/>
      </c>
      <c r="CV114" s="856" t="n">
        <f aca="false">IF(BD114=0,"",$C114)</f>
        <v>2009</v>
      </c>
      <c r="CW114" s="907" t="n">
        <f aca="false">YEAR(BF114)</f>
        <v>2009</v>
      </c>
      <c r="CX114" s="908" t="n">
        <f aca="false">INDEX('NY Curve'!$A$4:$G$256,MATCH('Monthly Table'!B114,'NY Curve'!$A$4:$A$256,0),MATCH("New York 5 X 16",'NY Curve'!$A$4:$G$4,0))</f>
        <v>68.5</v>
      </c>
      <c r="CY114" s="909" t="n">
        <f aca="false">K114</f>
        <v>1.33430755871995</v>
      </c>
      <c r="CZ114" s="910" t="n">
        <f aca="false">CX114*CY114</f>
        <v>91.4000677723166</v>
      </c>
      <c r="DB114" s="911"/>
      <c r="DC114" s="911"/>
    </row>
    <row r="115" customFormat="false" ht="18.75" hidden="false" customHeight="true" outlineLevel="0" collapsed="false">
      <c r="A115" s="49" t="s">
        <v>818</v>
      </c>
      <c r="B115" s="863" t="n">
        <v>40057</v>
      </c>
      <c r="C115" s="288" t="n">
        <f aca="false">YEAR(B115)</f>
        <v>2009</v>
      </c>
      <c r="D115" s="864" t="n">
        <f aca="false">IF(A115="January",D114+1,D114)</f>
        <v>9</v>
      </c>
      <c r="E115" s="865" t="n">
        <v>21</v>
      </c>
      <c r="F115" s="866" t="n">
        <v>4</v>
      </c>
      <c r="G115" s="866" t="n">
        <v>4</v>
      </c>
      <c r="H115" s="866" t="n">
        <v>1</v>
      </c>
      <c r="I115" s="867" t="n">
        <f aca="false">SUM(E115:H115)</f>
        <v>30</v>
      </c>
      <c r="J115" s="868"/>
      <c r="K115" s="869" t="n">
        <f aca="false">INDEX(FX!$A$3:$C$362,MATCH(B115,FX!$A$3:$A$362,0),MATCH("Monthly Curve",FX!$A$2:$C$2,0))</f>
        <v>1.33346973892391</v>
      </c>
      <c r="L115" s="869"/>
      <c r="M115" s="914" t="n">
        <v>3.0065</v>
      </c>
      <c r="N115" s="915" t="n">
        <v>0.145</v>
      </c>
      <c r="O115" s="714" t="n">
        <v>0.05</v>
      </c>
      <c r="P115" s="872" t="n">
        <f aca="false">N115+O115</f>
        <v>0.195</v>
      </c>
      <c r="Q115" s="873" t="n">
        <f aca="false">SUM(M115:O115)</f>
        <v>3.2015</v>
      </c>
      <c r="R115" s="974" t="n">
        <f aca="false">IF(A115="January",(R114+R114*Assumptions!$E$32),R114)</f>
        <v>0.35187946208178</v>
      </c>
      <c r="S115" s="875" t="n">
        <f aca="false">(Q115*K115)+R115</f>
        <v>4.62098283124668</v>
      </c>
      <c r="T115" s="869"/>
      <c r="U115" s="984"/>
      <c r="V115" s="985"/>
      <c r="W115" s="985"/>
      <c r="X115" s="971"/>
      <c r="Y115" s="975" t="n">
        <f aca="false">Tables!$D$36</f>
        <v>312</v>
      </c>
      <c r="Z115" s="879" t="n">
        <f aca="false">IF($Z$10=$V$10,V115,IF($Z$10=$W$10,W115,IF($Z$10=$X$10,X115,0)))</f>
        <v>0</v>
      </c>
      <c r="AA115" s="880" t="n">
        <f aca="false">Y115*Z115</f>
        <v>0</v>
      </c>
      <c r="AB115" s="881" t="n">
        <f aca="false">AA115*K115</f>
        <v>0</v>
      </c>
      <c r="AC115" s="188"/>
      <c r="AD115" s="882" t="n">
        <f aca="false">IF(Tables!$E$30="Michigan",INDEX('Michigan Curve'!$A$4:$S$256,MATCH('Monthly Table'!B115,'Michigan Curve'!$A$4:$A$256,0),MATCH("Michigan Selected Option Value US$/month",'Michigan Curve'!$A$4:$S$4,0)),INDEX('NY Curve'!$A$4:$T$256,MATCH('Monthly Table'!B115,'NY Curve'!$A$4:$A$256,0),MATCH("New York Selected Option Value US$/month",'NY Curve'!$A$4:$T$4,0)))</f>
        <v>191419.907598978</v>
      </c>
      <c r="AE115" s="883" t="n">
        <f aca="false">AD115*K115</f>
        <v>255252.654210849</v>
      </c>
      <c r="AF115" s="188"/>
      <c r="AG115" s="884"/>
      <c r="AH115" s="188"/>
      <c r="AI115" s="885" t="n">
        <f aca="false">Assumptions!$B$50</f>
        <v>65</v>
      </c>
      <c r="AJ115" s="916"/>
      <c r="AK115" s="887" t="n">
        <f aca="false">IF(Tables!$E$30="Custom",'Monthly Table'!AI115,IF(Tables!$E$30="New York",INDEX('NY Curve'!$A$4:$G$256,MATCH('Monthly Table'!B115,'NY Curve'!$A$4:$A$256,0),MATCH("Super Peak Curve",'NY Curve'!$A$4:$G$4,0)),IF(Tables!$E$30="New York Flat",INDEX('NY Curve'!$A$4:$G$256,MATCH('Monthly Table'!B115,'NY Curve'!$A$4:$A$256,0),MATCH("Flat NY West",'NY Curve'!$A$4:$G$4,0)),INDEX('Michigan Curve'!$A$4:$F$256,MATCH('Monthly Table'!B115,'Michigan Curve'!$A$4:$A$256,0),MATCH("Michigan Super Peak Curve US$/MWhr",'Michigan Curve'!$A$4:$F$4,0)))))</f>
        <v>46.2803122550249</v>
      </c>
      <c r="AL115" s="888" t="n">
        <f aca="false">IF(D115&lt;=Tables!$B$21,IF($AL$10=$AI$10,AI115,IF($AL$10=$AJ$10,AJ115,IF($AL$10=$AK$10,AK115,0))),0)</f>
        <v>46.2803122550249</v>
      </c>
      <c r="AM115" s="889" t="n">
        <f aca="false">+AL115*K115</f>
        <v>61.7133959000251</v>
      </c>
      <c r="AN115" s="890" t="n">
        <f aca="false">IF((AL115*K115)&gt;(CP115+$BF$4),1,0)</f>
        <v>0</v>
      </c>
      <c r="AO115" s="891"/>
      <c r="AP115" s="894"/>
      <c r="AQ115" s="892" t="n">
        <f aca="false">IF(Tables!$E$30="New York",INDEX('NY Curve'!$A$4:$L$256,MATCH('Monthly Table'!B115,'NY Curve'!$A$4:$A$256,0),MATCH("New York Shoulder Hour Curve Mon-Fri",'NY Curve'!$A$4:$L$4,0)),IF(Tables!$E$30="Michigan",INDEX('Michigan Curve'!$A$4:$K$256,MATCH('Monthly Table'!B115,'Michigan Curve'!$A$4:$A$256,0),MATCH("Michigan Shoulder Hour Curve Mon-Fri",'Michigan Curve'!$A$4:$K$4,0))))</f>
        <v>22.2196877449751</v>
      </c>
      <c r="AR115" s="889" t="n">
        <f aca="false">AQ115*K115</f>
        <v>29.6292812162627</v>
      </c>
      <c r="AS115" s="893" t="n">
        <f aca="false">IF(AR115&gt;($CP115+$BF$4),1,0)</f>
        <v>0</v>
      </c>
      <c r="AT115" s="188"/>
      <c r="AU115" s="892" t="n">
        <f aca="false">IF(Tables!$E$30="New York",INDEX('NY Curve'!$A$4:$L$256,MATCH('Monthly Table'!$B115,'NY Curve'!$A$4:$A$256,0),MATCH("New York Saturday Super Peak",'NY Curve'!$A$4:$L$4,0)),IF(Tables!$E$30="Michigan",INDEX('Michigan Curve'!$A$4:$K$256,MATCH('Monthly Table'!$B115,'Michigan Curve'!$A$4:$A$256,0),MATCH("Michigan Saturday Super Peak",'Michigan Curve'!$A$4:$K$4,0))))</f>
        <v>33.7812498211861</v>
      </c>
      <c r="AV115" s="894" t="n">
        <f aca="false">AU115*K115</f>
        <v>45.0462743795804</v>
      </c>
      <c r="AW115" s="893" t="n">
        <f aca="false">IF(AV115&gt;($CP115+$BF$4),1,0)</f>
        <v>0</v>
      </c>
      <c r="AX115" s="892" t="n">
        <f aca="false">IF(Tables!$E$30="New York",INDEX('NY Curve'!$A$4:$L$256,MATCH('Monthly Table'!$B115,'NY Curve'!$A$4:$A$256,0),MATCH("New York Saturday Shoulder Peak",'NY Curve'!$A$4:$L$4,0)),IF(Tables!$E$30="Michigan",INDEX('Michigan Curve'!$A$4:$K$256,MATCH('Monthly Table'!$B115,'Michigan Curve'!$A$4:$A$256,0),MATCH("Michigan Saturday Shoulder Peak",'Michigan Curve'!$A$4:$K$4,0))))</f>
        <v>16.2187501788139</v>
      </c>
      <c r="AY115" s="895" t="n">
        <f aca="false">AX115*K115</f>
        <v>21.6272125666151</v>
      </c>
      <c r="AZ115" s="893" t="n">
        <f aca="false">IF(AY115&gt;($CP115+$BF$4),1,0)</f>
        <v>0</v>
      </c>
      <c r="BA115" s="188"/>
      <c r="BB115" s="892" t="n">
        <f aca="false">IF(Tables!$E$30="New York",INDEX('NY Curve'!$A$4:$M$256,MATCH('Monthly Table'!$B115,'NY Curve'!$A$4:$A$256,0),MATCH("NY Sunday Super Peak",'NY Curve'!$A$4:$M$4,0)),IF(Tables!$E$30="Michigan",INDEX('Michigan Curve'!$A$4:$L$256,MATCH('Monthly Table'!$B115,'Michigan Curve'!$A$4:$A$256,0),MATCH("Michigan Sunday Super Peak",'Michigan Curve'!$A$4:$L$4,0))))</f>
        <v>32.4299998283386</v>
      </c>
      <c r="BC115" s="894" t="n">
        <f aca="false">BB115*K115</f>
        <v>43.2444234043972</v>
      </c>
      <c r="BD115" s="893" t="n">
        <f aca="false">IF(BC115&gt;($CP115+$BF$4),1,0)</f>
        <v>0</v>
      </c>
      <c r="BE115" s="188"/>
      <c r="BF115" s="896" t="n">
        <f aca="false">B115</f>
        <v>40057</v>
      </c>
      <c r="BG115" s="897" t="n">
        <f aca="false">IF($AN115=1,$E115*$BF$5,0)</f>
        <v>0</v>
      </c>
      <c r="BH115" s="976" t="n">
        <f aca="false">IF(Tables!$B$36="Combined Cycle",(BF115-BF114)*24*Assumptions!$B$21,0)</f>
        <v>0</v>
      </c>
      <c r="BI115" s="714" t="n">
        <f aca="false">IF($AN115=1,$E115*$BF$5,0)</f>
        <v>0</v>
      </c>
      <c r="BJ115" s="898" t="n">
        <f aca="false">IF('Monthly Table'!D115&lt;=Tables!$B$21,IF($BJ$10=$BG$10,BG115,IF($BJ$10=$BH$10,BH115,IF($BJ$10=$BI$10,BI115,0))),0)</f>
        <v>0</v>
      </c>
      <c r="BK115" s="288"/>
      <c r="BL115" s="898" t="n">
        <f aca="false">IF($AW115=1,$F115*$BF$5,0)</f>
        <v>0</v>
      </c>
      <c r="BM115" s="898" t="n">
        <f aca="false">IF($BD115=1,($G115+H115)*$BF$5,0)</f>
        <v>0</v>
      </c>
      <c r="BO115" s="898" t="n">
        <f aca="false">IF(AS115=1,BJ115,0)</f>
        <v>0</v>
      </c>
      <c r="BP115" s="898" t="n">
        <f aca="false">IF(AZ115=1,F115*$BF$5,0)</f>
        <v>0</v>
      </c>
      <c r="BR115" s="899" t="n">
        <f aca="false">IF(BJ115&gt;0,INDEX(OperationalDetail,MATCH("Capacity Degradation",ODColumn,0),MATCH('Monthly Table'!C115,ODRow,0)),0)</f>
        <v>0</v>
      </c>
      <c r="BS115" s="900" t="n">
        <f aca="false">BJ115*(1-BR115)*Tables!$C$36</f>
        <v>0</v>
      </c>
      <c r="BT115" s="883" t="n">
        <f aca="false">BS115*AL115/1000</f>
        <v>0</v>
      </c>
      <c r="BU115" s="883" t="n">
        <f aca="false">BT115*K115</f>
        <v>0</v>
      </c>
      <c r="BV115" s="188"/>
      <c r="BW115" s="901" t="n">
        <f aca="false">$BO115*(1-$BR115)*Tables!$C$36</f>
        <v>0</v>
      </c>
      <c r="BX115" s="902" t="n">
        <f aca="false">(BW115*AQ115)/1000</f>
        <v>0</v>
      </c>
      <c r="BY115" s="883" t="n">
        <f aca="false">BX115*K115</f>
        <v>0</v>
      </c>
      <c r="BZ115" s="188"/>
      <c r="CA115" s="901" t="n">
        <f aca="false">$BL115*(1-$BR115)*Tables!$C$36</f>
        <v>0</v>
      </c>
      <c r="CB115" s="902" t="n">
        <f aca="false">(CA115*AU115)/1000</f>
        <v>0</v>
      </c>
      <c r="CC115" s="883" t="n">
        <f aca="false">CB115*K115</f>
        <v>0</v>
      </c>
      <c r="CD115" s="901" t="n">
        <f aca="false">$BP115*(1-$BR115)*Tables!$C$36</f>
        <v>0</v>
      </c>
      <c r="CE115" s="902" t="n">
        <f aca="false">(CD115*AX115)/1000</f>
        <v>0</v>
      </c>
      <c r="CF115" s="883" t="n">
        <f aca="false">CE115*K115</f>
        <v>0</v>
      </c>
      <c r="CH115" s="901" t="n">
        <f aca="false">$BM115*(1-$BR115)*Tables!$C$36</f>
        <v>0</v>
      </c>
      <c r="CI115" s="902" t="n">
        <f aca="false">(CH115*BB115)/1000</f>
        <v>0</v>
      </c>
      <c r="CJ115" s="883" t="n">
        <f aca="false">CI115*K115</f>
        <v>0</v>
      </c>
      <c r="CK115" s="292"/>
      <c r="CL115" s="292" t="n">
        <f aca="false">C115-1</f>
        <v>2008</v>
      </c>
      <c r="CM115" s="903" t="n">
        <f aca="false">INDEX(OperationalDetail,MATCH("Degraded Heat Rate",ODColumn,0),MATCH('Monthly Table'!CL115,ODRow,0))/1000</f>
        <v>12.0475472</v>
      </c>
      <c r="CN115" s="904" t="n">
        <f aca="false">S115*CM115</f>
        <v>55.671508769834</v>
      </c>
      <c r="CO115" s="905" t="n">
        <f aca="false">IF(A115="January",(CO114*(1+Assumptions!$E$32)),CO114)</f>
        <v>7.89185821816339</v>
      </c>
      <c r="CP115" s="906" t="n">
        <f aca="false">CN115+CO115</f>
        <v>63.5633669879974</v>
      </c>
      <c r="CQ115" s="292"/>
      <c r="CR115" s="856" t="str">
        <f aca="false">IF(BJ115=0,"",C115)</f>
        <v/>
      </c>
      <c r="CS115" s="856" t="str">
        <f aca="false">IF(BO115=0,"",$C115)</f>
        <v/>
      </c>
      <c r="CT115" s="856" t="str">
        <f aca="false">IF(BL115=0,"",$C115)</f>
        <v/>
      </c>
      <c r="CU115" s="856" t="str">
        <f aca="false">IF(BP115=0,"",$C115)</f>
        <v/>
      </c>
      <c r="CV115" s="856" t="str">
        <f aca="false">IF(BD115=0,"",$C115)</f>
        <v/>
      </c>
      <c r="CW115" s="907" t="n">
        <f aca="false">YEAR(BF115)</f>
        <v>2009</v>
      </c>
      <c r="CX115" s="908" t="n">
        <f aca="false">INDEX('NY Curve'!$A$4:$G$256,MATCH('Monthly Table'!B115,'NY Curve'!$A$4:$A$256,0),MATCH("New York 5 X 16",'NY Curve'!$A$4:$G$4,0))</f>
        <v>30.15</v>
      </c>
      <c r="CY115" s="909" t="n">
        <f aca="false">K115</f>
        <v>1.33346973892391</v>
      </c>
      <c r="CZ115" s="910" t="n">
        <f aca="false">CX115*CY115</f>
        <v>40.2041126285559</v>
      </c>
      <c r="DB115" s="911"/>
      <c r="DC115" s="911"/>
    </row>
    <row r="116" customFormat="false" ht="18.75" hidden="false" customHeight="true" outlineLevel="0" collapsed="false">
      <c r="A116" s="49" t="s">
        <v>819</v>
      </c>
      <c r="B116" s="863" t="n">
        <v>40087</v>
      </c>
      <c r="C116" s="288" t="n">
        <f aca="false">YEAR(B116)</f>
        <v>2009</v>
      </c>
      <c r="D116" s="864" t="n">
        <f aca="false">IF(A116="January",D115+1,D115)</f>
        <v>9</v>
      </c>
      <c r="E116" s="865" t="n">
        <v>22</v>
      </c>
      <c r="F116" s="866" t="n">
        <v>5</v>
      </c>
      <c r="G116" s="866" t="n">
        <v>4</v>
      </c>
      <c r="H116" s="866" t="n">
        <v>0</v>
      </c>
      <c r="I116" s="867" t="n">
        <f aca="false">SUM(E116:H116)</f>
        <v>31</v>
      </c>
      <c r="J116" s="868"/>
      <c r="K116" s="869" t="n">
        <f aca="false">INDEX(FX!$A$3:$C$362,MATCH(B116,FX!$A$3:$A$362,0),MATCH("Monthly Curve",FX!$A$2:$C$2,0))</f>
        <v>1.3326627634666</v>
      </c>
      <c r="L116" s="869"/>
      <c r="M116" s="914" t="n">
        <v>3.0335</v>
      </c>
      <c r="N116" s="915" t="n">
        <v>0.145</v>
      </c>
      <c r="O116" s="714" t="n">
        <v>0.05</v>
      </c>
      <c r="P116" s="872" t="n">
        <f aca="false">N116+O116</f>
        <v>0.195</v>
      </c>
      <c r="Q116" s="873" t="n">
        <f aca="false">SUM(M116:O116)</f>
        <v>3.2285</v>
      </c>
      <c r="R116" s="974" t="n">
        <f aca="false">IF(A116="January",(R115+R115*Assumptions!$E$32),R115)</f>
        <v>0.35187946208178</v>
      </c>
      <c r="S116" s="875" t="n">
        <f aca="false">(Q116*K116)+R116</f>
        <v>4.6543811939337</v>
      </c>
      <c r="T116" s="869"/>
      <c r="U116" s="984"/>
      <c r="V116" s="978"/>
      <c r="W116" s="978"/>
      <c r="X116" s="971"/>
      <c r="Y116" s="975" t="n">
        <f aca="false">Tables!$D$36</f>
        <v>312</v>
      </c>
      <c r="Z116" s="879" t="n">
        <f aca="false">IF($Z$10=$V$10,V116,IF($Z$10=$W$10,W116,IF($Z$10=$X$10,X116,0)))</f>
        <v>0</v>
      </c>
      <c r="AA116" s="880" t="n">
        <f aca="false">Y116*Z116</f>
        <v>0</v>
      </c>
      <c r="AB116" s="881" t="n">
        <f aca="false">AA116*K116</f>
        <v>0</v>
      </c>
      <c r="AC116" s="188"/>
      <c r="AD116" s="882" t="n">
        <f aca="false">IF(Tables!$E$30="Michigan",INDEX('Michigan Curve'!$A$4:$S$256,MATCH('Monthly Table'!B116,'Michigan Curve'!$A$4:$A$256,0),MATCH("Michigan Selected Option Value US$/month",'Michigan Curve'!$A$4:$S$4,0)),INDEX('NY Curve'!$A$4:$T$256,MATCH('Monthly Table'!B116,'NY Curve'!$A$4:$A$256,0),MATCH("New York Selected Option Value US$/month",'NY Curve'!$A$4:$T$4,0)))</f>
        <v>2392.75662760281</v>
      </c>
      <c r="AE116" s="883" t="n">
        <f aca="false">AD116*K116</f>
        <v>3188.73765964419</v>
      </c>
      <c r="AF116" s="188"/>
      <c r="AG116" s="884"/>
      <c r="AH116" s="188"/>
      <c r="AI116" s="885" t="n">
        <f aca="false">Assumptions!$B$50</f>
        <v>65</v>
      </c>
      <c r="AJ116" s="916"/>
      <c r="AK116" s="887" t="n">
        <f aca="false">IF(Tables!$E$30="Custom",'Monthly Table'!AI116,IF(Tables!$E$30="New York",INDEX('NY Curve'!$A$4:$G$256,MATCH('Monthly Table'!B116,'NY Curve'!$A$4:$A$256,0),MATCH("Super Peak Curve",'NY Curve'!$A$4:$G$4,0)),IF(Tables!$E$30="New York Flat",INDEX('NY Curve'!$A$4:$G$256,MATCH('Monthly Table'!B116,'NY Curve'!$A$4:$A$256,0),MATCH("Flat NY West",'NY Curve'!$A$4:$G$4,0)),INDEX('Michigan Curve'!$A$4:$F$256,MATCH('Monthly Table'!B116,'Michigan Curve'!$A$4:$A$256,0),MATCH("Michigan Super Peak Curve US$/MWhr",'Michigan Curve'!$A$4:$F$4,0)))))</f>
        <v>27.3499946594238</v>
      </c>
      <c r="AL116" s="888" t="n">
        <f aca="false">IF(D116&lt;=Tables!$B$21,IF($AL$10=$AI$10,AI116,IF($AL$10=$AJ$10,AJ116,IF($AL$10=$AK$10,AK116,0))),0)</f>
        <v>27.3499946594238</v>
      </c>
      <c r="AM116" s="889" t="n">
        <f aca="false">+AL116*K116</f>
        <v>36.4483194636245</v>
      </c>
      <c r="AN116" s="890" t="n">
        <f aca="false">IF((AL116*K116)&gt;(CP116+$BF$4),1,0)</f>
        <v>0</v>
      </c>
      <c r="AO116" s="891"/>
      <c r="AP116" s="894"/>
      <c r="AQ116" s="892" t="n">
        <f aca="false">IF(Tables!$E$30="New York",INDEX('NY Curve'!$A$4:$L$256,MATCH('Monthly Table'!B116,'NY Curve'!$A$4:$A$256,0),MATCH("New York Shoulder Hour Curve Mon-Fri",'NY Curve'!$A$4:$L$4,0)),IF(Tables!$E$30="Michigan",INDEX('Michigan Curve'!$A$4:$K$256,MATCH('Monthly Table'!B116,'Michigan Curve'!$A$4:$A$256,0),MATCH("Michigan Shoulder Hour Curve Mon-Fri",'Michigan Curve'!$A$4:$K$4,0))))</f>
        <v>27.3499946594238</v>
      </c>
      <c r="AR116" s="889" t="n">
        <f aca="false">AQ116*K116</f>
        <v>36.4483194636245</v>
      </c>
      <c r="AS116" s="893" t="n">
        <f aca="false">IF(AR116&gt;($CP116+$BF$4),1,0)</f>
        <v>0</v>
      </c>
      <c r="AT116" s="188"/>
      <c r="AU116" s="892" t="n">
        <f aca="false">IF(Tables!$E$30="New York",INDEX('NY Curve'!$A$4:$L$256,MATCH('Monthly Table'!$B116,'NY Curve'!$A$4:$A$256,0),MATCH("New York Saturday Super Peak",'NY Curve'!$A$4:$L$4,0)),IF(Tables!$E$30="Michigan",INDEX('Michigan Curve'!$A$4:$K$256,MATCH('Monthly Table'!$B116,'Michigan Curve'!$A$4:$A$256,0),MATCH("Michigan Saturday Super Peak",'Michigan Curve'!$A$4:$K$4,0))))</f>
        <v>19.996000289917</v>
      </c>
      <c r="AV116" s="894" t="n">
        <f aca="false">AU116*K116</f>
        <v>26.6479250046397</v>
      </c>
      <c r="AW116" s="893" t="n">
        <f aca="false">IF(AV116&gt;($CP116+$BF$4),1,0)</f>
        <v>0</v>
      </c>
      <c r="AX116" s="892" t="n">
        <f aca="false">IF(Tables!$E$30="New York",INDEX('NY Curve'!$A$4:$L$256,MATCH('Monthly Table'!$B116,'NY Curve'!$A$4:$A$256,0),MATCH("New York Saturday Shoulder Peak",'NY Curve'!$A$4:$L$4,0)),IF(Tables!$E$30="Michigan",INDEX('Michigan Curve'!$A$4:$K$256,MATCH('Monthly Table'!$B116,'Michigan Curve'!$A$4:$A$256,0),MATCH("Michigan Saturday Shoulder Peak",'Michigan Curve'!$A$4:$K$4,0))))</f>
        <v>19.996000289917</v>
      </c>
      <c r="AY116" s="895" t="n">
        <f aca="false">AX116*K116</f>
        <v>26.6479250046397</v>
      </c>
      <c r="AZ116" s="893" t="n">
        <f aca="false">IF(AY116&gt;($CP116+$BF$4),1,0)</f>
        <v>0</v>
      </c>
      <c r="BA116" s="188"/>
      <c r="BB116" s="892" t="n">
        <f aca="false">IF(Tables!$E$30="New York",INDEX('NY Curve'!$A$4:$M$256,MATCH('Monthly Table'!$B116,'NY Curve'!$A$4:$A$256,0),MATCH("NY Sunday Super Peak",'NY Curve'!$A$4:$M$4,0)),IF(Tables!$E$30="Michigan",INDEX('Michigan Curve'!$A$4:$L$256,MATCH('Monthly Table'!$B116,'Michigan Curve'!$A$4:$A$256,0),MATCH("Michigan Sunday Super Peak",'Michigan Curve'!$A$4:$L$4,0))))</f>
        <v>18.9965000152588</v>
      </c>
      <c r="BC116" s="894" t="n">
        <f aca="false">BB116*K116</f>
        <v>25.3159282065281</v>
      </c>
      <c r="BD116" s="893" t="n">
        <f aca="false">IF(BC116&gt;($CP116+$BF$4),1,0)</f>
        <v>0</v>
      </c>
      <c r="BE116" s="188"/>
      <c r="BF116" s="896" t="n">
        <f aca="false">B116</f>
        <v>40087</v>
      </c>
      <c r="BG116" s="897" t="n">
        <f aca="false">IF($AN116=1,$E116*$BF$5,0)</f>
        <v>0</v>
      </c>
      <c r="BH116" s="976" t="n">
        <f aca="false">IF(Tables!$B$36="Combined Cycle",(BF116-BF115)*24*Assumptions!$B$21,0)</f>
        <v>0</v>
      </c>
      <c r="BI116" s="714" t="n">
        <f aca="false">IF($AN116=1,$E116*$BF$5,0)</f>
        <v>0</v>
      </c>
      <c r="BJ116" s="898" t="n">
        <f aca="false">IF('Monthly Table'!D116&lt;=Tables!$B$21,IF($BJ$10=$BG$10,BG116,IF($BJ$10=$BH$10,BH116,IF($BJ$10=$BI$10,BI116,0))),0)</f>
        <v>0</v>
      </c>
      <c r="BK116" s="288"/>
      <c r="BL116" s="898" t="n">
        <f aca="false">IF($AW116=1,$F116*$BF$5,0)</f>
        <v>0</v>
      </c>
      <c r="BM116" s="898" t="n">
        <f aca="false">IF($BD116=1,($G116+H116)*$BF$5,0)</f>
        <v>0</v>
      </c>
      <c r="BO116" s="898" t="n">
        <f aca="false">IF(AS116=1,BJ116,0)</f>
        <v>0</v>
      </c>
      <c r="BP116" s="898" t="n">
        <f aca="false">IF(AZ116=1,F116*$BF$5,0)</f>
        <v>0</v>
      </c>
      <c r="BR116" s="899" t="n">
        <f aca="false">IF(BJ116&gt;0,INDEX(OperationalDetail,MATCH("Capacity Degradation",ODColumn,0),MATCH('Monthly Table'!C116,ODRow,0)),0)</f>
        <v>0</v>
      </c>
      <c r="BS116" s="900" t="n">
        <f aca="false">BJ116*(1-BR116)*Tables!$C$36</f>
        <v>0</v>
      </c>
      <c r="BT116" s="883" t="n">
        <f aca="false">BS116*AL116/1000</f>
        <v>0</v>
      </c>
      <c r="BU116" s="883" t="n">
        <f aca="false">BT116*K116</f>
        <v>0</v>
      </c>
      <c r="BV116" s="188"/>
      <c r="BW116" s="901" t="n">
        <f aca="false">$BO116*(1-$BR116)*Tables!$C$36</f>
        <v>0</v>
      </c>
      <c r="BX116" s="902" t="n">
        <f aca="false">(BW116*AQ116)/1000</f>
        <v>0</v>
      </c>
      <c r="BY116" s="883" t="n">
        <f aca="false">BX116*K116</f>
        <v>0</v>
      </c>
      <c r="BZ116" s="188"/>
      <c r="CA116" s="901" t="n">
        <f aca="false">$BL116*(1-$BR116)*Tables!$C$36</f>
        <v>0</v>
      </c>
      <c r="CB116" s="902" t="n">
        <f aca="false">(CA116*AU116)/1000</f>
        <v>0</v>
      </c>
      <c r="CC116" s="883" t="n">
        <f aca="false">CB116*K116</f>
        <v>0</v>
      </c>
      <c r="CD116" s="901" t="n">
        <f aca="false">$BP116*(1-$BR116)*Tables!$C$36</f>
        <v>0</v>
      </c>
      <c r="CE116" s="902" t="n">
        <f aca="false">(CD116*AX116)/1000</f>
        <v>0</v>
      </c>
      <c r="CF116" s="883" t="n">
        <f aca="false">CE116*K116</f>
        <v>0</v>
      </c>
      <c r="CH116" s="901" t="n">
        <f aca="false">$BM116*(1-$BR116)*Tables!$C$36</f>
        <v>0</v>
      </c>
      <c r="CI116" s="902" t="n">
        <f aca="false">(CH116*BB116)/1000</f>
        <v>0</v>
      </c>
      <c r="CJ116" s="883" t="n">
        <f aca="false">CI116*K116</f>
        <v>0</v>
      </c>
      <c r="CK116" s="292"/>
      <c r="CL116" s="292" t="n">
        <f aca="false">C116-1</f>
        <v>2008</v>
      </c>
      <c r="CM116" s="903" t="n">
        <f aca="false">INDEX(OperationalDetail,MATCH("Degraded Heat Rate",ODColumn,0),MATCH('Monthly Table'!CL116,ODRow,0))/1000</f>
        <v>12.0475472</v>
      </c>
      <c r="CN116" s="904" t="n">
        <f aca="false">S116*CM116</f>
        <v>56.0738771207086</v>
      </c>
      <c r="CO116" s="905" t="n">
        <f aca="false">IF(A116="January",(CO115*(1+Assumptions!$E$32)),CO115)</f>
        <v>7.89185821816339</v>
      </c>
      <c r="CP116" s="906" t="n">
        <f aca="false">CN116+CO116</f>
        <v>63.965735338872</v>
      </c>
      <c r="CQ116" s="292"/>
      <c r="CR116" s="856" t="str">
        <f aca="false">IF(BJ116=0,"",C116)</f>
        <v/>
      </c>
      <c r="CS116" s="856" t="str">
        <f aca="false">IF(BO116=0,"",$C116)</f>
        <v/>
      </c>
      <c r="CT116" s="856" t="str">
        <f aca="false">IF(BL116=0,"",$C116)</f>
        <v/>
      </c>
      <c r="CU116" s="856" t="str">
        <f aca="false">IF(BP116=0,"",$C116)</f>
        <v/>
      </c>
      <c r="CV116" s="856" t="str">
        <f aca="false">IF(BD116=0,"",$C116)</f>
        <v/>
      </c>
      <c r="CW116" s="907" t="n">
        <f aca="false">YEAR(BF116)</f>
        <v>2009</v>
      </c>
      <c r="CX116" s="908" t="n">
        <f aca="false">INDEX('NY Curve'!$A$4:$G$256,MATCH('Monthly Table'!B116,'NY Curve'!$A$4:$A$256,0),MATCH("New York 5 X 16",'NY Curve'!$A$4:$G$4,0))</f>
        <v>25.9</v>
      </c>
      <c r="CY116" s="909" t="n">
        <f aca="false">K116</f>
        <v>1.3326627634666</v>
      </c>
      <c r="CZ116" s="910" t="n">
        <f aca="false">CX116*CY116</f>
        <v>34.5159655737849</v>
      </c>
      <c r="DB116" s="911"/>
      <c r="DC116" s="911"/>
    </row>
    <row r="117" customFormat="false" ht="18.75" hidden="false" customHeight="true" outlineLevel="0" collapsed="false">
      <c r="A117" s="49" t="s">
        <v>820</v>
      </c>
      <c r="B117" s="863" t="n">
        <v>40118</v>
      </c>
      <c r="C117" s="288" t="n">
        <f aca="false">YEAR(B117)</f>
        <v>2009</v>
      </c>
      <c r="D117" s="864" t="n">
        <f aca="false">IF(A117="January",D116+1,D116)</f>
        <v>9</v>
      </c>
      <c r="E117" s="865" t="n">
        <v>20</v>
      </c>
      <c r="F117" s="866" t="n">
        <v>4</v>
      </c>
      <c r="G117" s="866" t="n">
        <v>5</v>
      </c>
      <c r="H117" s="866" t="n">
        <v>1</v>
      </c>
      <c r="I117" s="867" t="n">
        <f aca="false">SUM(E117:H117)</f>
        <v>30</v>
      </c>
      <c r="J117" s="868"/>
      <c r="K117" s="869" t="n">
        <f aca="false">INDEX(FX!$A$3:$C$362,MATCH(B117,FX!$A$3:$A$362,0),MATCH("Monthly Curve",FX!$A$2:$C$2,0))</f>
        <v>1.33183282724338</v>
      </c>
      <c r="L117" s="869"/>
      <c r="M117" s="914" t="n">
        <v>3.1695</v>
      </c>
      <c r="N117" s="915" t="n">
        <v>0.23</v>
      </c>
      <c r="O117" s="714" t="n">
        <v>0.05</v>
      </c>
      <c r="P117" s="872" t="n">
        <f aca="false">N117+O117</f>
        <v>0.28</v>
      </c>
      <c r="Q117" s="873" t="n">
        <f aca="false">SUM(M117:O117)</f>
        <v>3.4495</v>
      </c>
      <c r="R117" s="974" t="n">
        <f aca="false">IF(A117="January",(R116+R116*Assumptions!$E$32),R116)</f>
        <v>0.35187946208178</v>
      </c>
      <c r="S117" s="875" t="n">
        <f aca="false">(Q117*K117)+R117</f>
        <v>4.94603679965782</v>
      </c>
      <c r="T117" s="869"/>
      <c r="U117" s="984"/>
      <c r="V117" s="978"/>
      <c r="W117" s="978"/>
      <c r="X117" s="971"/>
      <c r="Y117" s="975" t="n">
        <f aca="false">Tables!$D$36</f>
        <v>312</v>
      </c>
      <c r="Z117" s="879" t="n">
        <f aca="false">IF($Z$10=$V$10,V117,IF($Z$10=$W$10,W117,IF($Z$10=$X$10,X117,0)))</f>
        <v>0</v>
      </c>
      <c r="AA117" s="880" t="n">
        <f aca="false">Y117*Z117</f>
        <v>0</v>
      </c>
      <c r="AB117" s="881" t="n">
        <f aca="false">AA117*K117</f>
        <v>0</v>
      </c>
      <c r="AC117" s="188"/>
      <c r="AD117" s="882" t="n">
        <f aca="false">IF(Tables!$E$30="Michigan",INDEX('Michigan Curve'!$A$4:$S$256,MATCH('Monthly Table'!B117,'Michigan Curve'!$A$4:$A$256,0),MATCH("Michigan Selected Option Value US$/month",'Michigan Curve'!$A$4:$S$4,0)),INDEX('NY Curve'!$A$4:$T$256,MATCH('Monthly Table'!B117,'NY Curve'!$A$4:$A$256,0),MATCH("New York Selected Option Value US$/month",'NY Curve'!$A$4:$T$4,0)))</f>
        <v>12781.4300778391</v>
      </c>
      <c r="AE117" s="883" t="n">
        <f aca="false">AD117*K117</f>
        <v>17022.728156782</v>
      </c>
      <c r="AF117" s="188"/>
      <c r="AG117" s="884"/>
      <c r="AH117" s="188"/>
      <c r="AI117" s="885" t="n">
        <f aca="false">Assumptions!$B$50</f>
        <v>65</v>
      </c>
      <c r="AJ117" s="916"/>
      <c r="AK117" s="887" t="n">
        <f aca="false">IF(Tables!$E$30="Custom",'Monthly Table'!AI117,IF(Tables!$E$30="New York",INDEX('NY Curve'!$A$4:$G$256,MATCH('Monthly Table'!B117,'NY Curve'!$A$4:$A$256,0),MATCH("Super Peak Curve",'NY Curve'!$A$4:$G$4,0)),IF(Tables!$E$30="New York Flat",INDEX('NY Curve'!$A$4:$G$256,MATCH('Monthly Table'!B117,'NY Curve'!$A$4:$A$256,0),MATCH("Flat NY West",'NY Curve'!$A$4:$G$4,0)),INDEX('Michigan Curve'!$A$4:$F$256,MATCH('Monthly Table'!B117,'Michigan Curve'!$A$4:$A$256,0),MATCH("Michigan Super Peak Curve US$/MWhr",'Michigan Curve'!$A$4:$F$4,0)))))</f>
        <v>29.4083953857422</v>
      </c>
      <c r="AL117" s="888" t="n">
        <f aca="false">IF(D117&lt;=Tables!$B$21,IF($AL$10=$AI$10,AI117,IF($AL$10=$AJ$10,AJ117,IF($AL$10=$AK$10,AK117,0))),0)</f>
        <v>29.4083953857422</v>
      </c>
      <c r="AM117" s="889" t="n">
        <f aca="false">+AL117*K117</f>
        <v>39.1670663712842</v>
      </c>
      <c r="AN117" s="890" t="n">
        <f aca="false">IF((AL117*K117)&gt;(CP117+$BF$4),1,0)</f>
        <v>0</v>
      </c>
      <c r="AO117" s="891"/>
      <c r="AP117" s="894"/>
      <c r="AQ117" s="892" t="n">
        <f aca="false">IF(Tables!$E$30="New York",INDEX('NY Curve'!$A$4:$L$256,MATCH('Monthly Table'!B117,'NY Curve'!$A$4:$A$256,0),MATCH("New York Shoulder Hour Curve Mon-Fri",'NY Curve'!$A$4:$L$4,0)),IF(Tables!$E$30="Michigan",INDEX('Michigan Curve'!$A$4:$K$256,MATCH('Monthly Table'!B117,'Michigan Curve'!$A$4:$A$256,0),MATCH("Michigan Shoulder Hour Curve Mon-Fri",'Michigan Curve'!$A$4:$K$4,0))))</f>
        <v>25.0515960693359</v>
      </c>
      <c r="AR117" s="889" t="n">
        <f aca="false">AQ117*K117</f>
        <v>33.3645380199828</v>
      </c>
      <c r="AS117" s="893" t="n">
        <f aca="false">IF(AR117&gt;($CP117+$BF$4),1,0)</f>
        <v>0</v>
      </c>
      <c r="AT117" s="188"/>
      <c r="AU117" s="892" t="n">
        <f aca="false">IF(Tables!$E$30="New York",INDEX('NY Curve'!$A$4:$L$256,MATCH('Monthly Table'!$B117,'NY Curve'!$A$4:$A$256,0),MATCH("New York Saturday Super Peak",'NY Curve'!$A$4:$L$4,0)),IF(Tables!$E$30="Michigan",INDEX('Michigan Curve'!$A$4:$K$256,MATCH('Monthly Table'!$B117,'Michigan Curve'!$A$4:$A$256,0),MATCH("Michigan Saturday Super Peak",'Michigan Curve'!$A$4:$K$4,0))))</f>
        <v>21.6</v>
      </c>
      <c r="AV117" s="894" t="n">
        <f aca="false">AU117*K117</f>
        <v>28.767589068457</v>
      </c>
      <c r="AW117" s="893" t="n">
        <f aca="false">IF(AV117&gt;($CP117+$BF$4),1,0)</f>
        <v>0</v>
      </c>
      <c r="AX117" s="892" t="n">
        <f aca="false">IF(Tables!$E$30="New York",INDEX('NY Curve'!$A$4:$L$256,MATCH('Monthly Table'!$B117,'NY Curve'!$A$4:$A$256,0),MATCH("New York Saturday Shoulder Peak",'NY Curve'!$A$4:$L$4,0)),IF(Tables!$E$30="Michigan",INDEX('Michigan Curve'!$A$4:$K$256,MATCH('Monthly Table'!$B117,'Michigan Curve'!$A$4:$A$256,0),MATCH("Michigan Saturday Shoulder Peak",'Michigan Curve'!$A$4:$K$4,0))))</f>
        <v>18.4</v>
      </c>
      <c r="AY117" s="895" t="n">
        <f aca="false">AX117*K117</f>
        <v>24.5057240212782</v>
      </c>
      <c r="AZ117" s="893" t="n">
        <f aca="false">IF(AY117&gt;($CP117+$BF$4),1,0)</f>
        <v>0</v>
      </c>
      <c r="BA117" s="188"/>
      <c r="BB117" s="892" t="n">
        <f aca="false">IF(Tables!$E$30="New York",INDEX('NY Curve'!$A$4:$M$256,MATCH('Monthly Table'!$B117,'NY Curve'!$A$4:$A$256,0),MATCH("NY Sunday Super Peak",'NY Curve'!$A$4:$M$4,0)),IF(Tables!$E$30="Michigan",INDEX('Michigan Curve'!$A$4:$L$256,MATCH('Monthly Table'!$B117,'Michigan Curve'!$A$4:$A$256,0),MATCH("Michigan Sunday Super Peak",'Michigan Curve'!$A$4:$L$4,0))))</f>
        <v>20.52</v>
      </c>
      <c r="BC117" s="894" t="n">
        <f aca="false">BB117*K117</f>
        <v>27.3292096150342</v>
      </c>
      <c r="BD117" s="893" t="n">
        <f aca="false">IF(BC117&gt;($CP117+$BF$4),1,0)</f>
        <v>0</v>
      </c>
      <c r="BE117" s="188"/>
      <c r="BF117" s="896" t="n">
        <f aca="false">B117</f>
        <v>40118</v>
      </c>
      <c r="BG117" s="897" t="n">
        <f aca="false">IF($AN117=1,$E117*$BF$5,0)</f>
        <v>0</v>
      </c>
      <c r="BH117" s="976" t="n">
        <f aca="false">IF(Tables!$B$36="Combined Cycle",(BF117-BF116)*24*Assumptions!$B$21,0)</f>
        <v>0</v>
      </c>
      <c r="BI117" s="714" t="n">
        <f aca="false">IF($AN117=1,$E117*$BF$5,0)</f>
        <v>0</v>
      </c>
      <c r="BJ117" s="898" t="n">
        <f aca="false">IF('Monthly Table'!D117&lt;=Tables!$B$21,IF($BJ$10=$BG$10,BG117,IF($BJ$10=$BH$10,BH117,IF($BJ$10=$BI$10,BI117,0))),0)</f>
        <v>0</v>
      </c>
      <c r="BK117" s="288"/>
      <c r="BL117" s="898" t="n">
        <f aca="false">IF($AW117=1,$F117*$BF$5,0)</f>
        <v>0</v>
      </c>
      <c r="BM117" s="898" t="n">
        <f aca="false">IF($BD117=1,($G117+H117)*$BF$5,0)</f>
        <v>0</v>
      </c>
      <c r="BO117" s="898" t="n">
        <f aca="false">IF(AS117=1,BJ117,0)</f>
        <v>0</v>
      </c>
      <c r="BP117" s="898" t="n">
        <f aca="false">IF(AZ117=1,F117*$BF$5,0)</f>
        <v>0</v>
      </c>
      <c r="BR117" s="899" t="n">
        <f aca="false">IF(BJ117&gt;0,INDEX(OperationalDetail,MATCH("Capacity Degradation",ODColumn,0),MATCH('Monthly Table'!C117,ODRow,0)),0)</f>
        <v>0</v>
      </c>
      <c r="BS117" s="900" t="n">
        <f aca="false">BJ117*(1-BR117)*Tables!$C$36</f>
        <v>0</v>
      </c>
      <c r="BT117" s="883" t="n">
        <f aca="false">BS117*AL117/1000</f>
        <v>0</v>
      </c>
      <c r="BU117" s="883" t="n">
        <f aca="false">BT117*K117</f>
        <v>0</v>
      </c>
      <c r="BV117" s="188"/>
      <c r="BW117" s="901" t="n">
        <f aca="false">$BO117*(1-$BR117)*Tables!$C$36</f>
        <v>0</v>
      </c>
      <c r="BX117" s="902" t="n">
        <f aca="false">(BW117*AQ117)/1000</f>
        <v>0</v>
      </c>
      <c r="BY117" s="883" t="n">
        <f aca="false">BX117*K117</f>
        <v>0</v>
      </c>
      <c r="BZ117" s="188"/>
      <c r="CA117" s="901" t="n">
        <f aca="false">$BL117*(1-$BR117)*Tables!$C$36</f>
        <v>0</v>
      </c>
      <c r="CB117" s="902" t="n">
        <f aca="false">(CA117*AU117)/1000</f>
        <v>0</v>
      </c>
      <c r="CC117" s="883" t="n">
        <f aca="false">CB117*K117</f>
        <v>0</v>
      </c>
      <c r="CD117" s="901" t="n">
        <f aca="false">$BP117*(1-$BR117)*Tables!$C$36</f>
        <v>0</v>
      </c>
      <c r="CE117" s="902" t="n">
        <f aca="false">(CD117*AX117)/1000</f>
        <v>0</v>
      </c>
      <c r="CF117" s="883" t="n">
        <f aca="false">CE117*K117</f>
        <v>0</v>
      </c>
      <c r="CH117" s="901" t="n">
        <f aca="false">$BM117*(1-$BR117)*Tables!$C$36</f>
        <v>0</v>
      </c>
      <c r="CI117" s="902" t="n">
        <f aca="false">(CH117*BB117)/1000</f>
        <v>0</v>
      </c>
      <c r="CJ117" s="883" t="n">
        <f aca="false">CI117*K117</f>
        <v>0</v>
      </c>
      <c r="CK117" s="292"/>
      <c r="CL117" s="292" t="n">
        <f aca="false">C117-1</f>
        <v>2008</v>
      </c>
      <c r="CM117" s="903" t="n">
        <f aca="false">INDEX(OperationalDetail,MATCH("Degraded Heat Rate",ODColumn,0),MATCH('Monthly Table'!CL117,ODRow,0))/1000</f>
        <v>12.0475472</v>
      </c>
      <c r="CN117" s="904" t="n">
        <f aca="false">S117*CM117</f>
        <v>59.5876117968145</v>
      </c>
      <c r="CO117" s="905" t="n">
        <f aca="false">IF(A117="January",(CO116*(1+Assumptions!$E$32)),CO116)</f>
        <v>7.89185821816339</v>
      </c>
      <c r="CP117" s="906" t="n">
        <f aca="false">CN117+CO117</f>
        <v>67.4794700149779</v>
      </c>
      <c r="CQ117" s="292"/>
      <c r="CR117" s="856" t="str">
        <f aca="false">IF(BJ117=0,"",C117)</f>
        <v/>
      </c>
      <c r="CS117" s="856" t="str">
        <f aca="false">IF(BO117=0,"",$C117)</f>
        <v/>
      </c>
      <c r="CT117" s="856" t="str">
        <f aca="false">IF(BL117=0,"",$C117)</f>
        <v/>
      </c>
      <c r="CU117" s="856" t="str">
        <f aca="false">IF(BP117=0,"",$C117)</f>
        <v/>
      </c>
      <c r="CV117" s="856" t="str">
        <f aca="false">IF(BD117=0,"",$C117)</f>
        <v/>
      </c>
      <c r="CW117" s="907" t="n">
        <f aca="false">YEAR(BF117)</f>
        <v>2009</v>
      </c>
      <c r="CX117" s="908" t="n">
        <f aca="false">INDEX('NY Curve'!$A$4:$G$256,MATCH('Monthly Table'!B117,'NY Curve'!$A$4:$A$256,0),MATCH("New York 5 X 16",'NY Curve'!$A$4:$G$4,0))</f>
        <v>26.4</v>
      </c>
      <c r="CY117" s="909" t="n">
        <f aca="false">K117</f>
        <v>1.33183282724338</v>
      </c>
      <c r="CZ117" s="910" t="n">
        <f aca="false">CX117*CY117</f>
        <v>35.1603866392252</v>
      </c>
      <c r="DB117" s="911"/>
      <c r="DC117" s="911"/>
    </row>
    <row r="118" customFormat="false" ht="18.75" hidden="false" customHeight="true" outlineLevel="0" collapsed="false">
      <c r="A118" s="110" t="s">
        <v>821</v>
      </c>
      <c r="B118" s="918" t="n">
        <v>40148</v>
      </c>
      <c r="C118" s="917" t="n">
        <f aca="false">YEAR(B118)</f>
        <v>2009</v>
      </c>
      <c r="D118" s="919" t="n">
        <f aca="false">IF(A118="January",D117+1,D117)</f>
        <v>9</v>
      </c>
      <c r="E118" s="920" t="n">
        <v>22</v>
      </c>
      <c r="F118" s="921" t="n">
        <v>4</v>
      </c>
      <c r="G118" s="921" t="n">
        <v>4</v>
      </c>
      <c r="H118" s="921" t="n">
        <v>1</v>
      </c>
      <c r="I118" s="922" t="n">
        <f aca="false">SUM(E118:H118)</f>
        <v>31</v>
      </c>
      <c r="J118" s="923"/>
      <c r="K118" s="924" t="n">
        <f aca="false">INDEX(FX!$A$3:$C$362,MATCH(B118,FX!$A$3:$A$362,0),MATCH("Monthly Curve",FX!$A$2:$C$2,0))</f>
        <v>1.33103346810708</v>
      </c>
      <c r="L118" s="924"/>
      <c r="M118" s="925" t="n">
        <v>3.2955</v>
      </c>
      <c r="N118" s="926" t="n">
        <v>0.27</v>
      </c>
      <c r="O118" s="927" t="n">
        <v>0.05</v>
      </c>
      <c r="P118" s="928" t="n">
        <f aca="false">N118+O118</f>
        <v>0.32</v>
      </c>
      <c r="Q118" s="929" t="n">
        <f aca="false">SUM(M118:O118)</f>
        <v>3.6155</v>
      </c>
      <c r="R118" s="979" t="n">
        <f aca="false">IF(A118="January",(R117+R117*Assumptions!$E$32),R117)</f>
        <v>0.35187946208178</v>
      </c>
      <c r="S118" s="931" t="n">
        <f aca="false">(Q118*K118)+R118</f>
        <v>5.16423096602293</v>
      </c>
      <c r="T118" s="924"/>
      <c r="U118" s="983"/>
      <c r="V118" s="980"/>
      <c r="W118" s="980"/>
      <c r="X118" s="972"/>
      <c r="Y118" s="981" t="n">
        <f aca="false">Tables!$D$36</f>
        <v>312</v>
      </c>
      <c r="Z118" s="935" t="n">
        <f aca="false">IF($Z$10=$V$10,V118,IF($Z$10=$W$10,W118,IF($Z$10=$X$10,X118,0)))</f>
        <v>0</v>
      </c>
      <c r="AA118" s="936" t="n">
        <f aca="false">Y118*Z118</f>
        <v>0</v>
      </c>
      <c r="AB118" s="937" t="n">
        <f aca="false">AA118*K118</f>
        <v>0</v>
      </c>
      <c r="AC118" s="938"/>
      <c r="AD118" s="882" t="n">
        <f aca="false">IF(Tables!$E$30="Michigan",INDEX('Michigan Curve'!$A$4:$S$256,MATCH('Monthly Table'!B118,'Michigan Curve'!$A$4:$A$256,0),MATCH("Michigan Selected Option Value US$/month",'Michigan Curve'!$A$4:$S$4,0)),INDEX('NY Curve'!$A$4:$T$256,MATCH('Monthly Table'!B118,'NY Curve'!$A$4:$A$256,0),MATCH("New York Selected Option Value US$/month",'NY Curve'!$A$4:$T$4,0)))</f>
        <v>6984.2971668156</v>
      </c>
      <c r="AE118" s="883" t="n">
        <f aca="false">AD118*K118</f>
        <v>9296.33328023702</v>
      </c>
      <c r="AF118" s="938"/>
      <c r="AG118" s="939"/>
      <c r="AH118" s="110"/>
      <c r="AI118" s="885" t="n">
        <f aca="false">Assumptions!$B$50</f>
        <v>65</v>
      </c>
      <c r="AJ118" s="940"/>
      <c r="AK118" s="887" t="n">
        <f aca="false">IF(Tables!$E$30="Custom",'Monthly Table'!AI118,IF(Tables!$E$30="New York",INDEX('NY Curve'!$A$4:$G$256,MATCH('Monthly Table'!B118,'NY Curve'!$A$4:$A$256,0),MATCH("Super Peak Curve",'NY Curve'!$A$4:$G$4,0)),IF(Tables!$E$30="New York Flat",INDEX('NY Curve'!$A$4:$G$256,MATCH('Monthly Table'!B118,'NY Curve'!$A$4:$A$256,0),MATCH("Flat NY West",'NY Curve'!$A$4:$G$4,0)),INDEX('Michigan Curve'!$A$4:$F$256,MATCH('Monthly Table'!B118,'Michigan Curve'!$A$4:$A$256,0),MATCH("Michigan Super Peak Curve US$/MWhr",'Michigan Curve'!$A$4:$F$4,0)))))</f>
        <v>28.2539949417114</v>
      </c>
      <c r="AL118" s="941" t="n">
        <f aca="false">IF(D118&lt;=Tables!$B$21,IF($AL$10=$AI$10,AI118,IF($AL$10=$AJ$10,AJ118,IF($AL$10=$AK$10,AK118,0))),0)</f>
        <v>28.2539949417114</v>
      </c>
      <c r="AM118" s="942" t="n">
        <f aca="false">+AL118*K118</f>
        <v>37.6070128751461</v>
      </c>
      <c r="AN118" s="943" t="n">
        <f aca="false">IF((AL118*K118)&gt;(CP118+$BF$4),1,0)</f>
        <v>0</v>
      </c>
      <c r="AO118" s="944"/>
      <c r="AP118" s="945"/>
      <c r="AQ118" s="892" t="n">
        <f aca="false">IF(Tables!$E$30="New York",INDEX('NY Curve'!$A$4:$L$256,MATCH('Monthly Table'!B118,'NY Curve'!$A$4:$A$256,0),MATCH("New York Shoulder Hour Curve Mon-Fri",'NY Curve'!$A$4:$L$4,0)),IF(Tables!$E$30="Michigan",INDEX('Michigan Curve'!$A$4:$K$256,MATCH('Monthly Table'!B118,'Michigan Curve'!$A$4:$A$256,0),MATCH("Michigan Shoulder Hour Curve Mon-Fri",'Michigan Curve'!$A$4:$K$4,0))))</f>
        <v>27.1459951400757</v>
      </c>
      <c r="AR118" s="942" t="n">
        <f aca="false">AQ118*K118</f>
        <v>36.1322280565129</v>
      </c>
      <c r="AS118" s="946" t="n">
        <f aca="false">IF(AR118&gt;($CP118+$BF$4),1,0)</f>
        <v>0</v>
      </c>
      <c r="AT118" s="938"/>
      <c r="AU118" s="892" t="n">
        <f aca="false">IF(Tables!$E$30="New York",INDEX('NY Curve'!$A$4:$L$256,MATCH('Monthly Table'!$B118,'NY Curve'!$A$4:$A$256,0),MATCH("New York Saturday Super Peak",'NY Curve'!$A$4:$L$4,0)),IF(Tables!$E$30="Michigan",INDEX('Michigan Curve'!$A$4:$K$256,MATCH('Monthly Table'!$B118,'Michigan Curve'!$A$4:$A$256,0),MATCH("Michigan Saturday Super Peak",'Michigan Curve'!$A$4:$K$4,0))))</f>
        <v>20.4</v>
      </c>
      <c r="AV118" s="945" t="n">
        <f aca="false">AU118*K118</f>
        <v>27.1530827493844</v>
      </c>
      <c r="AW118" s="946" t="n">
        <f aca="false">IF(AV118&gt;($CP118+$BF$4),1,0)</f>
        <v>0</v>
      </c>
      <c r="AX118" s="892" t="n">
        <f aca="false">IF(Tables!$E$30="New York",INDEX('NY Curve'!$A$4:$L$256,MATCH('Monthly Table'!$B118,'NY Curve'!$A$4:$A$256,0),MATCH("New York Saturday Shoulder Peak",'NY Curve'!$A$4:$L$4,0)),IF(Tables!$E$30="Michigan",INDEX('Michigan Curve'!$A$4:$K$256,MATCH('Monthly Table'!$B118,'Michigan Curve'!$A$4:$A$256,0),MATCH("Michigan Saturday Shoulder Peak",'Michigan Curve'!$A$4:$K$4,0))))</f>
        <v>19.6</v>
      </c>
      <c r="AY118" s="947" t="n">
        <f aca="false">AX118*K118</f>
        <v>26.0882559748988</v>
      </c>
      <c r="AZ118" s="946" t="n">
        <f aca="false">IF(AY118&gt;($CP118+$BF$4),1,0)</f>
        <v>0</v>
      </c>
      <c r="BA118" s="938"/>
      <c r="BB118" s="892" t="n">
        <f aca="false">IF(Tables!$E$30="New York",INDEX('NY Curve'!$A$4:$M$256,MATCH('Monthly Table'!$B118,'NY Curve'!$A$4:$A$256,0),MATCH("NY Sunday Super Peak",'NY Curve'!$A$4:$M$4,0)),IF(Tables!$E$30="Michigan",INDEX('Michigan Curve'!$A$4:$L$256,MATCH('Monthly Table'!$B118,'Michigan Curve'!$A$4:$A$256,0),MATCH("Michigan Sunday Super Peak",'Michigan Curve'!$A$4:$L$4,0))))</f>
        <v>19.38</v>
      </c>
      <c r="BC118" s="894" t="n">
        <f aca="false">BB118*K118</f>
        <v>25.7954286119152</v>
      </c>
      <c r="BD118" s="946" t="n">
        <f aca="false">IF(BC118&gt;($CP118+$BF$4),1,0)</f>
        <v>0</v>
      </c>
      <c r="BE118" s="938"/>
      <c r="BF118" s="948" t="n">
        <f aca="false">B118</f>
        <v>40148</v>
      </c>
      <c r="BG118" s="949" t="n">
        <f aca="false">IF($AN118=1,$E118*$BF$5,0)</f>
        <v>0</v>
      </c>
      <c r="BH118" s="982" t="n">
        <f aca="false">IF(Tables!$B$36="Combined Cycle",(BF118-BF117)*24*Assumptions!$B$21,0)</f>
        <v>0</v>
      </c>
      <c r="BI118" s="927" t="n">
        <f aca="false">IF($AN118=1,$E118*$BF$5,0)</f>
        <v>0</v>
      </c>
      <c r="BJ118" s="950" t="n">
        <f aca="false">IF('Monthly Table'!D118&lt;=Tables!$B$21,IF($BJ$10=$BG$10,BG118,IF($BJ$10=$BH$10,BH118,IF($BJ$10=$BI$10,BI118,0))),0)</f>
        <v>0</v>
      </c>
      <c r="BK118" s="917"/>
      <c r="BL118" s="950" t="n">
        <f aca="false">IF($AW118=1,$F118*$BF$5,0)</f>
        <v>0</v>
      </c>
      <c r="BM118" s="898" t="n">
        <f aca="false">IF($BD118=1,($G118+H118)*$BF$5,0)</f>
        <v>0</v>
      </c>
      <c r="BN118" s="917"/>
      <c r="BO118" s="950" t="n">
        <f aca="false">IF(AS118=1,BJ118,0)</f>
        <v>0</v>
      </c>
      <c r="BP118" s="950" t="n">
        <f aca="false">IF(AZ118=1,F118*$BF$5,0)</f>
        <v>0</v>
      </c>
      <c r="BQ118" s="917"/>
      <c r="BR118" s="951" t="n">
        <f aca="false">IF(BJ118&gt;0,INDEX(OperationalDetail,MATCH("Capacity Degradation",ODColumn,0),MATCH('Monthly Table'!C118,ODRow,0)),0)</f>
        <v>0</v>
      </c>
      <c r="BS118" s="952" t="n">
        <f aca="false">BJ118*(1-BR118)*Tables!$C$36</f>
        <v>0</v>
      </c>
      <c r="BT118" s="953" t="n">
        <f aca="false">BS118*AL118/1000</f>
        <v>0</v>
      </c>
      <c r="BU118" s="953" t="n">
        <f aca="false">BT118*K118</f>
        <v>0</v>
      </c>
      <c r="BV118" s="938"/>
      <c r="BW118" s="954" t="n">
        <f aca="false">$BO118*(1-$BR118)*Tables!$C$36</f>
        <v>0</v>
      </c>
      <c r="BX118" s="955" t="n">
        <f aca="false">(BW118*AQ118)/1000</f>
        <v>0</v>
      </c>
      <c r="BY118" s="953" t="n">
        <f aca="false">BX118*K118</f>
        <v>0</v>
      </c>
      <c r="BZ118" s="938"/>
      <c r="CA118" s="954" t="n">
        <f aca="false">$BL118*(1-$BR118)*Tables!$C$36</f>
        <v>0</v>
      </c>
      <c r="CB118" s="955" t="n">
        <f aca="false">(CA118*AU118)/1000</f>
        <v>0</v>
      </c>
      <c r="CC118" s="953" t="n">
        <f aca="false">CB118*K118</f>
        <v>0</v>
      </c>
      <c r="CD118" s="954" t="n">
        <f aca="false">$BP118*(1-$BR118)*Tables!$C$36</f>
        <v>0</v>
      </c>
      <c r="CE118" s="955" t="n">
        <f aca="false">(CD118*AX118)/1000</f>
        <v>0</v>
      </c>
      <c r="CF118" s="953" t="n">
        <f aca="false">CE118*K118</f>
        <v>0</v>
      </c>
      <c r="CG118" s="110"/>
      <c r="CH118" s="901" t="n">
        <f aca="false">$BM118*(1-$BR118)*Tables!$C$36</f>
        <v>0</v>
      </c>
      <c r="CI118" s="902" t="n">
        <f aca="false">(CH118*BB118)/1000</f>
        <v>0</v>
      </c>
      <c r="CJ118" s="883" t="n">
        <f aca="false">CI118*K118</f>
        <v>0</v>
      </c>
      <c r="CK118" s="956"/>
      <c r="CL118" s="292" t="n">
        <f aca="false">C118-1</f>
        <v>2008</v>
      </c>
      <c r="CM118" s="903" t="n">
        <f aca="false">INDEX(OperationalDetail,MATCH("Degraded Heat Rate",ODColumn,0),MATCH('Monthly Table'!CL118,ODRow,0))/1000</f>
        <v>12.0475472</v>
      </c>
      <c r="CN118" s="958" t="n">
        <f aca="false">S118*CM118</f>
        <v>62.2163163148628</v>
      </c>
      <c r="CO118" s="959" t="n">
        <f aca="false">IF(A118="January",(CO117*(1+Assumptions!$E$32)),CO117)</f>
        <v>7.89185821816339</v>
      </c>
      <c r="CP118" s="960" t="n">
        <f aca="false">CN118+CO118</f>
        <v>70.1081745330262</v>
      </c>
      <c r="CQ118" s="956"/>
      <c r="CR118" s="961" t="str">
        <f aca="false">IF(BJ118=0,"",C118)</f>
        <v/>
      </c>
      <c r="CS118" s="961" t="str">
        <f aca="false">IF(BO118=0,"",$C118)</f>
        <v/>
      </c>
      <c r="CT118" s="961" t="str">
        <f aca="false">IF(BL118=0,"",$C118)</f>
        <v/>
      </c>
      <c r="CU118" s="961" t="str">
        <f aca="false">IF(BP118=0,"",$C118)</f>
        <v/>
      </c>
      <c r="CV118" s="856" t="str">
        <f aca="false">IF(BD118=0,"",$C118)</f>
        <v/>
      </c>
      <c r="CW118" s="962" t="n">
        <f aca="false">YEAR(BF118)</f>
        <v>2009</v>
      </c>
      <c r="CX118" s="963" t="n">
        <f aca="false">INDEX('NY Curve'!$A$4:$G$256,MATCH('Monthly Table'!B118,'NY Curve'!$A$4:$A$256,0),MATCH("New York 5 X 16",'NY Curve'!$A$4:$G$4,0))</f>
        <v>26.9</v>
      </c>
      <c r="CY118" s="964" t="n">
        <f aca="false">K118</f>
        <v>1.33103346810708</v>
      </c>
      <c r="CZ118" s="965" t="n">
        <f aca="false">CX118*CY118</f>
        <v>35.8048002920805</v>
      </c>
      <c r="DA118" s="110"/>
      <c r="DB118" s="966"/>
      <c r="DC118" s="966"/>
      <c r="DD118" s="110"/>
      <c r="DE118" s="110"/>
      <c r="DF118" s="110"/>
      <c r="DG118" s="110"/>
      <c r="DH118" s="110"/>
    </row>
    <row r="119" customFormat="false" ht="18.75" hidden="false" customHeight="true" outlineLevel="0" collapsed="false">
      <c r="A119" s="49" t="s">
        <v>810</v>
      </c>
      <c r="B119" s="863" t="n">
        <v>40179</v>
      </c>
      <c r="C119" s="288" t="n">
        <f aca="false">YEAR(B119)</f>
        <v>2010</v>
      </c>
      <c r="D119" s="864" t="n">
        <f aca="false">IF(A119="January",D118+1,D118)</f>
        <v>10</v>
      </c>
      <c r="E119" s="865" t="n">
        <v>20</v>
      </c>
      <c r="F119" s="866" t="n">
        <v>5</v>
      </c>
      <c r="G119" s="866" t="n">
        <v>5</v>
      </c>
      <c r="H119" s="866" t="n">
        <v>1</v>
      </c>
      <c r="I119" s="867" t="n">
        <f aca="false">SUM(E119:H119)</f>
        <v>31</v>
      </c>
      <c r="J119" s="868"/>
      <c r="K119" s="869" t="n">
        <f aca="false">INDEX(FX!$A$3:$C$362,MATCH(B119,FX!$A$3:$A$362,0),MATCH("Monthly Curve",FX!$A$2:$C$2,0))</f>
        <v>1.3302113887763</v>
      </c>
      <c r="L119" s="869"/>
      <c r="M119" s="914" t="n">
        <v>3.371</v>
      </c>
      <c r="N119" s="915" t="n">
        <v>0.28</v>
      </c>
      <c r="O119" s="986" t="n">
        <v>0.1</v>
      </c>
      <c r="P119" s="872" t="n">
        <f aca="false">N119+O119</f>
        <v>0.38</v>
      </c>
      <c r="Q119" s="873" t="n">
        <f aca="false">SUM(M119:O119)</f>
        <v>3.751</v>
      </c>
      <c r="R119" s="974" t="n">
        <f aca="false">IF(A119="January",(R118+R118*Assumptions!$E$32),R118)</f>
        <v>0.358917051323416</v>
      </c>
      <c r="S119" s="875" t="n">
        <f aca="false">(Q119*K119)+R119</f>
        <v>5.34853997062332</v>
      </c>
      <c r="T119" s="869"/>
      <c r="U119" s="984"/>
      <c r="V119" s="978"/>
      <c r="W119" s="978"/>
      <c r="X119" s="971"/>
      <c r="Y119" s="975" t="n">
        <f aca="false">Tables!$D$36</f>
        <v>312</v>
      </c>
      <c r="Z119" s="879" t="n">
        <f aca="false">IF($Z$10=$V$10,V119,IF($Z$10=$W$10,W119,IF($Z$10=$X$10,X119,0)))</f>
        <v>0</v>
      </c>
      <c r="AA119" s="880" t="n">
        <f aca="false">Y119*Z119</f>
        <v>0</v>
      </c>
      <c r="AB119" s="881" t="n">
        <f aca="false">AA119*K119</f>
        <v>0</v>
      </c>
      <c r="AC119" s="188"/>
      <c r="AD119" s="882" t="n">
        <f aca="false">IF(Tables!$E$30="Michigan",INDEX('Michigan Curve'!$A$4:$S$256,MATCH('Monthly Table'!B119,'Michigan Curve'!$A$4:$A$256,0),MATCH("Michigan Selected Option Value US$/month",'Michigan Curve'!$A$4:$S$4,0)),INDEX('NY Curve'!$A$4:$T$256,MATCH('Monthly Table'!B119,'NY Curve'!$A$4:$A$256,0),MATCH("New York Selected Option Value US$/month",'NY Curve'!$A$4:$T$4,0)))</f>
        <v>36758.0930692376</v>
      </c>
      <c r="AE119" s="883" t="n">
        <f aca="false">AD119*K119</f>
        <v>48896.034030399</v>
      </c>
      <c r="AF119" s="188"/>
      <c r="AG119" s="884"/>
      <c r="AH119" s="49"/>
      <c r="AI119" s="885" t="n">
        <f aca="false">Assumptions!$B$50</f>
        <v>65</v>
      </c>
      <c r="AJ119" s="916"/>
      <c r="AK119" s="887" t="n">
        <f aca="false">IF(Tables!$E$30="Custom",'Monthly Table'!AI119,IF(Tables!$E$30="New York",INDEX('NY Curve'!$A$4:$G$256,MATCH('Monthly Table'!B119,'NY Curve'!$A$4:$A$256,0),MATCH("Super Peak Curve",'NY Curve'!$A$4:$G$4,0)),IF(Tables!$E$30="New York Flat",INDEX('NY Curve'!$A$4:$G$256,MATCH('Monthly Table'!B119,'NY Curve'!$A$4:$A$256,0),MATCH("Flat NY West",'NY Curve'!$A$4:$G$4,0)),INDEX('Michigan Curve'!$A$4:$F$256,MATCH('Monthly Table'!B119,'Michigan Curve'!$A$4:$A$256,0),MATCH("Michigan Super Peak Curve US$/MWhr",'Michigan Curve'!$A$4:$F$4,0)))))</f>
        <v>33.8640003890991</v>
      </c>
      <c r="AL119" s="888" t="n">
        <f aca="false">IF(D119&lt;=Tables!$B$21,IF($AL$10=$AI$10,AI119,IF($AL$10=$AJ$10,AJ119,IF($AL$10=$AK$10,AK119,0))),0)</f>
        <v>33.8640003890991</v>
      </c>
      <c r="AM119" s="889" t="n">
        <f aca="false">+AL119*K119</f>
        <v>45.0462789871047</v>
      </c>
      <c r="AN119" s="890" t="n">
        <f aca="false">IF((AL119*K119)&gt;(CP119+$BF$4),1,0)</f>
        <v>0</v>
      </c>
      <c r="AO119" s="891"/>
      <c r="AP119" s="894"/>
      <c r="AQ119" s="892" t="n">
        <f aca="false">IF(Tables!$E$30="New York",INDEX('NY Curve'!$A$4:$L$256,MATCH('Monthly Table'!B119,'NY Curve'!$A$4:$A$256,0),MATCH("New York Shoulder Hour Curve Mon-Fri",'NY Curve'!$A$4:$L$4,0)),IF(Tables!$E$30="Michigan",INDEX('Michigan Curve'!$A$4:$K$256,MATCH('Monthly Table'!B119,'Michigan Curve'!$A$4:$A$256,0),MATCH("Michigan Shoulder Hour Curve Mon-Fri",'Michigan Curve'!$A$4:$K$4,0))))</f>
        <v>32.5360003738403</v>
      </c>
      <c r="AR119" s="889" t="n">
        <f aca="false">AQ119*K119</f>
        <v>43.2797582425124</v>
      </c>
      <c r="AS119" s="893" t="n">
        <f aca="false">IF(AR119&gt;($CP119+$BF$4),1,0)</f>
        <v>0</v>
      </c>
      <c r="AT119" s="188"/>
      <c r="AU119" s="892" t="n">
        <f aca="false">IF(Tables!$E$30="New York",INDEX('NY Curve'!$A$4:$L$256,MATCH('Monthly Table'!$B119,'NY Curve'!$A$4:$A$256,0),MATCH("New York Saturday Super Peak",'NY Curve'!$A$4:$L$4,0)),IF(Tables!$E$30="Michigan",INDEX('Michigan Curve'!$A$4:$K$256,MATCH('Monthly Table'!$B119,'Michigan Curve'!$A$4:$A$256,0),MATCH("Michigan Saturday Super Peak",'Michigan Curve'!$A$4:$K$4,0))))</f>
        <v>22.44</v>
      </c>
      <c r="AV119" s="894" t="n">
        <f aca="false">AU119*K119</f>
        <v>29.8499435641402</v>
      </c>
      <c r="AW119" s="893" t="n">
        <f aca="false">IF(AV119&gt;($CP119+$BF$4),1,0)</f>
        <v>0</v>
      </c>
      <c r="AX119" s="892" t="n">
        <f aca="false">IF(Tables!$E$30="New York",INDEX('NY Curve'!$A$4:$L$256,MATCH('Monthly Table'!$B119,'NY Curve'!$A$4:$A$256,0),MATCH("New York Saturday Shoulder Peak",'NY Curve'!$A$4:$L$4,0)),IF(Tables!$E$30="Michigan",INDEX('Michigan Curve'!$A$4:$K$256,MATCH('Monthly Table'!$B119,'Michigan Curve'!$A$4:$A$256,0),MATCH("Michigan Saturday Shoulder Peak",'Michigan Curve'!$A$4:$K$4,0))))</f>
        <v>21.56</v>
      </c>
      <c r="AY119" s="895" t="n">
        <f aca="false">AX119*K119</f>
        <v>28.679357542017</v>
      </c>
      <c r="AZ119" s="893" t="n">
        <f aca="false">IF(AY119&gt;($CP119+$BF$4),1,0)</f>
        <v>0</v>
      </c>
      <c r="BA119" s="188"/>
      <c r="BB119" s="892" t="n">
        <f aca="false">IF(Tables!$E$30="New York",INDEX('NY Curve'!$A$4:$M$256,MATCH('Monthly Table'!$B119,'NY Curve'!$A$4:$A$256,0),MATCH("NY Sunday Super Peak",'NY Curve'!$A$4:$M$4,0)),IF(Tables!$E$30="Michigan",INDEX('Michigan Curve'!$A$4:$L$256,MATCH('Monthly Table'!$B119,'Michigan Curve'!$A$4:$A$256,0),MATCH("Michigan Sunday Super Peak",'Michigan Curve'!$A$4:$L$4,0))))</f>
        <v>21.42</v>
      </c>
      <c r="BC119" s="894" t="n">
        <f aca="false">BB119*K119</f>
        <v>28.4931279475884</v>
      </c>
      <c r="BD119" s="893" t="n">
        <f aca="false">IF(BC119&gt;($CP119+$BF$4),1,0)</f>
        <v>0</v>
      </c>
      <c r="BE119" s="188"/>
      <c r="BF119" s="896" t="n">
        <f aca="false">B119</f>
        <v>40179</v>
      </c>
      <c r="BG119" s="897" t="n">
        <f aca="false">IF($AN119=1,$E119*$BF$5,0)</f>
        <v>0</v>
      </c>
      <c r="BH119" s="976" t="n">
        <f aca="false">IF(Tables!$B$36="Combined Cycle",(BF119-BF118)*24*Assumptions!$B$21,0)</f>
        <v>0</v>
      </c>
      <c r="BI119" s="714" t="n">
        <f aca="false">IF($AN119=1,$E119*$BF$5,0)</f>
        <v>0</v>
      </c>
      <c r="BJ119" s="898" t="n">
        <f aca="false">IF('Monthly Table'!D119&lt;=Tables!$B$21,IF($BJ$10=$BG$10,BG119,IF($BJ$10=$BH$10,BH119,IF($BJ$10=$BI$10,BI119,0))),0)</f>
        <v>0</v>
      </c>
      <c r="BK119" s="288"/>
      <c r="BL119" s="898" t="n">
        <f aca="false">IF($AW119=1,$F119*$BF$5,0)</f>
        <v>0</v>
      </c>
      <c r="BM119" s="898" t="n">
        <f aca="false">IF($BD119=1,($G119+H119)*$BF$5,0)</f>
        <v>0</v>
      </c>
      <c r="BO119" s="898" t="n">
        <f aca="false">IF(AS119=1,BJ119,0)</f>
        <v>0</v>
      </c>
      <c r="BP119" s="898" t="n">
        <f aca="false">IF(AZ119=1,F119*$BF$5,0)</f>
        <v>0</v>
      </c>
      <c r="BR119" s="899" t="n">
        <f aca="false">IF(BJ119&gt;0,INDEX(OperationalDetail,MATCH("Capacity Degradation",ODColumn,0),MATCH('Monthly Table'!C119,ODRow,0)),0)</f>
        <v>0</v>
      </c>
      <c r="BS119" s="900" t="n">
        <f aca="false">BJ119*(1-BR119)*Tables!$C$36</f>
        <v>0</v>
      </c>
      <c r="BT119" s="883" t="n">
        <f aca="false">BS119*AL119/1000</f>
        <v>0</v>
      </c>
      <c r="BU119" s="883" t="n">
        <f aca="false">BT119*K119</f>
        <v>0</v>
      </c>
      <c r="BV119" s="188"/>
      <c r="BW119" s="901" t="n">
        <f aca="false">$BO119*(1-$BR119)*Tables!$C$36</f>
        <v>0</v>
      </c>
      <c r="BX119" s="902" t="n">
        <f aca="false">(BW119*AQ119)/1000</f>
        <v>0</v>
      </c>
      <c r="BY119" s="883" t="n">
        <f aca="false">BX119*K119</f>
        <v>0</v>
      </c>
      <c r="BZ119" s="188"/>
      <c r="CA119" s="901" t="n">
        <f aca="false">$BL119*(1-$BR119)*Tables!$C$36</f>
        <v>0</v>
      </c>
      <c r="CB119" s="902" t="n">
        <f aca="false">(CA119*AU119)/1000</f>
        <v>0</v>
      </c>
      <c r="CC119" s="883" t="n">
        <f aca="false">CB119*K119</f>
        <v>0</v>
      </c>
      <c r="CD119" s="901" t="n">
        <f aca="false">$BP119*(1-$BR119)*Tables!$C$36</f>
        <v>0</v>
      </c>
      <c r="CE119" s="902" t="n">
        <f aca="false">(CD119*AX119)/1000</f>
        <v>0</v>
      </c>
      <c r="CF119" s="883" t="n">
        <f aca="false">CE119*K119</f>
        <v>0</v>
      </c>
      <c r="CH119" s="901" t="n">
        <f aca="false">$BM119*(1-$BR119)*Tables!$C$36</f>
        <v>0</v>
      </c>
      <c r="CI119" s="902" t="n">
        <f aca="false">(CH119*BB119)/1000</f>
        <v>0</v>
      </c>
      <c r="CJ119" s="883" t="n">
        <f aca="false">CI119*K119</f>
        <v>0</v>
      </c>
      <c r="CK119" s="292"/>
      <c r="CL119" s="292" t="n">
        <f aca="false">C119-1</f>
        <v>2009</v>
      </c>
      <c r="CM119" s="903" t="n">
        <f aca="false">INDEX(OperationalDetail,MATCH("Degraded Heat Rate",ODColumn,0),MATCH('Monthly Table'!CL119,ODRow,0))/1000</f>
        <v>12.0785236</v>
      </c>
      <c r="CN119" s="904" t="n">
        <f aca="false">S119*CM119</f>
        <v>64.6024662607171</v>
      </c>
      <c r="CO119" s="905" t="n">
        <f aca="false">IF(A119="January",(CO118*(1+Assumptions!$E$32)),CO118)</f>
        <v>8.04969538252666</v>
      </c>
      <c r="CP119" s="906" t="n">
        <f aca="false">CN119+CO119</f>
        <v>72.6521616432437</v>
      </c>
      <c r="CQ119" s="292"/>
      <c r="CR119" s="856" t="str">
        <f aca="false">IF(BJ119=0,"",C119)</f>
        <v/>
      </c>
      <c r="CS119" s="856" t="str">
        <f aca="false">IF(BO119=0,"",$C119)</f>
        <v/>
      </c>
      <c r="CT119" s="856" t="str">
        <f aca="false">IF(BL119=0,"",$C119)</f>
        <v/>
      </c>
      <c r="CU119" s="856" t="str">
        <f aca="false">IF(BP119=0,"",$C119)</f>
        <v/>
      </c>
      <c r="CV119" s="856" t="str">
        <f aca="false">IF(BD119=0,"",$C119)</f>
        <v/>
      </c>
      <c r="CW119" s="907" t="n">
        <f aca="false">YEAR(BF119)</f>
        <v>2010</v>
      </c>
      <c r="CX119" s="908" t="n">
        <f aca="false">INDEX('NY Curve'!$A$4:$G$256,MATCH('Monthly Table'!B119,'NY Curve'!$A$4:$A$256,0),MATCH("New York 5 X 16",'NY Curve'!$A$4:$G$4,0))</f>
        <v>32.45</v>
      </c>
      <c r="CY119" s="909" t="n">
        <f aca="false">K119</f>
        <v>1.3302113887763</v>
      </c>
      <c r="CZ119" s="910" t="n">
        <f aca="false">CX119*CY119</f>
        <v>43.1653595657909</v>
      </c>
      <c r="DB119" s="911"/>
      <c r="DC119" s="911"/>
    </row>
    <row r="120" customFormat="false" ht="18.75" hidden="false" customHeight="true" outlineLevel="0" collapsed="false">
      <c r="A120" s="49" t="s">
        <v>811</v>
      </c>
      <c r="B120" s="863" t="n">
        <v>40210</v>
      </c>
      <c r="C120" s="288" t="n">
        <f aca="false">YEAR(B120)</f>
        <v>2010</v>
      </c>
      <c r="D120" s="864" t="n">
        <f aca="false">IF(A120="January",D119+1,D119)</f>
        <v>10</v>
      </c>
      <c r="E120" s="865" t="n">
        <v>20</v>
      </c>
      <c r="F120" s="866" t="n">
        <v>4</v>
      </c>
      <c r="G120" s="866" t="n">
        <v>4</v>
      </c>
      <c r="H120" s="866" t="n">
        <v>0</v>
      </c>
      <c r="I120" s="867" t="n">
        <f aca="false">SUM(E120:H120)</f>
        <v>28</v>
      </c>
      <c r="J120" s="868"/>
      <c r="K120" s="869" t="n">
        <f aca="false">INDEX(FX!$A$3:$C$362,MATCH(B120,FX!$A$3:$A$362,0),MATCH("Monthly Curve",FX!$A$2:$C$2,0))</f>
        <v>1.32939329215494</v>
      </c>
      <c r="L120" s="869"/>
      <c r="M120" s="914" t="n">
        <v>3.258</v>
      </c>
      <c r="N120" s="915" t="n">
        <v>0.31</v>
      </c>
      <c r="O120" s="986" t="n">
        <v>0.1</v>
      </c>
      <c r="P120" s="872" t="n">
        <f aca="false">N120+O120</f>
        <v>0.41</v>
      </c>
      <c r="Q120" s="873" t="n">
        <f aca="false">SUM(M120:O120)</f>
        <v>3.668</v>
      </c>
      <c r="R120" s="974" t="n">
        <f aca="false">IF(A120="January",(R119+R119*Assumptions!$E$32),R119)</f>
        <v>0.358917051323416</v>
      </c>
      <c r="S120" s="875" t="n">
        <f aca="false">(Q120*K120)+R120</f>
        <v>5.23513164694774</v>
      </c>
      <c r="T120" s="869"/>
      <c r="U120" s="984"/>
      <c r="V120" s="978"/>
      <c r="W120" s="978"/>
      <c r="X120" s="971"/>
      <c r="Y120" s="975" t="n">
        <f aca="false">Tables!$D$36</f>
        <v>312</v>
      </c>
      <c r="Z120" s="879" t="n">
        <f aca="false">IF($Z$10=$V$10,V120,IF($Z$10=$W$10,W120,IF($Z$10=$X$10,X120,0)))</f>
        <v>0</v>
      </c>
      <c r="AA120" s="880" t="n">
        <f aca="false">Y120*Z120</f>
        <v>0</v>
      </c>
      <c r="AB120" s="881" t="n">
        <f aca="false">AA120*K120</f>
        <v>0</v>
      </c>
      <c r="AC120" s="188"/>
      <c r="AD120" s="882" t="n">
        <f aca="false">IF(Tables!$E$30="Michigan",INDEX('Michigan Curve'!$A$4:$S$256,MATCH('Monthly Table'!B120,'Michigan Curve'!$A$4:$A$256,0),MATCH("Michigan Selected Option Value US$/month",'Michigan Curve'!$A$4:$S$4,0)),INDEX('NY Curve'!$A$4:$T$256,MATCH('Monthly Table'!B120,'NY Curve'!$A$4:$A$256,0),MATCH("New York Selected Option Value US$/month",'NY Curve'!$A$4:$T$4,0)))</f>
        <v>35269.9718491063</v>
      </c>
      <c r="AE120" s="883" t="n">
        <f aca="false">AD120*K120</f>
        <v>46887.6639906955</v>
      </c>
      <c r="AF120" s="188"/>
      <c r="AG120" s="884"/>
      <c r="AH120" s="49"/>
      <c r="AI120" s="885" t="n">
        <f aca="false">Assumptions!$B$50</f>
        <v>65</v>
      </c>
      <c r="AJ120" s="916"/>
      <c r="AK120" s="887" t="n">
        <f aca="false">IF(Tables!$E$30="Custom",'Monthly Table'!AI120,IF(Tables!$E$30="New York",INDEX('NY Curve'!$A$4:$G$256,MATCH('Monthly Table'!B120,'NY Curve'!$A$4:$A$256,0),MATCH("Super Peak Curve",'NY Curve'!$A$4:$G$4,0)),IF(Tables!$E$30="New York Flat",INDEX('NY Curve'!$A$4:$G$256,MATCH('Monthly Table'!B120,'NY Curve'!$A$4:$A$256,0),MATCH("Flat NY West",'NY Curve'!$A$4:$G$4,0)),INDEX('Michigan Curve'!$A$4:$F$256,MATCH('Monthly Table'!B120,'Michigan Curve'!$A$4:$A$256,0),MATCH("Michigan Super Peak Curve US$/MWhr",'Michigan Curve'!$A$4:$F$4,0)))))</f>
        <v>33.8639984436035</v>
      </c>
      <c r="AL120" s="888" t="n">
        <f aca="false">IF(D120&lt;=Tables!$B$21,IF($AL$10=$AI$10,AI120,IF($AL$10=$AJ$10,AJ120,IF($AL$10=$AK$10,AK120,0))),0)</f>
        <v>33.8639984436035</v>
      </c>
      <c r="AM120" s="889" t="n">
        <f aca="false">+AL120*K120</f>
        <v>45.0185723764719</v>
      </c>
      <c r="AN120" s="890" t="n">
        <f aca="false">IF((AL120*K120)&gt;(CP120+$BF$4),1,0)</f>
        <v>0</v>
      </c>
      <c r="AO120" s="891"/>
      <c r="AP120" s="894"/>
      <c r="AQ120" s="892" t="n">
        <f aca="false">IF(Tables!$E$30="New York",INDEX('NY Curve'!$A$4:$L$256,MATCH('Monthly Table'!B120,'NY Curve'!$A$4:$A$256,0),MATCH("New York Shoulder Hour Curve Mon-Fri",'NY Curve'!$A$4:$L$4,0)),IF(Tables!$E$30="Michigan",INDEX('Michigan Curve'!$A$4:$K$256,MATCH('Monthly Table'!B120,'Michigan Curve'!$A$4:$A$256,0),MATCH("Michigan Shoulder Hour Curve Mon-Fri",'Michigan Curve'!$A$4:$K$4,0))))</f>
        <v>32.5359985046387</v>
      </c>
      <c r="AR120" s="889" t="n">
        <f aca="false">AQ120*K120</f>
        <v>43.2531381656298</v>
      </c>
      <c r="AS120" s="893" t="n">
        <f aca="false">IF(AR120&gt;($CP120+$BF$4),1,0)</f>
        <v>0</v>
      </c>
      <c r="AT120" s="188"/>
      <c r="AU120" s="892" t="n">
        <f aca="false">IF(Tables!$E$30="New York",INDEX('NY Curve'!$A$4:$L$256,MATCH('Monthly Table'!$B120,'NY Curve'!$A$4:$A$256,0),MATCH("New York Saturday Super Peak",'NY Curve'!$A$4:$L$4,0)),IF(Tables!$E$30="Michigan",INDEX('Michigan Curve'!$A$4:$K$256,MATCH('Monthly Table'!$B120,'Michigan Curve'!$A$4:$A$256,0),MATCH("Michigan Saturday Super Peak",'Michigan Curve'!$A$4:$K$4,0))))</f>
        <v>22.4359202957153</v>
      </c>
      <c r="AV120" s="894" t="n">
        <f aca="false">AU120*K120</f>
        <v>29.8261619444468</v>
      </c>
      <c r="AW120" s="893" t="n">
        <f aca="false">IF(AV120&gt;($CP120+$BF$4),1,0)</f>
        <v>0</v>
      </c>
      <c r="AX120" s="892" t="n">
        <f aca="false">IF(Tables!$E$30="New York",INDEX('NY Curve'!$A$4:$L$256,MATCH('Monthly Table'!$B120,'NY Curve'!$A$4:$A$256,0),MATCH("New York Saturday Shoulder Peak",'NY Curve'!$A$4:$L$4,0)),IF(Tables!$E$30="Michigan",INDEX('Michigan Curve'!$A$4:$K$256,MATCH('Monthly Table'!$B120,'Michigan Curve'!$A$4:$A$256,0),MATCH("Michigan Saturday Shoulder Peak",'Michigan Curve'!$A$4:$K$4,0))))</f>
        <v>21.5560802841187</v>
      </c>
      <c r="AY120" s="895" t="n">
        <f aca="false">AX120*K120</f>
        <v>28.6565085348607</v>
      </c>
      <c r="AZ120" s="893" t="n">
        <f aca="false">IF(AY120&gt;($CP120+$BF$4),1,0)</f>
        <v>0</v>
      </c>
      <c r="BA120" s="188"/>
      <c r="BB120" s="892" t="n">
        <f aca="false">IF(Tables!$E$30="New York",INDEX('NY Curve'!$A$4:$M$256,MATCH('Monthly Table'!$B120,'NY Curve'!$A$4:$A$256,0),MATCH("NY Sunday Super Peak",'NY Curve'!$A$4:$M$4,0)),IF(Tables!$E$30="Michigan",INDEX('Michigan Curve'!$A$4:$L$256,MATCH('Monthly Table'!$B120,'Michigan Curve'!$A$4:$A$256,0),MATCH("Michigan Sunday Super Peak",'Michigan Curve'!$A$4:$L$4,0))))</f>
        <v>21.4164319610596</v>
      </c>
      <c r="BC120" s="894" t="n">
        <f aca="false">BB120*K120</f>
        <v>28.4708609909253</v>
      </c>
      <c r="BD120" s="893" t="n">
        <f aca="false">IF(BC120&gt;($CP120+$BF$4),1,0)</f>
        <v>0</v>
      </c>
      <c r="BE120" s="188"/>
      <c r="BF120" s="896" t="n">
        <f aca="false">B120</f>
        <v>40210</v>
      </c>
      <c r="BG120" s="897" t="n">
        <f aca="false">IF($AN120=1,$E120*$BF$5,0)</f>
        <v>0</v>
      </c>
      <c r="BH120" s="976" t="n">
        <f aca="false">IF(Tables!$B$36="Combined Cycle",(BF120-BF119)*24*Assumptions!$B$21,0)</f>
        <v>0</v>
      </c>
      <c r="BI120" s="714" t="n">
        <f aca="false">IF($AN120=1,$E120*$BF$5,0)</f>
        <v>0</v>
      </c>
      <c r="BJ120" s="898" t="n">
        <f aca="false">IF('Monthly Table'!D120&lt;=Tables!$B$21,IF($BJ$10=$BG$10,BG120,IF($BJ$10=$BH$10,BH120,IF($BJ$10=$BI$10,BI120,0))),0)</f>
        <v>0</v>
      </c>
      <c r="BK120" s="288"/>
      <c r="BL120" s="898" t="n">
        <f aca="false">IF($AW120=1,$F120*$BF$5,0)</f>
        <v>0</v>
      </c>
      <c r="BM120" s="898" t="n">
        <f aca="false">IF($BD120=1,($G120+H120)*$BF$5,0)</f>
        <v>0</v>
      </c>
      <c r="BO120" s="898" t="n">
        <f aca="false">IF(AS120=1,BJ120,0)</f>
        <v>0</v>
      </c>
      <c r="BP120" s="898" t="n">
        <f aca="false">IF(AZ120=1,F120*$BF$5,0)</f>
        <v>0</v>
      </c>
      <c r="BR120" s="899" t="n">
        <f aca="false">IF(BJ120&gt;0,INDEX(OperationalDetail,MATCH("Capacity Degradation",ODColumn,0),MATCH('Monthly Table'!C120,ODRow,0)),0)</f>
        <v>0</v>
      </c>
      <c r="BS120" s="900" t="n">
        <f aca="false">BJ120*(1-BR120)*Tables!$C$36</f>
        <v>0</v>
      </c>
      <c r="BT120" s="883" t="n">
        <f aca="false">BS120*AL120/1000</f>
        <v>0</v>
      </c>
      <c r="BU120" s="883" t="n">
        <f aca="false">BT120*K120</f>
        <v>0</v>
      </c>
      <c r="BV120" s="188"/>
      <c r="BW120" s="901" t="n">
        <f aca="false">$BO120*(1-$BR120)*Tables!$C$36</f>
        <v>0</v>
      </c>
      <c r="BX120" s="902" t="n">
        <f aca="false">(BW120*AQ120)/1000</f>
        <v>0</v>
      </c>
      <c r="BY120" s="883" t="n">
        <f aca="false">BX120*K120</f>
        <v>0</v>
      </c>
      <c r="BZ120" s="188"/>
      <c r="CA120" s="901" t="n">
        <f aca="false">$BL120*(1-$BR120)*Tables!$C$36</f>
        <v>0</v>
      </c>
      <c r="CB120" s="902" t="n">
        <f aca="false">(CA120*AU120)/1000</f>
        <v>0</v>
      </c>
      <c r="CC120" s="883" t="n">
        <f aca="false">CB120*K120</f>
        <v>0</v>
      </c>
      <c r="CD120" s="901" t="n">
        <f aca="false">$BP120*(1-$BR120)*Tables!$C$36</f>
        <v>0</v>
      </c>
      <c r="CE120" s="902" t="n">
        <f aca="false">(CD120*AX120)/1000</f>
        <v>0</v>
      </c>
      <c r="CF120" s="883" t="n">
        <f aca="false">CE120*K120</f>
        <v>0</v>
      </c>
      <c r="CH120" s="901" t="n">
        <f aca="false">$BM120*(1-$BR120)*Tables!$C$36</f>
        <v>0</v>
      </c>
      <c r="CI120" s="902" t="n">
        <f aca="false">(CH120*BB120)/1000</f>
        <v>0</v>
      </c>
      <c r="CJ120" s="883" t="n">
        <f aca="false">CI120*K120</f>
        <v>0</v>
      </c>
      <c r="CK120" s="292"/>
      <c r="CL120" s="292" t="n">
        <f aca="false">C120-1</f>
        <v>2009</v>
      </c>
      <c r="CM120" s="903" t="n">
        <f aca="false">INDEX(OperationalDetail,MATCH("Degraded Heat Rate",ODColumn,0),MATCH('Monthly Table'!CL120,ODRow,0))/1000</f>
        <v>12.0785236</v>
      </c>
      <c r="CN120" s="904" t="n">
        <f aca="false">S120*CM120</f>
        <v>63.2326611467651</v>
      </c>
      <c r="CO120" s="905" t="n">
        <f aca="false">IF(A120="January",(CO119*(1+Assumptions!$E$32)),CO119)</f>
        <v>8.04969538252666</v>
      </c>
      <c r="CP120" s="906" t="n">
        <f aca="false">CN120+CO120</f>
        <v>71.2823565292918</v>
      </c>
      <c r="CQ120" s="292"/>
      <c r="CR120" s="856" t="str">
        <f aca="false">IF(BJ120=0,"",C120)</f>
        <v/>
      </c>
      <c r="CS120" s="856" t="str">
        <f aca="false">IF(BO120=0,"",$C120)</f>
        <v/>
      </c>
      <c r="CT120" s="856" t="str">
        <f aca="false">IF(BL120=0,"",$C120)</f>
        <v/>
      </c>
      <c r="CU120" s="856" t="str">
        <f aca="false">IF(BP120=0,"",$C120)</f>
        <v/>
      </c>
      <c r="CV120" s="856" t="str">
        <f aca="false">IF(BD120=0,"",$C120)</f>
        <v/>
      </c>
      <c r="CW120" s="907" t="n">
        <f aca="false">YEAR(BF120)</f>
        <v>2010</v>
      </c>
      <c r="CX120" s="908" t="n">
        <f aca="false">INDEX('NY Curve'!$A$4:$G$256,MATCH('Monthly Table'!B120,'NY Curve'!$A$4:$A$256,0),MATCH("New York 5 X 16",'NY Curve'!$A$4:$G$4,0))</f>
        <v>32.45</v>
      </c>
      <c r="CY120" s="909" t="n">
        <f aca="false">K120</f>
        <v>1.32939329215494</v>
      </c>
      <c r="CZ120" s="910" t="n">
        <f aca="false">CX120*CY120</f>
        <v>43.1388123304278</v>
      </c>
      <c r="DB120" s="911"/>
      <c r="DC120" s="911"/>
    </row>
    <row r="121" customFormat="false" ht="18.75" hidden="false" customHeight="true" outlineLevel="0" collapsed="false">
      <c r="A121" s="49" t="s">
        <v>812</v>
      </c>
      <c r="B121" s="863" t="n">
        <v>40238</v>
      </c>
      <c r="C121" s="288" t="n">
        <f aca="false">YEAR(B121)</f>
        <v>2010</v>
      </c>
      <c r="D121" s="864" t="n">
        <f aca="false">IF(A121="January",D120+1,D120)</f>
        <v>10</v>
      </c>
      <c r="E121" s="865" t="n">
        <v>23</v>
      </c>
      <c r="F121" s="866" t="n">
        <v>4</v>
      </c>
      <c r="G121" s="866" t="n">
        <v>4</v>
      </c>
      <c r="H121" s="866" t="n">
        <v>0</v>
      </c>
      <c r="I121" s="867" t="n">
        <f aca="false">SUM(E121:H121)</f>
        <v>31</v>
      </c>
      <c r="J121" s="868"/>
      <c r="K121" s="869" t="n">
        <f aca="false">INDEX(FX!$A$3:$C$362,MATCH(B121,FX!$A$3:$A$362,0),MATCH("Monthly Curve",FX!$A$2:$C$2,0))</f>
        <v>1.32865778375375</v>
      </c>
      <c r="L121" s="869"/>
      <c r="M121" s="914" t="n">
        <v>3.143</v>
      </c>
      <c r="N121" s="915" t="n">
        <v>0.31</v>
      </c>
      <c r="O121" s="986" t="n">
        <v>0.1</v>
      </c>
      <c r="P121" s="872" t="n">
        <f aca="false">N121+O121</f>
        <v>0.41</v>
      </c>
      <c r="Q121" s="873" t="n">
        <f aca="false">SUM(M121:O121)</f>
        <v>3.553</v>
      </c>
      <c r="R121" s="974" t="n">
        <f aca="false">IF(A121="January",(R120+R120*Assumptions!$E$32),R120)</f>
        <v>0.358917051323416</v>
      </c>
      <c r="S121" s="875" t="n">
        <f aca="false">(Q121*K121)+R121</f>
        <v>5.07963815700049</v>
      </c>
      <c r="T121" s="869"/>
      <c r="U121" s="984"/>
      <c r="V121" s="978"/>
      <c r="W121" s="978"/>
      <c r="X121" s="971"/>
      <c r="Y121" s="975" t="n">
        <f aca="false">Tables!$D$36</f>
        <v>312</v>
      </c>
      <c r="Z121" s="879" t="n">
        <f aca="false">IF($Z$10=$V$10,V121,IF($Z$10=$W$10,W121,IF($Z$10=$X$10,X121,0)))</f>
        <v>0</v>
      </c>
      <c r="AA121" s="880" t="n">
        <f aca="false">Y121*Z121</f>
        <v>0</v>
      </c>
      <c r="AB121" s="881" t="n">
        <f aca="false">AA121*K121</f>
        <v>0</v>
      </c>
      <c r="AC121" s="188"/>
      <c r="AD121" s="882" t="n">
        <f aca="false">IF(Tables!$E$30="Michigan",INDEX('Michigan Curve'!$A$4:$S$256,MATCH('Monthly Table'!B121,'Michigan Curve'!$A$4:$A$256,0),MATCH("Michigan Selected Option Value US$/month",'Michigan Curve'!$A$4:$S$4,0)),INDEX('NY Curve'!$A$4:$T$256,MATCH('Monthly Table'!B121,'NY Curve'!$A$4:$A$256,0),MATCH("New York Selected Option Value US$/month",'NY Curve'!$A$4:$T$4,0)))</f>
        <v>8380.51903005806</v>
      </c>
      <c r="AE121" s="883" t="n">
        <f aca="false">AD121*K121</f>
        <v>11134.8418411831</v>
      </c>
      <c r="AF121" s="188"/>
      <c r="AG121" s="884"/>
      <c r="AH121" s="49"/>
      <c r="AI121" s="885" t="n">
        <f aca="false">Assumptions!$B$50</f>
        <v>65</v>
      </c>
      <c r="AJ121" s="916"/>
      <c r="AK121" s="887" t="n">
        <f aca="false">IF(Tables!$E$30="Custom",'Monthly Table'!AI121,IF(Tables!$E$30="New York",INDEX('NY Curve'!$A$4:$G$256,MATCH('Monthly Table'!B121,'NY Curve'!$A$4:$A$256,0),MATCH("Super Peak Curve",'NY Curve'!$A$4:$G$4,0)),IF(Tables!$E$30="New York Flat",INDEX('NY Curve'!$A$4:$G$256,MATCH('Monthly Table'!B121,'NY Curve'!$A$4:$A$256,0),MATCH("Flat NY West",'NY Curve'!$A$4:$G$4,0)),INDEX('Michigan Curve'!$A$4:$F$256,MATCH('Monthly Table'!B121,'Michigan Curve'!$A$4:$A$256,0),MATCH("Michigan Super Peak Curve US$/MWhr",'Michigan Curve'!$A$4:$F$4,0)))))</f>
        <v>28.56</v>
      </c>
      <c r="AL121" s="888" t="n">
        <f aca="false">IF(D121&lt;=Tables!$B$21,IF($AL$10=$AI$10,AI121,IF($AL$10=$AJ$10,AJ121,IF($AL$10=$AK$10,AK121,0))),0)</f>
        <v>28.56</v>
      </c>
      <c r="AM121" s="889" t="n">
        <f aca="false">+AL121*K121</f>
        <v>37.9464663040071</v>
      </c>
      <c r="AN121" s="890" t="n">
        <f aca="false">IF((AL121*K121)&gt;(CP121+$BF$4),1,0)</f>
        <v>0</v>
      </c>
      <c r="AO121" s="891"/>
      <c r="AP121" s="894"/>
      <c r="AQ121" s="892" t="n">
        <f aca="false">IF(Tables!$E$30="New York",INDEX('NY Curve'!$A$4:$L$256,MATCH('Monthly Table'!B121,'NY Curve'!$A$4:$A$256,0),MATCH("New York Shoulder Hour Curve Mon-Fri",'NY Curve'!$A$4:$L$4,0)),IF(Tables!$E$30="Michigan",INDEX('Michigan Curve'!$A$4:$K$256,MATCH('Monthly Table'!B121,'Michigan Curve'!$A$4:$A$256,0),MATCH("Michigan Shoulder Hour Curve Mon-Fri",'Michigan Curve'!$A$4:$K$4,0))))</f>
        <v>27.44</v>
      </c>
      <c r="AR121" s="889" t="n">
        <f aca="false">AQ121*K121</f>
        <v>36.4583695862029</v>
      </c>
      <c r="AS121" s="893" t="n">
        <f aca="false">IF(AR121&gt;($CP121+$BF$4),1,0)</f>
        <v>0</v>
      </c>
      <c r="AT121" s="188"/>
      <c r="AU121" s="892" t="n">
        <f aca="false">IF(Tables!$E$30="New York",INDEX('NY Curve'!$A$4:$L$256,MATCH('Monthly Table'!$B121,'NY Curve'!$A$4:$A$256,0),MATCH("New York Saturday Super Peak",'NY Curve'!$A$4:$L$4,0)),IF(Tables!$E$30="Michigan",INDEX('Michigan Curve'!$A$4:$K$256,MATCH('Monthly Table'!$B121,'Michigan Curve'!$A$4:$A$256,0),MATCH("Michigan Saturday Super Peak",'Michigan Curve'!$A$4:$K$4,0))))</f>
        <v>20.4</v>
      </c>
      <c r="AV121" s="894" t="n">
        <f aca="false">AU121*K121</f>
        <v>27.1046187885765</v>
      </c>
      <c r="AW121" s="893" t="n">
        <f aca="false">IF(AV121&gt;($CP121+$BF$4),1,0)</f>
        <v>0</v>
      </c>
      <c r="AX121" s="892" t="n">
        <f aca="false">IF(Tables!$E$30="New York",INDEX('NY Curve'!$A$4:$L$256,MATCH('Monthly Table'!$B121,'NY Curve'!$A$4:$A$256,0),MATCH("New York Saturday Shoulder Peak",'NY Curve'!$A$4:$L$4,0)),IF(Tables!$E$30="Michigan",INDEX('Michigan Curve'!$A$4:$K$256,MATCH('Monthly Table'!$B121,'Michigan Curve'!$A$4:$A$256,0),MATCH("Michigan Saturday Shoulder Peak",'Michigan Curve'!$A$4:$K$4,0))))</f>
        <v>19.6</v>
      </c>
      <c r="AY121" s="895" t="n">
        <f aca="false">AX121*K121</f>
        <v>26.0416925615735</v>
      </c>
      <c r="AZ121" s="893" t="n">
        <f aca="false">IF(AY121&gt;($CP121+$BF$4),1,0)</f>
        <v>0</v>
      </c>
      <c r="BA121" s="188"/>
      <c r="BB121" s="892" t="n">
        <f aca="false">IF(Tables!$E$30="New York",INDEX('NY Curve'!$A$4:$M$256,MATCH('Monthly Table'!$B121,'NY Curve'!$A$4:$A$256,0),MATCH("NY Sunday Super Peak",'NY Curve'!$A$4:$M$4,0)),IF(Tables!$E$30="Michigan",INDEX('Michigan Curve'!$A$4:$L$256,MATCH('Monthly Table'!$B121,'Michigan Curve'!$A$4:$A$256,0),MATCH("Michigan Sunday Super Peak",'Michigan Curve'!$A$4:$L$4,0))))</f>
        <v>19.38</v>
      </c>
      <c r="BC121" s="894" t="n">
        <f aca="false">BB121*K121</f>
        <v>25.7493878491477</v>
      </c>
      <c r="BD121" s="893" t="n">
        <f aca="false">IF(BC121&gt;($CP121+$BF$4),1,0)</f>
        <v>0</v>
      </c>
      <c r="BE121" s="188"/>
      <c r="BF121" s="896" t="n">
        <f aca="false">B121</f>
        <v>40238</v>
      </c>
      <c r="BG121" s="897" t="n">
        <f aca="false">IF($AN121=1,$E121*$BF$5,0)</f>
        <v>0</v>
      </c>
      <c r="BH121" s="976" t="n">
        <f aca="false">IF(Tables!$B$36="Combined Cycle",(BF121-BF120)*24*Assumptions!$B$21,0)</f>
        <v>0</v>
      </c>
      <c r="BI121" s="714" t="n">
        <f aca="false">IF($AN121=1,$E121*$BF$5,0)</f>
        <v>0</v>
      </c>
      <c r="BJ121" s="898" t="n">
        <f aca="false">IF('Monthly Table'!D121&lt;=Tables!$B$21,IF($BJ$10=$BG$10,BG121,IF($BJ$10=$BH$10,BH121,IF($BJ$10=$BI$10,BI121,0))),0)</f>
        <v>0</v>
      </c>
      <c r="BK121" s="288"/>
      <c r="BL121" s="898" t="n">
        <f aca="false">IF($AW121=1,$F121*$BF$5,0)</f>
        <v>0</v>
      </c>
      <c r="BM121" s="898" t="n">
        <f aca="false">IF($BD121=1,($G121+H121)*$BF$5,0)</f>
        <v>0</v>
      </c>
      <c r="BO121" s="898" t="n">
        <f aca="false">IF(AS121=1,BJ121,0)</f>
        <v>0</v>
      </c>
      <c r="BP121" s="898" t="n">
        <f aca="false">IF(AZ121=1,F121*$BF$5,0)</f>
        <v>0</v>
      </c>
      <c r="BR121" s="899" t="n">
        <f aca="false">IF(BJ121&gt;0,INDEX(OperationalDetail,MATCH("Capacity Degradation",ODColumn,0),MATCH('Monthly Table'!C121,ODRow,0)),0)</f>
        <v>0</v>
      </c>
      <c r="BS121" s="900" t="n">
        <f aca="false">BJ121*(1-BR121)*Tables!$C$36</f>
        <v>0</v>
      </c>
      <c r="BT121" s="883" t="n">
        <f aca="false">BS121*AL121/1000</f>
        <v>0</v>
      </c>
      <c r="BU121" s="883" t="n">
        <f aca="false">BT121*K121</f>
        <v>0</v>
      </c>
      <c r="BV121" s="188"/>
      <c r="BW121" s="901" t="n">
        <f aca="false">$BO121*(1-$BR121)*Tables!$C$36</f>
        <v>0</v>
      </c>
      <c r="BX121" s="902" t="n">
        <f aca="false">(BW121*AQ121)/1000</f>
        <v>0</v>
      </c>
      <c r="BY121" s="883" t="n">
        <f aca="false">BX121*K121</f>
        <v>0</v>
      </c>
      <c r="BZ121" s="188"/>
      <c r="CA121" s="901" t="n">
        <f aca="false">$BL121*(1-$BR121)*Tables!$C$36</f>
        <v>0</v>
      </c>
      <c r="CB121" s="902" t="n">
        <f aca="false">(CA121*AU121)/1000</f>
        <v>0</v>
      </c>
      <c r="CC121" s="883" t="n">
        <f aca="false">CB121*K121</f>
        <v>0</v>
      </c>
      <c r="CD121" s="901" t="n">
        <f aca="false">$BP121*(1-$BR121)*Tables!$C$36</f>
        <v>0</v>
      </c>
      <c r="CE121" s="902" t="n">
        <f aca="false">(CD121*AX121)/1000</f>
        <v>0</v>
      </c>
      <c r="CF121" s="883" t="n">
        <f aca="false">CE121*K121</f>
        <v>0</v>
      </c>
      <c r="CH121" s="901" t="n">
        <f aca="false">$BM121*(1-$BR121)*Tables!$C$36</f>
        <v>0</v>
      </c>
      <c r="CI121" s="902" t="n">
        <f aca="false">(CH121*BB121)/1000</f>
        <v>0</v>
      </c>
      <c r="CJ121" s="883" t="n">
        <f aca="false">CI121*K121</f>
        <v>0</v>
      </c>
      <c r="CK121" s="292"/>
      <c r="CL121" s="292" t="n">
        <f aca="false">C121-1</f>
        <v>2009</v>
      </c>
      <c r="CM121" s="903" t="n">
        <f aca="false">INDEX(OperationalDetail,MATCH("Degraded Heat Rate",ODColumn,0),MATCH('Monthly Table'!CL121,ODRow,0))/1000</f>
        <v>12.0785236</v>
      </c>
      <c r="CN121" s="904" t="n">
        <f aca="false">S121*CM121</f>
        <v>61.3545293587909</v>
      </c>
      <c r="CO121" s="905" t="n">
        <f aca="false">IF(A121="January",(CO120*(1+Assumptions!$E$32)),CO120)</f>
        <v>8.04969538252666</v>
      </c>
      <c r="CP121" s="906" t="n">
        <f aca="false">CN121+CO121</f>
        <v>69.4042247413176</v>
      </c>
      <c r="CQ121" s="292"/>
      <c r="CR121" s="856" t="str">
        <f aca="false">IF(BJ121=0,"",C121)</f>
        <v/>
      </c>
      <c r="CS121" s="856" t="str">
        <f aca="false">IF(BO121=0,"",$C121)</f>
        <v/>
      </c>
      <c r="CT121" s="856" t="str">
        <f aca="false">IF(BL121=0,"",$C121)</f>
        <v/>
      </c>
      <c r="CU121" s="856" t="str">
        <f aca="false">IF(BP121=0,"",$C121)</f>
        <v/>
      </c>
      <c r="CV121" s="856" t="str">
        <f aca="false">IF(BD121=0,"",$C121)</f>
        <v/>
      </c>
      <c r="CW121" s="907" t="n">
        <f aca="false">YEAR(BF121)</f>
        <v>2010</v>
      </c>
      <c r="CX121" s="908" t="n">
        <f aca="false">INDEX('NY Curve'!$A$4:$G$256,MATCH('Monthly Table'!B121,'NY Curve'!$A$4:$A$256,0),MATCH("New York 5 X 16",'NY Curve'!$A$4:$G$4,0))</f>
        <v>27.45</v>
      </c>
      <c r="CY121" s="909" t="n">
        <f aca="false">K121</f>
        <v>1.32865778375375</v>
      </c>
      <c r="CZ121" s="910" t="n">
        <f aca="false">CX121*CY121</f>
        <v>36.4716561640404</v>
      </c>
      <c r="DB121" s="911"/>
      <c r="DC121" s="911"/>
    </row>
    <row r="122" customFormat="false" ht="18.75" hidden="false" customHeight="true" outlineLevel="0" collapsed="false">
      <c r="A122" s="49" t="s">
        <v>813</v>
      </c>
      <c r="B122" s="863" t="n">
        <v>40269</v>
      </c>
      <c r="C122" s="288" t="n">
        <f aca="false">YEAR(B122)</f>
        <v>2010</v>
      </c>
      <c r="D122" s="864" t="n">
        <f aca="false">IF(A122="January",D121+1,D121)</f>
        <v>10</v>
      </c>
      <c r="E122" s="865" t="n">
        <v>22</v>
      </c>
      <c r="F122" s="866" t="n">
        <v>4</v>
      </c>
      <c r="G122" s="866" t="n">
        <v>4</v>
      </c>
      <c r="H122" s="866" t="n">
        <v>0</v>
      </c>
      <c r="I122" s="867" t="n">
        <f aca="false">SUM(E122:H122)</f>
        <v>30</v>
      </c>
      <c r="J122" s="868"/>
      <c r="K122" s="869" t="n">
        <f aca="false">INDEX(FX!$A$3:$C$362,MATCH(B122,FX!$A$3:$A$362,0),MATCH("Monthly Curve",FX!$A$2:$C$2,0))</f>
        <v>1.32784724841248</v>
      </c>
      <c r="L122" s="869"/>
      <c r="M122" s="914" t="n">
        <v>3.0755</v>
      </c>
      <c r="N122" s="915" t="n">
        <v>0.145</v>
      </c>
      <c r="O122" s="986" t="n">
        <v>0.1</v>
      </c>
      <c r="P122" s="872" t="n">
        <f aca="false">N122+O122</f>
        <v>0.245</v>
      </c>
      <c r="Q122" s="873" t="n">
        <f aca="false">SUM(M122:O122)</f>
        <v>3.3205</v>
      </c>
      <c r="R122" s="974" t="n">
        <f aca="false">IF(A122="January",(R121+R121*Assumptions!$E$32),R121)</f>
        <v>0.358917051323416</v>
      </c>
      <c r="S122" s="875" t="n">
        <f aca="false">(Q122*K122)+R122</f>
        <v>4.76803383967706</v>
      </c>
      <c r="T122" s="869"/>
      <c r="U122" s="984"/>
      <c r="V122" s="978"/>
      <c r="W122" s="978"/>
      <c r="X122" s="971"/>
      <c r="Y122" s="975" t="n">
        <f aca="false">Tables!$D$36</f>
        <v>312</v>
      </c>
      <c r="Z122" s="879" t="n">
        <f aca="false">IF($Z$10=$V$10,V122,IF($Z$10=$W$10,W122,IF($Z$10=$X$10,X122,0)))</f>
        <v>0</v>
      </c>
      <c r="AA122" s="880" t="n">
        <f aca="false">Y122*Z122</f>
        <v>0</v>
      </c>
      <c r="AB122" s="881" t="n">
        <f aca="false">AA122*K122</f>
        <v>0</v>
      </c>
      <c r="AC122" s="188"/>
      <c r="AD122" s="882" t="n">
        <f aca="false">IF(Tables!$E$30="Michigan",INDEX('Michigan Curve'!$A$4:$S$256,MATCH('Monthly Table'!B122,'Michigan Curve'!$A$4:$A$256,0),MATCH("Michigan Selected Option Value US$/month",'Michigan Curve'!$A$4:$S$4,0)),INDEX('NY Curve'!$A$4:$T$256,MATCH('Monthly Table'!B122,'NY Curve'!$A$4:$A$256,0),MATCH("New York Selected Option Value US$/month",'NY Curve'!$A$4:$T$4,0)))</f>
        <v>10062.8397096581</v>
      </c>
      <c r="AE122" s="883" t="n">
        <f aca="false">AD122*K122</f>
        <v>13361.9140196854</v>
      </c>
      <c r="AF122" s="188"/>
      <c r="AG122" s="884"/>
      <c r="AH122" s="49"/>
      <c r="AI122" s="885" t="n">
        <f aca="false">Assumptions!$B$50</f>
        <v>65</v>
      </c>
      <c r="AJ122" s="916"/>
      <c r="AK122" s="887" t="n">
        <f aca="false">IF(Tables!$E$30="Custom",'Monthly Table'!AI122,IF(Tables!$E$30="New York",INDEX('NY Curve'!$A$4:$G$256,MATCH('Monthly Table'!B122,'NY Curve'!$A$4:$A$256,0),MATCH("Super Peak Curve",'NY Curve'!$A$4:$G$4,0)),IF(Tables!$E$30="New York Flat",INDEX('NY Curve'!$A$4:$G$256,MATCH('Monthly Table'!B122,'NY Curve'!$A$4:$A$256,0),MATCH("Flat NY West",'NY Curve'!$A$4:$G$4,0)),INDEX('Michigan Curve'!$A$4:$F$256,MATCH('Monthly Table'!B122,'Michigan Curve'!$A$4:$A$256,0),MATCH("Michigan Super Peak Curve US$/MWhr",'Michigan Curve'!$A$4:$F$4,0)))))</f>
        <v>28.25</v>
      </c>
      <c r="AL122" s="888" t="n">
        <f aca="false">IF(D122&lt;=Tables!$B$21,IF($AL$10=$AI$10,AI122,IF($AL$10=$AJ$10,AJ122,IF($AL$10=$AK$10,AK122,0))),0)</f>
        <v>28.25</v>
      </c>
      <c r="AM122" s="889" t="n">
        <f aca="false">+AL122*K122</f>
        <v>37.5116847676526</v>
      </c>
      <c r="AN122" s="890" t="n">
        <f aca="false">IF((AL122*K122)&gt;(CP122+$BF$4),1,0)</f>
        <v>0</v>
      </c>
      <c r="AO122" s="891"/>
      <c r="AP122" s="894"/>
      <c r="AQ122" s="892" t="n">
        <f aca="false">IF(Tables!$E$30="New York",INDEX('NY Curve'!$A$4:$L$256,MATCH('Monthly Table'!B122,'NY Curve'!$A$4:$A$256,0),MATCH("New York Shoulder Hour Curve Mon-Fri",'NY Curve'!$A$4:$L$4,0)),IF(Tables!$E$30="Michigan",INDEX('Michigan Curve'!$A$4:$K$256,MATCH('Monthly Table'!B122,'Michigan Curve'!$A$4:$A$256,0),MATCH("Michigan Shoulder Hour Curve Mon-Fri",'Michigan Curve'!$A$4:$K$4,0))))</f>
        <v>28.25</v>
      </c>
      <c r="AR122" s="889" t="n">
        <f aca="false">AQ122*K122</f>
        <v>37.5116847676526</v>
      </c>
      <c r="AS122" s="893" t="n">
        <f aca="false">IF(AR122&gt;($CP122+$BF$4),1,0)</f>
        <v>0</v>
      </c>
      <c r="AT122" s="188"/>
      <c r="AU122" s="892" t="n">
        <f aca="false">IF(Tables!$E$30="New York",INDEX('NY Curve'!$A$4:$L$256,MATCH('Monthly Table'!$B122,'NY Curve'!$A$4:$A$256,0),MATCH("New York Saturday Super Peak",'NY Curve'!$A$4:$L$4,0)),IF(Tables!$E$30="Michigan",INDEX('Michigan Curve'!$A$4:$K$256,MATCH('Monthly Table'!$B122,'Michigan Curve'!$A$4:$A$256,0),MATCH("Michigan Saturday Super Peak",'Michigan Curve'!$A$4:$K$4,0))))</f>
        <v>20</v>
      </c>
      <c r="AV122" s="894" t="n">
        <f aca="false">AU122*K122</f>
        <v>26.5569449682496</v>
      </c>
      <c r="AW122" s="893" t="n">
        <f aca="false">IF(AV122&gt;($CP122+$BF$4),1,0)</f>
        <v>0</v>
      </c>
      <c r="AX122" s="892" t="n">
        <f aca="false">IF(Tables!$E$30="New York",INDEX('NY Curve'!$A$4:$L$256,MATCH('Monthly Table'!$B122,'NY Curve'!$A$4:$A$256,0),MATCH("New York Saturday Shoulder Peak",'NY Curve'!$A$4:$L$4,0)),IF(Tables!$E$30="Michigan",INDEX('Michigan Curve'!$A$4:$K$256,MATCH('Monthly Table'!$B122,'Michigan Curve'!$A$4:$A$256,0),MATCH("Michigan Saturday Shoulder Peak",'Michigan Curve'!$A$4:$K$4,0))))</f>
        <v>20</v>
      </c>
      <c r="AY122" s="895" t="n">
        <f aca="false">AX122*K122</f>
        <v>26.5569449682496</v>
      </c>
      <c r="AZ122" s="893" t="n">
        <f aca="false">IF(AY122&gt;($CP122+$BF$4),1,0)</f>
        <v>0</v>
      </c>
      <c r="BA122" s="188"/>
      <c r="BB122" s="892" t="n">
        <f aca="false">IF(Tables!$E$30="New York",INDEX('NY Curve'!$A$4:$M$256,MATCH('Monthly Table'!$B122,'NY Curve'!$A$4:$A$256,0),MATCH("NY Sunday Super Peak",'NY Curve'!$A$4:$M$4,0)),IF(Tables!$E$30="Michigan",INDEX('Michigan Curve'!$A$4:$L$256,MATCH('Monthly Table'!$B122,'Michigan Curve'!$A$4:$A$256,0),MATCH("Michigan Sunday Super Peak",'Michigan Curve'!$A$4:$L$4,0))))</f>
        <v>18.9950008392334</v>
      </c>
      <c r="BC122" s="894" t="n">
        <f aca="false">BB122*K122</f>
        <v>25.2224595979688</v>
      </c>
      <c r="BD122" s="893" t="n">
        <f aca="false">IF(BC122&gt;($CP122+$BF$4),1,0)</f>
        <v>0</v>
      </c>
      <c r="BE122" s="188"/>
      <c r="BF122" s="896" t="n">
        <f aca="false">B122</f>
        <v>40269</v>
      </c>
      <c r="BG122" s="897" t="n">
        <f aca="false">IF($AN122=1,$E122*$BF$5,0)</f>
        <v>0</v>
      </c>
      <c r="BH122" s="976" t="n">
        <f aca="false">IF(Tables!$B$36="Combined Cycle",(BF122-BF121)*24*Assumptions!$B$21,0)</f>
        <v>0</v>
      </c>
      <c r="BI122" s="714" t="n">
        <f aca="false">IF($AN122=1,$E122*$BF$5,0)</f>
        <v>0</v>
      </c>
      <c r="BJ122" s="898" t="n">
        <f aca="false">IF('Monthly Table'!D122&lt;=Tables!$B$21,IF($BJ$10=$BG$10,BG122,IF($BJ$10=$BH$10,BH122,IF($BJ$10=$BI$10,BI122,0))),0)</f>
        <v>0</v>
      </c>
      <c r="BK122" s="288"/>
      <c r="BL122" s="898" t="n">
        <f aca="false">IF($AW122=1,$F122*$BF$5,0)</f>
        <v>0</v>
      </c>
      <c r="BM122" s="898" t="n">
        <f aca="false">IF($BD122=1,($G122+H122)*$BF$5,0)</f>
        <v>0</v>
      </c>
      <c r="BO122" s="898" t="n">
        <f aca="false">IF(AS122=1,BJ122,0)</f>
        <v>0</v>
      </c>
      <c r="BP122" s="898" t="n">
        <f aca="false">IF(AZ122=1,F122*$BF$5,0)</f>
        <v>0</v>
      </c>
      <c r="BR122" s="899" t="n">
        <f aca="false">IF(BJ122&gt;0,INDEX(OperationalDetail,MATCH("Capacity Degradation",ODColumn,0),MATCH('Monthly Table'!C122,ODRow,0)),0)</f>
        <v>0</v>
      </c>
      <c r="BS122" s="900" t="n">
        <f aca="false">BJ122*(1-BR122)*Tables!$C$36</f>
        <v>0</v>
      </c>
      <c r="BT122" s="883" t="n">
        <f aca="false">BS122*AL122/1000</f>
        <v>0</v>
      </c>
      <c r="BU122" s="883" t="n">
        <f aca="false">BT122*K122</f>
        <v>0</v>
      </c>
      <c r="BV122" s="188"/>
      <c r="BW122" s="901" t="n">
        <f aca="false">$BO122*(1-$BR122)*Tables!$C$36</f>
        <v>0</v>
      </c>
      <c r="BX122" s="902" t="n">
        <f aca="false">(BW122*AQ122)/1000</f>
        <v>0</v>
      </c>
      <c r="BY122" s="883" t="n">
        <f aca="false">BX122*K122</f>
        <v>0</v>
      </c>
      <c r="BZ122" s="188"/>
      <c r="CA122" s="901" t="n">
        <f aca="false">$BL122*(1-$BR122)*Tables!$C$36</f>
        <v>0</v>
      </c>
      <c r="CB122" s="902" t="n">
        <f aca="false">(CA122*AU122)/1000</f>
        <v>0</v>
      </c>
      <c r="CC122" s="883" t="n">
        <f aca="false">CB122*K122</f>
        <v>0</v>
      </c>
      <c r="CD122" s="901" t="n">
        <f aca="false">$BP122*(1-$BR122)*Tables!$C$36</f>
        <v>0</v>
      </c>
      <c r="CE122" s="902" t="n">
        <f aca="false">(CD122*AX122)/1000</f>
        <v>0</v>
      </c>
      <c r="CF122" s="883" t="n">
        <f aca="false">CE122*K122</f>
        <v>0</v>
      </c>
      <c r="CH122" s="901" t="n">
        <f aca="false">$BM122*(1-$BR122)*Tables!$C$36</f>
        <v>0</v>
      </c>
      <c r="CI122" s="902" t="n">
        <f aca="false">(CH122*BB122)/1000</f>
        <v>0</v>
      </c>
      <c r="CJ122" s="883" t="n">
        <f aca="false">CI122*K122</f>
        <v>0</v>
      </c>
      <c r="CK122" s="292"/>
      <c r="CL122" s="292" t="n">
        <f aca="false">C122-1</f>
        <v>2009</v>
      </c>
      <c r="CM122" s="903" t="n">
        <f aca="false">INDEX(OperationalDetail,MATCH("Degraded Heat Rate",ODColumn,0),MATCH('Monthly Table'!CL122,ODRow,0))/1000</f>
        <v>12.0785236</v>
      </c>
      <c r="CN122" s="904" t="n">
        <f aca="false">S122*CM122</f>
        <v>57.5908092581379</v>
      </c>
      <c r="CO122" s="905" t="n">
        <f aca="false">IF(A122="January",(CO121*(1+Assumptions!$E$32)),CO121)</f>
        <v>8.04969538252666</v>
      </c>
      <c r="CP122" s="906" t="n">
        <f aca="false">CN122+CO122</f>
        <v>65.6405046406646</v>
      </c>
      <c r="CQ122" s="292"/>
      <c r="CR122" s="856" t="str">
        <f aca="false">IF(BJ122=0,"",C122)</f>
        <v/>
      </c>
      <c r="CS122" s="856" t="str">
        <f aca="false">IF(BO122=0,"",$C122)</f>
        <v/>
      </c>
      <c r="CT122" s="856" t="str">
        <f aca="false">IF(BL122=0,"",$C122)</f>
        <v/>
      </c>
      <c r="CU122" s="856" t="str">
        <f aca="false">IF(BP122=0,"",$C122)</f>
        <v/>
      </c>
      <c r="CV122" s="856" t="str">
        <f aca="false">IF(BD122=0,"",$C122)</f>
        <v/>
      </c>
      <c r="CW122" s="907" t="n">
        <f aca="false">YEAR(BF122)</f>
        <v>2010</v>
      </c>
      <c r="CX122" s="908" t="n">
        <f aca="false">INDEX('NY Curve'!$A$4:$G$256,MATCH('Monthly Table'!B122,'NY Curve'!$A$4:$A$256,0),MATCH("New York 5 X 16",'NY Curve'!$A$4:$G$4,0))</f>
        <v>26.2</v>
      </c>
      <c r="CY122" s="909" t="n">
        <f aca="false">K122</f>
        <v>1.32784724841248</v>
      </c>
      <c r="CZ122" s="910" t="n">
        <f aca="false">CX122*CY122</f>
        <v>34.789597908407</v>
      </c>
      <c r="DB122" s="911"/>
      <c r="DC122" s="911"/>
    </row>
    <row r="123" customFormat="false" ht="18.75" hidden="false" customHeight="true" outlineLevel="0" collapsed="false">
      <c r="A123" s="49" t="s">
        <v>814</v>
      </c>
      <c r="B123" s="863" t="n">
        <v>40299</v>
      </c>
      <c r="C123" s="288" t="n">
        <f aca="false">YEAR(B123)</f>
        <v>2010</v>
      </c>
      <c r="D123" s="864" t="n">
        <f aca="false">IF(A123="January",D122+1,D122)</f>
        <v>10</v>
      </c>
      <c r="E123" s="865" t="n">
        <v>20</v>
      </c>
      <c r="F123" s="866" t="n">
        <v>5</v>
      </c>
      <c r="G123" s="866" t="n">
        <v>5</v>
      </c>
      <c r="H123" s="866" t="n">
        <v>1</v>
      </c>
      <c r="I123" s="867" t="n">
        <f aca="false">SUM(E123:H123)</f>
        <v>31</v>
      </c>
      <c r="J123" s="868"/>
      <c r="K123" s="869" t="n">
        <f aca="false">INDEX(FX!$A$3:$C$362,MATCH(B123,FX!$A$3:$A$362,0),MATCH("Monthly Curve",FX!$A$2:$C$2,0))</f>
        <v>1.32699214528549</v>
      </c>
      <c r="L123" s="869"/>
      <c r="M123" s="987" t="n">
        <v>3.0495</v>
      </c>
      <c r="N123" s="988" t="n">
        <v>0.145</v>
      </c>
      <c r="O123" s="986" t="n">
        <v>0.1</v>
      </c>
      <c r="P123" s="872" t="n">
        <f aca="false">N123+O123</f>
        <v>0.245</v>
      </c>
      <c r="Q123" s="873" t="n">
        <f aca="false">SUM(M123:O123)</f>
        <v>3.2945</v>
      </c>
      <c r="R123" s="974" t="n">
        <f aca="false">IF(A123="January",(R122+R122*Assumptions!$E$32),R122)</f>
        <v>0.358917051323416</v>
      </c>
      <c r="S123" s="875" t="n">
        <f aca="false">(Q123*K123)+R123</f>
        <v>4.73069267396646</v>
      </c>
      <c r="T123" s="869"/>
      <c r="U123" s="984"/>
      <c r="V123" s="978"/>
      <c r="W123" s="978"/>
      <c r="X123" s="971"/>
      <c r="Y123" s="975" t="n">
        <f aca="false">Tables!$D$36</f>
        <v>312</v>
      </c>
      <c r="Z123" s="879" t="n">
        <f aca="false">IF($Z$10=$V$10,V123,IF($Z$10=$W$10,W123,IF($Z$10=$X$10,X123,0)))</f>
        <v>0</v>
      </c>
      <c r="AA123" s="880" t="n">
        <f aca="false">Y123*Z123</f>
        <v>0</v>
      </c>
      <c r="AB123" s="881" t="n">
        <f aca="false">AA123*K123</f>
        <v>0</v>
      </c>
      <c r="AC123" s="188"/>
      <c r="AD123" s="882" t="n">
        <f aca="false">IF(Tables!$E$30="Michigan",INDEX('Michigan Curve'!$A$4:$S$256,MATCH('Monthly Table'!B123,'Michigan Curve'!$A$4:$A$256,0),MATCH("Michigan Selected Option Value US$/month",'Michigan Curve'!$A$4:$S$4,0)),INDEX('NY Curve'!$A$4:$T$256,MATCH('Monthly Table'!B123,'NY Curve'!$A$4:$A$256,0),MATCH("New York Selected Option Value US$/month",'NY Curve'!$A$4:$T$4,0)))</f>
        <v>21770.2291481299</v>
      </c>
      <c r="AE123" s="883" t="n">
        <f aca="false">AD123*K123</f>
        <v>28888.9230806336</v>
      </c>
      <c r="AF123" s="188"/>
      <c r="AG123" s="884"/>
      <c r="AH123" s="49"/>
      <c r="AI123" s="885" t="n">
        <f aca="false">Assumptions!$B$50</f>
        <v>65</v>
      </c>
      <c r="AJ123" s="916"/>
      <c r="AK123" s="887" t="n">
        <f aca="false">IF(Tables!$E$30="Custom",'Monthly Table'!AI123,IF(Tables!$E$30="New York",INDEX('NY Curve'!$A$4:$G$256,MATCH('Monthly Table'!B123,'NY Curve'!$A$4:$A$256,0),MATCH("Super Peak Curve",'NY Curve'!$A$4:$G$4,0)),IF(Tables!$E$30="New York Flat",INDEX('NY Curve'!$A$4:$G$256,MATCH('Monthly Table'!B123,'NY Curve'!$A$4:$A$256,0),MATCH("Flat NY West",'NY Curve'!$A$4:$G$4,0)),INDEX('Michigan Curve'!$A$4:$F$256,MATCH('Monthly Table'!B123,'Michigan Curve'!$A$4:$A$256,0),MATCH("Michigan Super Peak Curve US$/MWhr",'Michigan Curve'!$A$4:$F$4,0)))))</f>
        <v>34.4400000572205</v>
      </c>
      <c r="AL123" s="888" t="n">
        <f aca="false">IF(D123&lt;=Tables!$B$21,IF($AL$10=$AI$10,AI123,IF($AL$10=$AJ$10,AJ123,IF($AL$10=$AK$10,AK123,0))),0)</f>
        <v>34.4400000572205</v>
      </c>
      <c r="AM123" s="889" t="n">
        <f aca="false">+AL123*K123</f>
        <v>45.7016095595634</v>
      </c>
      <c r="AN123" s="890" t="n">
        <f aca="false">IF((AL123*K123)&gt;(CP123+$BF$4),1,0)</f>
        <v>0</v>
      </c>
      <c r="AO123" s="891"/>
      <c r="AP123" s="894"/>
      <c r="AQ123" s="892" t="n">
        <f aca="false">IF(Tables!$E$30="New York",INDEX('NY Curve'!$A$4:$L$256,MATCH('Monthly Table'!B123,'NY Curve'!$A$4:$A$256,0),MATCH("New York Shoulder Hour Curve Mon-Fri",'NY Curve'!$A$4:$L$4,0)),IF(Tables!$E$30="Michigan",INDEX('Michigan Curve'!$A$4:$K$256,MATCH('Monthly Table'!B123,'Michigan Curve'!$A$4:$A$256,0),MATCH("Michigan Shoulder Hour Curve Mon-Fri",'Michigan Curve'!$A$4:$K$4,0))))</f>
        <v>29.5599999427795</v>
      </c>
      <c r="AR123" s="889" t="n">
        <f aca="false">AQ123*K123</f>
        <v>39.225887738708</v>
      </c>
      <c r="AS123" s="893" t="n">
        <f aca="false">IF(AR123&gt;($CP123+$BF$4),1,0)</f>
        <v>0</v>
      </c>
      <c r="AT123" s="188"/>
      <c r="AU123" s="892" t="n">
        <f aca="false">IF(Tables!$E$30="New York",INDEX('NY Curve'!$A$4:$L$256,MATCH('Monthly Table'!$B123,'NY Curve'!$A$4:$A$256,0),MATCH("New York Saturday Super Peak",'NY Curve'!$A$4:$L$4,0)),IF(Tables!$E$30="Michigan",INDEX('Michigan Curve'!$A$4:$K$256,MATCH('Monthly Table'!$B123,'Michigan Curve'!$A$4:$A$256,0),MATCH("Michigan Saturday Super Peak",'Michigan Curve'!$A$4:$K$4,0))))</f>
        <v>22.6012500375509</v>
      </c>
      <c r="AV123" s="894" t="n">
        <f aca="false">AU123*K123</f>
        <v>29.9916812734635</v>
      </c>
      <c r="AW123" s="893" t="n">
        <f aca="false">IF(AV123&gt;($CP123+$BF$4),1,0)</f>
        <v>0</v>
      </c>
      <c r="AX123" s="892" t="n">
        <f aca="false">IF(Tables!$E$30="New York",INDEX('NY Curve'!$A$4:$L$256,MATCH('Monthly Table'!$B123,'NY Curve'!$A$4:$A$256,0),MATCH("New York Saturday Shoulder Peak",'NY Curve'!$A$4:$L$4,0)),IF(Tables!$E$30="Michigan",INDEX('Michigan Curve'!$A$4:$K$256,MATCH('Monthly Table'!$B123,'Michigan Curve'!$A$4:$A$256,0),MATCH("Michigan Saturday Shoulder Peak",'Michigan Curve'!$A$4:$K$4,0))))</f>
        <v>19.3987499624491</v>
      </c>
      <c r="AY123" s="895" t="n">
        <f aca="false">AX123*K123</f>
        <v>25.7419888285271</v>
      </c>
      <c r="AZ123" s="893" t="n">
        <f aca="false">IF(AY123&gt;($CP123+$BF$4),1,0)</f>
        <v>0</v>
      </c>
      <c r="BA123" s="188"/>
      <c r="BB123" s="892" t="n">
        <f aca="false">IF(Tables!$E$30="New York",INDEX('NY Curve'!$A$4:$M$256,MATCH('Monthly Table'!$B123,'NY Curve'!$A$4:$A$256,0),MATCH("NY Sunday Super Peak",'NY Curve'!$A$4:$M$4,0)),IF(Tables!$E$30="Michigan",INDEX('Michigan Curve'!$A$4:$L$256,MATCH('Monthly Table'!$B123,'Michigan Curve'!$A$4:$A$256,0),MATCH("Michigan Sunday Super Peak",'Michigan Curve'!$A$4:$L$4,0))))</f>
        <v>21.5303803825468</v>
      </c>
      <c r="BC123" s="894" t="n">
        <f aca="false">BB123*K123</f>
        <v>28.5706456526484</v>
      </c>
      <c r="BD123" s="893" t="n">
        <f aca="false">IF(BC123&gt;($CP123+$BF$4),1,0)</f>
        <v>0</v>
      </c>
      <c r="BE123" s="188"/>
      <c r="BF123" s="896" t="n">
        <f aca="false">B123</f>
        <v>40299</v>
      </c>
      <c r="BG123" s="897" t="n">
        <f aca="false">IF($AN123=1,$E123*$BF$5,0)</f>
        <v>0</v>
      </c>
      <c r="BH123" s="976" t="n">
        <f aca="false">IF(Tables!$B$36="Combined Cycle",(BF123-BF122)*24*Assumptions!$B$21,0)</f>
        <v>0</v>
      </c>
      <c r="BI123" s="714" t="n">
        <f aca="false">IF($AN123=1,$E123*$BF$5,0)</f>
        <v>0</v>
      </c>
      <c r="BJ123" s="898" t="n">
        <f aca="false">IF('Monthly Table'!D123&lt;=Tables!$B$21,IF($BJ$10=$BG$10,BG123,IF($BJ$10=$BH$10,BH123,IF($BJ$10=$BI$10,BI123,0))),0)</f>
        <v>0</v>
      </c>
      <c r="BK123" s="288"/>
      <c r="BL123" s="898" t="n">
        <f aca="false">IF($AW123=1,$F123*$BF$5,0)</f>
        <v>0</v>
      </c>
      <c r="BM123" s="898" t="n">
        <f aca="false">IF($BD123=1,($G123+H123)*$BF$5,0)</f>
        <v>0</v>
      </c>
      <c r="BO123" s="898" t="n">
        <f aca="false">IF(AS123=1,BJ123,0)</f>
        <v>0</v>
      </c>
      <c r="BP123" s="898" t="n">
        <f aca="false">IF(AZ123=1,F123*$BF$5,0)</f>
        <v>0</v>
      </c>
      <c r="BR123" s="899" t="n">
        <f aca="false">IF(BJ123&gt;0,INDEX(OperationalDetail,MATCH("Capacity Degradation",ODColumn,0),MATCH('Monthly Table'!C123,ODRow,0)),0)</f>
        <v>0</v>
      </c>
      <c r="BS123" s="900" t="n">
        <f aca="false">BJ123*(1-BR123)*Tables!$C$36</f>
        <v>0</v>
      </c>
      <c r="BT123" s="883" t="n">
        <f aca="false">BS123*AL123/1000</f>
        <v>0</v>
      </c>
      <c r="BU123" s="883" t="n">
        <f aca="false">BT123*K123</f>
        <v>0</v>
      </c>
      <c r="BV123" s="188"/>
      <c r="BW123" s="901" t="n">
        <f aca="false">$BO123*(1-$BR123)*Tables!$C$36</f>
        <v>0</v>
      </c>
      <c r="BX123" s="902" t="n">
        <f aca="false">(BW123*AQ123)/1000</f>
        <v>0</v>
      </c>
      <c r="BY123" s="883" t="n">
        <f aca="false">BX123*K123</f>
        <v>0</v>
      </c>
      <c r="BZ123" s="188"/>
      <c r="CA123" s="901" t="n">
        <f aca="false">$BL123*(1-$BR123)*Tables!$C$36</f>
        <v>0</v>
      </c>
      <c r="CB123" s="902" t="n">
        <f aca="false">(CA123*AU123)/1000</f>
        <v>0</v>
      </c>
      <c r="CC123" s="883" t="n">
        <f aca="false">CB123*K123</f>
        <v>0</v>
      </c>
      <c r="CD123" s="901" t="n">
        <f aca="false">$BP123*(1-$BR123)*Tables!$C$36</f>
        <v>0</v>
      </c>
      <c r="CE123" s="902" t="n">
        <f aca="false">(CD123*AX123)/1000</f>
        <v>0</v>
      </c>
      <c r="CF123" s="883" t="n">
        <f aca="false">CE123*K123</f>
        <v>0</v>
      </c>
      <c r="CH123" s="901" t="n">
        <f aca="false">$BM123*(1-$BR123)*Tables!$C$36</f>
        <v>0</v>
      </c>
      <c r="CI123" s="902" t="n">
        <f aca="false">(CH123*BB123)/1000</f>
        <v>0</v>
      </c>
      <c r="CJ123" s="883" t="n">
        <f aca="false">CI123*K123</f>
        <v>0</v>
      </c>
      <c r="CK123" s="292"/>
      <c r="CL123" s="292" t="n">
        <f aca="false">C123-1</f>
        <v>2009</v>
      </c>
      <c r="CM123" s="903" t="n">
        <f aca="false">INDEX(OperationalDetail,MATCH("Degraded Heat Rate",ODColumn,0),MATCH('Monthly Table'!CL123,ODRow,0))/1000</f>
        <v>12.0785236</v>
      </c>
      <c r="CN123" s="904" t="n">
        <f aca="false">S123*CM123</f>
        <v>57.139783106851</v>
      </c>
      <c r="CO123" s="905" t="n">
        <f aca="false">IF(A123="January",(CO122*(1+Assumptions!$E$32)),CO122)</f>
        <v>8.04969538252666</v>
      </c>
      <c r="CP123" s="906" t="n">
        <f aca="false">CN123+CO123</f>
        <v>65.1894784893777</v>
      </c>
      <c r="CQ123" s="292"/>
      <c r="CR123" s="856" t="str">
        <f aca="false">IF(BJ123=0,"",C123)</f>
        <v/>
      </c>
      <c r="CS123" s="856" t="str">
        <f aca="false">IF(BO123=0,"",$C123)</f>
        <v/>
      </c>
      <c r="CT123" s="856" t="str">
        <f aca="false">IF(BL123=0,"",$C123)</f>
        <v/>
      </c>
      <c r="CU123" s="856" t="str">
        <f aca="false">IF(BP123=0,"",$C123)</f>
        <v/>
      </c>
      <c r="CV123" s="856" t="str">
        <f aca="false">IF(BD123=0,"",$C123)</f>
        <v/>
      </c>
      <c r="CW123" s="907" t="n">
        <f aca="false">YEAR(BF123)</f>
        <v>2010</v>
      </c>
      <c r="CX123" s="908" t="n">
        <f aca="false">INDEX('NY Curve'!$A$4:$G$256,MATCH('Monthly Table'!B123,'NY Curve'!$A$4:$A$256,0),MATCH("New York 5 X 16",'NY Curve'!$A$4:$G$4,0))</f>
        <v>30.65</v>
      </c>
      <c r="CY123" s="909" t="n">
        <f aca="false">K123</f>
        <v>1.32699214528549</v>
      </c>
      <c r="CZ123" s="910" t="n">
        <f aca="false">CX123*CY123</f>
        <v>40.6723092530003</v>
      </c>
      <c r="DB123" s="911"/>
      <c r="DC123" s="911"/>
    </row>
    <row r="124" customFormat="false" ht="18.75" hidden="false" customHeight="true" outlineLevel="0" collapsed="false">
      <c r="A124" s="49" t="s">
        <v>815</v>
      </c>
      <c r="B124" s="863" t="n">
        <v>40330</v>
      </c>
      <c r="C124" s="288" t="n">
        <f aca="false">YEAR(B124)</f>
        <v>2010</v>
      </c>
      <c r="D124" s="864" t="n">
        <f aca="false">IF(A124="January",D123+1,D123)</f>
        <v>10</v>
      </c>
      <c r="E124" s="865" t="n">
        <v>22</v>
      </c>
      <c r="F124" s="866" t="n">
        <v>4</v>
      </c>
      <c r="G124" s="866" t="n">
        <v>4</v>
      </c>
      <c r="H124" s="866" t="n">
        <v>0</v>
      </c>
      <c r="I124" s="867" t="n">
        <f aca="false">SUM(E124:H124)</f>
        <v>30</v>
      </c>
      <c r="J124" s="868"/>
      <c r="K124" s="869" t="n">
        <f aca="false">INDEX(FX!$A$3:$C$362,MATCH(B124,FX!$A$3:$A$362,0),MATCH("Monthly Curve",FX!$A$2:$C$2,0))</f>
        <v>1.32609574092875</v>
      </c>
      <c r="L124" s="869"/>
      <c r="M124" s="987" t="n">
        <v>3.0585</v>
      </c>
      <c r="N124" s="988" t="n">
        <v>0.145</v>
      </c>
      <c r="O124" s="986" t="n">
        <v>0.1</v>
      </c>
      <c r="P124" s="872" t="n">
        <f aca="false">N124+O124</f>
        <v>0.245</v>
      </c>
      <c r="Q124" s="873" t="n">
        <f aca="false">SUM(M124:O124)</f>
        <v>3.3035</v>
      </c>
      <c r="R124" s="974" t="n">
        <f aca="false">IF(A124="January",(R123+R123*Assumptions!$E$32),R123)</f>
        <v>0.358917051323416</v>
      </c>
      <c r="S124" s="875" t="n">
        <f aca="false">(Q124*K124)+R124</f>
        <v>4.73967433148154</v>
      </c>
      <c r="T124" s="869"/>
      <c r="U124" s="984"/>
      <c r="V124" s="978"/>
      <c r="W124" s="978"/>
      <c r="X124" s="971"/>
      <c r="Y124" s="975" t="n">
        <f aca="false">Tables!$D$36</f>
        <v>312</v>
      </c>
      <c r="Z124" s="879" t="n">
        <f aca="false">IF($Z$10=$V$10,V124,IF($Z$10=$W$10,W124,IF($Z$10=$X$10,X124,0)))</f>
        <v>0</v>
      </c>
      <c r="AA124" s="880" t="n">
        <f aca="false">Y124*Z124</f>
        <v>0</v>
      </c>
      <c r="AB124" s="881" t="n">
        <f aca="false">AA124*K124</f>
        <v>0</v>
      </c>
      <c r="AC124" s="188"/>
      <c r="AD124" s="882" t="n">
        <f aca="false">IF(Tables!$E$30="Michigan",INDEX('Michigan Curve'!$A$4:$S$256,MATCH('Monthly Table'!B124,'Michigan Curve'!$A$4:$A$256,0),MATCH("Michigan Selected Option Value US$/month",'Michigan Curve'!$A$4:$S$4,0)),INDEX('NY Curve'!$A$4:$T$256,MATCH('Monthly Table'!B124,'NY Curve'!$A$4:$A$256,0),MATCH("New York Selected Option Value US$/month",'NY Curve'!$A$4:$T$4,0)))</f>
        <v>103169.650314326</v>
      </c>
      <c r="AE124" s="883" t="n">
        <f aca="false">AD124*K124</f>
        <v>136812.833874936</v>
      </c>
      <c r="AF124" s="188"/>
      <c r="AG124" s="884"/>
      <c r="AH124" s="49"/>
      <c r="AI124" s="885" t="n">
        <f aca="false">Assumptions!$B$50</f>
        <v>65</v>
      </c>
      <c r="AJ124" s="916"/>
      <c r="AK124" s="887" t="n">
        <f aca="false">IF(Tables!$E$30="Custom",'Monthly Table'!AI124,IF(Tables!$E$30="New York",INDEX('NY Curve'!$A$4:$G$256,MATCH('Monthly Table'!B124,'NY Curve'!$A$4:$A$256,0),MATCH("Super Peak Curve",'NY Curve'!$A$4:$G$4,0)),IF(Tables!$E$30="New York Flat",INDEX('NY Curve'!$A$4:$G$256,MATCH('Monthly Table'!B124,'NY Curve'!$A$4:$A$256,0),MATCH("Flat NY West",'NY Curve'!$A$4:$G$4,0)),INDEX('Michigan Curve'!$A$4:$F$256,MATCH('Monthly Table'!B124,'Michigan Curve'!$A$4:$A$256,0),MATCH("Michigan Super Peak Curve US$/MWhr",'Michigan Curve'!$A$4:$F$4,0)))))</f>
        <v>79.843217486605</v>
      </c>
      <c r="AL124" s="888" t="n">
        <f aca="false">IF(D124&lt;=Tables!$B$21,IF($AL$10=$AI$10,AI124,IF($AL$10=$AJ$10,AJ124,IF($AL$10=$AK$10,AK124,0))),0)</f>
        <v>79.843217486605</v>
      </c>
      <c r="AM124" s="889" t="n">
        <f aca="false">+AL124*K124</f>
        <v>105.879750651035</v>
      </c>
      <c r="AN124" s="890" t="n">
        <f aca="false">IF((AL124*K124)&gt;(CP124+$BF$4),1,0)</f>
        <v>1</v>
      </c>
      <c r="AO124" s="891"/>
      <c r="AP124" s="894"/>
      <c r="AQ124" s="892" t="n">
        <f aca="false">IF(Tables!$E$30="New York",INDEX('NY Curve'!$A$4:$L$256,MATCH('Monthly Table'!B124,'NY Curve'!$A$4:$A$256,0),MATCH("New York Shoulder Hour Curve Mon-Fri",'NY Curve'!$A$4:$L$4,0)),IF(Tables!$E$30="Michigan",INDEX('Michigan Curve'!$A$4:$K$256,MATCH('Monthly Table'!B124,'Michigan Curve'!$A$4:$A$256,0),MATCH("Michigan Shoulder Hour Curve Mon-Fri",'Michigan Curve'!$A$4:$K$4,0))))</f>
        <v>22.656782513395</v>
      </c>
      <c r="AR124" s="889" t="n">
        <f aca="false">AQ124*K124</f>
        <v>30.0450627941621</v>
      </c>
      <c r="AS124" s="893" t="n">
        <f aca="false">IF(AR124&gt;($CP124+$BF$4),1,0)</f>
        <v>0</v>
      </c>
      <c r="AT124" s="188"/>
      <c r="AU124" s="892" t="n">
        <f aca="false">IF(Tables!$E$30="New York",INDEX('NY Curve'!$A$4:$L$256,MATCH('Monthly Table'!$B124,'NY Curve'!$A$4:$A$256,0),MATCH("New York Saturday Super Peak",'NY Curve'!$A$4:$L$4,0)),IF(Tables!$E$30="Michigan",INDEX('Michigan Curve'!$A$4:$K$256,MATCH('Monthly Table'!$B124,'Michigan Curve'!$A$4:$A$256,0),MATCH("Michigan Saturday Super Peak",'Michigan Curve'!$A$4:$K$4,0))))</f>
        <v>40.5058274078386</v>
      </c>
      <c r="AV124" s="894" t="n">
        <f aca="false">AU124*K124</f>
        <v>53.7146052083298</v>
      </c>
      <c r="AW124" s="893" t="n">
        <f aca="false">IF(AV124&gt;($CP124+$BF$4),1,0)</f>
        <v>0</v>
      </c>
      <c r="AX124" s="892" t="n">
        <f aca="false">IF(Tables!$E$30="New York",INDEX('NY Curve'!$A$4:$L$256,MATCH('Monthly Table'!$B124,'NY Curve'!$A$4:$A$256,0),MATCH("New York Saturday Shoulder Peak",'NY Curve'!$A$4:$L$4,0)),IF(Tables!$E$30="Michigan",INDEX('Michigan Curve'!$A$4:$K$256,MATCH('Monthly Table'!$B124,'Michigan Curve'!$A$4:$A$256,0),MATCH("Michigan Saturday Shoulder Peak",'Michigan Curve'!$A$4:$K$4,0))))</f>
        <v>11.4941725921614</v>
      </c>
      <c r="AY124" s="895" t="n">
        <f aca="false">AX124*K124</f>
        <v>15.2423733199652</v>
      </c>
      <c r="AZ124" s="893" t="n">
        <f aca="false">IF(AY124&gt;($CP124+$BF$4),1,0)</f>
        <v>0</v>
      </c>
      <c r="BA124" s="188"/>
      <c r="BB124" s="892" t="n">
        <f aca="false">IF(Tables!$E$30="New York",INDEX('NY Curve'!$A$4:$M$256,MATCH('Monthly Table'!$B124,'NY Curve'!$A$4:$A$256,0),MATCH("NY Sunday Super Peak",'NY Curve'!$A$4:$M$4,0)),IF(Tables!$E$30="Michigan",INDEX('Michigan Curve'!$A$4:$L$256,MATCH('Monthly Table'!$B124,'Michigan Curve'!$A$4:$A$256,0),MATCH("Michigan Sunday Super Peak",'Michigan Curve'!$A$4:$L$4,0))))</f>
        <v>37.3899945303126</v>
      </c>
      <c r="BC124" s="894" t="n">
        <f aca="false">BB124*K124</f>
        <v>49.5827124999968</v>
      </c>
      <c r="BD124" s="893" t="n">
        <f aca="false">IF(BC124&gt;($CP124+$BF$4),1,0)</f>
        <v>0</v>
      </c>
      <c r="BE124" s="188"/>
      <c r="BF124" s="896" t="n">
        <f aca="false">B124</f>
        <v>40330</v>
      </c>
      <c r="BG124" s="897" t="n">
        <f aca="false">IF($AN124=1,$E124*$BF$5,0)</f>
        <v>176</v>
      </c>
      <c r="BH124" s="976" t="n">
        <f aca="false">IF(Tables!$B$36="Combined Cycle",(BF124-BF123)*24*Assumptions!$B$21,0)</f>
        <v>0</v>
      </c>
      <c r="BI124" s="714" t="n">
        <f aca="false">IF($AN124=1,$E124*$BF$5,0)</f>
        <v>176</v>
      </c>
      <c r="BJ124" s="898" t="n">
        <f aca="false">IF('Monthly Table'!D124&lt;=Tables!$B$21,IF($BJ$10=$BG$10,BG124,IF($BJ$10=$BH$10,BH124,IF($BJ$10=$BI$10,BI124,0))),0)</f>
        <v>176</v>
      </c>
      <c r="BK124" s="288"/>
      <c r="BL124" s="898" t="n">
        <f aca="false">IF($AW124=1,$F124*$BF$5,0)</f>
        <v>0</v>
      </c>
      <c r="BM124" s="898" t="n">
        <f aca="false">IF($BD124=1,($G124+H124)*$BF$5,0)</f>
        <v>0</v>
      </c>
      <c r="BO124" s="898" t="n">
        <f aca="false">IF(AS124=1,BJ124,0)</f>
        <v>0</v>
      </c>
      <c r="BP124" s="898" t="n">
        <f aca="false">IF(AZ124=1,F124*$BF$5,0)</f>
        <v>0</v>
      </c>
      <c r="BR124" s="899" t="n">
        <f aca="false">IF(BJ124&gt;0,INDEX(OperationalDetail,MATCH("Capacity Degradation",ODColumn,0),MATCH('Monthly Table'!C124,ODRow,0)),0)</f>
        <v>0.0125</v>
      </c>
      <c r="BS124" s="900" t="n">
        <f aca="false">BJ124*(1-BR124)*Tables!$C$36</f>
        <v>56311.2</v>
      </c>
      <c r="BT124" s="883" t="n">
        <f aca="false">BS124*AL124/1000</f>
        <v>4496.06738853171</v>
      </c>
      <c r="BU124" s="883" t="n">
        <f aca="false">BT124*K124</f>
        <v>5962.21581486055</v>
      </c>
      <c r="BV124" s="188"/>
      <c r="BW124" s="901" t="n">
        <f aca="false">$BO124*(1-$BR124)*Tables!$C$36</f>
        <v>0</v>
      </c>
      <c r="BX124" s="902" t="n">
        <f aca="false">(BW124*AQ124)/1000</f>
        <v>0</v>
      </c>
      <c r="BY124" s="883" t="n">
        <f aca="false">BX124*K124</f>
        <v>0</v>
      </c>
      <c r="BZ124" s="188"/>
      <c r="CA124" s="901" t="n">
        <f aca="false">$BL124*(1-$BR124)*Tables!$C$36</f>
        <v>0</v>
      </c>
      <c r="CB124" s="902" t="n">
        <f aca="false">(CA124*AU124)/1000</f>
        <v>0</v>
      </c>
      <c r="CC124" s="883" t="n">
        <f aca="false">CB124*K124</f>
        <v>0</v>
      </c>
      <c r="CD124" s="901" t="n">
        <f aca="false">$BP124*(1-$BR124)*Tables!$C$36</f>
        <v>0</v>
      </c>
      <c r="CE124" s="902" t="n">
        <f aca="false">(CD124*AX124)/1000</f>
        <v>0</v>
      </c>
      <c r="CF124" s="883" t="n">
        <f aca="false">CE124*K124</f>
        <v>0</v>
      </c>
      <c r="CH124" s="901" t="n">
        <f aca="false">$BM124*(1-$BR124)*Tables!$C$36</f>
        <v>0</v>
      </c>
      <c r="CI124" s="902" t="n">
        <f aca="false">(CH124*BB124)/1000</f>
        <v>0</v>
      </c>
      <c r="CJ124" s="883" t="n">
        <f aca="false">CI124*K124</f>
        <v>0</v>
      </c>
      <c r="CK124" s="292"/>
      <c r="CL124" s="292" t="n">
        <f aca="false">C124-1</f>
        <v>2009</v>
      </c>
      <c r="CM124" s="903" t="n">
        <f aca="false">INDEX(OperationalDetail,MATCH("Degraded Heat Rate",ODColumn,0),MATCH('Monthly Table'!CL124,ODRow,0))/1000</f>
        <v>12.0785236</v>
      </c>
      <c r="CN124" s="904" t="n">
        <f aca="false">S124*CM124</f>
        <v>57.248268269114</v>
      </c>
      <c r="CO124" s="905" t="n">
        <f aca="false">IF(A124="January",(CO123*(1+Assumptions!$E$32)),CO123)</f>
        <v>8.04969538252666</v>
      </c>
      <c r="CP124" s="906" t="n">
        <f aca="false">CN124+CO124</f>
        <v>65.2979636516407</v>
      </c>
      <c r="CQ124" s="292"/>
      <c r="CR124" s="856" t="n">
        <f aca="false">IF(BJ124=0,"",C124)</f>
        <v>2010</v>
      </c>
      <c r="CS124" s="856" t="str">
        <f aca="false">IF(BO124=0,"",$C124)</f>
        <v/>
      </c>
      <c r="CT124" s="856" t="str">
        <f aca="false">IF(BL124=0,"",$C124)</f>
        <v/>
      </c>
      <c r="CU124" s="856" t="str">
        <f aca="false">IF(BP124=0,"",$C124)</f>
        <v/>
      </c>
      <c r="CV124" s="856" t="str">
        <f aca="false">IF(BD124=0,"",$C124)</f>
        <v/>
      </c>
      <c r="CW124" s="907" t="n">
        <f aca="false">YEAR(BF124)</f>
        <v>2010</v>
      </c>
      <c r="CX124" s="908" t="n">
        <f aca="false">INDEX('NY Curve'!$A$4:$G$256,MATCH('Monthly Table'!B124,'NY Curve'!$A$4:$A$256,0),MATCH("New York 5 X 16",'NY Curve'!$A$4:$G$4,0))</f>
        <v>51.25</v>
      </c>
      <c r="CY124" s="909" t="n">
        <f aca="false">K124</f>
        <v>1.32609574092875</v>
      </c>
      <c r="CZ124" s="910" t="n">
        <f aca="false">CX124*CY124</f>
        <v>67.9624067225984</v>
      </c>
      <c r="DB124" s="911"/>
      <c r="DC124" s="911"/>
    </row>
    <row r="125" customFormat="false" ht="18.75" hidden="false" customHeight="true" outlineLevel="0" collapsed="false">
      <c r="A125" s="49" t="s">
        <v>816</v>
      </c>
      <c r="B125" s="863" t="n">
        <v>40360</v>
      </c>
      <c r="C125" s="288" t="n">
        <f aca="false">YEAR(B125)</f>
        <v>2010</v>
      </c>
      <c r="D125" s="864" t="n">
        <f aca="false">IF(A125="January",D124+1,D124)</f>
        <v>10</v>
      </c>
      <c r="E125" s="865" t="n">
        <v>21</v>
      </c>
      <c r="F125" s="866" t="n">
        <v>5</v>
      </c>
      <c r="G125" s="866" t="n">
        <v>4</v>
      </c>
      <c r="H125" s="866" t="n">
        <v>1</v>
      </c>
      <c r="I125" s="867" t="n">
        <f aca="false">SUM(E125:H125)</f>
        <v>31</v>
      </c>
      <c r="J125" s="868"/>
      <c r="K125" s="869" t="n">
        <f aca="false">INDEX(FX!$A$3:$C$362,MATCH(B125,FX!$A$3:$A$362,0),MATCH("Monthly Curve",FX!$A$2:$C$2,0))</f>
        <v>1.32523064924762</v>
      </c>
      <c r="L125" s="869"/>
      <c r="M125" s="987" t="n">
        <v>3.0675</v>
      </c>
      <c r="N125" s="988" t="n">
        <v>0.145</v>
      </c>
      <c r="O125" s="986" t="n">
        <v>0.1</v>
      </c>
      <c r="P125" s="872" t="n">
        <f aca="false">N125+O125</f>
        <v>0.245</v>
      </c>
      <c r="Q125" s="873" t="n">
        <f aca="false">SUM(M125:O125)</f>
        <v>3.3125</v>
      </c>
      <c r="R125" s="974" t="n">
        <f aca="false">IF(A125="January",(R124+R124*Assumptions!$E$32),R124)</f>
        <v>0.358917051323416</v>
      </c>
      <c r="S125" s="875" t="n">
        <f aca="false">(Q125*K125)+R125</f>
        <v>4.74874357695616</v>
      </c>
      <c r="T125" s="869"/>
      <c r="U125" s="984"/>
      <c r="V125" s="978"/>
      <c r="W125" s="978"/>
      <c r="X125" s="971"/>
      <c r="Y125" s="975" t="n">
        <f aca="false">Tables!$D$36</f>
        <v>312</v>
      </c>
      <c r="Z125" s="879" t="n">
        <f aca="false">IF($Z$10=$V$10,V125,IF($Z$10=$W$10,W125,IF($Z$10=$X$10,X125,0)))</f>
        <v>0</v>
      </c>
      <c r="AA125" s="880" t="n">
        <f aca="false">Y125*Z125</f>
        <v>0</v>
      </c>
      <c r="AB125" s="881" t="n">
        <f aca="false">AA125*K125</f>
        <v>0</v>
      </c>
      <c r="AC125" s="188"/>
      <c r="AD125" s="882" t="n">
        <f aca="false">IF(Tables!$E$30="Michigan",INDEX('Michigan Curve'!$A$4:$S$256,MATCH('Monthly Table'!B125,'Michigan Curve'!$A$4:$A$256,0),MATCH("Michigan Selected Option Value US$/month",'Michigan Curve'!$A$4:$S$4,0)),INDEX('NY Curve'!$A$4:$T$256,MATCH('Monthly Table'!B125,'NY Curve'!$A$4:$A$256,0),MATCH("New York Selected Option Value US$/month",'NY Curve'!$A$4:$T$4,0)))</f>
        <v>306449.057396988</v>
      </c>
      <c r="AE125" s="883" t="n">
        <f aca="false">AD125*K125</f>
        <v>406115.683295532</v>
      </c>
      <c r="AF125" s="188"/>
      <c r="AG125" s="884"/>
      <c r="AH125" s="49"/>
      <c r="AI125" s="885" t="n">
        <f aca="false">Assumptions!$B$50</f>
        <v>65</v>
      </c>
      <c r="AJ125" s="916"/>
      <c r="AK125" s="887" t="n">
        <f aca="false">IF(Tables!$E$30="Custom",'Monthly Table'!AI125,IF(Tables!$E$30="New York",INDEX('NY Curve'!$A$4:$G$256,MATCH('Monthly Table'!B125,'NY Curve'!$A$4:$A$256,0),MATCH("Super Peak Curve",'NY Curve'!$A$4:$G$4,0)),IF(Tables!$E$30="New York Flat",INDEX('NY Curve'!$A$4:$G$256,MATCH('Monthly Table'!B125,'NY Curve'!$A$4:$A$256,0),MATCH("Flat NY West",'NY Curve'!$A$4:$G$4,0)),INDEX('Michigan Curve'!$A$4:$F$256,MATCH('Monthly Table'!B125,'Michigan Curve'!$A$4:$A$256,0),MATCH("Michigan Super Peak Curve US$/MWhr",'Michigan Curve'!$A$4:$F$4,0)))))</f>
        <v>143.607027335391</v>
      </c>
      <c r="AL125" s="888" t="n">
        <f aca="false">IF(D125&lt;=Tables!$B$21,IF($AL$10=$AI$10,AI125,IF($AL$10=$AJ$10,AJ125,IF($AL$10=$AK$10,AK125,0))),0)</f>
        <v>143.607027335391</v>
      </c>
      <c r="AM125" s="889" t="n">
        <f aca="false">+AL125*K125</f>
        <v>190.312434072201</v>
      </c>
      <c r="AN125" s="890" t="n">
        <f aca="false">IF((AL125*K125)&gt;(CP125+$BF$4),1,0)</f>
        <v>1</v>
      </c>
      <c r="AO125" s="891"/>
      <c r="AP125" s="894"/>
      <c r="AQ125" s="892" t="n">
        <f aca="false">IF(Tables!$E$30="New York",INDEX('NY Curve'!$A$4:$L$256,MATCH('Monthly Table'!B125,'NY Curve'!$A$4:$A$256,0),MATCH("New York Shoulder Hour Curve Mon-Fri",'NY Curve'!$A$4:$L$4,0)),IF(Tables!$E$30="Michigan",INDEX('Michigan Curve'!$A$4:$K$256,MATCH('Monthly Table'!B125,'Michigan Curve'!$A$4:$A$256,0),MATCH("Michigan Shoulder Hour Curve Mon-Fri",'Michigan Curve'!$A$4:$K$4,0))))</f>
        <v>28.392972664609</v>
      </c>
      <c r="AR125" s="889" t="n">
        <f aca="false">AQ125*K125</f>
        <v>37.6272375983898</v>
      </c>
      <c r="AS125" s="893" t="n">
        <f aca="false">IF(AR125&gt;($CP125+$BF$4),1,0)</f>
        <v>0</v>
      </c>
      <c r="AT125" s="188"/>
      <c r="AU125" s="892" t="n">
        <f aca="false">IF(Tables!$E$30="New York",INDEX('NY Curve'!$A$4:$L$256,MATCH('Monthly Table'!$B125,'NY Curve'!$A$4:$A$256,0),MATCH("New York Saturday Super Peak",'NY Curve'!$A$4:$L$4,0)),IF(Tables!$E$30="Michigan",INDEX('Michigan Curve'!$A$4:$K$256,MATCH('Monthly Table'!$B125,'Michigan Curve'!$A$4:$A$256,0),MATCH("Michigan Saturday Super Peak",'Michigan Curve'!$A$4:$K$4,0))))</f>
        <v>58.444720427194</v>
      </c>
      <c r="AV125" s="894" t="n">
        <f aca="false">AU125*K125</f>
        <v>77.4527347968259</v>
      </c>
      <c r="AW125" s="893" t="n">
        <f aca="false">IF(AV125&gt;($CP125+$BF$4),1,0)</f>
        <v>1</v>
      </c>
      <c r="AX125" s="892" t="n">
        <f aca="false">IF(Tables!$E$30="New York",INDEX('NY Curve'!$A$4:$L$256,MATCH('Monthly Table'!$B125,'NY Curve'!$A$4:$A$256,0),MATCH("New York Saturday Shoulder Peak",'NY Curve'!$A$4:$L$4,0)),IF(Tables!$E$30="Michigan",INDEX('Michigan Curve'!$A$4:$K$256,MATCH('Monthly Table'!$B125,'Michigan Curve'!$A$4:$A$256,0),MATCH("Michigan Saturday Shoulder Peak",'Michigan Curve'!$A$4:$K$4,0))))</f>
        <v>11.555279572806</v>
      </c>
      <c r="AY125" s="895" t="n">
        <f aca="false">AX125*K125</f>
        <v>15.3134106505075</v>
      </c>
      <c r="AZ125" s="893" t="n">
        <f aca="false">IF(AY125&gt;($CP125+$BF$4),1,0)</f>
        <v>0</v>
      </c>
      <c r="BA125" s="188"/>
      <c r="BB125" s="892" t="n">
        <f aca="false">IF(Tables!$E$30="New York",INDEX('NY Curve'!$A$4:$M$256,MATCH('Monthly Table'!$B125,'NY Curve'!$A$4:$A$256,0),MATCH("NY Sunday Super Peak",'NY Curve'!$A$4:$M$4,0)),IF(Tables!$E$30="Michigan",INDEX('Michigan Curve'!$A$4:$L$256,MATCH('Monthly Table'!$B125,'Michigan Curve'!$A$4:$A$256,0),MATCH("Michigan Sunday Super Peak",'Michigan Curve'!$A$4:$L$4,0))))</f>
        <v>51.7653206219588</v>
      </c>
      <c r="BC125" s="894" t="n">
        <f aca="false">BB125*K125</f>
        <v>68.6009894563496</v>
      </c>
      <c r="BD125" s="893" t="n">
        <f aca="false">IF(BC125&gt;($CP125+$BF$4),1,0)</f>
        <v>1</v>
      </c>
      <c r="BE125" s="188"/>
      <c r="BF125" s="896" t="n">
        <f aca="false">B125</f>
        <v>40360</v>
      </c>
      <c r="BG125" s="897" t="n">
        <f aca="false">IF($AN125=1,$E125*$BF$5,0)</f>
        <v>168</v>
      </c>
      <c r="BH125" s="976" t="n">
        <f aca="false">IF(Tables!$B$36="Combined Cycle",(BF125-BF124)*24*Assumptions!$B$21,0)</f>
        <v>0</v>
      </c>
      <c r="BI125" s="714" t="n">
        <f aca="false">IF($AN125=1,$E125*$BF$5,0)</f>
        <v>168</v>
      </c>
      <c r="BJ125" s="898" t="n">
        <f aca="false">IF('Monthly Table'!D125&lt;=Tables!$B$21,IF($BJ$10=$BG$10,BG125,IF($BJ$10=$BH$10,BH125,IF($BJ$10=$BI$10,BI125,0))),0)</f>
        <v>168</v>
      </c>
      <c r="BK125" s="288"/>
      <c r="BL125" s="898" t="n">
        <f aca="false">IF($AW125=1,$F125*$BF$5,0)</f>
        <v>40</v>
      </c>
      <c r="BM125" s="898" t="n">
        <f aca="false">IF($BD125=1,($G125+H125)*$BF$5,0)</f>
        <v>40</v>
      </c>
      <c r="BO125" s="898" t="n">
        <f aca="false">IF(AS125=1,BJ125,0)</f>
        <v>0</v>
      </c>
      <c r="BP125" s="898" t="n">
        <f aca="false">IF(AZ125=1,F125*$BF$5,0)</f>
        <v>0</v>
      </c>
      <c r="BR125" s="899" t="n">
        <f aca="false">IF(BJ125&gt;0,INDEX(OperationalDetail,MATCH("Capacity Degradation",ODColumn,0),MATCH('Monthly Table'!C125,ODRow,0)),0)</f>
        <v>0.0125</v>
      </c>
      <c r="BS125" s="900" t="n">
        <f aca="false">BJ125*(1-BR125)*Tables!$C$36</f>
        <v>53751.6</v>
      </c>
      <c r="BT125" s="883" t="n">
        <f aca="false">BS125*AL125/1000</f>
        <v>7719.107490521</v>
      </c>
      <c r="BU125" s="883" t="n">
        <f aca="false">BT125*K125</f>
        <v>10229.5978312753</v>
      </c>
      <c r="BV125" s="188"/>
      <c r="BW125" s="901" t="n">
        <f aca="false">$BO125*(1-$BR125)*Tables!$C$36</f>
        <v>0</v>
      </c>
      <c r="BX125" s="902" t="n">
        <f aca="false">(BW125*AQ125)/1000</f>
        <v>0</v>
      </c>
      <c r="BY125" s="883" t="n">
        <f aca="false">BX125*K125</f>
        <v>0</v>
      </c>
      <c r="BZ125" s="188"/>
      <c r="CA125" s="901" t="n">
        <f aca="false">$BL125*(1-$BR125)*Tables!$C$36</f>
        <v>12798</v>
      </c>
      <c r="CB125" s="902" t="n">
        <f aca="false">(CA125*AU125)/1000</f>
        <v>747.975532027229</v>
      </c>
      <c r="CC125" s="883" t="n">
        <f aca="false">CB125*K125</f>
        <v>991.240099929778</v>
      </c>
      <c r="CD125" s="901" t="n">
        <f aca="false">$BP125*(1-$BR125)*Tables!$C$36</f>
        <v>0</v>
      </c>
      <c r="CE125" s="902" t="n">
        <f aca="false">(CD125*AX125)/1000</f>
        <v>0</v>
      </c>
      <c r="CF125" s="883" t="n">
        <f aca="false">CE125*K125</f>
        <v>0</v>
      </c>
      <c r="CH125" s="901" t="n">
        <f aca="false">$BM125*(1-$BR125)*Tables!$C$36</f>
        <v>12798</v>
      </c>
      <c r="CI125" s="902" t="n">
        <f aca="false">(CH125*BB125)/1000</f>
        <v>662.492573319828</v>
      </c>
      <c r="CJ125" s="883" t="n">
        <f aca="false">CI125*K125</f>
        <v>877.955463062362</v>
      </c>
      <c r="CK125" s="292"/>
      <c r="CL125" s="292" t="n">
        <f aca="false">C125-1</f>
        <v>2009</v>
      </c>
      <c r="CM125" s="903" t="n">
        <f aca="false">INDEX(OperationalDetail,MATCH("Degraded Heat Rate",ODColumn,0),MATCH('Monthly Table'!CL125,ODRow,0))/1000</f>
        <v>12.0785236</v>
      </c>
      <c r="CN125" s="904" t="n">
        <f aca="false">S125*CM125</f>
        <v>57.3578113646134</v>
      </c>
      <c r="CO125" s="905" t="n">
        <f aca="false">IF(A125="January",(CO124*(1+Assumptions!$E$32)),CO124)</f>
        <v>8.04969538252666</v>
      </c>
      <c r="CP125" s="906" t="n">
        <f aca="false">CN125+CO125</f>
        <v>65.40750674714</v>
      </c>
      <c r="CQ125" s="292"/>
      <c r="CR125" s="856" t="n">
        <f aca="false">IF(BJ125=0,"",C125)</f>
        <v>2010</v>
      </c>
      <c r="CS125" s="856" t="str">
        <f aca="false">IF(BO125=0,"",$C125)</f>
        <v/>
      </c>
      <c r="CT125" s="856" t="n">
        <f aca="false">IF(BL125=0,"",$C125)</f>
        <v>2010</v>
      </c>
      <c r="CU125" s="856" t="str">
        <f aca="false">IF(BP125=0,"",$C125)</f>
        <v/>
      </c>
      <c r="CV125" s="856" t="n">
        <f aca="false">IF(BD125=0,"",$C125)</f>
        <v>2010</v>
      </c>
      <c r="CW125" s="907" t="n">
        <f aca="false">YEAR(BF125)</f>
        <v>2010</v>
      </c>
      <c r="CX125" s="908" t="n">
        <f aca="false">INDEX('NY Curve'!$A$4:$G$256,MATCH('Monthly Table'!B125,'NY Curve'!$A$4:$A$256,0),MATCH("New York 5 X 16",'NY Curve'!$A$4:$G$4,0))</f>
        <v>78</v>
      </c>
      <c r="CY125" s="909" t="n">
        <f aca="false">K125</f>
        <v>1.32523064924762</v>
      </c>
      <c r="CZ125" s="910" t="n">
        <f aca="false">CX125*CY125</f>
        <v>103.367990641314</v>
      </c>
      <c r="DB125" s="911"/>
      <c r="DC125" s="911"/>
    </row>
    <row r="126" customFormat="false" ht="18.75" hidden="false" customHeight="true" outlineLevel="0" collapsed="false">
      <c r="A126" s="49" t="s">
        <v>817</v>
      </c>
      <c r="B126" s="863" t="n">
        <v>40391</v>
      </c>
      <c r="C126" s="288" t="n">
        <f aca="false">YEAR(B126)</f>
        <v>2010</v>
      </c>
      <c r="D126" s="864" t="n">
        <f aca="false">IF(A126="January",D125+1,D125)</f>
        <v>10</v>
      </c>
      <c r="E126" s="865" t="n">
        <v>22</v>
      </c>
      <c r="F126" s="866" t="n">
        <v>4</v>
      </c>
      <c r="G126" s="866" t="n">
        <v>5</v>
      </c>
      <c r="H126" s="866" t="n">
        <v>0</v>
      </c>
      <c r="I126" s="867" t="n">
        <f aca="false">SUM(E126:H126)</f>
        <v>31</v>
      </c>
      <c r="J126" s="868"/>
      <c r="K126" s="869" t="n">
        <f aca="false">INDEX(FX!$A$3:$C$362,MATCH(B126,FX!$A$3:$A$362,0),MATCH("Monthly Curve",FX!$A$2:$C$2,0))</f>
        <v>1.3243391932926</v>
      </c>
      <c r="L126" s="869"/>
      <c r="M126" s="987" t="n">
        <v>3.0745</v>
      </c>
      <c r="N126" s="988" t="n">
        <v>0.145</v>
      </c>
      <c r="O126" s="986" t="n">
        <v>0.1</v>
      </c>
      <c r="P126" s="872" t="n">
        <f aca="false">N126+O126</f>
        <v>0.245</v>
      </c>
      <c r="Q126" s="873" t="n">
        <f aca="false">SUM(M126:O126)</f>
        <v>3.3195</v>
      </c>
      <c r="R126" s="974" t="n">
        <f aca="false">IF(A126="January",(R125+R125*Assumptions!$E$32),R125)</f>
        <v>0.358917051323416</v>
      </c>
      <c r="S126" s="875" t="n">
        <f aca="false">(Q126*K126)+R126</f>
        <v>4.7550610034582</v>
      </c>
      <c r="T126" s="869"/>
      <c r="U126" s="984"/>
      <c r="V126" s="978"/>
      <c r="W126" s="978"/>
      <c r="X126" s="971"/>
      <c r="Y126" s="975" t="n">
        <f aca="false">Tables!$D$36</f>
        <v>312</v>
      </c>
      <c r="Z126" s="879" t="n">
        <f aca="false">IF($Z$10=$V$10,V126,IF($Z$10=$W$10,W126,IF($Z$10=$X$10,X126,0)))</f>
        <v>0</v>
      </c>
      <c r="AA126" s="880" t="n">
        <f aca="false">Y126*Z126</f>
        <v>0</v>
      </c>
      <c r="AB126" s="881" t="n">
        <f aca="false">AA126*K126</f>
        <v>0</v>
      </c>
      <c r="AC126" s="188"/>
      <c r="AD126" s="882" t="n">
        <f aca="false">IF(Tables!$E$30="Michigan",INDEX('Michigan Curve'!$A$4:$S$256,MATCH('Monthly Table'!B126,'Michigan Curve'!$A$4:$A$256,0),MATCH("Michigan Selected Option Value US$/month",'Michigan Curve'!$A$4:$S$4,0)),INDEX('NY Curve'!$A$4:$T$256,MATCH('Monthly Table'!B126,'NY Curve'!$A$4:$A$256,0),MATCH("New York Selected Option Value US$/month",'NY Curve'!$A$4:$T$4,0)))</f>
        <v>295892.336272388</v>
      </c>
      <c r="AE126" s="883" t="n">
        <f aca="false">AD126*K126</f>
        <v>391861.817920437</v>
      </c>
      <c r="AF126" s="188"/>
      <c r="AG126" s="884"/>
      <c r="AH126" s="49"/>
      <c r="AI126" s="885" t="n">
        <f aca="false">Assumptions!$B$50</f>
        <v>65</v>
      </c>
      <c r="AJ126" s="916"/>
      <c r="AK126" s="887" t="n">
        <f aca="false">IF(Tables!$E$30="Custom",'Monthly Table'!AI126,IF(Tables!$E$30="New York",INDEX('NY Curve'!$A$4:$G$256,MATCH('Monthly Table'!B126,'NY Curve'!$A$4:$A$256,0),MATCH("Super Peak Curve",'NY Curve'!$A$4:$G$4,0)),IF(Tables!$E$30="New York Flat",INDEX('NY Curve'!$A$4:$G$256,MATCH('Monthly Table'!B126,'NY Curve'!$A$4:$A$256,0),MATCH("Flat NY West",'NY Curve'!$A$4:$G$4,0)),INDEX('Michigan Curve'!$A$4:$F$256,MATCH('Monthly Table'!B126,'Michigan Curve'!$A$4:$A$256,0),MATCH("Michigan Super Peak Curve US$/MWhr",'Michigan Curve'!$A$4:$F$4,0)))))</f>
        <v>143.607027335391</v>
      </c>
      <c r="AL126" s="888" t="n">
        <f aca="false">IF(D126&lt;=Tables!$B$21,IF($AL$10=$AI$10,AI126,IF($AL$10=$AJ$10,AJ126,IF($AL$10=$AK$10,AK126,0))),0)</f>
        <v>143.607027335391</v>
      </c>
      <c r="AM126" s="889" t="n">
        <f aca="false">+AL126*K126</f>
        <v>190.1844147325</v>
      </c>
      <c r="AN126" s="890" t="n">
        <f aca="false">IF((AL126*K126)&gt;(CP126+$BF$4),1,0)</f>
        <v>1</v>
      </c>
      <c r="AO126" s="891"/>
      <c r="AP126" s="894"/>
      <c r="AQ126" s="892" t="n">
        <f aca="false">IF(Tables!$E$30="New York",INDEX('NY Curve'!$A$4:$L$256,MATCH('Monthly Table'!B126,'NY Curve'!$A$4:$A$256,0),MATCH("New York Shoulder Hour Curve Mon-Fri",'NY Curve'!$A$4:$L$4,0)),IF(Tables!$E$30="Michigan",INDEX('Michigan Curve'!$A$4:$K$256,MATCH('Monthly Table'!B126,'Michigan Curve'!$A$4:$A$256,0),MATCH("Michigan Shoulder Hour Curve Mon-Fri",'Michigan Curve'!$A$4:$K$4,0))))</f>
        <v>28.392972664609</v>
      </c>
      <c r="AR126" s="889" t="n">
        <f aca="false">AQ126*K126</f>
        <v>37.6019265138272</v>
      </c>
      <c r="AS126" s="893" t="n">
        <f aca="false">IF(AR126&gt;($CP126+$BF$4),1,0)</f>
        <v>0</v>
      </c>
      <c r="AT126" s="188"/>
      <c r="AU126" s="892" t="n">
        <f aca="false">IF(Tables!$E$30="New York",INDEX('NY Curve'!$A$4:$L$256,MATCH('Monthly Table'!$B126,'NY Curve'!$A$4:$A$256,0),MATCH("New York Saturday Super Peak",'NY Curve'!$A$4:$L$4,0)),IF(Tables!$E$30="Michigan",INDEX('Michigan Curve'!$A$4:$K$256,MATCH('Monthly Table'!$B126,'Michigan Curve'!$A$4:$A$256,0),MATCH("Michigan Saturday Super Peak",'Michigan Curve'!$A$4:$K$4,0))))</f>
        <v>58.444726797163</v>
      </c>
      <c r="AV126" s="894" t="n">
        <f aca="false">AU126*K126</f>
        <v>77.4006423387613</v>
      </c>
      <c r="AW126" s="893" t="n">
        <f aca="false">IF(AV126&gt;($CP126+$BF$4),1,0)</f>
        <v>1</v>
      </c>
      <c r="AX126" s="892" t="n">
        <f aca="false">IF(Tables!$E$30="New York",INDEX('NY Curve'!$A$4:$L$256,MATCH('Monthly Table'!$B126,'NY Curve'!$A$4:$A$256,0),MATCH("New York Saturday Shoulder Peak",'NY Curve'!$A$4:$L$4,0)),IF(Tables!$E$30="Michigan",INDEX('Michigan Curve'!$A$4:$K$256,MATCH('Monthly Table'!$B126,'Michigan Curve'!$A$4:$A$256,0),MATCH("Michigan Saturday Shoulder Peak",'Michigan Curve'!$A$4:$K$4,0))))</f>
        <v>11.5552808322315</v>
      </c>
      <c r="AY126" s="895" t="n">
        <f aca="false">AX126*K126</f>
        <v>15.303111295627</v>
      </c>
      <c r="AZ126" s="893" t="n">
        <f aca="false">IF(AY126&gt;($CP126+$BF$4),1,0)</f>
        <v>0</v>
      </c>
      <c r="BA126" s="188"/>
      <c r="BB126" s="892" t="n">
        <f aca="false">IF(Tables!$E$30="New York",INDEX('NY Curve'!$A$4:$M$256,MATCH('Monthly Table'!$B126,'NY Curve'!$A$4:$A$256,0),MATCH("NY Sunday Super Peak",'NY Curve'!$A$4:$M$4,0)),IF(Tables!$E$30="Michigan",INDEX('Michigan Curve'!$A$4:$L$256,MATCH('Monthly Table'!$B126,'Michigan Curve'!$A$4:$A$256,0),MATCH("Michigan Sunday Super Peak",'Michigan Curve'!$A$4:$L$4,0))))</f>
        <v>51.7653238069433</v>
      </c>
      <c r="BC126" s="894" t="n">
        <f aca="false">BB126*K126</f>
        <v>68.5548471710175</v>
      </c>
      <c r="BD126" s="893" t="n">
        <f aca="false">IF(BC126&gt;($CP126+$BF$4),1,0)</f>
        <v>1</v>
      </c>
      <c r="BE126" s="188"/>
      <c r="BF126" s="896" t="n">
        <f aca="false">B126</f>
        <v>40391</v>
      </c>
      <c r="BG126" s="897" t="n">
        <f aca="false">IF($AN126=1,$E126*$BF$5,0)</f>
        <v>176</v>
      </c>
      <c r="BH126" s="976" t="n">
        <f aca="false">IF(Tables!$B$36="Combined Cycle",(BF126-BF125)*24*Assumptions!$B$21,0)</f>
        <v>0</v>
      </c>
      <c r="BI126" s="714" t="n">
        <f aca="false">IF($AN126=1,$E126*$BF$5,0)</f>
        <v>176</v>
      </c>
      <c r="BJ126" s="898" t="n">
        <f aca="false">IF('Monthly Table'!D126&lt;=Tables!$B$21,IF($BJ$10=$BG$10,BG126,IF($BJ$10=$BH$10,BH126,IF($BJ$10=$BI$10,BI126,0))),0)</f>
        <v>176</v>
      </c>
      <c r="BK126" s="288"/>
      <c r="BL126" s="898" t="n">
        <f aca="false">IF($AW126=1,$F126*$BF$5,0)</f>
        <v>32</v>
      </c>
      <c r="BM126" s="898" t="n">
        <f aca="false">IF($BD126=1,($G126+H126)*$BF$5,0)</f>
        <v>40</v>
      </c>
      <c r="BO126" s="898" t="n">
        <f aca="false">IF(AS126=1,BJ126,0)</f>
        <v>0</v>
      </c>
      <c r="BP126" s="898" t="n">
        <f aca="false">IF(AZ126=1,F126*$BF$5,0)</f>
        <v>0</v>
      </c>
      <c r="BR126" s="899" t="n">
        <f aca="false">IF(BJ126&gt;0,INDEX(OperationalDetail,MATCH("Capacity Degradation",ODColumn,0),MATCH('Monthly Table'!C126,ODRow,0)),0)</f>
        <v>0.0125</v>
      </c>
      <c r="BS126" s="900" t="n">
        <f aca="false">BJ126*(1-BR126)*Tables!$C$36</f>
        <v>56311.2</v>
      </c>
      <c r="BT126" s="883" t="n">
        <f aca="false">BS126*AL126/1000</f>
        <v>8086.68403768867</v>
      </c>
      <c r="BU126" s="883" t="n">
        <f aca="false">BT126*K126</f>
        <v>10709.5126148848</v>
      </c>
      <c r="BV126" s="188"/>
      <c r="BW126" s="901" t="n">
        <f aca="false">$BO126*(1-$BR126)*Tables!$C$36</f>
        <v>0</v>
      </c>
      <c r="BX126" s="902" t="n">
        <f aca="false">(BW126*AQ126)/1000</f>
        <v>0</v>
      </c>
      <c r="BY126" s="883" t="n">
        <f aca="false">BX126*K126</f>
        <v>0</v>
      </c>
      <c r="BZ126" s="188"/>
      <c r="CA126" s="901" t="n">
        <f aca="false">$BL126*(1-$BR126)*Tables!$C$36</f>
        <v>10238.4</v>
      </c>
      <c r="CB126" s="902" t="n">
        <f aca="false">(CA126*AU126)/1000</f>
        <v>598.380490840074</v>
      </c>
      <c r="CC126" s="883" t="n">
        <f aca="false">CB126*K126</f>
        <v>792.458736521173</v>
      </c>
      <c r="CD126" s="901" t="n">
        <f aca="false">$BP126*(1-$BR126)*Tables!$C$36</f>
        <v>0</v>
      </c>
      <c r="CE126" s="902" t="n">
        <f aca="false">(CD126*AX126)/1000</f>
        <v>0</v>
      </c>
      <c r="CF126" s="883" t="n">
        <f aca="false">CE126*K126</f>
        <v>0</v>
      </c>
      <c r="CH126" s="901" t="n">
        <f aca="false">$BM126*(1-$BR126)*Tables!$C$36</f>
        <v>12798</v>
      </c>
      <c r="CI126" s="902" t="n">
        <f aca="false">(CH126*BB126)/1000</f>
        <v>662.49261408126</v>
      </c>
      <c r="CJ126" s="883" t="n">
        <f aca="false">CI126*K126</f>
        <v>877.364934094681</v>
      </c>
      <c r="CK126" s="292"/>
      <c r="CL126" s="292" t="n">
        <f aca="false">C126-1</f>
        <v>2009</v>
      </c>
      <c r="CM126" s="903" t="n">
        <f aca="false">INDEX(OperationalDetail,MATCH("Degraded Heat Rate",ODColumn,0),MATCH('Monthly Table'!CL126,ODRow,0))/1000</f>
        <v>12.0785236</v>
      </c>
      <c r="CN126" s="904" t="n">
        <f aca="false">S126*CM126</f>
        <v>57.4341165497096</v>
      </c>
      <c r="CO126" s="905" t="n">
        <f aca="false">IF(A126="January",(CO125*(1+Assumptions!$E$32)),CO125)</f>
        <v>8.04969538252666</v>
      </c>
      <c r="CP126" s="906" t="n">
        <f aca="false">CN126+CO126</f>
        <v>65.4838119322362</v>
      </c>
      <c r="CQ126" s="292"/>
      <c r="CR126" s="856" t="n">
        <f aca="false">IF(BJ126=0,"",C126)</f>
        <v>2010</v>
      </c>
      <c r="CS126" s="856" t="str">
        <f aca="false">IF(BO126=0,"",$C126)</f>
        <v/>
      </c>
      <c r="CT126" s="856" t="n">
        <f aca="false">IF(BL126=0,"",$C126)</f>
        <v>2010</v>
      </c>
      <c r="CU126" s="856" t="str">
        <f aca="false">IF(BP126=0,"",$C126)</f>
        <v/>
      </c>
      <c r="CV126" s="856" t="n">
        <f aca="false">IF(BD126=0,"",$C126)</f>
        <v>2010</v>
      </c>
      <c r="CW126" s="907" t="n">
        <f aca="false">YEAR(BF126)</f>
        <v>2010</v>
      </c>
      <c r="CX126" s="908" t="n">
        <f aca="false">INDEX('NY Curve'!$A$4:$G$256,MATCH('Monthly Table'!B126,'NY Curve'!$A$4:$A$256,0),MATCH("New York 5 X 16",'NY Curve'!$A$4:$G$4,0))</f>
        <v>70.5</v>
      </c>
      <c r="CY126" s="909" t="n">
        <f aca="false">K126</f>
        <v>1.3243391932926</v>
      </c>
      <c r="CZ126" s="910" t="n">
        <f aca="false">CX126*CY126</f>
        <v>93.3659131271283</v>
      </c>
      <c r="DB126" s="911"/>
      <c r="DC126" s="911"/>
    </row>
    <row r="127" customFormat="false" ht="18.75" hidden="false" customHeight="true" outlineLevel="0" collapsed="false">
      <c r="A127" s="49" t="s">
        <v>818</v>
      </c>
      <c r="B127" s="863" t="n">
        <v>40422</v>
      </c>
      <c r="C127" s="288" t="n">
        <f aca="false">YEAR(B127)</f>
        <v>2010</v>
      </c>
      <c r="D127" s="864" t="n">
        <f aca="false">IF(A127="January",D126+1,D126)</f>
        <v>10</v>
      </c>
      <c r="E127" s="865" t="n">
        <v>21</v>
      </c>
      <c r="F127" s="866" t="n">
        <v>4</v>
      </c>
      <c r="G127" s="866" t="n">
        <v>4</v>
      </c>
      <c r="H127" s="866" t="n">
        <v>1</v>
      </c>
      <c r="I127" s="867" t="n">
        <f aca="false">SUM(E127:H127)</f>
        <v>30</v>
      </c>
      <c r="J127" s="868"/>
      <c r="K127" s="869" t="n">
        <f aca="false">INDEX(FX!$A$3:$C$362,MATCH(B127,FX!$A$3:$A$362,0),MATCH("Monthly Curve",FX!$A$2:$C$2,0))</f>
        <v>1.32345024575395</v>
      </c>
      <c r="L127" s="869"/>
      <c r="M127" s="987" t="n">
        <v>3.0815</v>
      </c>
      <c r="N127" s="988" t="n">
        <v>0.145</v>
      </c>
      <c r="O127" s="986" t="n">
        <v>0.1</v>
      </c>
      <c r="P127" s="872" t="n">
        <f aca="false">N127+O127</f>
        <v>0.245</v>
      </c>
      <c r="Q127" s="873" t="n">
        <f aca="false">SUM(M127:O127)</f>
        <v>3.3265</v>
      </c>
      <c r="R127" s="974" t="n">
        <f aca="false">IF(A127="January",(R126+R126*Assumptions!$E$32),R126)</f>
        <v>0.358917051323416</v>
      </c>
      <c r="S127" s="875" t="n">
        <f aca="false">(Q127*K127)+R127</f>
        <v>4.76137429382393</v>
      </c>
      <c r="T127" s="869"/>
      <c r="U127" s="984"/>
      <c r="V127" s="978"/>
      <c r="W127" s="978"/>
      <c r="X127" s="971"/>
      <c r="Y127" s="975" t="n">
        <f aca="false">Tables!$D$36</f>
        <v>312</v>
      </c>
      <c r="Z127" s="879" t="n">
        <f aca="false">IF($Z$10=$V$10,V127,IF($Z$10=$W$10,W127,IF($Z$10=$X$10,X127,0)))</f>
        <v>0</v>
      </c>
      <c r="AA127" s="880" t="n">
        <f aca="false">Y127*Z127</f>
        <v>0</v>
      </c>
      <c r="AB127" s="881" t="n">
        <f aca="false">AA127*K127</f>
        <v>0</v>
      </c>
      <c r="AC127" s="188"/>
      <c r="AD127" s="882" t="n">
        <f aca="false">IF(Tables!$E$30="Michigan",INDEX('Michigan Curve'!$A$4:$S$256,MATCH('Monthly Table'!B127,'Michigan Curve'!$A$4:$A$256,0),MATCH("Michigan Selected Option Value US$/month",'Michigan Curve'!$A$4:$S$4,0)),INDEX('NY Curve'!$A$4:$T$256,MATCH('Monthly Table'!B127,'NY Curve'!$A$4:$A$256,0),MATCH("New York Selected Option Value US$/month",'NY Curve'!$A$4:$T$4,0)))</f>
        <v>176202.184306397</v>
      </c>
      <c r="AE127" s="883" t="n">
        <f aca="false">AD127*K127</f>
        <v>233194.824122684</v>
      </c>
      <c r="AF127" s="188"/>
      <c r="AG127" s="884"/>
      <c r="AH127" s="49"/>
      <c r="AI127" s="885" t="n">
        <f aca="false">Assumptions!$B$50</f>
        <v>65</v>
      </c>
      <c r="AJ127" s="916"/>
      <c r="AK127" s="887" t="n">
        <f aca="false">IF(Tables!$E$30="Custom",'Monthly Table'!AI127,IF(Tables!$E$30="New York",INDEX('NY Curve'!$A$4:$G$256,MATCH('Monthly Table'!B127,'NY Curve'!$A$4:$A$256,0),MATCH("Super Peak Curve",'NY Curve'!$A$4:$G$4,0)),IF(Tables!$E$30="New York Flat",INDEX('NY Curve'!$A$4:$G$256,MATCH('Monthly Table'!B127,'NY Curve'!$A$4:$A$256,0),MATCH("Flat NY West",'NY Curve'!$A$4:$G$4,0)),INDEX('Michigan Curve'!$A$4:$F$256,MATCH('Monthly Table'!B127,'Michigan Curve'!$A$4:$A$256,0),MATCH("Michigan Super Peak Curve US$/MWhr",'Michigan Curve'!$A$4:$F$4,0)))))</f>
        <v>46.9559372514486</v>
      </c>
      <c r="AL127" s="888" t="n">
        <f aca="false">IF(D127&lt;=Tables!$B$21,IF($AL$10=$AI$10,AI127,IF($AL$10=$AJ$10,AJ127,IF($AL$10=$AK$10,AK127,0))),0)</f>
        <v>46.9559372514486</v>
      </c>
      <c r="AM127" s="889" t="n">
        <f aca="false">+AL127*K127</f>
        <v>62.1438466950368</v>
      </c>
      <c r="AN127" s="890" t="n">
        <f aca="false">IF((AL127*K127)&gt;(CP127+$BF$4),1,0)</f>
        <v>0</v>
      </c>
      <c r="AO127" s="891"/>
      <c r="AP127" s="894"/>
      <c r="AQ127" s="892" t="n">
        <f aca="false">IF(Tables!$E$30="New York",INDEX('NY Curve'!$A$4:$L$256,MATCH('Monthly Table'!B127,'NY Curve'!$A$4:$A$256,0),MATCH("New York Shoulder Hour Curve Mon-Fri",'NY Curve'!$A$4:$L$4,0)),IF(Tables!$E$30="Michigan",INDEX('Michigan Curve'!$A$4:$K$256,MATCH('Monthly Table'!B127,'Michigan Curve'!$A$4:$A$256,0),MATCH("Michigan Shoulder Hour Curve Mon-Fri",'Michigan Curve'!$A$4:$K$4,0))))</f>
        <v>22.5440627485514</v>
      </c>
      <c r="AR127" s="889" t="n">
        <f aca="false">AQ127*K127</f>
        <v>29.8359453848628</v>
      </c>
      <c r="AS127" s="893" t="n">
        <f aca="false">IF(AR127&gt;($CP127+$BF$4),1,0)</f>
        <v>0</v>
      </c>
      <c r="AT127" s="188"/>
      <c r="AU127" s="892" t="n">
        <f aca="false">IF(Tables!$E$30="New York",INDEX('NY Curve'!$A$4:$L$256,MATCH('Monthly Table'!$B127,'NY Curve'!$A$4:$A$256,0),MATCH("New York Saturday Super Peak",'NY Curve'!$A$4:$L$4,0)),IF(Tables!$E$30="Michigan",INDEX('Michigan Curve'!$A$4:$K$256,MATCH('Monthly Table'!$B127,'Michigan Curve'!$A$4:$A$256,0),MATCH("Michigan Saturday Super Peak",'Michigan Curve'!$A$4:$K$4,0))))</f>
        <v>33.7812498211861</v>
      </c>
      <c r="AV127" s="894" t="n">
        <f aca="false">AU127*K127</f>
        <v>44.7078033777243</v>
      </c>
      <c r="AW127" s="893" t="n">
        <f aca="false">IF(AV127&gt;($CP127+$BF$4),1,0)</f>
        <v>0</v>
      </c>
      <c r="AX127" s="892" t="n">
        <f aca="false">IF(Tables!$E$30="New York",INDEX('NY Curve'!$A$4:$L$256,MATCH('Monthly Table'!$B127,'NY Curve'!$A$4:$A$256,0),MATCH("New York Saturday Shoulder Peak",'NY Curve'!$A$4:$L$4,0)),IF(Tables!$E$30="Michigan",INDEX('Michigan Curve'!$A$4:$K$256,MATCH('Monthly Table'!$B127,'Michigan Curve'!$A$4:$A$256,0),MATCH("Michigan Saturday Shoulder Peak",'Michigan Curve'!$A$4:$K$4,0))))</f>
        <v>16.2187501788139</v>
      </c>
      <c r="AY127" s="895" t="n">
        <f aca="false">AX127*K127</f>
        <v>21.4647089099732</v>
      </c>
      <c r="AZ127" s="893" t="n">
        <f aca="false">IF(AY127&gt;($CP127+$BF$4),1,0)</f>
        <v>0</v>
      </c>
      <c r="BA127" s="188"/>
      <c r="BB127" s="892" t="n">
        <f aca="false">IF(Tables!$E$30="New York",INDEX('NY Curve'!$A$4:$M$256,MATCH('Monthly Table'!$B127,'NY Curve'!$A$4:$A$256,0),MATCH("NY Sunday Super Peak",'NY Curve'!$A$4:$M$4,0)),IF(Tables!$E$30="Michigan",INDEX('Michigan Curve'!$A$4:$L$256,MATCH('Monthly Table'!$B127,'Michigan Curve'!$A$4:$A$256,0),MATCH("Michigan Sunday Super Peak",'Michigan Curve'!$A$4:$L$4,0))))</f>
        <v>32.4299998283386</v>
      </c>
      <c r="BC127" s="894" t="n">
        <f aca="false">BB127*K127</f>
        <v>42.9194912426153</v>
      </c>
      <c r="BD127" s="893" t="n">
        <f aca="false">IF(BC127&gt;($CP127+$BF$4),1,0)</f>
        <v>0</v>
      </c>
      <c r="BE127" s="188"/>
      <c r="BF127" s="896" t="n">
        <f aca="false">B127</f>
        <v>40422</v>
      </c>
      <c r="BG127" s="897" t="n">
        <f aca="false">IF($AN127=1,$E127*$BF$5,0)</f>
        <v>0</v>
      </c>
      <c r="BH127" s="976" t="n">
        <f aca="false">IF(Tables!$B$36="Combined Cycle",(BF127-BF126)*24*Assumptions!$B$21,0)</f>
        <v>0</v>
      </c>
      <c r="BI127" s="714" t="n">
        <f aca="false">IF($AN127=1,$E127*$BF$5,0)</f>
        <v>0</v>
      </c>
      <c r="BJ127" s="898" t="n">
        <f aca="false">IF('Monthly Table'!D127&lt;=Tables!$B$21,IF($BJ$10=$BG$10,BG127,IF($BJ$10=$BH$10,BH127,IF($BJ$10=$BI$10,BI127,0))),0)</f>
        <v>0</v>
      </c>
      <c r="BK127" s="288"/>
      <c r="BL127" s="898" t="n">
        <f aca="false">IF($AW127=1,$F127*$BF$5,0)</f>
        <v>0</v>
      </c>
      <c r="BM127" s="898" t="n">
        <f aca="false">IF($BD127=1,($G127+H127)*$BF$5,0)</f>
        <v>0</v>
      </c>
      <c r="BO127" s="898" t="n">
        <f aca="false">IF(AS127=1,BJ127,0)</f>
        <v>0</v>
      </c>
      <c r="BP127" s="898" t="n">
        <f aca="false">IF(AZ127=1,F127*$BF$5,0)</f>
        <v>0</v>
      </c>
      <c r="BR127" s="899" t="n">
        <f aca="false">IF(BJ127&gt;0,INDEX(OperationalDetail,MATCH("Capacity Degradation",ODColumn,0),MATCH('Monthly Table'!C127,ODRow,0)),0)</f>
        <v>0</v>
      </c>
      <c r="BS127" s="900" t="n">
        <f aca="false">BJ127*(1-BR127)*Tables!$C$36</f>
        <v>0</v>
      </c>
      <c r="BT127" s="883" t="n">
        <f aca="false">BS127*AL127/1000</f>
        <v>0</v>
      </c>
      <c r="BU127" s="883" t="n">
        <f aca="false">BT127*K127</f>
        <v>0</v>
      </c>
      <c r="BV127" s="188"/>
      <c r="BW127" s="901" t="n">
        <f aca="false">$BO127*(1-$BR127)*Tables!$C$36</f>
        <v>0</v>
      </c>
      <c r="BX127" s="902" t="n">
        <f aca="false">(BW127*AQ127)/1000</f>
        <v>0</v>
      </c>
      <c r="BY127" s="883" t="n">
        <f aca="false">BX127*K127</f>
        <v>0</v>
      </c>
      <c r="BZ127" s="188"/>
      <c r="CA127" s="901" t="n">
        <f aca="false">$BL127*(1-$BR127)*Tables!$C$36</f>
        <v>0</v>
      </c>
      <c r="CB127" s="902" t="n">
        <f aca="false">(CA127*AU127)/1000</f>
        <v>0</v>
      </c>
      <c r="CC127" s="883" t="n">
        <f aca="false">CB127*K127</f>
        <v>0</v>
      </c>
      <c r="CD127" s="901" t="n">
        <f aca="false">$BP127*(1-$BR127)*Tables!$C$36</f>
        <v>0</v>
      </c>
      <c r="CE127" s="902" t="n">
        <f aca="false">(CD127*AX127)/1000</f>
        <v>0</v>
      </c>
      <c r="CF127" s="883" t="n">
        <f aca="false">CE127*K127</f>
        <v>0</v>
      </c>
      <c r="CH127" s="901" t="n">
        <f aca="false">$BM127*(1-$BR127)*Tables!$C$36</f>
        <v>0</v>
      </c>
      <c r="CI127" s="902" t="n">
        <f aca="false">(CH127*BB127)/1000</f>
        <v>0</v>
      </c>
      <c r="CJ127" s="883" t="n">
        <f aca="false">CI127*K127</f>
        <v>0</v>
      </c>
      <c r="CK127" s="292"/>
      <c r="CL127" s="292" t="n">
        <f aca="false">C127-1</f>
        <v>2009</v>
      </c>
      <c r="CM127" s="903" t="n">
        <f aca="false">INDEX(OperationalDetail,MATCH("Degraded Heat Rate",ODColumn,0),MATCH('Monthly Table'!CL127,ODRow,0))/1000</f>
        <v>12.0785236</v>
      </c>
      <c r="CN127" s="904" t="n">
        <f aca="false">S127*CM127</f>
        <v>57.5103717763857</v>
      </c>
      <c r="CO127" s="905" t="n">
        <f aca="false">IF(A127="January",(CO126*(1+Assumptions!$E$32)),CO126)</f>
        <v>8.04969538252666</v>
      </c>
      <c r="CP127" s="906" t="n">
        <f aca="false">CN127+CO127</f>
        <v>65.5600671589124</v>
      </c>
      <c r="CQ127" s="292"/>
      <c r="CR127" s="856" t="str">
        <f aca="false">IF(BJ127=0,"",C127)</f>
        <v/>
      </c>
      <c r="CS127" s="856" t="str">
        <f aca="false">IF(BO127=0,"",$C127)</f>
        <v/>
      </c>
      <c r="CT127" s="856" t="str">
        <f aca="false">IF(BL127=0,"",$C127)</f>
        <v/>
      </c>
      <c r="CU127" s="856" t="str">
        <f aca="false">IF(BP127=0,"",$C127)</f>
        <v/>
      </c>
      <c r="CV127" s="856" t="str">
        <f aca="false">IF(BD127=0,"",$C127)</f>
        <v/>
      </c>
      <c r="CW127" s="907" t="n">
        <f aca="false">YEAR(BF127)</f>
        <v>2010</v>
      </c>
      <c r="CX127" s="908" t="n">
        <f aca="false">INDEX('NY Curve'!$A$4:$G$256,MATCH('Monthly Table'!B127,'NY Curve'!$A$4:$A$256,0),MATCH("New York 5 X 16",'NY Curve'!$A$4:$G$4,0))</f>
        <v>30.45</v>
      </c>
      <c r="CY127" s="909" t="n">
        <f aca="false">K127</f>
        <v>1.32345024575395</v>
      </c>
      <c r="CZ127" s="910" t="n">
        <f aca="false">CX127*CY127</f>
        <v>40.2990599832078</v>
      </c>
      <c r="DB127" s="911"/>
      <c r="DC127" s="911"/>
    </row>
    <row r="128" customFormat="false" ht="18.75" hidden="false" customHeight="true" outlineLevel="0" collapsed="false">
      <c r="A128" s="49" t="s">
        <v>819</v>
      </c>
      <c r="B128" s="863" t="n">
        <v>40452</v>
      </c>
      <c r="C128" s="288" t="n">
        <f aca="false">YEAR(B128)</f>
        <v>2010</v>
      </c>
      <c r="D128" s="864" t="n">
        <f aca="false">IF(A128="January",D127+1,D127)</f>
        <v>10</v>
      </c>
      <c r="E128" s="865" t="n">
        <v>21</v>
      </c>
      <c r="F128" s="866" t="n">
        <v>5</v>
      </c>
      <c r="G128" s="866" t="n">
        <v>5</v>
      </c>
      <c r="H128" s="866" t="n">
        <v>0</v>
      </c>
      <c r="I128" s="867" t="n">
        <f aca="false">SUM(E128:H128)</f>
        <v>31</v>
      </c>
      <c r="J128" s="868"/>
      <c r="K128" s="869" t="n">
        <f aca="false">INDEX(FX!$A$3:$C$362,MATCH(B128,FX!$A$3:$A$362,0),MATCH("Monthly Curve",FX!$A$2:$C$2,0))</f>
        <v>1.32259235827823</v>
      </c>
      <c r="L128" s="869"/>
      <c r="M128" s="987" t="n">
        <v>3.1085</v>
      </c>
      <c r="N128" s="988" t="n">
        <v>0.145</v>
      </c>
      <c r="O128" s="986" t="n">
        <v>0.1</v>
      </c>
      <c r="P128" s="872" t="n">
        <f aca="false">N128+O128</f>
        <v>0.245</v>
      </c>
      <c r="Q128" s="873" t="n">
        <f aca="false">SUM(M128:O128)</f>
        <v>3.3535</v>
      </c>
      <c r="R128" s="974" t="n">
        <f aca="false">IF(A128="January",(R127+R127*Assumptions!$E$32),R127)</f>
        <v>0.358917051323416</v>
      </c>
      <c r="S128" s="875" t="n">
        <f aca="false">(Q128*K128)+R128</f>
        <v>4.79423052480946</v>
      </c>
      <c r="T128" s="869"/>
      <c r="U128" s="984"/>
      <c r="V128" s="978"/>
      <c r="W128" s="978"/>
      <c r="X128" s="971"/>
      <c r="Y128" s="975" t="n">
        <f aca="false">Tables!$D$36</f>
        <v>312</v>
      </c>
      <c r="Z128" s="879" t="n">
        <f aca="false">IF($Z$10=$V$10,V128,IF($Z$10=$W$10,W128,IF($Z$10=$X$10,X128,0)))</f>
        <v>0</v>
      </c>
      <c r="AA128" s="880" t="n">
        <f aca="false">Y128*Z128</f>
        <v>0</v>
      </c>
      <c r="AB128" s="881" t="n">
        <f aca="false">AA128*K128</f>
        <v>0</v>
      </c>
      <c r="AC128" s="188"/>
      <c r="AD128" s="882" t="n">
        <f aca="false">IF(Tables!$E$30="Michigan",INDEX('Michigan Curve'!$A$4:$S$256,MATCH('Monthly Table'!B128,'Michigan Curve'!$A$4:$A$256,0),MATCH("Michigan Selected Option Value US$/month",'Michigan Curve'!$A$4:$S$4,0)),INDEX('NY Curve'!$A$4:$T$256,MATCH('Monthly Table'!B128,'NY Curve'!$A$4:$A$256,0),MATCH("New York Selected Option Value US$/month",'NY Curve'!$A$4:$T$4,0)))</f>
        <v>2123.0102728241</v>
      </c>
      <c r="AE128" s="883" t="n">
        <f aca="false">AD128*K128</f>
        <v>2807.87716338333</v>
      </c>
      <c r="AF128" s="188"/>
      <c r="AG128" s="884"/>
      <c r="AH128" s="49"/>
      <c r="AI128" s="885" t="n">
        <f aca="false">Assumptions!$B$50</f>
        <v>65</v>
      </c>
      <c r="AJ128" s="916"/>
      <c r="AK128" s="887" t="n">
        <f aca="false">IF(Tables!$E$30="Custom",'Monthly Table'!AI128,IF(Tables!$E$30="New York",INDEX('NY Curve'!$A$4:$G$256,MATCH('Monthly Table'!B128,'NY Curve'!$A$4:$A$256,0),MATCH("Super Peak Curve",'NY Curve'!$A$4:$G$4,0)),IF(Tables!$E$30="New York Flat",INDEX('NY Curve'!$A$4:$G$256,MATCH('Monthly Table'!B128,'NY Curve'!$A$4:$A$256,0),MATCH("Flat NY West",'NY Curve'!$A$4:$G$4,0)),INDEX('Michigan Curve'!$A$4:$F$256,MATCH('Monthly Table'!B128,'Michigan Curve'!$A$4:$A$256,0),MATCH("Michigan Super Peak Curve US$/MWhr",'Michigan Curve'!$A$4:$F$4,0)))))</f>
        <v>27.8499946594238</v>
      </c>
      <c r="AL128" s="888" t="n">
        <f aca="false">IF(D128&lt;=Tables!$B$21,IF($AL$10=$AI$10,AI128,IF($AL$10=$AJ$10,AJ128,IF($AL$10=$AK$10,AK128,0))),0)</f>
        <v>27.8499946594238</v>
      </c>
      <c r="AM128" s="889" t="n">
        <f aca="false">+AL128*K128</f>
        <v>36.8341901146435</v>
      </c>
      <c r="AN128" s="890" t="n">
        <f aca="false">IF((AL128*K128)&gt;(CP128+$BF$4),1,0)</f>
        <v>0</v>
      </c>
      <c r="AO128" s="891"/>
      <c r="AP128" s="894"/>
      <c r="AQ128" s="892" t="n">
        <f aca="false">IF(Tables!$E$30="New York",INDEX('NY Curve'!$A$4:$L$256,MATCH('Monthly Table'!B128,'NY Curve'!$A$4:$A$256,0),MATCH("New York Shoulder Hour Curve Mon-Fri",'NY Curve'!$A$4:$L$4,0)),IF(Tables!$E$30="Michigan",INDEX('Michigan Curve'!$A$4:$K$256,MATCH('Monthly Table'!B128,'Michigan Curve'!$A$4:$A$256,0),MATCH("Michigan Shoulder Hour Curve Mon-Fri",'Michigan Curve'!$A$4:$K$4,0))))</f>
        <v>27.8499946594238</v>
      </c>
      <c r="AR128" s="889" t="n">
        <f aca="false">AQ128*K128</f>
        <v>36.8341901146435</v>
      </c>
      <c r="AS128" s="893" t="n">
        <f aca="false">IF(AR128&gt;($CP128+$BF$4),1,0)</f>
        <v>0</v>
      </c>
      <c r="AT128" s="188"/>
      <c r="AU128" s="892" t="n">
        <f aca="false">IF(Tables!$E$30="New York",INDEX('NY Curve'!$A$4:$L$256,MATCH('Monthly Table'!$B128,'NY Curve'!$A$4:$A$256,0),MATCH("New York Saturday Super Peak",'NY Curve'!$A$4:$L$4,0)),IF(Tables!$E$30="Michigan",INDEX('Michigan Curve'!$A$4:$K$256,MATCH('Monthly Table'!$B128,'Michigan Curve'!$A$4:$A$256,0),MATCH("Michigan Saturday Super Peak",'Michigan Curve'!$A$4:$K$4,0))))</f>
        <v>19.996000289917</v>
      </c>
      <c r="AV128" s="894" t="n">
        <f aca="false">AU128*K128</f>
        <v>26.4465571795735</v>
      </c>
      <c r="AW128" s="893" t="n">
        <f aca="false">IF(AV128&gt;($CP128+$BF$4),1,0)</f>
        <v>0</v>
      </c>
      <c r="AX128" s="892" t="n">
        <f aca="false">IF(Tables!$E$30="New York",INDEX('NY Curve'!$A$4:$L$256,MATCH('Monthly Table'!$B128,'NY Curve'!$A$4:$A$256,0),MATCH("New York Saturday Shoulder Peak",'NY Curve'!$A$4:$L$4,0)),IF(Tables!$E$30="Michigan",INDEX('Michigan Curve'!$A$4:$K$256,MATCH('Monthly Table'!$B128,'Michigan Curve'!$A$4:$A$256,0),MATCH("Michigan Saturday Shoulder Peak",'Michigan Curve'!$A$4:$K$4,0))))</f>
        <v>19.996000289917</v>
      </c>
      <c r="AY128" s="895" t="n">
        <f aca="false">AX128*K128</f>
        <v>26.4465571795735</v>
      </c>
      <c r="AZ128" s="893" t="n">
        <f aca="false">IF(AY128&gt;($CP128+$BF$4),1,0)</f>
        <v>0</v>
      </c>
      <c r="BA128" s="188"/>
      <c r="BB128" s="892" t="n">
        <f aca="false">IF(Tables!$E$30="New York",INDEX('NY Curve'!$A$4:$M$256,MATCH('Monthly Table'!$B128,'NY Curve'!$A$4:$A$256,0),MATCH("NY Sunday Super Peak",'NY Curve'!$A$4:$M$4,0)),IF(Tables!$E$30="Michigan",INDEX('Michigan Curve'!$A$4:$L$256,MATCH('Monthly Table'!$B128,'Michigan Curve'!$A$4:$A$256,0),MATCH("Michigan Sunday Super Peak",'Michigan Curve'!$A$4:$L$4,0))))</f>
        <v>18.9965000152588</v>
      </c>
      <c r="BC128" s="894" t="n">
        <f aca="false">BB128*K128</f>
        <v>25.1246257542136</v>
      </c>
      <c r="BD128" s="893" t="n">
        <f aca="false">IF(BC128&gt;($CP128+$BF$4),1,0)</f>
        <v>0</v>
      </c>
      <c r="BE128" s="188"/>
      <c r="BF128" s="896" t="n">
        <f aca="false">B128</f>
        <v>40452</v>
      </c>
      <c r="BG128" s="897" t="n">
        <f aca="false">IF($AN128=1,$E128*$BF$5,0)</f>
        <v>0</v>
      </c>
      <c r="BH128" s="976" t="n">
        <f aca="false">IF(Tables!$B$36="Combined Cycle",(BF128-BF127)*24*Assumptions!$B$21,0)</f>
        <v>0</v>
      </c>
      <c r="BI128" s="714" t="n">
        <f aca="false">IF($AN128=1,$E128*$BF$5,0)</f>
        <v>0</v>
      </c>
      <c r="BJ128" s="898" t="n">
        <f aca="false">IF('Monthly Table'!D128&lt;=Tables!$B$21,IF($BJ$10=$BG$10,BG128,IF($BJ$10=$BH$10,BH128,IF($BJ$10=$BI$10,BI128,0))),0)</f>
        <v>0</v>
      </c>
      <c r="BK128" s="288"/>
      <c r="BL128" s="898" t="n">
        <f aca="false">IF($AW128=1,$F128*$BF$5,0)</f>
        <v>0</v>
      </c>
      <c r="BM128" s="898" t="n">
        <f aca="false">IF($BD128=1,($G128+H128)*$BF$5,0)</f>
        <v>0</v>
      </c>
      <c r="BO128" s="898" t="n">
        <f aca="false">IF(AS128=1,BJ128,0)</f>
        <v>0</v>
      </c>
      <c r="BP128" s="898" t="n">
        <f aca="false">IF(AZ128=1,F128*$BF$5,0)</f>
        <v>0</v>
      </c>
      <c r="BR128" s="899" t="n">
        <f aca="false">IF(BJ128&gt;0,INDEX(OperationalDetail,MATCH("Capacity Degradation",ODColumn,0),MATCH('Monthly Table'!C128,ODRow,0)),0)</f>
        <v>0</v>
      </c>
      <c r="BS128" s="900" t="n">
        <f aca="false">BJ128*(1-BR128)*Tables!$C$36</f>
        <v>0</v>
      </c>
      <c r="BT128" s="883" t="n">
        <f aca="false">BS128*AL128/1000</f>
        <v>0</v>
      </c>
      <c r="BU128" s="883" t="n">
        <f aca="false">BT128*K128</f>
        <v>0</v>
      </c>
      <c r="BV128" s="188"/>
      <c r="BW128" s="901" t="n">
        <f aca="false">$BO128*(1-$BR128)*Tables!$C$36</f>
        <v>0</v>
      </c>
      <c r="BX128" s="902" t="n">
        <f aca="false">(BW128*AQ128)/1000</f>
        <v>0</v>
      </c>
      <c r="BY128" s="883" t="n">
        <f aca="false">BX128*K128</f>
        <v>0</v>
      </c>
      <c r="BZ128" s="188"/>
      <c r="CA128" s="901" t="n">
        <f aca="false">$BL128*(1-$BR128)*Tables!$C$36</f>
        <v>0</v>
      </c>
      <c r="CB128" s="902" t="n">
        <f aca="false">(CA128*AU128)/1000</f>
        <v>0</v>
      </c>
      <c r="CC128" s="883" t="n">
        <f aca="false">CB128*K128</f>
        <v>0</v>
      </c>
      <c r="CD128" s="901" t="n">
        <f aca="false">$BP128*(1-$BR128)*Tables!$C$36</f>
        <v>0</v>
      </c>
      <c r="CE128" s="902" t="n">
        <f aca="false">(CD128*AX128)/1000</f>
        <v>0</v>
      </c>
      <c r="CF128" s="883" t="n">
        <f aca="false">CE128*K128</f>
        <v>0</v>
      </c>
      <c r="CH128" s="901" t="n">
        <f aca="false">$BM128*(1-$BR128)*Tables!$C$36</f>
        <v>0</v>
      </c>
      <c r="CI128" s="902" t="n">
        <f aca="false">(CH128*BB128)/1000</f>
        <v>0</v>
      </c>
      <c r="CJ128" s="883" t="n">
        <f aca="false">CI128*K128</f>
        <v>0</v>
      </c>
      <c r="CK128" s="292"/>
      <c r="CL128" s="292" t="n">
        <f aca="false">C128-1</f>
        <v>2009</v>
      </c>
      <c r="CM128" s="903" t="n">
        <f aca="false">INDEX(OperationalDetail,MATCH("Degraded Heat Rate",ODColumn,0),MATCH('Monthly Table'!CL128,ODRow,0))/1000</f>
        <v>12.0785236</v>
      </c>
      <c r="CN128" s="904" t="n">
        <f aca="false">S128*CM128</f>
        <v>57.9072265377515</v>
      </c>
      <c r="CO128" s="905" t="n">
        <f aca="false">IF(A128="January",(CO127*(1+Assumptions!$E$32)),CO127)</f>
        <v>8.04969538252666</v>
      </c>
      <c r="CP128" s="906" t="n">
        <f aca="false">CN128+CO128</f>
        <v>65.9569219202781</v>
      </c>
      <c r="CQ128" s="292"/>
      <c r="CR128" s="856" t="str">
        <f aca="false">IF(BJ128=0,"",C128)</f>
        <v/>
      </c>
      <c r="CS128" s="856" t="str">
        <f aca="false">IF(BO128=0,"",$C128)</f>
        <v/>
      </c>
      <c r="CT128" s="856" t="str">
        <f aca="false">IF(BL128=0,"",$C128)</f>
        <v/>
      </c>
      <c r="CU128" s="856" t="str">
        <f aca="false">IF(BP128=0,"",$C128)</f>
        <v/>
      </c>
      <c r="CV128" s="856" t="str">
        <f aca="false">IF(BD128=0,"",$C128)</f>
        <v/>
      </c>
      <c r="CW128" s="907" t="n">
        <f aca="false">YEAR(BF128)</f>
        <v>2010</v>
      </c>
      <c r="CX128" s="908" t="n">
        <f aca="false">INDEX('NY Curve'!$A$4:$G$256,MATCH('Monthly Table'!B128,'NY Curve'!$A$4:$A$256,0),MATCH("New York 5 X 16",'NY Curve'!$A$4:$G$4,0))</f>
        <v>26.2</v>
      </c>
      <c r="CY128" s="909" t="n">
        <f aca="false">K128</f>
        <v>1.32259235827823</v>
      </c>
      <c r="CZ128" s="910" t="n">
        <f aca="false">CX128*CY128</f>
        <v>34.6519197868896</v>
      </c>
      <c r="DB128" s="911"/>
      <c r="DC128" s="911"/>
    </row>
    <row r="129" customFormat="false" ht="18.75" hidden="false" customHeight="true" outlineLevel="0" collapsed="false">
      <c r="A129" s="49" t="s">
        <v>820</v>
      </c>
      <c r="B129" s="863" t="n">
        <v>40483</v>
      </c>
      <c r="C129" s="288" t="n">
        <f aca="false">YEAR(B129)</f>
        <v>2010</v>
      </c>
      <c r="D129" s="864" t="n">
        <f aca="false">IF(A129="January",D128+1,D128)</f>
        <v>10</v>
      </c>
      <c r="E129" s="865" t="n">
        <v>21</v>
      </c>
      <c r="F129" s="866" t="n">
        <v>4</v>
      </c>
      <c r="G129" s="866" t="n">
        <v>4</v>
      </c>
      <c r="H129" s="866" t="n">
        <v>1</v>
      </c>
      <c r="I129" s="867" t="n">
        <f aca="false">SUM(E129:H129)</f>
        <v>30</v>
      </c>
      <c r="J129" s="868"/>
      <c r="K129" s="869" t="n">
        <f aca="false">INDEX(FX!$A$3:$C$362,MATCH(B129,FX!$A$3:$A$362,0),MATCH("Monthly Curve",FX!$A$2:$C$2,0))</f>
        <v>1.321708334236</v>
      </c>
      <c r="L129" s="869"/>
      <c r="M129" s="987" t="n">
        <v>3.2445</v>
      </c>
      <c r="N129" s="988" t="n">
        <v>0.23</v>
      </c>
      <c r="O129" s="986" t="n">
        <v>0.1</v>
      </c>
      <c r="P129" s="872" t="n">
        <f aca="false">N129+O129</f>
        <v>0.33</v>
      </c>
      <c r="Q129" s="873" t="n">
        <f aca="false">SUM(M129:O129)</f>
        <v>3.5745</v>
      </c>
      <c r="R129" s="974" t="n">
        <f aca="false">IF(A129="January",(R128+R128*Assumptions!$E$32),R128)</f>
        <v>0.358917051323416</v>
      </c>
      <c r="S129" s="875" t="n">
        <f aca="false">(Q129*K129)+R129</f>
        <v>5.08336349205</v>
      </c>
      <c r="T129" s="869"/>
      <c r="U129" s="984"/>
      <c r="V129" s="978"/>
      <c r="W129" s="978"/>
      <c r="X129" s="971"/>
      <c r="Y129" s="975" t="n">
        <f aca="false">Tables!$D$36</f>
        <v>312</v>
      </c>
      <c r="Z129" s="879" t="n">
        <f aca="false">IF($Z$10=$V$10,V129,IF($Z$10=$W$10,W129,IF($Z$10=$X$10,X129,0)))</f>
        <v>0</v>
      </c>
      <c r="AA129" s="880" t="n">
        <f aca="false">Y129*Z129</f>
        <v>0</v>
      </c>
      <c r="AB129" s="881" t="n">
        <f aca="false">AA129*K129</f>
        <v>0</v>
      </c>
      <c r="AC129" s="188"/>
      <c r="AD129" s="882" t="n">
        <f aca="false">IF(Tables!$E$30="Michigan",INDEX('Michigan Curve'!$A$4:$S$256,MATCH('Monthly Table'!B129,'Michigan Curve'!$A$4:$A$256,0),MATCH("Michigan Selected Option Value US$/month",'Michigan Curve'!$A$4:$S$4,0)),INDEX('NY Curve'!$A$4:$T$256,MATCH('Monthly Table'!B129,'NY Curve'!$A$4:$A$256,0),MATCH("New York Selected Option Value US$/month",'NY Curve'!$A$4:$T$4,0)))</f>
        <v>13027.178941725</v>
      </c>
      <c r="AE129" s="883" t="n">
        <f aca="false">AD129*K129</f>
        <v>17218.1309788617</v>
      </c>
      <c r="AF129" s="188"/>
      <c r="AG129" s="884"/>
      <c r="AH129" s="49"/>
      <c r="AI129" s="885" t="n">
        <f aca="false">Assumptions!$B$50</f>
        <v>65</v>
      </c>
      <c r="AJ129" s="916"/>
      <c r="AK129" s="887" t="n">
        <f aca="false">IF(Tables!$E$30="Custom",'Monthly Table'!AI129,IF(Tables!$E$30="New York",INDEX('NY Curve'!$A$4:$G$256,MATCH('Monthly Table'!B129,'NY Curve'!$A$4:$A$256,0),MATCH("Super Peak Curve",'NY Curve'!$A$4:$G$4,0)),IF(Tables!$E$30="New York Flat",INDEX('NY Curve'!$A$4:$G$256,MATCH('Monthly Table'!B129,'NY Curve'!$A$4:$A$256,0),MATCH("Flat NY West",'NY Curve'!$A$4:$G$4,0)),INDEX('Michigan Curve'!$A$4:$F$256,MATCH('Monthly Table'!B129,'Michigan Curve'!$A$4:$A$256,0),MATCH("Michigan Super Peak Curve US$/MWhr",'Michigan Curve'!$A$4:$F$4,0)))))</f>
        <v>29.9483953857422</v>
      </c>
      <c r="AL129" s="888" t="n">
        <f aca="false">IF(D129&lt;=Tables!$B$21,IF($AL$10=$AI$10,AI129,IF($AL$10=$AJ$10,AJ129,IF($AL$10=$AK$10,AK129,0))),0)</f>
        <v>29.9483953857422</v>
      </c>
      <c r="AM129" s="889" t="n">
        <f aca="false">+AL129*K129</f>
        <v>39.5830437783304</v>
      </c>
      <c r="AN129" s="890" t="n">
        <f aca="false">IF((AL129*K129)&gt;(CP129+$BF$4),1,0)</f>
        <v>0</v>
      </c>
      <c r="AO129" s="891"/>
      <c r="AP129" s="894"/>
      <c r="AQ129" s="892" t="n">
        <f aca="false">IF(Tables!$E$30="New York",INDEX('NY Curve'!$A$4:$L$256,MATCH('Monthly Table'!B129,'NY Curve'!$A$4:$A$256,0),MATCH("New York Shoulder Hour Curve Mon-Fri",'NY Curve'!$A$4:$L$4,0)),IF(Tables!$E$30="Michigan",INDEX('Michigan Curve'!$A$4:$K$256,MATCH('Monthly Table'!B129,'Michigan Curve'!$A$4:$A$256,0),MATCH("Michigan Shoulder Hour Curve Mon-Fri",'Michigan Curve'!$A$4:$K$4,0))))</f>
        <v>25.5115960693359</v>
      </c>
      <c r="AR129" s="889" t="n">
        <f aca="false">AQ129*K129</f>
        <v>33.7188891445037</v>
      </c>
      <c r="AS129" s="893" t="n">
        <f aca="false">IF(AR129&gt;($CP129+$BF$4),1,0)</f>
        <v>0</v>
      </c>
      <c r="AT129" s="188"/>
      <c r="AU129" s="892" t="n">
        <f aca="false">IF(Tables!$E$30="New York",INDEX('NY Curve'!$A$4:$L$256,MATCH('Monthly Table'!$B129,'NY Curve'!$A$4:$A$256,0),MATCH("New York Saturday Super Peak",'NY Curve'!$A$4:$L$4,0)),IF(Tables!$E$30="Michigan",INDEX('Michigan Curve'!$A$4:$K$256,MATCH('Monthly Table'!$B129,'Michigan Curve'!$A$4:$A$256,0),MATCH("Michigan Saturday Super Peak",'Michigan Curve'!$A$4:$K$4,0))))</f>
        <v>21.6</v>
      </c>
      <c r="AV129" s="894" t="n">
        <f aca="false">AU129*K129</f>
        <v>28.5489000194976</v>
      </c>
      <c r="AW129" s="893" t="n">
        <f aca="false">IF(AV129&gt;($CP129+$BF$4),1,0)</f>
        <v>0</v>
      </c>
      <c r="AX129" s="892" t="n">
        <f aca="false">IF(Tables!$E$30="New York",INDEX('NY Curve'!$A$4:$L$256,MATCH('Monthly Table'!$B129,'NY Curve'!$A$4:$A$256,0),MATCH("New York Saturday Shoulder Peak",'NY Curve'!$A$4:$L$4,0)),IF(Tables!$E$30="Michigan",INDEX('Michigan Curve'!$A$4:$K$256,MATCH('Monthly Table'!$B129,'Michigan Curve'!$A$4:$A$256,0),MATCH("Michigan Saturday Shoulder Peak",'Michigan Curve'!$A$4:$K$4,0))))</f>
        <v>18.4</v>
      </c>
      <c r="AY129" s="895" t="n">
        <f aca="false">AX129*K129</f>
        <v>24.3194333499424</v>
      </c>
      <c r="AZ129" s="893" t="n">
        <f aca="false">IF(AY129&gt;($CP129+$BF$4),1,0)</f>
        <v>0</v>
      </c>
      <c r="BA129" s="188"/>
      <c r="BB129" s="892" t="n">
        <f aca="false">IF(Tables!$E$30="New York",INDEX('NY Curve'!$A$4:$M$256,MATCH('Monthly Table'!$B129,'NY Curve'!$A$4:$A$256,0),MATCH("NY Sunday Super Peak",'NY Curve'!$A$4:$M$4,0)),IF(Tables!$E$30="Michigan",INDEX('Michigan Curve'!$A$4:$L$256,MATCH('Monthly Table'!$B129,'Michigan Curve'!$A$4:$A$256,0),MATCH("Michigan Sunday Super Peak",'Michigan Curve'!$A$4:$L$4,0))))</f>
        <v>20.52</v>
      </c>
      <c r="BC129" s="894" t="n">
        <f aca="false">BB129*K129</f>
        <v>27.1214550185227</v>
      </c>
      <c r="BD129" s="893" t="n">
        <f aca="false">IF(BC129&gt;($CP129+$BF$4),1,0)</f>
        <v>0</v>
      </c>
      <c r="BE129" s="188"/>
      <c r="BF129" s="896" t="n">
        <f aca="false">B129</f>
        <v>40483</v>
      </c>
      <c r="BG129" s="897" t="n">
        <f aca="false">IF($AN129=1,$E129*$BF$5,0)</f>
        <v>0</v>
      </c>
      <c r="BH129" s="976" t="n">
        <f aca="false">IF(Tables!$B$36="Combined Cycle",(BF129-BF128)*24*Assumptions!$B$21,0)</f>
        <v>0</v>
      </c>
      <c r="BI129" s="714" t="n">
        <f aca="false">IF($AN129=1,$E129*$BF$5,0)</f>
        <v>0</v>
      </c>
      <c r="BJ129" s="898" t="n">
        <f aca="false">IF('Monthly Table'!D129&lt;=Tables!$B$21,IF($BJ$10=$BG$10,BG129,IF($BJ$10=$BH$10,BH129,IF($BJ$10=$BI$10,BI129,0))),0)</f>
        <v>0</v>
      </c>
      <c r="BK129" s="288"/>
      <c r="BL129" s="898" t="n">
        <f aca="false">IF($AW129=1,$F129*$BF$5,0)</f>
        <v>0</v>
      </c>
      <c r="BM129" s="898" t="n">
        <f aca="false">IF($BD129=1,($G129+H129)*$BF$5,0)</f>
        <v>0</v>
      </c>
      <c r="BO129" s="898" t="n">
        <f aca="false">IF(AS129=1,BJ129,0)</f>
        <v>0</v>
      </c>
      <c r="BP129" s="898" t="n">
        <f aca="false">IF(AZ129=1,F129*$BF$5,0)</f>
        <v>0</v>
      </c>
      <c r="BR129" s="899" t="n">
        <f aca="false">IF(BJ129&gt;0,INDEX(OperationalDetail,MATCH("Capacity Degradation",ODColumn,0),MATCH('Monthly Table'!C129,ODRow,0)),0)</f>
        <v>0</v>
      </c>
      <c r="BS129" s="900" t="n">
        <f aca="false">BJ129*(1-BR129)*Tables!$C$36</f>
        <v>0</v>
      </c>
      <c r="BT129" s="883" t="n">
        <f aca="false">BS129*AL129/1000</f>
        <v>0</v>
      </c>
      <c r="BU129" s="883" t="n">
        <f aca="false">BT129*K129</f>
        <v>0</v>
      </c>
      <c r="BV129" s="188"/>
      <c r="BW129" s="901" t="n">
        <f aca="false">$BO129*(1-$BR129)*Tables!$C$36</f>
        <v>0</v>
      </c>
      <c r="BX129" s="902" t="n">
        <f aca="false">(BW129*AQ129)/1000</f>
        <v>0</v>
      </c>
      <c r="BY129" s="883" t="n">
        <f aca="false">BX129*K129</f>
        <v>0</v>
      </c>
      <c r="BZ129" s="188"/>
      <c r="CA129" s="901" t="n">
        <f aca="false">$BL129*(1-$BR129)*Tables!$C$36</f>
        <v>0</v>
      </c>
      <c r="CB129" s="902" t="n">
        <f aca="false">(CA129*AU129)/1000</f>
        <v>0</v>
      </c>
      <c r="CC129" s="883" t="n">
        <f aca="false">CB129*K129</f>
        <v>0</v>
      </c>
      <c r="CD129" s="901" t="n">
        <f aca="false">$BP129*(1-$BR129)*Tables!$C$36</f>
        <v>0</v>
      </c>
      <c r="CE129" s="902" t="n">
        <f aca="false">(CD129*AX129)/1000</f>
        <v>0</v>
      </c>
      <c r="CF129" s="883" t="n">
        <f aca="false">CE129*K129</f>
        <v>0</v>
      </c>
      <c r="CH129" s="901" t="n">
        <f aca="false">$BM129*(1-$BR129)*Tables!$C$36</f>
        <v>0</v>
      </c>
      <c r="CI129" s="902" t="n">
        <f aca="false">(CH129*BB129)/1000</f>
        <v>0</v>
      </c>
      <c r="CJ129" s="883" t="n">
        <f aca="false">CI129*K129</f>
        <v>0</v>
      </c>
      <c r="CK129" s="292"/>
      <c r="CL129" s="292" t="n">
        <f aca="false">C129-1</f>
        <v>2009</v>
      </c>
      <c r="CM129" s="903" t="n">
        <f aca="false">INDEX(OperationalDetail,MATCH("Degraded Heat Rate",ODColumn,0),MATCH('Monthly Table'!CL129,ODRow,0))/1000</f>
        <v>12.0785236</v>
      </c>
      <c r="CN129" s="904" t="n">
        <f aca="false">S129*CM129</f>
        <v>61.3995259061043</v>
      </c>
      <c r="CO129" s="905" t="n">
        <f aca="false">IF(A129="January",(CO128*(1+Assumptions!$E$32)),CO128)</f>
        <v>8.04969538252666</v>
      </c>
      <c r="CP129" s="906" t="n">
        <f aca="false">CN129+CO129</f>
        <v>69.449221288631</v>
      </c>
      <c r="CQ129" s="292"/>
      <c r="CR129" s="856" t="str">
        <f aca="false">IF(BJ129=0,"",C129)</f>
        <v/>
      </c>
      <c r="CS129" s="856" t="str">
        <f aca="false">IF(BO129=0,"",$C129)</f>
        <v/>
      </c>
      <c r="CT129" s="856" t="str">
        <f aca="false">IF(BL129=0,"",$C129)</f>
        <v/>
      </c>
      <c r="CU129" s="856" t="str">
        <f aca="false">IF(BP129=0,"",$C129)</f>
        <v/>
      </c>
      <c r="CV129" s="856" t="str">
        <f aca="false">IF(BD129=0,"",$C129)</f>
        <v/>
      </c>
      <c r="CW129" s="907" t="n">
        <f aca="false">YEAR(BF129)</f>
        <v>2010</v>
      </c>
      <c r="CX129" s="908" t="n">
        <f aca="false">INDEX('NY Curve'!$A$4:$G$256,MATCH('Monthly Table'!B129,'NY Curve'!$A$4:$A$256,0),MATCH("New York 5 X 16",'NY Curve'!$A$4:$G$4,0))</f>
        <v>26.7</v>
      </c>
      <c r="CY129" s="909" t="n">
        <f aca="false">K129</f>
        <v>1.321708334236</v>
      </c>
      <c r="CZ129" s="910" t="n">
        <f aca="false">CX129*CY129</f>
        <v>35.2896125241012</v>
      </c>
      <c r="DB129" s="911"/>
      <c r="DC129" s="911"/>
    </row>
    <row r="130" customFormat="false" ht="18.75" hidden="false" customHeight="true" outlineLevel="0" collapsed="false">
      <c r="A130" s="110" t="s">
        <v>821</v>
      </c>
      <c r="B130" s="918" t="n">
        <v>40513</v>
      </c>
      <c r="C130" s="917" t="n">
        <f aca="false">YEAR(B130)</f>
        <v>2010</v>
      </c>
      <c r="D130" s="919" t="n">
        <f aca="false">IF(A130="January",D129+1,D129)</f>
        <v>10</v>
      </c>
      <c r="E130" s="920" t="n">
        <v>23</v>
      </c>
      <c r="F130" s="921" t="n">
        <v>3</v>
      </c>
      <c r="G130" s="921" t="n">
        <v>4</v>
      </c>
      <c r="H130" s="921" t="n">
        <v>1</v>
      </c>
      <c r="I130" s="922" t="n">
        <f aca="false">SUM(E130:H130)</f>
        <v>31</v>
      </c>
      <c r="J130" s="923"/>
      <c r="K130" s="924" t="n">
        <f aca="false">INDEX(FX!$A$3:$C$362,MATCH(B130,FX!$A$3:$A$362,0),MATCH("Monthly Curve",FX!$A$2:$C$2,0))</f>
        <v>1.32085520349463</v>
      </c>
      <c r="L130" s="924"/>
      <c r="M130" s="989" t="n">
        <v>3.3705</v>
      </c>
      <c r="N130" s="990" t="n">
        <v>0.27</v>
      </c>
      <c r="O130" s="991" t="n">
        <v>0.1</v>
      </c>
      <c r="P130" s="928" t="n">
        <f aca="false">N130+O130</f>
        <v>0.37</v>
      </c>
      <c r="Q130" s="929" t="n">
        <f aca="false">SUM(M130:O130)</f>
        <v>3.7405</v>
      </c>
      <c r="R130" s="979" t="n">
        <f aca="false">IF(A130="January",(R129+R129*Assumptions!$E$32),R129)</f>
        <v>0.358917051323416</v>
      </c>
      <c r="S130" s="931" t="n">
        <f aca="false">(Q130*K130)+R130</f>
        <v>5.29957593999508</v>
      </c>
      <c r="T130" s="924"/>
      <c r="U130" s="983"/>
      <c r="V130" s="980"/>
      <c r="W130" s="980"/>
      <c r="X130" s="972"/>
      <c r="Y130" s="981" t="n">
        <f aca="false">Tables!$D$36</f>
        <v>312</v>
      </c>
      <c r="Z130" s="935" t="n">
        <f aca="false">IF($Z$10=$V$10,V130,IF($Z$10=$W$10,W130,IF($Z$10=$X$10,X130,0)))</f>
        <v>0</v>
      </c>
      <c r="AA130" s="936" t="n">
        <f aca="false">Y130*Z130</f>
        <v>0</v>
      </c>
      <c r="AB130" s="937" t="n">
        <f aca="false">AA130*K130</f>
        <v>0</v>
      </c>
      <c r="AC130" s="938"/>
      <c r="AD130" s="882" t="n">
        <f aca="false">IF(Tables!$E$30="Michigan",INDEX('Michigan Curve'!$A$4:$S$256,MATCH('Monthly Table'!B130,'Michigan Curve'!$A$4:$A$256,0),MATCH("Michigan Selected Option Value US$/month",'Michigan Curve'!$A$4:$S$4,0)),INDEX('NY Curve'!$A$4:$T$256,MATCH('Monthly Table'!B130,'NY Curve'!$A$4:$A$256,0),MATCH("New York Selected Option Value US$/month",'NY Curve'!$A$4:$T$4,0)))</f>
        <v>7324.573539957</v>
      </c>
      <c r="AE130" s="883" t="n">
        <f aca="false">AD130*K130</f>
        <v>9674.70107363128</v>
      </c>
      <c r="AF130" s="938"/>
      <c r="AG130" s="939"/>
      <c r="AH130" s="110"/>
      <c r="AI130" s="885" t="n">
        <f aca="false">Assumptions!$B$50</f>
        <v>65</v>
      </c>
      <c r="AJ130" s="940"/>
      <c r="AK130" s="887" t="n">
        <f aca="false">IF(Tables!$E$30="Custom",'Monthly Table'!AI130,IF(Tables!$E$30="New York",INDEX('NY Curve'!$A$4:$G$256,MATCH('Monthly Table'!B130,'NY Curve'!$A$4:$A$256,0),MATCH("Super Peak Curve",'NY Curve'!$A$4:$G$4,0)),IF(Tables!$E$30="New York Flat",INDEX('NY Curve'!$A$4:$G$256,MATCH('Monthly Table'!B130,'NY Curve'!$A$4:$A$256,0),MATCH("Flat NY West",'NY Curve'!$A$4:$G$4,0)),INDEX('Michigan Curve'!$A$4:$F$256,MATCH('Monthly Table'!B130,'Michigan Curve'!$A$4:$A$256,0),MATCH("Michigan Super Peak Curve US$/MWhr",'Michigan Curve'!$A$4:$F$4,0)))))</f>
        <v>28.7639949417114</v>
      </c>
      <c r="AL130" s="941" t="n">
        <f aca="false">IF(D130&lt;=Tables!$B$21,IF($AL$10=$AI$10,AI130,IF($AL$10=$AJ$10,AJ130,IF($AL$10=$AK$10,AK130,0))),0)</f>
        <v>28.7639949417114</v>
      </c>
      <c r="AM130" s="942" t="n">
        <f aca="false">+AL130*K130</f>
        <v>37.9930723920528</v>
      </c>
      <c r="AN130" s="943" t="n">
        <f aca="false">IF((AL130*K130)&gt;(CP130+$BF$4),1,0)</f>
        <v>0</v>
      </c>
      <c r="AO130" s="944"/>
      <c r="AP130" s="945"/>
      <c r="AQ130" s="892" t="n">
        <f aca="false">IF(Tables!$E$30="New York",INDEX('NY Curve'!$A$4:$L$256,MATCH('Monthly Table'!B130,'NY Curve'!$A$4:$A$256,0),MATCH("New York Shoulder Hour Curve Mon-Fri",'NY Curve'!$A$4:$L$4,0)),IF(Tables!$E$30="Michigan",INDEX('Michigan Curve'!$A$4:$K$256,MATCH('Monthly Table'!B130,'Michigan Curve'!$A$4:$A$256,0),MATCH("Michigan Shoulder Hour Curve Mon-Fri",'Michigan Curve'!$A$4:$K$4,0))))</f>
        <v>27.6359951400757</v>
      </c>
      <c r="AR130" s="942" t="n">
        <f aca="false">AQ130*K130</f>
        <v>36.5031479845213</v>
      </c>
      <c r="AS130" s="946" t="n">
        <f aca="false">IF(AR130&gt;($CP130+$BF$4),1,0)</f>
        <v>0</v>
      </c>
      <c r="AT130" s="938"/>
      <c r="AU130" s="892" t="n">
        <f aca="false">IF(Tables!$E$30="New York",INDEX('NY Curve'!$A$4:$L$256,MATCH('Monthly Table'!$B130,'NY Curve'!$A$4:$A$256,0),MATCH("New York Saturday Super Peak",'NY Curve'!$A$4:$L$4,0)),IF(Tables!$E$30="Michigan",INDEX('Michigan Curve'!$A$4:$K$256,MATCH('Monthly Table'!$B130,'Michigan Curve'!$A$4:$A$256,0),MATCH("Michigan Saturday Super Peak",'Michigan Curve'!$A$4:$K$4,0))))</f>
        <v>20.4</v>
      </c>
      <c r="AV130" s="945" t="n">
        <f aca="false">AU130*K130</f>
        <v>26.9454461512904</v>
      </c>
      <c r="AW130" s="946" t="n">
        <f aca="false">IF(AV130&gt;($CP130+$BF$4),1,0)</f>
        <v>0</v>
      </c>
      <c r="AX130" s="892" t="n">
        <f aca="false">IF(Tables!$E$30="New York",INDEX('NY Curve'!$A$4:$L$256,MATCH('Monthly Table'!$B130,'NY Curve'!$A$4:$A$256,0),MATCH("New York Saturday Shoulder Peak",'NY Curve'!$A$4:$L$4,0)),IF(Tables!$E$30="Michigan",INDEX('Michigan Curve'!$A$4:$K$256,MATCH('Monthly Table'!$B130,'Michigan Curve'!$A$4:$A$256,0),MATCH("Michigan Saturday Shoulder Peak",'Michigan Curve'!$A$4:$K$4,0))))</f>
        <v>19.6</v>
      </c>
      <c r="AY130" s="947" t="n">
        <f aca="false">AX130*K130</f>
        <v>25.8887619884948</v>
      </c>
      <c r="AZ130" s="946" t="n">
        <f aca="false">IF(AY130&gt;($CP130+$BF$4),1,0)</f>
        <v>0</v>
      </c>
      <c r="BA130" s="938"/>
      <c r="BB130" s="892" t="n">
        <f aca="false">IF(Tables!$E$30="New York",INDEX('NY Curve'!$A$4:$M$256,MATCH('Monthly Table'!$B130,'NY Curve'!$A$4:$A$256,0),MATCH("NY Sunday Super Peak",'NY Curve'!$A$4:$M$4,0)),IF(Tables!$E$30="Michigan",INDEX('Michigan Curve'!$A$4:$L$256,MATCH('Monthly Table'!$B130,'Michigan Curve'!$A$4:$A$256,0),MATCH("Michigan Sunday Super Peak",'Michigan Curve'!$A$4:$L$4,0))))</f>
        <v>19.38</v>
      </c>
      <c r="BC130" s="894" t="n">
        <f aca="false">BB130*K130</f>
        <v>25.5981738437259</v>
      </c>
      <c r="BD130" s="946" t="n">
        <f aca="false">IF(BC130&gt;($CP130+$BF$4),1,0)</f>
        <v>0</v>
      </c>
      <c r="BE130" s="938"/>
      <c r="BF130" s="948" t="n">
        <f aca="false">B130</f>
        <v>40513</v>
      </c>
      <c r="BG130" s="949" t="n">
        <f aca="false">IF($AN130=1,$E130*$BF$5,0)</f>
        <v>0</v>
      </c>
      <c r="BH130" s="982" t="n">
        <f aca="false">IF(Tables!$B$36="Combined Cycle",(BF130-BF129)*24*Assumptions!$B$21,0)</f>
        <v>0</v>
      </c>
      <c r="BI130" s="927" t="n">
        <f aca="false">IF($AN130=1,$E130*$BF$5,0)</f>
        <v>0</v>
      </c>
      <c r="BJ130" s="950" t="n">
        <f aca="false">IF('Monthly Table'!D130&lt;=Tables!$B$21,IF($BJ$10=$BG$10,BG130,IF($BJ$10=$BH$10,BH130,IF($BJ$10=$BI$10,BI130,0))),0)</f>
        <v>0</v>
      </c>
      <c r="BK130" s="917"/>
      <c r="BL130" s="950" t="n">
        <f aca="false">IF($AW130=1,$F130*$BF$5,0)</f>
        <v>0</v>
      </c>
      <c r="BM130" s="898" t="n">
        <f aca="false">IF($BD130=1,($G130+H130)*$BF$5,0)</f>
        <v>0</v>
      </c>
      <c r="BN130" s="917"/>
      <c r="BO130" s="950" t="n">
        <f aca="false">IF(AS130=1,BJ130,0)</f>
        <v>0</v>
      </c>
      <c r="BP130" s="950" t="n">
        <f aca="false">IF(AZ130=1,F130*$BF$5,0)</f>
        <v>0</v>
      </c>
      <c r="BQ130" s="917"/>
      <c r="BR130" s="951" t="n">
        <f aca="false">IF(BJ130&gt;0,INDEX(OperationalDetail,MATCH("Capacity Degradation",ODColumn,0),MATCH('Monthly Table'!C130,ODRow,0)),0)</f>
        <v>0</v>
      </c>
      <c r="BS130" s="952" t="n">
        <f aca="false">BJ130*(1-BR130)*Tables!$C$36</f>
        <v>0</v>
      </c>
      <c r="BT130" s="953" t="n">
        <f aca="false">BS130*AL130/1000</f>
        <v>0</v>
      </c>
      <c r="BU130" s="953" t="n">
        <f aca="false">BT130*K130</f>
        <v>0</v>
      </c>
      <c r="BV130" s="938"/>
      <c r="BW130" s="954" t="n">
        <f aca="false">$BO130*(1-$BR130)*Tables!$C$36</f>
        <v>0</v>
      </c>
      <c r="BX130" s="955" t="n">
        <f aca="false">(BW130*AQ130)/1000</f>
        <v>0</v>
      </c>
      <c r="BY130" s="953" t="n">
        <f aca="false">BX130*K130</f>
        <v>0</v>
      </c>
      <c r="BZ130" s="938"/>
      <c r="CA130" s="954" t="n">
        <f aca="false">$BL130*(1-$BR130)*Tables!$C$36</f>
        <v>0</v>
      </c>
      <c r="CB130" s="955" t="n">
        <f aca="false">(CA130*AU130)/1000</f>
        <v>0</v>
      </c>
      <c r="CC130" s="953" t="n">
        <f aca="false">CB130*K130</f>
        <v>0</v>
      </c>
      <c r="CD130" s="954" t="n">
        <f aca="false">$BP130*(1-$BR130)*Tables!$C$36</f>
        <v>0</v>
      </c>
      <c r="CE130" s="955" t="n">
        <f aca="false">(CD130*AX130)/1000</f>
        <v>0</v>
      </c>
      <c r="CF130" s="953" t="n">
        <f aca="false">CE130*K130</f>
        <v>0</v>
      </c>
      <c r="CG130" s="110"/>
      <c r="CH130" s="901" t="n">
        <f aca="false">$BM130*(1-$BR130)*Tables!$C$36</f>
        <v>0</v>
      </c>
      <c r="CI130" s="902" t="n">
        <f aca="false">(CH130*BB130)/1000</f>
        <v>0</v>
      </c>
      <c r="CJ130" s="883" t="n">
        <f aca="false">CI130*K130</f>
        <v>0</v>
      </c>
      <c r="CK130" s="956"/>
      <c r="CL130" s="292" t="n">
        <f aca="false">C130-1</f>
        <v>2009</v>
      </c>
      <c r="CM130" s="903" t="n">
        <f aca="false">INDEX(OperationalDetail,MATCH("Degraded Heat Rate",ODColumn,0),MATCH('Monthly Table'!CL130,ODRow,0))/1000</f>
        <v>12.0785236</v>
      </c>
      <c r="CN130" s="958" t="n">
        <f aca="false">S130*CM130</f>
        <v>64.0110530612228</v>
      </c>
      <c r="CO130" s="959" t="n">
        <f aca="false">IF(A130="January",(CO129*(1+Assumptions!$E$32)),CO129)</f>
        <v>8.04969538252666</v>
      </c>
      <c r="CP130" s="960" t="n">
        <f aca="false">CN130+CO130</f>
        <v>72.0607484437494</v>
      </c>
      <c r="CQ130" s="956"/>
      <c r="CR130" s="961" t="str">
        <f aca="false">IF(BJ130=0,"",C130)</f>
        <v/>
      </c>
      <c r="CS130" s="961" t="str">
        <f aca="false">IF(BO130=0,"",$C130)</f>
        <v/>
      </c>
      <c r="CT130" s="961" t="str">
        <f aca="false">IF(BL130=0,"",$C130)</f>
        <v/>
      </c>
      <c r="CU130" s="961" t="str">
        <f aca="false">IF(BP130=0,"",$C130)</f>
        <v/>
      </c>
      <c r="CV130" s="856" t="str">
        <f aca="false">IF(BD130=0,"",$C130)</f>
        <v/>
      </c>
      <c r="CW130" s="962" t="n">
        <f aca="false">YEAR(BF130)</f>
        <v>2010</v>
      </c>
      <c r="CX130" s="963" t="n">
        <f aca="false">INDEX('NY Curve'!$A$4:$G$256,MATCH('Monthly Table'!B130,'NY Curve'!$A$4:$A$256,0),MATCH("New York 5 X 16",'NY Curve'!$A$4:$G$4,0))</f>
        <v>27.2</v>
      </c>
      <c r="CY130" s="964" t="n">
        <f aca="false">K130</f>
        <v>1.32085520349463</v>
      </c>
      <c r="CZ130" s="965" t="n">
        <f aca="false">CX130*CY130</f>
        <v>35.9272615350539</v>
      </c>
      <c r="DA130" s="110"/>
      <c r="DB130" s="966"/>
      <c r="DC130" s="966"/>
      <c r="DD130" s="110"/>
      <c r="DE130" s="110"/>
      <c r="DF130" s="110"/>
      <c r="DG130" s="110"/>
      <c r="DH130" s="110"/>
    </row>
    <row r="131" customFormat="false" ht="18.75" hidden="false" customHeight="true" outlineLevel="0" collapsed="false">
      <c r="A131" s="49" t="s">
        <v>810</v>
      </c>
      <c r="B131" s="863" t="n">
        <v>40544</v>
      </c>
      <c r="C131" s="288" t="n">
        <f aca="false">YEAR(B131)</f>
        <v>2011</v>
      </c>
      <c r="D131" s="864" t="n">
        <f aca="false">IF(A131="January",D130+1,D130)</f>
        <v>11</v>
      </c>
      <c r="E131" s="865" t="n">
        <v>21</v>
      </c>
      <c r="F131" s="866" t="n">
        <v>4</v>
      </c>
      <c r="G131" s="866" t="n">
        <v>5</v>
      </c>
      <c r="H131" s="866" t="n">
        <v>1</v>
      </c>
      <c r="I131" s="867" t="n">
        <f aca="false">SUM(E131:H131)</f>
        <v>31</v>
      </c>
      <c r="J131" s="868"/>
      <c r="K131" s="869" t="n">
        <f aca="false">INDEX(FX!$A$3:$C$362,MATCH(B131,FX!$A$3:$A$362,0),MATCH("Monthly Curve",FX!$A$2:$C$2,0))</f>
        <v>1.31997608656645</v>
      </c>
      <c r="L131" s="869"/>
      <c r="M131" s="987" t="n">
        <v>3.451</v>
      </c>
      <c r="N131" s="988" t="n">
        <v>0.28</v>
      </c>
      <c r="O131" s="986" t="n">
        <v>0.1</v>
      </c>
      <c r="P131" s="872" t="n">
        <f aca="false">N131+O131</f>
        <v>0.38</v>
      </c>
      <c r="Q131" s="873" t="n">
        <f aca="false">SUM(M131:O131)</f>
        <v>3.831</v>
      </c>
      <c r="R131" s="974" t="n">
        <f aca="false">IF(A131="January",(R130+R130*Assumptions!$E$32),R130)</f>
        <v>0.366095392349884</v>
      </c>
      <c r="S131" s="875" t="n">
        <f aca="false">(Q131*K131)+R131</f>
        <v>5.42292377998596</v>
      </c>
      <c r="T131" s="869"/>
      <c r="U131" s="984"/>
      <c r="V131" s="978"/>
      <c r="W131" s="978"/>
      <c r="X131" s="971"/>
      <c r="Y131" s="975" t="n">
        <f aca="false">Tables!$D$36</f>
        <v>312</v>
      </c>
      <c r="Z131" s="879" t="n">
        <f aca="false">IF($Z$10=$V$10,V131,IF($Z$10=$W$10,W131,IF($Z$10=$X$10,X131,0)))</f>
        <v>0</v>
      </c>
      <c r="AA131" s="880" t="n">
        <f aca="false">Y131*Z131</f>
        <v>0</v>
      </c>
      <c r="AB131" s="881" t="n">
        <f aca="false">AA131*K131</f>
        <v>0</v>
      </c>
      <c r="AC131" s="188"/>
      <c r="AD131" s="882" t="n">
        <f aca="false">IF(Tables!$E$30="Michigan",INDEX('Michigan Curve'!$A$4:$S$256,MATCH('Monthly Table'!B131,'Michigan Curve'!$A$4:$A$256,0),MATCH("Michigan Selected Option Value US$/month",'Michigan Curve'!$A$4:$S$4,0)),INDEX('NY Curve'!$A$4:$T$256,MATCH('Monthly Table'!B131,'NY Curve'!$A$4:$A$256,0),MATCH("New York Selected Option Value US$/month",'NY Curve'!$A$4:$T$4,0)))</f>
        <v>38076.5512626632</v>
      </c>
      <c r="AE131" s="883" t="n">
        <f aca="false">AD131*K131</f>
        <v>50260.137125637</v>
      </c>
      <c r="AF131" s="188"/>
      <c r="AG131" s="884"/>
      <c r="AH131" s="49"/>
      <c r="AI131" s="885" t="n">
        <f aca="false">Assumptions!$B$50</f>
        <v>65</v>
      </c>
      <c r="AJ131" s="916"/>
      <c r="AK131" s="887" t="n">
        <f aca="false">IF(Tables!$E$30="Custom",'Monthly Table'!AI131,IF(Tables!$E$30="New York",INDEX('NY Curve'!$A$4:$G$256,MATCH('Monthly Table'!B131,'NY Curve'!$A$4:$A$256,0),MATCH("Super Peak Curve",'NY Curve'!$A$4:$G$4,0)),IF(Tables!$E$30="New York Flat",INDEX('NY Curve'!$A$4:$G$256,MATCH('Monthly Table'!B131,'NY Curve'!$A$4:$A$256,0),MATCH("Flat NY West",'NY Curve'!$A$4:$G$4,0)),INDEX('Michigan Curve'!$A$4:$F$256,MATCH('Monthly Table'!B131,'Michigan Curve'!$A$4:$A$256,0),MATCH("Michigan Super Peak Curve US$/MWhr",'Michigan Curve'!$A$4:$F$4,0)))))</f>
        <v>34.3740003890991</v>
      </c>
      <c r="AL131" s="888" t="n">
        <f aca="false">IF(D131&lt;=Tables!$B$21,IF($AL$10=$AI$10,AI131,IF($AL$10=$AJ$10,AJ131,IF($AL$10=$AK$10,AK131,0))),0)</f>
        <v>34.3740003890991</v>
      </c>
      <c r="AM131" s="889" t="n">
        <f aca="false">+AL131*K131</f>
        <v>45.3728585132367</v>
      </c>
      <c r="AN131" s="890" t="n">
        <f aca="false">IF((AL131*K131)&gt;(CP131+$BF$4),1,0)</f>
        <v>0</v>
      </c>
      <c r="AO131" s="891"/>
      <c r="AP131" s="894"/>
      <c r="AQ131" s="892" t="n">
        <f aca="false">IF(Tables!$E$30="New York",INDEX('NY Curve'!$A$4:$L$256,MATCH('Monthly Table'!B131,'NY Curve'!$A$4:$A$256,0),MATCH("New York Shoulder Hour Curve Mon-Fri",'NY Curve'!$A$4:$L$4,0)),IF(Tables!$E$30="Michigan",INDEX('Michigan Curve'!$A$4:$K$256,MATCH('Monthly Table'!B131,'Michigan Curve'!$A$4:$A$256,0),MATCH("Michigan Shoulder Hour Curve Mon-Fri",'Michigan Curve'!$A$4:$K$4,0))))</f>
        <v>33.0260003738403</v>
      </c>
      <c r="AR131" s="889" t="n">
        <f aca="false">AQ131*K131</f>
        <v>43.5935307284039</v>
      </c>
      <c r="AS131" s="893" t="n">
        <f aca="false">IF(AR131&gt;($CP131+$BF$4),1,0)</f>
        <v>0</v>
      </c>
      <c r="AT131" s="188"/>
      <c r="AU131" s="892" t="n">
        <f aca="false">IF(Tables!$E$30="New York",INDEX('NY Curve'!$A$4:$L$256,MATCH('Monthly Table'!$B131,'NY Curve'!$A$4:$A$256,0),MATCH("New York Saturday Super Peak",'NY Curve'!$A$4:$L$4,0)),IF(Tables!$E$30="Michigan",INDEX('Michigan Curve'!$A$4:$K$256,MATCH('Monthly Table'!$B131,'Michigan Curve'!$A$4:$A$256,0),MATCH("Michigan Saturday Super Peak",'Michigan Curve'!$A$4:$K$4,0))))</f>
        <v>22.44</v>
      </c>
      <c r="AV131" s="894" t="n">
        <f aca="false">AU131*K131</f>
        <v>29.6202633825511</v>
      </c>
      <c r="AW131" s="893" t="n">
        <f aca="false">IF(AV131&gt;($CP131+$BF$4),1,0)</f>
        <v>0</v>
      </c>
      <c r="AX131" s="892" t="n">
        <f aca="false">IF(Tables!$E$30="New York",INDEX('NY Curve'!$A$4:$L$256,MATCH('Monthly Table'!$B131,'NY Curve'!$A$4:$A$256,0),MATCH("New York Saturday Shoulder Peak",'NY Curve'!$A$4:$L$4,0)),IF(Tables!$E$30="Michigan",INDEX('Michigan Curve'!$A$4:$K$256,MATCH('Monthly Table'!$B131,'Michigan Curve'!$A$4:$A$256,0),MATCH("Michigan Saturday Shoulder Peak",'Michigan Curve'!$A$4:$K$4,0))))</f>
        <v>21.56</v>
      </c>
      <c r="AY131" s="895" t="n">
        <f aca="false">AX131*K131</f>
        <v>28.4586844263727</v>
      </c>
      <c r="AZ131" s="893" t="n">
        <f aca="false">IF(AY131&gt;($CP131+$BF$4),1,0)</f>
        <v>0</v>
      </c>
      <c r="BA131" s="188"/>
      <c r="BB131" s="892" t="n">
        <f aca="false">IF(Tables!$E$30="New York",INDEX('NY Curve'!$A$4:$M$256,MATCH('Monthly Table'!$B131,'NY Curve'!$A$4:$A$256,0),MATCH("NY Sunday Super Peak",'NY Curve'!$A$4:$M$4,0)),IF(Tables!$E$30="Michigan",INDEX('Michigan Curve'!$A$4:$L$256,MATCH('Monthly Table'!$B131,'Michigan Curve'!$A$4:$A$256,0),MATCH("Michigan Sunday Super Peak",'Michigan Curve'!$A$4:$L$4,0))))</f>
        <v>21.42</v>
      </c>
      <c r="BC131" s="894" t="n">
        <f aca="false">BB131*K131</f>
        <v>28.2738877742534</v>
      </c>
      <c r="BD131" s="893" t="n">
        <f aca="false">IF(BC131&gt;($CP131+$BF$4),1,0)</f>
        <v>0</v>
      </c>
      <c r="BE131" s="188"/>
      <c r="BF131" s="896" t="n">
        <f aca="false">B131</f>
        <v>40544</v>
      </c>
      <c r="BG131" s="897" t="n">
        <f aca="false">IF($AN131=1,$E131*$BF$5,0)</f>
        <v>0</v>
      </c>
      <c r="BH131" s="976" t="n">
        <f aca="false">IF(Tables!$B$36="Combined Cycle",(BF131-BF130)*24*Assumptions!$B$21,0)</f>
        <v>0</v>
      </c>
      <c r="BI131" s="714" t="n">
        <f aca="false">IF($AN131=1,$E131*$BF$5,0)</f>
        <v>0</v>
      </c>
      <c r="BJ131" s="898" t="n">
        <f aca="false">IF('Monthly Table'!D131&lt;=Tables!$B$21,IF($BJ$10=$BG$10,BG131,IF($BJ$10=$BH$10,BH131,IF($BJ$10=$BI$10,BI131,0))),0)</f>
        <v>0</v>
      </c>
      <c r="BK131" s="288"/>
      <c r="BL131" s="898" t="n">
        <f aca="false">IF($AW131=1,$F131*$BF$5,0)</f>
        <v>0</v>
      </c>
      <c r="BM131" s="898" t="n">
        <f aca="false">IF($BD131=1,($G131+H131)*$BF$5,0)</f>
        <v>0</v>
      </c>
      <c r="BO131" s="898" t="n">
        <f aca="false">IF(AS131=1,BJ131,0)</f>
        <v>0</v>
      </c>
      <c r="BP131" s="898" t="n">
        <f aca="false">IF(AZ131=1,F131*$BF$5,0)</f>
        <v>0</v>
      </c>
      <c r="BR131" s="899" t="n">
        <f aca="false">IF(BJ131&gt;0,INDEX(OperationalDetail,MATCH("Capacity Degradation",ODColumn,0),MATCH('Monthly Table'!C131,ODRow,0)),0)</f>
        <v>0</v>
      </c>
      <c r="BS131" s="900" t="n">
        <f aca="false">BJ131*(1-BR131)*Tables!$C$36</f>
        <v>0</v>
      </c>
      <c r="BT131" s="883" t="n">
        <f aca="false">BS131*AL131/1000</f>
        <v>0</v>
      </c>
      <c r="BU131" s="883" t="n">
        <f aca="false">BT131*K131</f>
        <v>0</v>
      </c>
      <c r="BV131" s="188"/>
      <c r="BW131" s="901" t="n">
        <f aca="false">$BO131*(1-$BR131)*Tables!$C$36</f>
        <v>0</v>
      </c>
      <c r="BX131" s="902" t="n">
        <f aca="false">(BW131*AQ131)/1000</f>
        <v>0</v>
      </c>
      <c r="BY131" s="883" t="n">
        <f aca="false">BX131*K131</f>
        <v>0</v>
      </c>
      <c r="BZ131" s="188"/>
      <c r="CA131" s="901" t="n">
        <f aca="false">$BL131*(1-$BR131)*Tables!$C$36</f>
        <v>0</v>
      </c>
      <c r="CB131" s="902" t="n">
        <f aca="false">(CA131*AU131)/1000</f>
        <v>0</v>
      </c>
      <c r="CC131" s="883" t="n">
        <f aca="false">CB131*K131</f>
        <v>0</v>
      </c>
      <c r="CD131" s="901" t="n">
        <f aca="false">$BP131*(1-$BR131)*Tables!$C$36</f>
        <v>0</v>
      </c>
      <c r="CE131" s="902" t="n">
        <f aca="false">(CD131*AX131)/1000</f>
        <v>0</v>
      </c>
      <c r="CF131" s="883" t="n">
        <f aca="false">CE131*K131</f>
        <v>0</v>
      </c>
      <c r="CH131" s="901" t="n">
        <f aca="false">$BM131*(1-$BR131)*Tables!$C$36</f>
        <v>0</v>
      </c>
      <c r="CI131" s="902" t="n">
        <f aca="false">(CH131*BB131)/1000</f>
        <v>0</v>
      </c>
      <c r="CJ131" s="883" t="n">
        <f aca="false">CI131*K131</f>
        <v>0</v>
      </c>
      <c r="CK131" s="292"/>
      <c r="CL131" s="292" t="n">
        <f aca="false">C131-1</f>
        <v>2010</v>
      </c>
      <c r="CM131" s="903" t="n">
        <f aca="false">INDEX(OperationalDetail,MATCH("Degraded Heat Rate",ODColumn,0),MATCH('Monthly Table'!CL131,ODRow,0))/1000</f>
        <v>12.1095</v>
      </c>
      <c r="CN131" s="904" t="n">
        <f aca="false">S131*CM131</f>
        <v>65.6688955137399</v>
      </c>
      <c r="CO131" s="905" t="n">
        <f aca="false">IF(A131="January",(CO130*(1+Assumptions!$E$32)),CO130)</f>
        <v>8.21068929017719</v>
      </c>
      <c r="CP131" s="906" t="n">
        <f aca="false">CN131+CO131</f>
        <v>73.8795848039171</v>
      </c>
      <c r="CQ131" s="292"/>
      <c r="CR131" s="856" t="str">
        <f aca="false">IF(BJ131=0,"",C131)</f>
        <v/>
      </c>
      <c r="CS131" s="856" t="str">
        <f aca="false">IF(BO131=0,"",$C131)</f>
        <v/>
      </c>
      <c r="CT131" s="856" t="str">
        <f aca="false">IF(BL131=0,"",$C131)</f>
        <v/>
      </c>
      <c r="CU131" s="856" t="str">
        <f aca="false">IF(BP131=0,"",$C131)</f>
        <v/>
      </c>
      <c r="CV131" s="856" t="str">
        <f aca="false">IF(BD131=0,"",$C131)</f>
        <v/>
      </c>
      <c r="CW131" s="907" t="n">
        <f aca="false">YEAR(BF131)</f>
        <v>2011</v>
      </c>
      <c r="CX131" s="908" t="n">
        <f aca="false">INDEX('NY Curve'!$A$4:$G$256,MATCH('Monthly Table'!B131,'NY Curve'!$A$4:$A$256,0),MATCH("New York 5 X 16",'NY Curve'!$A$4:$G$4,0))</f>
        <v>32.75</v>
      </c>
      <c r="CY131" s="909" t="n">
        <f aca="false">K131</f>
        <v>1.31997608656645</v>
      </c>
      <c r="CZ131" s="910" t="n">
        <f aca="false">CX131*CY131</f>
        <v>43.2292168350512</v>
      </c>
      <c r="DB131" s="911"/>
      <c r="DC131" s="911"/>
    </row>
    <row r="132" customFormat="false" ht="18.75" hidden="false" customHeight="true" outlineLevel="0" collapsed="false">
      <c r="A132" s="49" t="s">
        <v>811</v>
      </c>
      <c r="B132" s="863" t="n">
        <v>40575</v>
      </c>
      <c r="C132" s="288" t="n">
        <f aca="false">YEAR(B132)</f>
        <v>2011</v>
      </c>
      <c r="D132" s="864" t="n">
        <f aca="false">IF(A132="January",D131+1,D131)</f>
        <v>11</v>
      </c>
      <c r="E132" s="865" t="n">
        <v>20</v>
      </c>
      <c r="F132" s="866" t="n">
        <v>4</v>
      </c>
      <c r="G132" s="866" t="n">
        <v>4</v>
      </c>
      <c r="H132" s="866" t="n">
        <v>0</v>
      </c>
      <c r="I132" s="867" t="n">
        <f aca="false">SUM(E132:H132)</f>
        <v>28</v>
      </c>
      <c r="J132" s="868"/>
      <c r="K132" s="869" t="n">
        <f aca="false">INDEX(FX!$A$3:$C$362,MATCH(B132,FX!$A$3:$A$362,0),MATCH("Monthly Curve",FX!$A$2:$C$2,0))</f>
        <v>1.31909945717263</v>
      </c>
      <c r="L132" s="869"/>
      <c r="M132" s="987" t="n">
        <v>3.338</v>
      </c>
      <c r="N132" s="988" t="n">
        <v>0.31</v>
      </c>
      <c r="O132" s="986" t="n">
        <v>0.1</v>
      </c>
      <c r="P132" s="872" t="n">
        <f aca="false">N132+O132</f>
        <v>0.41</v>
      </c>
      <c r="Q132" s="873" t="n">
        <f aca="false">SUM(M132:O132)</f>
        <v>3.748</v>
      </c>
      <c r="R132" s="974" t="n">
        <f aca="false">IF(A132="January",(R131+R131*Assumptions!$E$32),R131)</f>
        <v>0.366095392349884</v>
      </c>
      <c r="S132" s="875" t="n">
        <f aca="false">(Q132*K132)+R132</f>
        <v>5.3100801578329</v>
      </c>
      <c r="T132" s="869"/>
      <c r="U132" s="984"/>
      <c r="V132" s="978"/>
      <c r="W132" s="978"/>
      <c r="X132" s="971"/>
      <c r="Y132" s="975" t="n">
        <f aca="false">Tables!$D$36</f>
        <v>312</v>
      </c>
      <c r="Z132" s="879" t="n">
        <f aca="false">IF($Z$10=$V$10,V132,IF($Z$10=$W$10,W132,IF($Z$10=$X$10,X132,0)))</f>
        <v>0</v>
      </c>
      <c r="AA132" s="880" t="n">
        <f aca="false">Y132*Z132</f>
        <v>0</v>
      </c>
      <c r="AB132" s="881" t="n">
        <f aca="false">AA132*K132</f>
        <v>0</v>
      </c>
      <c r="AC132" s="188"/>
      <c r="AD132" s="882" t="n">
        <f aca="false">IF(Tables!$E$30="Michigan",INDEX('Michigan Curve'!$A$4:$S$256,MATCH('Monthly Table'!B132,'Michigan Curve'!$A$4:$A$256,0),MATCH("Michigan Selected Option Value US$/month",'Michigan Curve'!$A$4:$S$4,0)),INDEX('NY Curve'!$A$4:$T$256,MATCH('Monthly Table'!B132,'NY Curve'!$A$4:$A$256,0),MATCH("New York Selected Option Value US$/month",'NY Curve'!$A$4:$T$4,0)))</f>
        <v>36752.671649658</v>
      </c>
      <c r="AE132" s="883" t="n">
        <f aca="false">AD132*K132</f>
        <v>48480.4292227078</v>
      </c>
      <c r="AF132" s="188"/>
      <c r="AG132" s="884"/>
      <c r="AH132" s="49"/>
      <c r="AI132" s="885" t="n">
        <f aca="false">Assumptions!$B$50</f>
        <v>65</v>
      </c>
      <c r="AJ132" s="916"/>
      <c r="AK132" s="887" t="n">
        <f aca="false">IF(Tables!$E$30="Custom",'Monthly Table'!AI132,IF(Tables!$E$30="New York",INDEX('NY Curve'!$A$4:$G$256,MATCH('Monthly Table'!B132,'NY Curve'!$A$4:$A$256,0),MATCH("Super Peak Curve",'NY Curve'!$A$4:$G$4,0)),IF(Tables!$E$30="New York Flat",INDEX('NY Curve'!$A$4:$G$256,MATCH('Monthly Table'!B132,'NY Curve'!$A$4:$A$256,0),MATCH("Flat NY West",'NY Curve'!$A$4:$G$4,0)),INDEX('Michigan Curve'!$A$4:$F$256,MATCH('Monthly Table'!B132,'Michigan Curve'!$A$4:$A$256,0),MATCH("Michigan Super Peak Curve US$/MWhr",'Michigan Curve'!$A$4:$F$4,0)))))</f>
        <v>34.3739984436035</v>
      </c>
      <c r="AL132" s="888" t="n">
        <f aca="false">IF(D132&lt;=Tables!$B$21,IF($AL$10=$AI$10,AI132,IF($AL$10=$AJ$10,AJ132,IF($AL$10=$AK$10,AK132,0))),0)</f>
        <v>34.3739984436035</v>
      </c>
      <c r="AM132" s="889" t="n">
        <f aca="false">+AL132*K132</f>
        <v>45.3427226878102</v>
      </c>
      <c r="AN132" s="890" t="n">
        <f aca="false">IF((AL132*K132)&gt;(CP132+$BF$4),1,0)</f>
        <v>0</v>
      </c>
      <c r="AO132" s="891"/>
      <c r="AP132" s="894"/>
      <c r="AQ132" s="892" t="n">
        <f aca="false">IF(Tables!$E$30="New York",INDEX('NY Curve'!$A$4:$L$256,MATCH('Monthly Table'!B132,'NY Curve'!$A$4:$A$256,0),MATCH("New York Shoulder Hour Curve Mon-Fri",'NY Curve'!$A$4:$L$4,0)),IF(Tables!$E$30="Michigan",INDEX('Michigan Curve'!$A$4:$K$256,MATCH('Monthly Table'!B132,'Michigan Curve'!$A$4:$A$256,0),MATCH("Michigan Shoulder Hour Curve Mon-Fri",'Michigan Curve'!$A$4:$K$4,0))))</f>
        <v>33.0259985046387</v>
      </c>
      <c r="AR132" s="889" t="n">
        <f aca="false">AQ132*K132</f>
        <v>43.564576700053</v>
      </c>
      <c r="AS132" s="893" t="n">
        <f aca="false">IF(AR132&gt;($CP132+$BF$4),1,0)</f>
        <v>0</v>
      </c>
      <c r="AT132" s="188"/>
      <c r="AU132" s="892" t="n">
        <f aca="false">IF(Tables!$E$30="New York",INDEX('NY Curve'!$A$4:$L$256,MATCH('Monthly Table'!$B132,'NY Curve'!$A$4:$A$256,0),MATCH("New York Saturday Super Peak",'NY Curve'!$A$4:$L$4,0)),IF(Tables!$E$30="Michigan",INDEX('Michigan Curve'!$A$4:$K$256,MATCH('Monthly Table'!$B132,'Michigan Curve'!$A$4:$A$256,0),MATCH("Michigan Saturday Super Peak",'Michigan Curve'!$A$4:$K$4,0))))</f>
        <v>22.4359202957153</v>
      </c>
      <c r="AV132" s="894" t="n">
        <f aca="false">AU132*K132</f>
        <v>29.5952102832465</v>
      </c>
      <c r="AW132" s="893" t="n">
        <f aca="false">IF(AV132&gt;($CP132+$BF$4),1,0)</f>
        <v>0</v>
      </c>
      <c r="AX132" s="892" t="n">
        <f aca="false">IF(Tables!$E$30="New York",INDEX('NY Curve'!$A$4:$L$256,MATCH('Monthly Table'!$B132,'NY Curve'!$A$4:$A$256,0),MATCH("New York Saturday Shoulder Peak",'NY Curve'!$A$4:$L$4,0)),IF(Tables!$E$30="Michigan",INDEX('Michigan Curve'!$A$4:$K$256,MATCH('Monthly Table'!$B132,'Michigan Curve'!$A$4:$A$256,0),MATCH("Michigan Saturday Shoulder Peak",'Michigan Curve'!$A$4:$K$4,0))))</f>
        <v>21.5560802841187</v>
      </c>
      <c r="AY132" s="895" t="n">
        <f aca="false">AX132*K132</f>
        <v>28.4346138015505</v>
      </c>
      <c r="AZ132" s="893" t="n">
        <f aca="false">IF(AY132&gt;($CP132+$BF$4),1,0)</f>
        <v>0</v>
      </c>
      <c r="BA132" s="188"/>
      <c r="BB132" s="892" t="n">
        <f aca="false">IF(Tables!$E$30="New York",INDEX('NY Curve'!$A$4:$M$256,MATCH('Monthly Table'!$B132,'NY Curve'!$A$4:$A$256,0),MATCH("NY Sunday Super Peak",'NY Curve'!$A$4:$M$4,0)),IF(Tables!$E$30="Michigan",INDEX('Michigan Curve'!$A$4:$L$256,MATCH('Monthly Table'!$B132,'Michigan Curve'!$A$4:$A$256,0),MATCH("Michigan Sunday Super Peak",'Michigan Curve'!$A$4:$L$4,0))))</f>
        <v>21.4164319610596</v>
      </c>
      <c r="BC132" s="894" t="n">
        <f aca="false">BB132*K132</f>
        <v>28.2504037744082</v>
      </c>
      <c r="BD132" s="893" t="n">
        <f aca="false">IF(BC132&gt;($CP132+$BF$4),1,0)</f>
        <v>0</v>
      </c>
      <c r="BE132" s="188"/>
      <c r="BF132" s="896" t="n">
        <f aca="false">B132</f>
        <v>40575</v>
      </c>
      <c r="BG132" s="897" t="n">
        <f aca="false">IF($AN132=1,$E132*$BF$5,0)</f>
        <v>0</v>
      </c>
      <c r="BH132" s="976" t="n">
        <f aca="false">IF(Tables!$B$36="Combined Cycle",(BF132-BF131)*24*Assumptions!$B$21,0)</f>
        <v>0</v>
      </c>
      <c r="BI132" s="714" t="n">
        <f aca="false">IF($AN132=1,$E132*$BF$5,0)</f>
        <v>0</v>
      </c>
      <c r="BJ132" s="898" t="n">
        <f aca="false">IF('Monthly Table'!D132&lt;=Tables!$B$21,IF($BJ$10=$BG$10,BG132,IF($BJ$10=$BH$10,BH132,IF($BJ$10=$BI$10,BI132,0))),0)</f>
        <v>0</v>
      </c>
      <c r="BK132" s="288"/>
      <c r="BL132" s="898" t="n">
        <f aca="false">IF($AW132=1,$F132*$BF$5,0)</f>
        <v>0</v>
      </c>
      <c r="BM132" s="898" t="n">
        <f aca="false">IF($BD132=1,($G132+H132)*$BF$5,0)</f>
        <v>0</v>
      </c>
      <c r="BO132" s="898" t="n">
        <f aca="false">IF(AS132=1,BJ132,0)</f>
        <v>0</v>
      </c>
      <c r="BP132" s="898" t="n">
        <f aca="false">IF(AZ132=1,F132*$BF$5,0)</f>
        <v>0</v>
      </c>
      <c r="BR132" s="899" t="n">
        <f aca="false">IF(BJ132&gt;0,INDEX(OperationalDetail,MATCH("Capacity Degradation",ODColumn,0),MATCH('Monthly Table'!C132,ODRow,0)),0)</f>
        <v>0</v>
      </c>
      <c r="BS132" s="900" t="n">
        <f aca="false">BJ132*(1-BR132)*Tables!$C$36</f>
        <v>0</v>
      </c>
      <c r="BT132" s="883" t="n">
        <f aca="false">BS132*AL132/1000</f>
        <v>0</v>
      </c>
      <c r="BU132" s="883" t="n">
        <f aca="false">BT132*K132</f>
        <v>0</v>
      </c>
      <c r="BV132" s="188"/>
      <c r="BW132" s="901" t="n">
        <f aca="false">$BO132*(1-$BR132)*Tables!$C$36</f>
        <v>0</v>
      </c>
      <c r="BX132" s="902" t="n">
        <f aca="false">(BW132*AQ132)/1000</f>
        <v>0</v>
      </c>
      <c r="BY132" s="883" t="n">
        <f aca="false">BX132*K132</f>
        <v>0</v>
      </c>
      <c r="BZ132" s="188"/>
      <c r="CA132" s="901" t="n">
        <f aca="false">$BL132*(1-$BR132)*Tables!$C$36</f>
        <v>0</v>
      </c>
      <c r="CB132" s="902" t="n">
        <f aca="false">(CA132*AU132)/1000</f>
        <v>0</v>
      </c>
      <c r="CC132" s="883" t="n">
        <f aca="false">CB132*K132</f>
        <v>0</v>
      </c>
      <c r="CD132" s="901" t="n">
        <f aca="false">$BP132*(1-$BR132)*Tables!$C$36</f>
        <v>0</v>
      </c>
      <c r="CE132" s="902" t="n">
        <f aca="false">(CD132*AX132)/1000</f>
        <v>0</v>
      </c>
      <c r="CF132" s="883" t="n">
        <f aca="false">CE132*K132</f>
        <v>0</v>
      </c>
      <c r="CH132" s="901" t="n">
        <f aca="false">$BM132*(1-$BR132)*Tables!$C$36</f>
        <v>0</v>
      </c>
      <c r="CI132" s="902" t="n">
        <f aca="false">(CH132*BB132)/1000</f>
        <v>0</v>
      </c>
      <c r="CJ132" s="883" t="n">
        <f aca="false">CI132*K132</f>
        <v>0</v>
      </c>
      <c r="CK132" s="292"/>
      <c r="CL132" s="292" t="n">
        <f aca="false">C132-1</f>
        <v>2010</v>
      </c>
      <c r="CM132" s="903" t="n">
        <f aca="false">INDEX(OperationalDetail,MATCH("Degraded Heat Rate",ODColumn,0),MATCH('Monthly Table'!CL132,ODRow,0))/1000</f>
        <v>12.1095</v>
      </c>
      <c r="CN132" s="904" t="n">
        <f aca="false">S132*CM132</f>
        <v>64.3024156712775</v>
      </c>
      <c r="CO132" s="905" t="n">
        <f aca="false">IF(A132="January",(CO131*(1+Assumptions!$E$32)),CO131)</f>
        <v>8.21068929017719</v>
      </c>
      <c r="CP132" s="906" t="n">
        <f aca="false">CN132+CO132</f>
        <v>72.5131049614547</v>
      </c>
      <c r="CQ132" s="292"/>
      <c r="CR132" s="856" t="str">
        <f aca="false">IF(BJ132=0,"",C132)</f>
        <v/>
      </c>
      <c r="CS132" s="856" t="str">
        <f aca="false">IF(BO132=0,"",$C132)</f>
        <v/>
      </c>
      <c r="CT132" s="856" t="str">
        <f aca="false">IF(BL132=0,"",$C132)</f>
        <v/>
      </c>
      <c r="CU132" s="856" t="str">
        <f aca="false">IF(BP132=0,"",$C132)</f>
        <v/>
      </c>
      <c r="CV132" s="856" t="str">
        <f aca="false">IF(BD132=0,"",$C132)</f>
        <v/>
      </c>
      <c r="CW132" s="907" t="n">
        <f aca="false">YEAR(BF132)</f>
        <v>2011</v>
      </c>
      <c r="CX132" s="908" t="n">
        <f aca="false">INDEX('NY Curve'!$A$4:$G$256,MATCH('Monthly Table'!B132,'NY Curve'!$A$4:$A$256,0),MATCH("New York 5 X 16",'NY Curve'!$A$4:$G$4,0))</f>
        <v>32.75</v>
      </c>
      <c r="CY132" s="909" t="n">
        <f aca="false">K132</f>
        <v>1.31909945717263</v>
      </c>
      <c r="CZ132" s="910" t="n">
        <f aca="false">CX132*CY132</f>
        <v>43.2005072224036</v>
      </c>
      <c r="DB132" s="911"/>
      <c r="DC132" s="911"/>
    </row>
    <row r="133" customFormat="false" ht="18.75" hidden="false" customHeight="true" outlineLevel="0" collapsed="false">
      <c r="A133" s="49" t="s">
        <v>812</v>
      </c>
      <c r="B133" s="863" t="n">
        <v>40603</v>
      </c>
      <c r="C133" s="288" t="n">
        <f aca="false">YEAR(B133)</f>
        <v>2011</v>
      </c>
      <c r="D133" s="864" t="n">
        <f aca="false">IF(A133="January",D132+1,D132)</f>
        <v>11</v>
      </c>
      <c r="E133" s="865" t="n">
        <v>23</v>
      </c>
      <c r="F133" s="866" t="n">
        <v>4</v>
      </c>
      <c r="G133" s="866" t="n">
        <v>4</v>
      </c>
      <c r="H133" s="866" t="n">
        <v>0</v>
      </c>
      <c r="I133" s="867" t="n">
        <f aca="false">SUM(E133:H133)</f>
        <v>31</v>
      </c>
      <c r="J133" s="868"/>
      <c r="K133" s="869" t="n">
        <f aca="false">INDEX(FX!$A$3:$C$362,MATCH(B133,FX!$A$3:$A$362,0),MATCH("Monthly Curve",FX!$A$2:$C$2,0))</f>
        <v>1.31830979748429</v>
      </c>
      <c r="L133" s="869"/>
      <c r="M133" s="987" t="n">
        <v>3.223</v>
      </c>
      <c r="N133" s="988" t="n">
        <v>0.31</v>
      </c>
      <c r="O133" s="986" t="n">
        <v>0.1</v>
      </c>
      <c r="P133" s="872" t="n">
        <f aca="false">N133+O133</f>
        <v>0.41</v>
      </c>
      <c r="Q133" s="873" t="n">
        <f aca="false">SUM(M133:O133)</f>
        <v>3.633</v>
      </c>
      <c r="R133" s="974" t="n">
        <f aca="false">IF(A133="January",(R132+R132*Assumptions!$E$32),R132)</f>
        <v>0.366095392349884</v>
      </c>
      <c r="S133" s="875" t="n">
        <f aca="false">(Q133*K133)+R133</f>
        <v>5.15551488661031</v>
      </c>
      <c r="T133" s="869"/>
      <c r="U133" s="984"/>
      <c r="V133" s="978"/>
      <c r="W133" s="978"/>
      <c r="X133" s="971"/>
      <c r="Y133" s="975" t="n">
        <f aca="false">Tables!$D$36</f>
        <v>312</v>
      </c>
      <c r="Z133" s="879" t="n">
        <f aca="false">IF($Z$10=$V$10,V133,IF($Z$10=$W$10,W133,IF($Z$10=$X$10,X133,0)))</f>
        <v>0</v>
      </c>
      <c r="AA133" s="880" t="n">
        <f aca="false">Y133*Z133</f>
        <v>0</v>
      </c>
      <c r="AB133" s="881" t="n">
        <f aca="false">AA133*K133</f>
        <v>0</v>
      </c>
      <c r="AC133" s="188"/>
      <c r="AD133" s="882" t="n">
        <f aca="false">IF(Tables!$E$30="Michigan",INDEX('Michigan Curve'!$A$4:$S$256,MATCH('Monthly Table'!B133,'Michigan Curve'!$A$4:$A$256,0),MATCH("Michigan Selected Option Value US$/month",'Michigan Curve'!$A$4:$S$4,0)),INDEX('NY Curve'!$A$4:$T$256,MATCH('Monthly Table'!B133,'NY Curve'!$A$4:$A$256,0),MATCH("New York Selected Option Value US$/month",'NY Curve'!$A$4:$T$4,0)))</f>
        <v>9245.85726817725</v>
      </c>
      <c r="AE133" s="883" t="n">
        <f aca="false">AD133*K133</f>
        <v>12188.9042227794</v>
      </c>
      <c r="AF133" s="188"/>
      <c r="AG133" s="884"/>
      <c r="AH133" s="49"/>
      <c r="AI133" s="885" t="n">
        <f aca="false">Assumptions!$B$50</f>
        <v>65</v>
      </c>
      <c r="AJ133" s="916"/>
      <c r="AK133" s="887" t="n">
        <f aca="false">IF(Tables!$E$30="Custom",'Monthly Table'!AI133,IF(Tables!$E$30="New York",INDEX('NY Curve'!$A$4:$G$256,MATCH('Monthly Table'!B133,'NY Curve'!$A$4:$A$256,0),MATCH("Super Peak Curve",'NY Curve'!$A$4:$G$4,0)),IF(Tables!$E$30="New York Flat",INDEX('NY Curve'!$A$4:$G$256,MATCH('Monthly Table'!B133,'NY Curve'!$A$4:$A$256,0),MATCH("Flat NY West",'NY Curve'!$A$4:$G$4,0)),INDEX('Michigan Curve'!$A$4:$F$256,MATCH('Monthly Table'!B133,'Michigan Curve'!$A$4:$A$256,0),MATCH("Michigan Super Peak Curve US$/MWhr",'Michigan Curve'!$A$4:$F$4,0)))))</f>
        <v>29.07</v>
      </c>
      <c r="AL133" s="888" t="n">
        <f aca="false">IF(D133&lt;=Tables!$B$21,IF($AL$10=$AI$10,AI133,IF($AL$10=$AJ$10,AJ133,IF($AL$10=$AK$10,AK133,0))),0)</f>
        <v>29.07</v>
      </c>
      <c r="AM133" s="889" t="n">
        <f aca="false">+AL133*K133</f>
        <v>38.3232658128683</v>
      </c>
      <c r="AN133" s="890" t="n">
        <f aca="false">IF((AL133*K133)&gt;(CP133+$BF$4),1,0)</f>
        <v>0</v>
      </c>
      <c r="AO133" s="891"/>
      <c r="AP133" s="894"/>
      <c r="AQ133" s="892" t="n">
        <f aca="false">IF(Tables!$E$30="New York",INDEX('NY Curve'!$A$4:$L$256,MATCH('Monthly Table'!B133,'NY Curve'!$A$4:$A$256,0),MATCH("New York Shoulder Hour Curve Mon-Fri",'NY Curve'!$A$4:$L$4,0)),IF(Tables!$E$30="Michigan",INDEX('Michigan Curve'!$A$4:$K$256,MATCH('Monthly Table'!B133,'Michigan Curve'!$A$4:$A$256,0),MATCH("Michigan Shoulder Hour Curve Mon-Fri",'Michigan Curve'!$A$4:$K$4,0))))</f>
        <v>27.93</v>
      </c>
      <c r="AR133" s="889" t="n">
        <f aca="false">AQ133*K133</f>
        <v>36.8203926437362</v>
      </c>
      <c r="AS133" s="893" t="n">
        <f aca="false">IF(AR133&gt;($CP133+$BF$4),1,0)</f>
        <v>0</v>
      </c>
      <c r="AT133" s="188"/>
      <c r="AU133" s="892" t="n">
        <f aca="false">IF(Tables!$E$30="New York",INDEX('NY Curve'!$A$4:$L$256,MATCH('Monthly Table'!$B133,'NY Curve'!$A$4:$A$256,0),MATCH("New York Saturday Super Peak",'NY Curve'!$A$4:$L$4,0)),IF(Tables!$E$30="Michigan",INDEX('Michigan Curve'!$A$4:$K$256,MATCH('Monthly Table'!$B133,'Michigan Curve'!$A$4:$A$256,0),MATCH("Michigan Saturday Super Peak",'Michigan Curve'!$A$4:$K$4,0))))</f>
        <v>20.4</v>
      </c>
      <c r="AV133" s="894" t="n">
        <f aca="false">AU133*K133</f>
        <v>26.8935198686795</v>
      </c>
      <c r="AW133" s="893" t="n">
        <f aca="false">IF(AV133&gt;($CP133+$BF$4),1,0)</f>
        <v>0</v>
      </c>
      <c r="AX133" s="892" t="n">
        <f aca="false">IF(Tables!$E$30="New York",INDEX('NY Curve'!$A$4:$L$256,MATCH('Monthly Table'!$B133,'NY Curve'!$A$4:$A$256,0),MATCH("New York Saturday Shoulder Peak",'NY Curve'!$A$4:$L$4,0)),IF(Tables!$E$30="Michigan",INDEX('Michigan Curve'!$A$4:$K$256,MATCH('Monthly Table'!$B133,'Michigan Curve'!$A$4:$A$256,0),MATCH("Michigan Saturday Shoulder Peak",'Michigan Curve'!$A$4:$K$4,0))))</f>
        <v>19.6</v>
      </c>
      <c r="AY133" s="895" t="n">
        <f aca="false">AX133*K133</f>
        <v>25.8388720306921</v>
      </c>
      <c r="AZ133" s="893" t="n">
        <f aca="false">IF(AY133&gt;($CP133+$BF$4),1,0)</f>
        <v>0</v>
      </c>
      <c r="BA133" s="188"/>
      <c r="BB133" s="892" t="n">
        <f aca="false">IF(Tables!$E$30="New York",INDEX('NY Curve'!$A$4:$M$256,MATCH('Monthly Table'!$B133,'NY Curve'!$A$4:$A$256,0),MATCH("NY Sunday Super Peak",'NY Curve'!$A$4:$M$4,0)),IF(Tables!$E$30="Michigan",INDEX('Michigan Curve'!$A$4:$L$256,MATCH('Monthly Table'!$B133,'Michigan Curve'!$A$4:$A$256,0),MATCH("Michigan Sunday Super Peak",'Michigan Curve'!$A$4:$L$4,0))))</f>
        <v>19.38</v>
      </c>
      <c r="BC133" s="894" t="n">
        <f aca="false">BB133*K133</f>
        <v>25.5488438752455</v>
      </c>
      <c r="BD133" s="893" t="n">
        <f aca="false">IF(BC133&gt;($CP133+$BF$4),1,0)</f>
        <v>0</v>
      </c>
      <c r="BE133" s="188"/>
      <c r="BF133" s="896" t="n">
        <f aca="false">B133</f>
        <v>40603</v>
      </c>
      <c r="BG133" s="897" t="n">
        <f aca="false">IF($AN133=1,$E133*$BF$5,0)</f>
        <v>0</v>
      </c>
      <c r="BH133" s="976" t="n">
        <f aca="false">IF(Tables!$B$36="Combined Cycle",(BF133-BF132)*24*Assumptions!$B$21,0)</f>
        <v>0</v>
      </c>
      <c r="BI133" s="714" t="n">
        <f aca="false">IF($AN133=1,$E133*$BF$5,0)</f>
        <v>0</v>
      </c>
      <c r="BJ133" s="898" t="n">
        <f aca="false">IF('Monthly Table'!D133&lt;=Tables!$B$21,IF($BJ$10=$BG$10,BG133,IF($BJ$10=$BH$10,BH133,IF($BJ$10=$BI$10,BI133,0))),0)</f>
        <v>0</v>
      </c>
      <c r="BK133" s="288"/>
      <c r="BL133" s="898" t="n">
        <f aca="false">IF($AW133=1,$F133*$BF$5,0)</f>
        <v>0</v>
      </c>
      <c r="BM133" s="898" t="n">
        <f aca="false">IF($BD133=1,($G133+H133)*$BF$5,0)</f>
        <v>0</v>
      </c>
      <c r="BO133" s="898" t="n">
        <f aca="false">IF(AS133=1,BJ133,0)</f>
        <v>0</v>
      </c>
      <c r="BP133" s="898" t="n">
        <f aca="false">IF(AZ133=1,F133*$BF$5,0)</f>
        <v>0</v>
      </c>
      <c r="BR133" s="899" t="n">
        <f aca="false">IF(BJ133&gt;0,INDEX(OperationalDetail,MATCH("Capacity Degradation",ODColumn,0),MATCH('Monthly Table'!C133,ODRow,0)),0)</f>
        <v>0</v>
      </c>
      <c r="BS133" s="900" t="n">
        <f aca="false">BJ133*(1-BR133)*Tables!$C$36</f>
        <v>0</v>
      </c>
      <c r="BT133" s="883" t="n">
        <f aca="false">BS133*AL133/1000</f>
        <v>0</v>
      </c>
      <c r="BU133" s="883" t="n">
        <f aca="false">BT133*K133</f>
        <v>0</v>
      </c>
      <c r="BV133" s="188"/>
      <c r="BW133" s="901" t="n">
        <f aca="false">$BO133*(1-$BR133)*Tables!$C$36</f>
        <v>0</v>
      </c>
      <c r="BX133" s="902" t="n">
        <f aca="false">(BW133*AQ133)/1000</f>
        <v>0</v>
      </c>
      <c r="BY133" s="883" t="n">
        <f aca="false">BX133*K133</f>
        <v>0</v>
      </c>
      <c r="BZ133" s="188"/>
      <c r="CA133" s="901" t="n">
        <f aca="false">$BL133*(1-$BR133)*Tables!$C$36</f>
        <v>0</v>
      </c>
      <c r="CB133" s="902" t="n">
        <f aca="false">(CA133*AU133)/1000</f>
        <v>0</v>
      </c>
      <c r="CC133" s="883" t="n">
        <f aca="false">CB133*K133</f>
        <v>0</v>
      </c>
      <c r="CD133" s="901" t="n">
        <f aca="false">$BP133*(1-$BR133)*Tables!$C$36</f>
        <v>0</v>
      </c>
      <c r="CE133" s="902" t="n">
        <f aca="false">(CD133*AX133)/1000</f>
        <v>0</v>
      </c>
      <c r="CF133" s="883" t="n">
        <f aca="false">CE133*K133</f>
        <v>0</v>
      </c>
      <c r="CH133" s="901" t="n">
        <f aca="false">$BM133*(1-$BR133)*Tables!$C$36</f>
        <v>0</v>
      </c>
      <c r="CI133" s="902" t="n">
        <f aca="false">(CH133*BB133)/1000</f>
        <v>0</v>
      </c>
      <c r="CJ133" s="883" t="n">
        <f aca="false">CI133*K133</f>
        <v>0</v>
      </c>
      <c r="CK133" s="292"/>
      <c r="CL133" s="292" t="n">
        <f aca="false">C133-1</f>
        <v>2010</v>
      </c>
      <c r="CM133" s="903" t="n">
        <f aca="false">INDEX(OperationalDetail,MATCH("Degraded Heat Rate",ODColumn,0),MATCH('Monthly Table'!CL133,ODRow,0))/1000</f>
        <v>12.1095</v>
      </c>
      <c r="CN133" s="904" t="n">
        <f aca="false">S133*CM133</f>
        <v>62.4307075194076</v>
      </c>
      <c r="CO133" s="905" t="n">
        <f aca="false">IF(A133="January",(CO132*(1+Assumptions!$E$32)),CO132)</f>
        <v>8.21068929017719</v>
      </c>
      <c r="CP133" s="906" t="n">
        <f aca="false">CN133+CO133</f>
        <v>70.6413968095848</v>
      </c>
      <c r="CQ133" s="292"/>
      <c r="CR133" s="856" t="str">
        <f aca="false">IF(BJ133=0,"",C133)</f>
        <v/>
      </c>
      <c r="CS133" s="856" t="str">
        <f aca="false">IF(BO133=0,"",$C133)</f>
        <v/>
      </c>
      <c r="CT133" s="856" t="str">
        <f aca="false">IF(BL133=0,"",$C133)</f>
        <v/>
      </c>
      <c r="CU133" s="856" t="str">
        <f aca="false">IF(BP133=0,"",$C133)</f>
        <v/>
      </c>
      <c r="CV133" s="856" t="str">
        <f aca="false">IF(BD133=0,"",$C133)</f>
        <v/>
      </c>
      <c r="CW133" s="907" t="n">
        <f aca="false">YEAR(BF133)</f>
        <v>2011</v>
      </c>
      <c r="CX133" s="908" t="n">
        <f aca="false">INDEX('NY Curve'!$A$4:$G$256,MATCH('Monthly Table'!B133,'NY Curve'!$A$4:$A$256,0),MATCH("New York 5 X 16",'NY Curve'!$A$4:$G$4,0))</f>
        <v>27.75</v>
      </c>
      <c r="CY133" s="909" t="n">
        <f aca="false">K133</f>
        <v>1.31830979748429</v>
      </c>
      <c r="CZ133" s="910" t="n">
        <f aca="false">CX133*CY133</f>
        <v>36.583096880189</v>
      </c>
      <c r="DB133" s="911"/>
      <c r="DC133" s="911"/>
    </row>
    <row r="134" customFormat="false" ht="18.75" hidden="false" customHeight="true" outlineLevel="0" collapsed="false">
      <c r="A134" s="49" t="s">
        <v>813</v>
      </c>
      <c r="B134" s="863" t="n">
        <v>40634</v>
      </c>
      <c r="C134" s="288" t="n">
        <f aca="false">YEAR(B134)</f>
        <v>2011</v>
      </c>
      <c r="D134" s="864" t="n">
        <f aca="false">IF(A134="January",D133+1,D133)</f>
        <v>11</v>
      </c>
      <c r="E134" s="865" t="n">
        <v>21</v>
      </c>
      <c r="F134" s="866" t="n">
        <v>5</v>
      </c>
      <c r="G134" s="866" t="n">
        <v>4</v>
      </c>
      <c r="H134" s="866" t="n">
        <v>0</v>
      </c>
      <c r="I134" s="867" t="n">
        <f aca="false">SUM(E134:H134)</f>
        <v>30</v>
      </c>
      <c r="J134" s="868"/>
      <c r="K134" s="869" t="n">
        <f aca="false">INDEX(FX!$A$3:$C$362,MATCH(B134,FX!$A$3:$A$362,0),MATCH("Monthly Curve",FX!$A$2:$C$2,0))</f>
        <v>1.31743789086378</v>
      </c>
      <c r="L134" s="869"/>
      <c r="M134" s="987" t="n">
        <v>3.1555</v>
      </c>
      <c r="N134" s="988" t="n">
        <v>0.145</v>
      </c>
      <c r="O134" s="986" t="n">
        <v>0.1</v>
      </c>
      <c r="P134" s="872" t="n">
        <f aca="false">N134+O134</f>
        <v>0.245</v>
      </c>
      <c r="Q134" s="873" t="n">
        <f aca="false">SUM(M134:O134)</f>
        <v>3.4005</v>
      </c>
      <c r="R134" s="974" t="n">
        <f aca="false">IF(A134="January",(R133+R133*Assumptions!$E$32),R133)</f>
        <v>0.366095392349884</v>
      </c>
      <c r="S134" s="875" t="n">
        <f aca="false">(Q134*K134)+R134</f>
        <v>4.84604294023217</v>
      </c>
      <c r="T134" s="869"/>
      <c r="U134" s="984"/>
      <c r="V134" s="978"/>
      <c r="W134" s="978"/>
      <c r="X134" s="971"/>
      <c r="Y134" s="975" t="n">
        <f aca="false">Tables!$D$36</f>
        <v>312</v>
      </c>
      <c r="Z134" s="879" t="n">
        <f aca="false">IF($Z$10=$V$10,V134,IF($Z$10=$W$10,W134,IF($Z$10=$X$10,X134,0)))</f>
        <v>0</v>
      </c>
      <c r="AA134" s="880" t="n">
        <f aca="false">Y134*Z134</f>
        <v>0</v>
      </c>
      <c r="AB134" s="881" t="n">
        <f aca="false">AA134*K134</f>
        <v>0</v>
      </c>
      <c r="AC134" s="188"/>
      <c r="AD134" s="882" t="n">
        <f aca="false">IF(Tables!$E$30="Michigan",INDEX('Michigan Curve'!$A$4:$S$256,MATCH('Monthly Table'!B134,'Michigan Curve'!$A$4:$A$256,0),MATCH("Michigan Selected Option Value US$/month",'Michigan Curve'!$A$4:$S$4,0)),INDEX('NY Curve'!$A$4:$T$256,MATCH('Monthly Table'!B134,'NY Curve'!$A$4:$A$256,0),MATCH("New York Selected Option Value US$/month",'NY Curve'!$A$4:$T$4,0)))</f>
        <v>10313.3722086397</v>
      </c>
      <c r="AE134" s="883" t="n">
        <f aca="false">AD134*K134</f>
        <v>13587.2273302434</v>
      </c>
      <c r="AF134" s="188"/>
      <c r="AG134" s="884"/>
      <c r="AH134" s="49"/>
      <c r="AI134" s="885" t="n">
        <f aca="false">Assumptions!$B$50</f>
        <v>65</v>
      </c>
      <c r="AJ134" s="916"/>
      <c r="AK134" s="887" t="n">
        <f aca="false">IF(Tables!$E$30="Custom",'Monthly Table'!AI134,IF(Tables!$E$30="New York",INDEX('NY Curve'!$A$4:$G$256,MATCH('Monthly Table'!B134,'NY Curve'!$A$4:$A$256,0),MATCH("Super Peak Curve",'NY Curve'!$A$4:$G$4,0)),IF(Tables!$E$30="New York Flat",INDEX('NY Curve'!$A$4:$G$256,MATCH('Monthly Table'!B134,'NY Curve'!$A$4:$A$256,0),MATCH("Flat NY West",'NY Curve'!$A$4:$G$4,0)),INDEX('Michigan Curve'!$A$4:$F$256,MATCH('Monthly Table'!B134,'Michigan Curve'!$A$4:$A$256,0),MATCH("Michigan Super Peak Curve US$/MWhr",'Michigan Curve'!$A$4:$F$4,0)))))</f>
        <v>28.75</v>
      </c>
      <c r="AL134" s="888" t="n">
        <f aca="false">IF(D134&lt;=Tables!$B$21,IF($AL$10=$AI$10,AI134,IF($AL$10=$AJ$10,AJ134,IF($AL$10=$AK$10,AK134,0))),0)</f>
        <v>28.75</v>
      </c>
      <c r="AM134" s="889" t="n">
        <f aca="false">+AL134*K134</f>
        <v>37.8763393623337</v>
      </c>
      <c r="AN134" s="890" t="n">
        <f aca="false">IF((AL134*K134)&gt;(CP134+$BF$4),1,0)</f>
        <v>0</v>
      </c>
      <c r="AO134" s="891"/>
      <c r="AP134" s="894"/>
      <c r="AQ134" s="892" t="n">
        <f aca="false">IF(Tables!$E$30="New York",INDEX('NY Curve'!$A$4:$L$256,MATCH('Monthly Table'!B134,'NY Curve'!$A$4:$A$256,0),MATCH("New York Shoulder Hour Curve Mon-Fri",'NY Curve'!$A$4:$L$4,0)),IF(Tables!$E$30="Michigan",INDEX('Michigan Curve'!$A$4:$K$256,MATCH('Monthly Table'!B134,'Michigan Curve'!$A$4:$A$256,0),MATCH("Michigan Shoulder Hour Curve Mon-Fri",'Michigan Curve'!$A$4:$K$4,0))))</f>
        <v>28.75</v>
      </c>
      <c r="AR134" s="889" t="n">
        <f aca="false">AQ134*K134</f>
        <v>37.8763393623337</v>
      </c>
      <c r="AS134" s="893" t="n">
        <f aca="false">IF(AR134&gt;($CP134+$BF$4),1,0)</f>
        <v>0</v>
      </c>
      <c r="AT134" s="188"/>
      <c r="AU134" s="892" t="n">
        <f aca="false">IF(Tables!$E$30="New York",INDEX('NY Curve'!$A$4:$L$256,MATCH('Monthly Table'!$B134,'NY Curve'!$A$4:$A$256,0),MATCH("New York Saturday Super Peak",'NY Curve'!$A$4:$L$4,0)),IF(Tables!$E$30="Michigan",INDEX('Michigan Curve'!$A$4:$K$256,MATCH('Monthly Table'!$B134,'Michigan Curve'!$A$4:$A$256,0),MATCH("Michigan Saturday Super Peak",'Michigan Curve'!$A$4:$K$4,0))))</f>
        <v>20</v>
      </c>
      <c r="AV134" s="894" t="n">
        <f aca="false">AU134*K134</f>
        <v>26.3487578172756</v>
      </c>
      <c r="AW134" s="893" t="n">
        <f aca="false">IF(AV134&gt;($CP134+$BF$4),1,0)</f>
        <v>0</v>
      </c>
      <c r="AX134" s="892" t="n">
        <f aca="false">IF(Tables!$E$30="New York",INDEX('NY Curve'!$A$4:$L$256,MATCH('Monthly Table'!$B134,'NY Curve'!$A$4:$A$256,0),MATCH("New York Saturday Shoulder Peak",'NY Curve'!$A$4:$L$4,0)),IF(Tables!$E$30="Michigan",INDEX('Michigan Curve'!$A$4:$K$256,MATCH('Monthly Table'!$B134,'Michigan Curve'!$A$4:$A$256,0),MATCH("Michigan Saturday Shoulder Peak",'Michigan Curve'!$A$4:$K$4,0))))</f>
        <v>20</v>
      </c>
      <c r="AY134" s="895" t="n">
        <f aca="false">AX134*K134</f>
        <v>26.3487578172756</v>
      </c>
      <c r="AZ134" s="893" t="n">
        <f aca="false">IF(AY134&gt;($CP134+$BF$4),1,0)</f>
        <v>0</v>
      </c>
      <c r="BA134" s="188"/>
      <c r="BB134" s="892" t="n">
        <f aca="false">IF(Tables!$E$30="New York",INDEX('NY Curve'!$A$4:$M$256,MATCH('Monthly Table'!$B134,'NY Curve'!$A$4:$A$256,0),MATCH("NY Sunday Super Peak",'NY Curve'!$A$4:$M$4,0)),IF(Tables!$E$30="Michigan",INDEX('Michigan Curve'!$A$4:$L$256,MATCH('Monthly Table'!$B134,'Michigan Curve'!$A$4:$A$256,0),MATCH("Michigan Sunday Super Peak",'Michigan Curve'!$A$4:$L$4,0))))</f>
        <v>18.9950008392334</v>
      </c>
      <c r="BC134" s="894" t="n">
        <f aca="false">BB134*K134</f>
        <v>25.0247338425954</v>
      </c>
      <c r="BD134" s="893" t="n">
        <f aca="false">IF(BC134&gt;($CP134+$BF$4),1,0)</f>
        <v>0</v>
      </c>
      <c r="BE134" s="188"/>
      <c r="BF134" s="896" t="n">
        <f aca="false">B134</f>
        <v>40634</v>
      </c>
      <c r="BG134" s="897" t="n">
        <f aca="false">IF($AN134=1,$E134*$BF$5,0)</f>
        <v>0</v>
      </c>
      <c r="BH134" s="976" t="n">
        <f aca="false">IF(Tables!$B$36="Combined Cycle",(BF134-BF133)*24*Assumptions!$B$21,0)</f>
        <v>0</v>
      </c>
      <c r="BI134" s="714" t="n">
        <f aca="false">IF($AN134=1,$E134*$BF$5,0)</f>
        <v>0</v>
      </c>
      <c r="BJ134" s="898" t="n">
        <f aca="false">IF('Monthly Table'!D134&lt;=Tables!$B$21,IF($BJ$10=$BG$10,BG134,IF($BJ$10=$BH$10,BH134,IF($BJ$10=$BI$10,BI134,0))),0)</f>
        <v>0</v>
      </c>
      <c r="BK134" s="288"/>
      <c r="BL134" s="898" t="n">
        <f aca="false">IF($AW134=1,$F134*$BF$5,0)</f>
        <v>0</v>
      </c>
      <c r="BM134" s="898" t="n">
        <f aca="false">IF($BD134=1,($G134+H134)*$BF$5,0)</f>
        <v>0</v>
      </c>
      <c r="BO134" s="898" t="n">
        <f aca="false">IF(AS134=1,BJ134,0)</f>
        <v>0</v>
      </c>
      <c r="BP134" s="898" t="n">
        <f aca="false">IF(AZ134=1,F134*$BF$5,0)</f>
        <v>0</v>
      </c>
      <c r="BR134" s="899" t="n">
        <f aca="false">IF(BJ134&gt;0,INDEX(OperationalDetail,MATCH("Capacity Degradation",ODColumn,0),MATCH('Monthly Table'!C134,ODRow,0)),0)</f>
        <v>0</v>
      </c>
      <c r="BS134" s="900" t="n">
        <f aca="false">BJ134*(1-BR134)*Tables!$C$36</f>
        <v>0</v>
      </c>
      <c r="BT134" s="883" t="n">
        <f aca="false">BS134*AL134/1000</f>
        <v>0</v>
      </c>
      <c r="BU134" s="883" t="n">
        <f aca="false">BT134*K134</f>
        <v>0</v>
      </c>
      <c r="BV134" s="188"/>
      <c r="BW134" s="901" t="n">
        <f aca="false">$BO134*(1-$BR134)*Tables!$C$36</f>
        <v>0</v>
      </c>
      <c r="BX134" s="902" t="n">
        <f aca="false">(BW134*AQ134)/1000</f>
        <v>0</v>
      </c>
      <c r="BY134" s="883" t="n">
        <f aca="false">BX134*K134</f>
        <v>0</v>
      </c>
      <c r="BZ134" s="188"/>
      <c r="CA134" s="901" t="n">
        <f aca="false">$BL134*(1-$BR134)*Tables!$C$36</f>
        <v>0</v>
      </c>
      <c r="CB134" s="902" t="n">
        <f aca="false">(CA134*AU134)/1000</f>
        <v>0</v>
      </c>
      <c r="CC134" s="883" t="n">
        <f aca="false">CB134*K134</f>
        <v>0</v>
      </c>
      <c r="CD134" s="901" t="n">
        <f aca="false">$BP134*(1-$BR134)*Tables!$C$36</f>
        <v>0</v>
      </c>
      <c r="CE134" s="902" t="n">
        <f aca="false">(CD134*AX134)/1000</f>
        <v>0</v>
      </c>
      <c r="CF134" s="883" t="n">
        <f aca="false">CE134*K134</f>
        <v>0</v>
      </c>
      <c r="CH134" s="901" t="n">
        <f aca="false">$BM134*(1-$BR134)*Tables!$C$36</f>
        <v>0</v>
      </c>
      <c r="CI134" s="902" t="n">
        <f aca="false">(CH134*BB134)/1000</f>
        <v>0</v>
      </c>
      <c r="CJ134" s="883" t="n">
        <f aca="false">CI134*K134</f>
        <v>0</v>
      </c>
      <c r="CK134" s="292"/>
      <c r="CL134" s="292" t="n">
        <f aca="false">C134-1</f>
        <v>2010</v>
      </c>
      <c r="CM134" s="903" t="n">
        <f aca="false">INDEX(OperationalDetail,MATCH("Degraded Heat Rate",ODColumn,0),MATCH('Monthly Table'!CL134,ODRow,0))/1000</f>
        <v>12.1095</v>
      </c>
      <c r="CN134" s="904" t="n">
        <f aca="false">S134*CM134</f>
        <v>58.6831569847415</v>
      </c>
      <c r="CO134" s="905" t="n">
        <f aca="false">IF(A134="January",(CO133*(1+Assumptions!$E$32)),CO133)</f>
        <v>8.21068929017719</v>
      </c>
      <c r="CP134" s="906" t="n">
        <f aca="false">CN134+CO134</f>
        <v>66.8938462749186</v>
      </c>
      <c r="CQ134" s="292"/>
      <c r="CR134" s="856" t="str">
        <f aca="false">IF(BJ134=0,"",C134)</f>
        <v/>
      </c>
      <c r="CS134" s="856" t="str">
        <f aca="false">IF(BO134=0,"",$C134)</f>
        <v/>
      </c>
      <c r="CT134" s="856" t="str">
        <f aca="false">IF(BL134=0,"",$C134)</f>
        <v/>
      </c>
      <c r="CU134" s="856" t="str">
        <f aca="false">IF(BP134=0,"",$C134)</f>
        <v/>
      </c>
      <c r="CV134" s="856" t="str">
        <f aca="false">IF(BD134=0,"",$C134)</f>
        <v/>
      </c>
      <c r="CW134" s="907" t="n">
        <f aca="false">YEAR(BF134)</f>
        <v>2011</v>
      </c>
      <c r="CX134" s="908" t="n">
        <f aca="false">INDEX('NY Curve'!$A$4:$G$256,MATCH('Monthly Table'!B134,'NY Curve'!$A$4:$A$256,0),MATCH("New York 5 X 16",'NY Curve'!$A$4:$G$4,0))</f>
        <v>26.5</v>
      </c>
      <c r="CY134" s="909" t="n">
        <f aca="false">K134</f>
        <v>1.31743789086378</v>
      </c>
      <c r="CZ134" s="910" t="n">
        <f aca="false">CX134*CY134</f>
        <v>34.9121041078902</v>
      </c>
      <c r="DB134" s="911"/>
      <c r="DC134" s="911"/>
    </row>
    <row r="135" customFormat="false" ht="18.75" hidden="false" customHeight="true" outlineLevel="0" collapsed="false">
      <c r="A135" s="49" t="s">
        <v>814</v>
      </c>
      <c r="B135" s="863" t="n">
        <v>40664</v>
      </c>
      <c r="C135" s="288" t="n">
        <f aca="false">YEAR(B135)</f>
        <v>2011</v>
      </c>
      <c r="D135" s="864" t="n">
        <f aca="false">IF(A135="January",D134+1,D134)</f>
        <v>11</v>
      </c>
      <c r="E135" s="865" t="n">
        <v>21</v>
      </c>
      <c r="F135" s="866" t="n">
        <v>4</v>
      </c>
      <c r="G135" s="866" t="n">
        <v>5</v>
      </c>
      <c r="H135" s="866" t="n">
        <v>1</v>
      </c>
      <c r="I135" s="867" t="n">
        <f aca="false">SUM(E135:H135)</f>
        <v>31</v>
      </c>
      <c r="J135" s="868"/>
      <c r="K135" s="869" t="n">
        <f aca="false">INDEX(FX!$A$3:$C$362,MATCH(B135,FX!$A$3:$A$362,0),MATCH("Monthly Curve",FX!$A$2:$C$2,0))</f>
        <v>1.31659646722161</v>
      </c>
      <c r="L135" s="869"/>
      <c r="M135" s="987" t="n">
        <v>3.1295</v>
      </c>
      <c r="N135" s="988" t="n">
        <v>0.145</v>
      </c>
      <c r="O135" s="986" t="n">
        <v>0.1</v>
      </c>
      <c r="P135" s="872" t="n">
        <f aca="false">N135+O135</f>
        <v>0.245</v>
      </c>
      <c r="Q135" s="873" t="n">
        <f aca="false">SUM(M135:O135)</f>
        <v>3.3745</v>
      </c>
      <c r="R135" s="974" t="n">
        <f aca="false">IF(A135="January",(R134+R134*Assumptions!$E$32),R134)</f>
        <v>0.366095392349884</v>
      </c>
      <c r="S135" s="875" t="n">
        <f aca="false">(Q135*K135)+R135</f>
        <v>4.80895017098921</v>
      </c>
      <c r="T135" s="869"/>
      <c r="U135" s="984"/>
      <c r="V135" s="978"/>
      <c r="W135" s="978"/>
      <c r="X135" s="971"/>
      <c r="Y135" s="975" t="n">
        <f aca="false">Tables!$D$36</f>
        <v>312</v>
      </c>
      <c r="Z135" s="879" t="n">
        <f aca="false">IF($Z$10=$V$10,V135,IF($Z$10=$W$10,W135,IF($Z$10=$X$10,X135,0)))</f>
        <v>0</v>
      </c>
      <c r="AA135" s="880" t="n">
        <f aca="false">Y135*Z135</f>
        <v>0</v>
      </c>
      <c r="AB135" s="881" t="n">
        <f aca="false">AA135*K135</f>
        <v>0</v>
      </c>
      <c r="AC135" s="188"/>
      <c r="AD135" s="882" t="n">
        <f aca="false">IF(Tables!$E$30="Michigan",INDEX('Michigan Curve'!$A$4:$S$256,MATCH('Monthly Table'!B135,'Michigan Curve'!$A$4:$A$256,0),MATCH("Michigan Selected Option Value US$/month",'Michigan Curve'!$A$4:$S$4,0)),INDEX('NY Curve'!$A$4:$T$256,MATCH('Monthly Table'!B135,'NY Curve'!$A$4:$A$256,0),MATCH("New York Selected Option Value US$/month",'NY Curve'!$A$4:$T$4,0)))</f>
        <v>22476.0623437597</v>
      </c>
      <c r="AE135" s="883" t="n">
        <f aca="false">AD135*K135</f>
        <v>29591.9042788467</v>
      </c>
      <c r="AF135" s="188"/>
      <c r="AG135" s="884"/>
      <c r="AH135" s="49"/>
      <c r="AI135" s="885" t="n">
        <f aca="false">Assumptions!$B$50</f>
        <v>65</v>
      </c>
      <c r="AJ135" s="916"/>
      <c r="AK135" s="887" t="n">
        <f aca="false">IF(Tables!$E$30="Custom",'Monthly Table'!AI135,IF(Tables!$E$30="New York",INDEX('NY Curve'!$A$4:$G$256,MATCH('Monthly Table'!B135,'NY Curve'!$A$4:$A$256,0),MATCH("Super Peak Curve",'NY Curve'!$A$4:$G$4,0)),IF(Tables!$E$30="New York Flat",INDEX('NY Curve'!$A$4:$G$256,MATCH('Monthly Table'!B135,'NY Curve'!$A$4:$A$256,0),MATCH("Flat NY West",'NY Curve'!$A$4:$G$4,0)),INDEX('Michigan Curve'!$A$4:$F$256,MATCH('Monthly Table'!B135,'Michigan Curve'!$A$4:$A$256,0),MATCH("Michigan Super Peak Curve US$/MWhr",'Michigan Curve'!$A$4:$F$4,0)))))</f>
        <v>34.9781250581145</v>
      </c>
      <c r="AL135" s="888" t="n">
        <f aca="false">IF(D135&lt;=Tables!$B$21,IF($AL$10=$AI$10,AI135,IF($AL$10=$AJ$10,AJ135,IF($AL$10=$AK$10,AK135,0))),0)</f>
        <v>34.9781250581145</v>
      </c>
      <c r="AM135" s="889" t="n">
        <f aca="false">+AL135*K135</f>
        <v>46.0520758815493</v>
      </c>
      <c r="AN135" s="890" t="n">
        <f aca="false">IF((AL135*K135)&gt;(CP135+$BF$4),1,0)</f>
        <v>0</v>
      </c>
      <c r="AO135" s="891"/>
      <c r="AP135" s="894"/>
      <c r="AQ135" s="892" t="n">
        <f aca="false">IF(Tables!$E$30="New York",INDEX('NY Curve'!$A$4:$L$256,MATCH('Monthly Table'!B135,'NY Curve'!$A$4:$A$256,0),MATCH("New York Shoulder Hour Curve Mon-Fri",'NY Curve'!$A$4:$L$4,0)),IF(Tables!$E$30="Michigan",INDEX('Michigan Curve'!$A$4:$K$256,MATCH('Monthly Table'!B135,'Michigan Curve'!$A$4:$A$256,0),MATCH("Michigan Shoulder Hour Curve Mon-Fri",'Michigan Curve'!$A$4:$K$4,0))))</f>
        <v>30.0218749418855</v>
      </c>
      <c r="AR135" s="889" t="n">
        <f aca="false">AQ135*K135</f>
        <v>39.5266944878554</v>
      </c>
      <c r="AS135" s="893" t="n">
        <f aca="false">IF(AR135&gt;($CP135+$BF$4),1,0)</f>
        <v>0</v>
      </c>
      <c r="AT135" s="188"/>
      <c r="AU135" s="892" t="n">
        <f aca="false">IF(Tables!$E$30="New York",INDEX('NY Curve'!$A$4:$L$256,MATCH('Monthly Table'!$B135,'NY Curve'!$A$4:$A$256,0),MATCH("New York Saturday Super Peak",'NY Curve'!$A$4:$L$4,0)),IF(Tables!$E$30="Michigan",INDEX('Michigan Curve'!$A$4:$K$256,MATCH('Monthly Table'!$B135,'Michigan Curve'!$A$4:$A$256,0),MATCH("Michigan Saturday Super Peak",'Michigan Curve'!$A$4:$K$4,0))))</f>
        <v>22.6012500375509</v>
      </c>
      <c r="AV135" s="894" t="n">
        <f aca="false">AU135*K135</f>
        <v>29.7567259542318</v>
      </c>
      <c r="AW135" s="893" t="n">
        <f aca="false">IF(AV135&gt;($CP135+$BF$4),1,0)</f>
        <v>0</v>
      </c>
      <c r="AX135" s="892" t="n">
        <f aca="false">IF(Tables!$E$30="New York",INDEX('NY Curve'!$A$4:$L$256,MATCH('Monthly Table'!$B135,'NY Curve'!$A$4:$A$256,0),MATCH("New York Saturday Shoulder Peak",'NY Curve'!$A$4:$L$4,0)),IF(Tables!$E$30="Michigan",INDEX('Michigan Curve'!$A$4:$K$256,MATCH('Monthly Table'!$B135,'Michigan Curve'!$A$4:$A$256,0),MATCH("Michigan Saturday Shoulder Peak",'Michigan Curve'!$A$4:$K$4,0))))</f>
        <v>19.3987499624491</v>
      </c>
      <c r="AY135" s="895" t="n">
        <f aca="false">AX135*K135</f>
        <v>25.5403256690758</v>
      </c>
      <c r="AZ135" s="893" t="n">
        <f aca="false">IF(AY135&gt;($CP135+$BF$4),1,0)</f>
        <v>0</v>
      </c>
      <c r="BA135" s="188"/>
      <c r="BB135" s="892" t="n">
        <f aca="false">IF(Tables!$E$30="New York",INDEX('NY Curve'!$A$4:$M$256,MATCH('Monthly Table'!$B135,'NY Curve'!$A$4:$A$256,0),MATCH("NY Sunday Super Peak",'NY Curve'!$A$4:$M$4,0)),IF(Tables!$E$30="Michigan",INDEX('Michigan Curve'!$A$4:$L$256,MATCH('Monthly Table'!$B135,'Michigan Curve'!$A$4:$A$256,0),MATCH("Michigan Sunday Super Peak",'Michigan Curve'!$A$4:$L$4,0))))</f>
        <v>21.5303803825468</v>
      </c>
      <c r="BC135" s="894" t="n">
        <f aca="false">BB135*K135</f>
        <v>28.3468227495985</v>
      </c>
      <c r="BD135" s="893" t="n">
        <f aca="false">IF(BC135&gt;($CP135+$BF$4),1,0)</f>
        <v>0</v>
      </c>
      <c r="BE135" s="188"/>
      <c r="BF135" s="896" t="n">
        <f aca="false">B135</f>
        <v>40664</v>
      </c>
      <c r="BG135" s="897" t="n">
        <f aca="false">IF($AN135=1,$E135*$BF$5,0)</f>
        <v>0</v>
      </c>
      <c r="BH135" s="976" t="n">
        <f aca="false">IF(Tables!$B$36="Combined Cycle",(BF135-BF134)*24*Assumptions!$B$21,0)</f>
        <v>0</v>
      </c>
      <c r="BI135" s="714" t="n">
        <f aca="false">IF($AN135=1,$E135*$BF$5,0)</f>
        <v>0</v>
      </c>
      <c r="BJ135" s="898" t="n">
        <f aca="false">IF('Monthly Table'!D135&lt;=Tables!$B$21,IF($BJ$10=$BG$10,BG135,IF($BJ$10=$BH$10,BH135,IF($BJ$10=$BI$10,BI135,0))),0)</f>
        <v>0</v>
      </c>
      <c r="BK135" s="288"/>
      <c r="BL135" s="898" t="n">
        <f aca="false">IF($AW135=1,$F135*$BF$5,0)</f>
        <v>0</v>
      </c>
      <c r="BM135" s="898" t="n">
        <f aca="false">IF($BD135=1,($G135+H135)*$BF$5,0)</f>
        <v>0</v>
      </c>
      <c r="BO135" s="898" t="n">
        <f aca="false">IF(AS135=1,BJ135,0)</f>
        <v>0</v>
      </c>
      <c r="BP135" s="898" t="n">
        <f aca="false">IF(AZ135=1,F135*$BF$5,0)</f>
        <v>0</v>
      </c>
      <c r="BR135" s="899" t="n">
        <f aca="false">IF(BJ135&gt;0,INDEX(OperationalDetail,MATCH("Capacity Degradation",ODColumn,0),MATCH('Monthly Table'!C135,ODRow,0)),0)</f>
        <v>0</v>
      </c>
      <c r="BS135" s="900" t="n">
        <f aca="false">BJ135*(1-BR135)*Tables!$C$36</f>
        <v>0</v>
      </c>
      <c r="BT135" s="883" t="n">
        <f aca="false">BS135*AL135/1000</f>
        <v>0</v>
      </c>
      <c r="BU135" s="883" t="n">
        <f aca="false">BT135*K135</f>
        <v>0</v>
      </c>
      <c r="BV135" s="188"/>
      <c r="BW135" s="901" t="n">
        <f aca="false">$BO135*(1-$BR135)*Tables!$C$36</f>
        <v>0</v>
      </c>
      <c r="BX135" s="902" t="n">
        <f aca="false">(BW135*AQ135)/1000</f>
        <v>0</v>
      </c>
      <c r="BY135" s="883" t="n">
        <f aca="false">BX135*K135</f>
        <v>0</v>
      </c>
      <c r="BZ135" s="188"/>
      <c r="CA135" s="901" t="n">
        <f aca="false">$BL135*(1-$BR135)*Tables!$C$36</f>
        <v>0</v>
      </c>
      <c r="CB135" s="902" t="n">
        <f aca="false">(CA135*AU135)/1000</f>
        <v>0</v>
      </c>
      <c r="CC135" s="883" t="n">
        <f aca="false">CB135*K135</f>
        <v>0</v>
      </c>
      <c r="CD135" s="901" t="n">
        <f aca="false">$BP135*(1-$BR135)*Tables!$C$36</f>
        <v>0</v>
      </c>
      <c r="CE135" s="902" t="n">
        <f aca="false">(CD135*AX135)/1000</f>
        <v>0</v>
      </c>
      <c r="CF135" s="883" t="n">
        <f aca="false">CE135*K135</f>
        <v>0</v>
      </c>
      <c r="CH135" s="901" t="n">
        <f aca="false">$BM135*(1-$BR135)*Tables!$C$36</f>
        <v>0</v>
      </c>
      <c r="CI135" s="902" t="n">
        <f aca="false">(CH135*BB135)/1000</f>
        <v>0</v>
      </c>
      <c r="CJ135" s="883" t="n">
        <f aca="false">CI135*K135</f>
        <v>0</v>
      </c>
      <c r="CK135" s="292"/>
      <c r="CL135" s="292" t="n">
        <f aca="false">C135-1</f>
        <v>2010</v>
      </c>
      <c r="CM135" s="903" t="n">
        <f aca="false">INDEX(OperationalDetail,MATCH("Degraded Heat Rate",ODColumn,0),MATCH('Monthly Table'!CL135,ODRow,0))/1000</f>
        <v>12.1095</v>
      </c>
      <c r="CN135" s="904" t="n">
        <f aca="false">S135*CM135</f>
        <v>58.2339820955938</v>
      </c>
      <c r="CO135" s="905" t="n">
        <f aca="false">IF(A135="January",(CO134*(1+Assumptions!$E$32)),CO134)</f>
        <v>8.21068929017719</v>
      </c>
      <c r="CP135" s="906" t="n">
        <f aca="false">CN135+CO135</f>
        <v>66.444671385771</v>
      </c>
      <c r="CQ135" s="292"/>
      <c r="CR135" s="856" t="str">
        <f aca="false">IF(BJ135=0,"",C135)</f>
        <v/>
      </c>
      <c r="CS135" s="856" t="str">
        <f aca="false">IF(BO135=0,"",$C135)</f>
        <v/>
      </c>
      <c r="CT135" s="856" t="str">
        <f aca="false">IF(BL135=0,"",$C135)</f>
        <v/>
      </c>
      <c r="CU135" s="856" t="str">
        <f aca="false">IF(BP135=0,"",$C135)</f>
        <v/>
      </c>
      <c r="CV135" s="856" t="str">
        <f aca="false">IF(BD135=0,"",$C135)</f>
        <v/>
      </c>
      <c r="CW135" s="907" t="n">
        <f aca="false">YEAR(BF135)</f>
        <v>2011</v>
      </c>
      <c r="CX135" s="908" t="n">
        <f aca="false">INDEX('NY Curve'!$A$4:$G$256,MATCH('Monthly Table'!B135,'NY Curve'!$A$4:$A$256,0),MATCH("New York 5 X 16",'NY Curve'!$A$4:$G$4,0))</f>
        <v>31.15</v>
      </c>
      <c r="CY135" s="909" t="n">
        <f aca="false">K135</f>
        <v>1.31659646722161</v>
      </c>
      <c r="CZ135" s="910" t="n">
        <f aca="false">CX135*CY135</f>
        <v>41.0119799539532</v>
      </c>
      <c r="DB135" s="911"/>
      <c r="DC135" s="911"/>
    </row>
    <row r="136" customFormat="false" ht="18.75" hidden="false" customHeight="true" outlineLevel="0" collapsed="false">
      <c r="A136" s="49" t="s">
        <v>815</v>
      </c>
      <c r="B136" s="863" t="n">
        <v>40695</v>
      </c>
      <c r="C136" s="288" t="n">
        <f aca="false">YEAR(B136)</f>
        <v>2011</v>
      </c>
      <c r="D136" s="864" t="n">
        <f aca="false">IF(A136="January",D135+1,D135)</f>
        <v>11</v>
      </c>
      <c r="E136" s="865" t="n">
        <v>22</v>
      </c>
      <c r="F136" s="866" t="n">
        <v>4</v>
      </c>
      <c r="G136" s="866" t="n">
        <v>4</v>
      </c>
      <c r="H136" s="866" t="n">
        <v>0</v>
      </c>
      <c r="I136" s="867" t="n">
        <f aca="false">SUM(E136:H136)</f>
        <v>30</v>
      </c>
      <c r="J136" s="868"/>
      <c r="K136" s="869" t="n">
        <f aca="false">INDEX(FX!$A$3:$C$362,MATCH(B136,FX!$A$3:$A$362,0),MATCH("Monthly Curve",FX!$A$2:$C$2,0))</f>
        <v>1.31572942760761</v>
      </c>
      <c r="L136" s="869"/>
      <c r="M136" s="987" t="n">
        <v>3.1385</v>
      </c>
      <c r="N136" s="988" t="n">
        <v>0.145</v>
      </c>
      <c r="O136" s="986" t="n">
        <v>0.1</v>
      </c>
      <c r="P136" s="872" t="n">
        <f aca="false">N136+O136</f>
        <v>0.245</v>
      </c>
      <c r="Q136" s="873" t="n">
        <f aca="false">SUM(M136:O136)</f>
        <v>3.3835</v>
      </c>
      <c r="R136" s="974" t="n">
        <f aca="false">IF(A136="January",(R135+R135*Assumptions!$E$32),R135)</f>
        <v>0.366095392349884</v>
      </c>
      <c r="S136" s="875" t="n">
        <f aca="false">(Q136*K136)+R136</f>
        <v>4.81786591066023</v>
      </c>
      <c r="T136" s="869"/>
      <c r="U136" s="984"/>
      <c r="V136" s="978"/>
      <c r="W136" s="978"/>
      <c r="X136" s="971"/>
      <c r="Y136" s="975" t="n">
        <f aca="false">Tables!$D$36</f>
        <v>312</v>
      </c>
      <c r="Z136" s="879" t="n">
        <f aca="false">IF($Z$10=$V$10,V136,IF($Z$10=$W$10,W136,IF($Z$10=$X$10,X136,0)))</f>
        <v>0</v>
      </c>
      <c r="AA136" s="880" t="n">
        <f aca="false">Y136*Z136</f>
        <v>0</v>
      </c>
      <c r="AB136" s="881" t="n">
        <f aca="false">AA136*K136</f>
        <v>0</v>
      </c>
      <c r="AC136" s="188"/>
      <c r="AD136" s="882" t="n">
        <f aca="false">IF(Tables!$E$30="Michigan",INDEX('Michigan Curve'!$A$4:$S$256,MATCH('Monthly Table'!B136,'Michigan Curve'!$A$4:$A$256,0),MATCH("Michigan Selected Option Value US$/month",'Michigan Curve'!$A$4:$S$4,0)),INDEX('NY Curve'!$A$4:$T$256,MATCH('Monthly Table'!B136,'NY Curve'!$A$4:$A$256,0),MATCH("New York Selected Option Value US$/month",'NY Curve'!$A$4:$T$4,0)))</f>
        <v>100606.163737078</v>
      </c>
      <c r="AE136" s="883" t="n">
        <f aca="false">AD136*K136</f>
        <v>132370.490227584</v>
      </c>
      <c r="AF136" s="188"/>
      <c r="AG136" s="884"/>
      <c r="AH136" s="49"/>
      <c r="AI136" s="885" t="n">
        <f aca="false">Assumptions!$B$50</f>
        <v>65</v>
      </c>
      <c r="AJ136" s="916"/>
      <c r="AK136" s="887" t="n">
        <f aca="false">IF(Tables!$E$30="Custom",'Monthly Table'!AI136,IF(Tables!$E$30="New York",INDEX('NY Curve'!$A$4:$G$256,MATCH('Monthly Table'!B136,'NY Curve'!$A$4:$A$256,0),MATCH("Super Peak Curve",'NY Curve'!$A$4:$G$4,0)),IF(Tables!$E$30="New York Flat",INDEX('NY Curve'!$A$4:$G$256,MATCH('Monthly Table'!B136,'NY Curve'!$A$4:$A$256,0),MATCH("Flat NY West",'NY Curve'!$A$4:$G$4,0)),INDEX('Michigan Curve'!$A$4:$F$256,MATCH('Monthly Table'!B136,'Michigan Curve'!$A$4:$A$256,0),MATCH("Michigan Super Peak Curve US$/MWhr",'Michigan Curve'!$A$4:$F$4,0)))))</f>
        <v>81.6350666165357</v>
      </c>
      <c r="AL136" s="888" t="n">
        <f aca="false">IF(D136&lt;=Tables!$B$21,IF($AL$10=$AI$10,AI136,IF($AL$10=$AJ$10,AJ136,IF($AL$10=$AK$10,AK136,0))),0)</f>
        <v>81.6350666165357</v>
      </c>
      <c r="AM136" s="889" t="n">
        <f aca="false">+AL136*K136</f>
        <v>107.409659472084</v>
      </c>
      <c r="AN136" s="890" t="n">
        <f aca="false">IF((AL136*K136)&gt;(CP136+$BF$4),1,0)</f>
        <v>1</v>
      </c>
      <c r="AO136" s="891"/>
      <c r="AP136" s="894"/>
      <c r="AQ136" s="892" t="n">
        <f aca="false">IF(Tables!$E$30="New York",INDEX('NY Curve'!$A$4:$L$256,MATCH('Monthly Table'!B136,'NY Curve'!$A$4:$A$256,0),MATCH("New York Shoulder Hour Curve Mon-Fri",'NY Curve'!$A$4:$L$4,0)),IF(Tables!$E$30="Michigan",INDEX('Michigan Curve'!$A$4:$K$256,MATCH('Monthly Table'!B136,'Michigan Curve'!$A$4:$A$256,0),MATCH("Michigan Shoulder Hour Curve Mon-Fri",'Michigan Curve'!$A$4:$K$4,0))))</f>
        <v>22.8649333834643</v>
      </c>
      <c r="AR136" s="889" t="n">
        <f aca="false">AQ136*K136</f>
        <v>30.0840657129116</v>
      </c>
      <c r="AS136" s="893" t="n">
        <f aca="false">IF(AR136&gt;($CP136+$BF$4),1,0)</f>
        <v>0</v>
      </c>
      <c r="AT136" s="188"/>
      <c r="AU136" s="892" t="n">
        <f aca="false">IF(Tables!$E$30="New York",INDEX('NY Curve'!$A$4:$L$256,MATCH('Monthly Table'!$B136,'NY Curve'!$A$4:$A$256,0),MATCH("New York Saturday Super Peak",'NY Curve'!$A$4:$L$4,0)),IF(Tables!$E$30="Michigan",INDEX('Michigan Curve'!$A$4:$K$256,MATCH('Monthly Table'!$B136,'Michigan Curve'!$A$4:$A$256,0),MATCH("Michigan Saturday Super Peak",'Michigan Curve'!$A$4:$K$4,0))))</f>
        <v>40.6222341058359</v>
      </c>
      <c r="AV136" s="894" t="n">
        <f aca="false">AU136*K136</f>
        <v>53.4478688282139</v>
      </c>
      <c r="AW136" s="893" t="n">
        <f aca="false">IF(AV136&gt;($CP136+$BF$4),1,0)</f>
        <v>0</v>
      </c>
      <c r="AX136" s="892" t="n">
        <f aca="false">IF(Tables!$E$30="New York",INDEX('NY Curve'!$A$4:$L$256,MATCH('Monthly Table'!$B136,'NY Curve'!$A$4:$A$256,0),MATCH("New York Saturday Shoulder Peak",'NY Curve'!$A$4:$L$4,0)),IF(Tables!$E$30="Michigan",INDEX('Michigan Curve'!$A$4:$K$256,MATCH('Monthly Table'!$B136,'Michigan Curve'!$A$4:$A$256,0),MATCH("Michigan Saturday Shoulder Peak",'Michigan Curve'!$A$4:$K$4,0))))</f>
        <v>11.3777658941641</v>
      </c>
      <c r="AY136" s="895" t="n">
        <f aca="false">AX136*K136</f>
        <v>14.9700614073819</v>
      </c>
      <c r="AZ136" s="893" t="n">
        <f aca="false">IF(AY136&gt;($CP136+$BF$4),1,0)</f>
        <v>0</v>
      </c>
      <c r="BA136" s="188"/>
      <c r="BB136" s="892" t="n">
        <f aca="false">IF(Tables!$E$30="New York",INDEX('NY Curve'!$A$4:$M$256,MATCH('Monthly Table'!$B136,'NY Curve'!$A$4:$A$256,0),MATCH("NY Sunday Super Peak",'NY Curve'!$A$4:$M$4,0)),IF(Tables!$E$30="Michigan",INDEX('Michigan Curve'!$A$4:$L$256,MATCH('Monthly Table'!$B136,'Michigan Curve'!$A$4:$A$256,0),MATCH("Michigan Sunday Super Peak",'Michigan Curve'!$A$4:$L$4,0))))</f>
        <v>37.4974468669255</v>
      </c>
      <c r="BC136" s="894" t="n">
        <f aca="false">BB136*K136</f>
        <v>49.3364943029666</v>
      </c>
      <c r="BD136" s="893" t="n">
        <f aca="false">IF(BC136&gt;($CP136+$BF$4),1,0)</f>
        <v>0</v>
      </c>
      <c r="BE136" s="188"/>
      <c r="BF136" s="896" t="n">
        <f aca="false">B136</f>
        <v>40695</v>
      </c>
      <c r="BG136" s="897" t="n">
        <f aca="false">IF($AN136=1,$E136*$BF$5,0)</f>
        <v>176</v>
      </c>
      <c r="BH136" s="976" t="n">
        <f aca="false">IF(Tables!$B$36="Combined Cycle",(BF136-BF135)*24*Assumptions!$B$21,0)</f>
        <v>0</v>
      </c>
      <c r="BI136" s="714" t="n">
        <f aca="false">IF($AN136=1,$E136*$BF$5,0)</f>
        <v>176</v>
      </c>
      <c r="BJ136" s="898" t="n">
        <f aca="false">IF('Monthly Table'!D136&lt;=Tables!$B$21,IF($BJ$10=$BG$10,BG136,IF($BJ$10=$BH$10,BH136,IF($BJ$10=$BI$10,BI136,0))),0)</f>
        <v>176</v>
      </c>
      <c r="BK136" s="288"/>
      <c r="BL136" s="898" t="n">
        <f aca="false">IF($AW136=1,$F136*$BF$5,0)</f>
        <v>0</v>
      </c>
      <c r="BM136" s="898" t="n">
        <f aca="false">IF($BD136=1,($G136+H136)*$BF$5,0)</f>
        <v>0</v>
      </c>
      <c r="BO136" s="898" t="n">
        <f aca="false">IF(AS136=1,BJ136,0)</f>
        <v>0</v>
      </c>
      <c r="BP136" s="898" t="n">
        <f aca="false">IF(AZ136=1,F136*$BF$5,0)</f>
        <v>0</v>
      </c>
      <c r="BR136" s="899" t="n">
        <f aca="false">IF(BJ136&gt;0,INDEX(OperationalDetail,MATCH("Capacity Degradation",ODColumn,0),MATCH('Monthly Table'!C136,ODRow,0)),0)</f>
        <v>0.01509</v>
      </c>
      <c r="BS136" s="900" t="n">
        <f aca="false">BJ136*(1-BR136)*Tables!$C$36</f>
        <v>56163.50784</v>
      </c>
      <c r="BT136" s="883" t="n">
        <f aca="false">BS136*AL136/1000</f>
        <v>4584.91170393673</v>
      </c>
      <c r="BU136" s="883" t="n">
        <f aca="false">BT136*K136</f>
        <v>6032.5032518521</v>
      </c>
      <c r="BV136" s="188"/>
      <c r="BW136" s="901" t="n">
        <f aca="false">$BO136*(1-$BR136)*Tables!$C$36</f>
        <v>0</v>
      </c>
      <c r="BX136" s="902" t="n">
        <f aca="false">(BW136*AQ136)/1000</f>
        <v>0</v>
      </c>
      <c r="BY136" s="883" t="n">
        <f aca="false">BX136*K136</f>
        <v>0</v>
      </c>
      <c r="BZ136" s="188"/>
      <c r="CA136" s="901" t="n">
        <f aca="false">$BL136*(1-$BR136)*Tables!$C$36</f>
        <v>0</v>
      </c>
      <c r="CB136" s="902" t="n">
        <f aca="false">(CA136*AU136)/1000</f>
        <v>0</v>
      </c>
      <c r="CC136" s="883" t="n">
        <f aca="false">CB136*K136</f>
        <v>0</v>
      </c>
      <c r="CD136" s="901" t="n">
        <f aca="false">$BP136*(1-$BR136)*Tables!$C$36</f>
        <v>0</v>
      </c>
      <c r="CE136" s="902" t="n">
        <f aca="false">(CD136*AX136)/1000</f>
        <v>0</v>
      </c>
      <c r="CF136" s="883" t="n">
        <f aca="false">CE136*K136</f>
        <v>0</v>
      </c>
      <c r="CH136" s="901" t="n">
        <f aca="false">$BM136*(1-$BR136)*Tables!$C$36</f>
        <v>0</v>
      </c>
      <c r="CI136" s="902" t="n">
        <f aca="false">(CH136*BB136)/1000</f>
        <v>0</v>
      </c>
      <c r="CJ136" s="883" t="n">
        <f aca="false">CI136*K136</f>
        <v>0</v>
      </c>
      <c r="CK136" s="292"/>
      <c r="CL136" s="292" t="n">
        <f aca="false">C136-1</f>
        <v>2010</v>
      </c>
      <c r="CM136" s="903" t="n">
        <f aca="false">INDEX(OperationalDetail,MATCH("Degraded Heat Rate",ODColumn,0),MATCH('Monthly Table'!CL136,ODRow,0))/1000</f>
        <v>12.1095</v>
      </c>
      <c r="CN136" s="904" t="n">
        <f aca="false">S136*CM136</f>
        <v>58.3419472451401</v>
      </c>
      <c r="CO136" s="905" t="n">
        <f aca="false">IF(A136="January",(CO135*(1+Assumptions!$E$32)),CO135)</f>
        <v>8.21068929017719</v>
      </c>
      <c r="CP136" s="906" t="n">
        <f aca="false">CN136+CO136</f>
        <v>66.5526365353173</v>
      </c>
      <c r="CQ136" s="292"/>
      <c r="CR136" s="856" t="n">
        <f aca="false">IF(BJ136=0,"",C136)</f>
        <v>2011</v>
      </c>
      <c r="CS136" s="856" t="str">
        <f aca="false">IF(BO136=0,"",$C136)</f>
        <v/>
      </c>
      <c r="CT136" s="856" t="str">
        <f aca="false">IF(BL136=0,"",$C136)</f>
        <v/>
      </c>
      <c r="CU136" s="856" t="str">
        <f aca="false">IF(BP136=0,"",$C136)</f>
        <v/>
      </c>
      <c r="CV136" s="856" t="str">
        <f aca="false">IF(BD136=0,"",$C136)</f>
        <v/>
      </c>
      <c r="CW136" s="907" t="n">
        <f aca="false">YEAR(BF136)</f>
        <v>2011</v>
      </c>
      <c r="CX136" s="908" t="n">
        <f aca="false">INDEX('NY Curve'!$A$4:$G$256,MATCH('Monthly Table'!B136,'NY Curve'!$A$4:$A$256,0),MATCH("New York 5 X 16",'NY Curve'!$A$4:$G$4,0))</f>
        <v>52.25</v>
      </c>
      <c r="CY136" s="909" t="n">
        <f aca="false">K136</f>
        <v>1.31572942760761</v>
      </c>
      <c r="CZ136" s="910" t="n">
        <f aca="false">CX136*CY136</f>
        <v>68.7468625924976</v>
      </c>
      <c r="DB136" s="911"/>
      <c r="DC136" s="911"/>
    </row>
    <row r="137" customFormat="false" ht="18.75" hidden="false" customHeight="true" outlineLevel="0" collapsed="false">
      <c r="A137" s="49" t="s">
        <v>816</v>
      </c>
      <c r="B137" s="863" t="n">
        <v>40725</v>
      </c>
      <c r="C137" s="288" t="n">
        <f aca="false">YEAR(B137)</f>
        <v>2011</v>
      </c>
      <c r="D137" s="864" t="n">
        <f aca="false">IF(A137="January",D136+1,D136)</f>
        <v>11</v>
      </c>
      <c r="E137" s="865" t="n">
        <v>20</v>
      </c>
      <c r="F137" s="866" t="n">
        <v>5</v>
      </c>
      <c r="G137" s="866" t="n">
        <v>5</v>
      </c>
      <c r="H137" s="866" t="n">
        <v>1</v>
      </c>
      <c r="I137" s="867" t="n">
        <f aca="false">SUM(E137:H137)</f>
        <v>31</v>
      </c>
      <c r="J137" s="868"/>
      <c r="K137" s="869" t="n">
        <f aca="false">INDEX(FX!$A$3:$C$362,MATCH(B137,FX!$A$3:$A$362,0),MATCH("Monthly Curve",FX!$A$2:$C$2,0))</f>
        <v>1.31489270620588</v>
      </c>
      <c r="L137" s="869"/>
      <c r="M137" s="987" t="n">
        <v>3.1475</v>
      </c>
      <c r="N137" s="988" t="n">
        <v>0.145</v>
      </c>
      <c r="O137" s="986" t="n">
        <v>0.1</v>
      </c>
      <c r="P137" s="872" t="n">
        <f aca="false">N137+O137</f>
        <v>0.245</v>
      </c>
      <c r="Q137" s="873" t="n">
        <f aca="false">SUM(M137:O137)</f>
        <v>3.3925</v>
      </c>
      <c r="R137" s="974" t="n">
        <f aca="false">IF(A137="January",(R136+R136*Assumptions!$E$32),R136)</f>
        <v>0.366095392349884</v>
      </c>
      <c r="S137" s="875" t="n">
        <f aca="false">(Q137*K137)+R137</f>
        <v>4.82686889815333</v>
      </c>
      <c r="T137" s="869"/>
      <c r="U137" s="984"/>
      <c r="V137" s="978"/>
      <c r="W137" s="978"/>
      <c r="X137" s="971"/>
      <c r="Y137" s="975" t="n">
        <f aca="false">Tables!$D$36</f>
        <v>312</v>
      </c>
      <c r="Z137" s="879" t="n">
        <f aca="false">IF($Z$10=$V$10,V137,IF($Z$10=$W$10,W137,IF($Z$10=$X$10,X137,0)))</f>
        <v>0</v>
      </c>
      <c r="AA137" s="880" t="n">
        <f aca="false">Y137*Z137</f>
        <v>0</v>
      </c>
      <c r="AB137" s="881" t="n">
        <f aca="false">AA137*K137</f>
        <v>0</v>
      </c>
      <c r="AC137" s="188"/>
      <c r="AD137" s="882" t="n">
        <f aca="false">IF(Tables!$E$30="Michigan",INDEX('Michigan Curve'!$A$4:$S$256,MATCH('Monthly Table'!B137,'Michigan Curve'!$A$4:$A$256,0),MATCH("Michigan Selected Option Value US$/month",'Michigan Curve'!$A$4:$S$4,0)),INDEX('NY Curve'!$A$4:$T$256,MATCH('Monthly Table'!B137,'NY Curve'!$A$4:$A$256,0),MATCH("New York Selected Option Value US$/month",'NY Curve'!$A$4:$T$4,0)))</f>
        <v>333287.245781361</v>
      </c>
      <c r="AE137" s="883" t="n">
        <f aca="false">AD137*K137</f>
        <v>438236.968549358</v>
      </c>
      <c r="AF137" s="188"/>
      <c r="AG137" s="884"/>
      <c r="AH137" s="49"/>
      <c r="AI137" s="885" t="n">
        <f aca="false">Assumptions!$B$50</f>
        <v>65</v>
      </c>
      <c r="AJ137" s="916"/>
      <c r="AK137" s="887" t="n">
        <f aca="false">IF(Tables!$E$30="Custom",'Monthly Table'!AI137,IF(Tables!$E$30="New York",INDEX('NY Curve'!$A$4:$G$256,MATCH('Monthly Table'!B137,'NY Curve'!$A$4:$A$256,0),MATCH("Super Peak Curve",'NY Curve'!$A$4:$G$4,0)),IF(Tables!$E$30="New York Flat",INDEX('NY Curve'!$A$4:$G$256,MATCH('Monthly Table'!B137,'NY Curve'!$A$4:$A$256,0),MATCH("Flat NY West",'NY Curve'!$A$4:$G$4,0)),INDEX('Michigan Curve'!$A$4:$F$256,MATCH('Monthly Table'!B137,'Michigan Curve'!$A$4:$A$256,0),MATCH("Michigan Super Peak Curve US$/MWhr",'Michigan Curve'!$A$4:$F$4,0)))))</f>
        <v>149.222383320603</v>
      </c>
      <c r="AL137" s="888" t="n">
        <f aca="false">IF(D137&lt;=Tables!$B$21,IF($AL$10=$AI$10,AI137,IF($AL$10=$AJ$10,AJ137,IF($AL$10=$AK$10,AK137,0))),0)</f>
        <v>149.222383320603</v>
      </c>
      <c r="AM137" s="889" t="n">
        <f aca="false">+AL137*K137</f>
        <v>196.211423430919</v>
      </c>
      <c r="AN137" s="890" t="n">
        <f aca="false">IF((AL137*K137)&gt;(CP137+$BF$4),1,0)</f>
        <v>1</v>
      </c>
      <c r="AO137" s="891"/>
      <c r="AP137" s="894"/>
      <c r="AQ137" s="892" t="n">
        <f aca="false">IF(Tables!$E$30="New York",INDEX('NY Curve'!$A$4:$L$256,MATCH('Monthly Table'!B137,'NY Curve'!$A$4:$A$256,0),MATCH("New York Shoulder Hour Curve Mon-Fri",'NY Curve'!$A$4:$L$4,0)),IF(Tables!$E$30="Michigan",INDEX('Michigan Curve'!$A$4:$K$256,MATCH('Monthly Table'!B137,'Michigan Curve'!$A$4:$A$256,0),MATCH("Michigan Shoulder Hour Curve Mon-Fri",'Michigan Curve'!$A$4:$K$4,0))))</f>
        <v>28.7776166793966</v>
      </c>
      <c r="AR137" s="889" t="n">
        <f aca="false">AQ137*K137</f>
        <v>37.8394782737273</v>
      </c>
      <c r="AS137" s="893" t="n">
        <f aca="false">IF(AR137&gt;($CP137+$BF$4),1,0)</f>
        <v>0</v>
      </c>
      <c r="AT137" s="188"/>
      <c r="AU137" s="892" t="n">
        <f aca="false">IF(Tables!$E$30="New York",INDEX('NY Curve'!$A$4:$L$256,MATCH('Monthly Table'!$B137,'NY Curve'!$A$4:$A$256,0),MATCH("New York Saturday Super Peak",'NY Curve'!$A$4:$L$4,0)),IF(Tables!$E$30="Michigan",INDEX('Michigan Curve'!$A$4:$K$256,MATCH('Monthly Table'!$B137,'Michigan Curve'!$A$4:$A$256,0),MATCH("Michigan Saturday Super Peak",'Michigan Curve'!$A$4:$K$4,0))))</f>
        <v>58.6829597328216</v>
      </c>
      <c r="AV137" s="894" t="n">
        <f aca="false">AU137*K137</f>
        <v>77.1617957312604</v>
      </c>
      <c r="AW137" s="893" t="n">
        <f aca="false">IF(AV137&gt;($CP137+$BF$4),1,0)</f>
        <v>1</v>
      </c>
      <c r="AX137" s="892" t="n">
        <f aca="false">IF(Tables!$E$30="New York",INDEX('NY Curve'!$A$4:$L$256,MATCH('Monthly Table'!$B137,'NY Curve'!$A$4:$A$256,0),MATCH("New York Saturday Shoulder Peak",'NY Curve'!$A$4:$L$4,0)),IF(Tables!$E$30="Michigan",INDEX('Michigan Curve'!$A$4:$K$256,MATCH('Monthly Table'!$B137,'Michigan Curve'!$A$4:$A$256,0),MATCH("Michigan Saturday Shoulder Peak",'Michigan Curve'!$A$4:$K$4,0))))</f>
        <v>11.3170402671784</v>
      </c>
      <c r="AY137" s="895" t="n">
        <f aca="false">AX137*K137</f>
        <v>14.8806937031512</v>
      </c>
      <c r="AZ137" s="893" t="n">
        <f aca="false">IF(AY137&gt;($CP137+$BF$4),1,0)</f>
        <v>0</v>
      </c>
      <c r="BA137" s="188"/>
      <c r="BB137" s="892" t="n">
        <f aca="false">IF(Tables!$E$30="New York",INDEX('NY Curve'!$A$4:$M$256,MATCH('Monthly Table'!$B137,'NY Curve'!$A$4:$A$256,0),MATCH("NY Sunday Super Peak",'NY Curve'!$A$4:$M$4,0)),IF(Tables!$E$30="Michigan",INDEX('Michigan Curve'!$A$4:$L$256,MATCH('Monthly Table'!$B137,'Michigan Curve'!$A$4:$A$256,0),MATCH("Michigan Sunday Super Peak",'Michigan Curve'!$A$4:$L$4,0))))</f>
        <v>51.9763325653887</v>
      </c>
      <c r="BC137" s="894" t="n">
        <f aca="false">BB137*K137</f>
        <v>68.3433005855608</v>
      </c>
      <c r="BD137" s="893" t="n">
        <f aca="false">IF(BC137&gt;($CP137+$BF$4),1,0)</f>
        <v>1</v>
      </c>
      <c r="BE137" s="188"/>
      <c r="BF137" s="896" t="n">
        <f aca="false">B137</f>
        <v>40725</v>
      </c>
      <c r="BG137" s="897" t="n">
        <f aca="false">IF($AN137=1,$E137*$BF$5,0)</f>
        <v>160</v>
      </c>
      <c r="BH137" s="976" t="n">
        <f aca="false">IF(Tables!$B$36="Combined Cycle",(BF137-BF136)*24*Assumptions!$B$21,0)</f>
        <v>0</v>
      </c>
      <c r="BI137" s="714" t="n">
        <f aca="false">IF($AN137=1,$E137*$BF$5,0)</f>
        <v>160</v>
      </c>
      <c r="BJ137" s="898" t="n">
        <f aca="false">IF('Monthly Table'!D137&lt;=Tables!$B$21,IF($BJ$10=$BG$10,BG137,IF($BJ$10=$BH$10,BH137,IF($BJ$10=$BI$10,BI137,0))),0)</f>
        <v>160</v>
      </c>
      <c r="BK137" s="288"/>
      <c r="BL137" s="898" t="n">
        <f aca="false">IF($AW137=1,$F137*$BF$5,0)</f>
        <v>40</v>
      </c>
      <c r="BM137" s="898" t="n">
        <f aca="false">IF($BD137=1,($G137+H137)*$BF$5,0)</f>
        <v>48</v>
      </c>
      <c r="BO137" s="898" t="n">
        <f aca="false">IF(AS137=1,BJ137,0)</f>
        <v>0</v>
      </c>
      <c r="BP137" s="898" t="n">
        <f aca="false">IF(AZ137=1,F137*$BF$5,0)</f>
        <v>0</v>
      </c>
      <c r="BR137" s="899" t="n">
        <f aca="false">IF(BJ137&gt;0,INDEX(OperationalDetail,MATCH("Capacity Degradation",ODColumn,0),MATCH('Monthly Table'!C137,ODRow,0)),0)</f>
        <v>0.01509</v>
      </c>
      <c r="BS137" s="900" t="n">
        <f aca="false">BJ137*(1-BR137)*Tables!$C$36</f>
        <v>51057.7344</v>
      </c>
      <c r="BT137" s="883" t="n">
        <f aca="false">BS137*AL137/1000</f>
        <v>7618.95681411836</v>
      </c>
      <c r="BU137" s="883" t="n">
        <f aca="false">BT137*K137</f>
        <v>10018.1107437818</v>
      </c>
      <c r="BV137" s="188"/>
      <c r="BW137" s="901" t="n">
        <f aca="false">$BO137*(1-$BR137)*Tables!$C$36</f>
        <v>0</v>
      </c>
      <c r="BX137" s="902" t="n">
        <f aca="false">(BW137*AQ137)/1000</f>
        <v>0</v>
      </c>
      <c r="BY137" s="883" t="n">
        <f aca="false">BX137*K137</f>
        <v>0</v>
      </c>
      <c r="BZ137" s="188"/>
      <c r="CA137" s="901" t="n">
        <f aca="false">$BL137*(1-$BR137)*Tables!$C$36</f>
        <v>12764.4336</v>
      </c>
      <c r="CB137" s="902" t="n">
        <f aca="false">(CA137*AU137)/1000</f>
        <v>749.054742961075</v>
      </c>
      <c r="CC137" s="883" t="n">
        <f aca="false">CB137*K137</f>
        <v>984.926618068437</v>
      </c>
      <c r="CD137" s="901" t="n">
        <f aca="false">$BP137*(1-$BR137)*Tables!$C$36</f>
        <v>0</v>
      </c>
      <c r="CE137" s="902" t="n">
        <f aca="false">(CD137*AX137)/1000</f>
        <v>0</v>
      </c>
      <c r="CF137" s="883" t="n">
        <f aca="false">CE137*K137</f>
        <v>0</v>
      </c>
      <c r="CH137" s="901" t="n">
        <f aca="false">$BM137*(1-$BR137)*Tables!$C$36</f>
        <v>15317.32032</v>
      </c>
      <c r="CI137" s="902" t="n">
        <f aca="false">(CH137*BB137)/1000</f>
        <v>796.138134962906</v>
      </c>
      <c r="CJ137" s="883" t="n">
        <f aca="false">CI137*K137</f>
        <v>1046.83622679508</v>
      </c>
      <c r="CK137" s="292"/>
      <c r="CL137" s="292" t="n">
        <f aca="false">C137-1</f>
        <v>2010</v>
      </c>
      <c r="CM137" s="903" t="n">
        <f aca="false">INDEX(OperationalDetail,MATCH("Degraded Heat Rate",ODColumn,0),MATCH('Monthly Table'!CL137,ODRow,0))/1000</f>
        <v>12.1095</v>
      </c>
      <c r="CN137" s="904" t="n">
        <f aca="false">S137*CM137</f>
        <v>58.4509689221878</v>
      </c>
      <c r="CO137" s="905" t="n">
        <f aca="false">IF(A137="January",(CO136*(1+Assumptions!$E$32)),CO136)</f>
        <v>8.21068929017719</v>
      </c>
      <c r="CP137" s="906" t="n">
        <f aca="false">CN137+CO137</f>
        <v>66.661658212365</v>
      </c>
      <c r="CQ137" s="292"/>
      <c r="CR137" s="856" t="n">
        <f aca="false">IF(BJ137=0,"",C137)</f>
        <v>2011</v>
      </c>
      <c r="CS137" s="856" t="str">
        <f aca="false">IF(BO137=0,"",$C137)</f>
        <v/>
      </c>
      <c r="CT137" s="856" t="n">
        <f aca="false">IF(BL137=0,"",$C137)</f>
        <v>2011</v>
      </c>
      <c r="CU137" s="856" t="str">
        <f aca="false">IF(BP137=0,"",$C137)</f>
        <v/>
      </c>
      <c r="CV137" s="856" t="n">
        <f aca="false">IF(BD137=0,"",$C137)</f>
        <v>2011</v>
      </c>
      <c r="CW137" s="907" t="n">
        <f aca="false">YEAR(BF137)</f>
        <v>2011</v>
      </c>
      <c r="CX137" s="908" t="n">
        <f aca="false">INDEX('NY Curve'!$A$4:$G$256,MATCH('Monthly Table'!B137,'NY Curve'!$A$4:$A$256,0),MATCH("New York 5 X 16",'NY Curve'!$A$4:$G$4,0))</f>
        <v>80</v>
      </c>
      <c r="CY137" s="909" t="n">
        <f aca="false">K137</f>
        <v>1.31489270620588</v>
      </c>
      <c r="CZ137" s="910" t="n">
        <f aca="false">CX137*CY137</f>
        <v>105.19141649647</v>
      </c>
      <c r="DB137" s="911"/>
      <c r="DC137" s="911"/>
    </row>
    <row r="138" customFormat="false" ht="18.75" hidden="false" customHeight="true" outlineLevel="0" collapsed="false">
      <c r="A138" s="49" t="s">
        <v>817</v>
      </c>
      <c r="B138" s="863" t="n">
        <v>40756</v>
      </c>
      <c r="C138" s="288" t="n">
        <f aca="false">YEAR(B138)</f>
        <v>2011</v>
      </c>
      <c r="D138" s="864" t="n">
        <f aca="false">IF(A138="January",D137+1,D137)</f>
        <v>11</v>
      </c>
      <c r="E138" s="865" t="n">
        <v>23</v>
      </c>
      <c r="F138" s="866" t="n">
        <v>4</v>
      </c>
      <c r="G138" s="866" t="n">
        <v>4</v>
      </c>
      <c r="H138" s="866" t="n">
        <v>0</v>
      </c>
      <c r="I138" s="867" t="n">
        <f aca="false">SUM(E138:H138)</f>
        <v>31</v>
      </c>
      <c r="J138" s="868"/>
      <c r="K138" s="869" t="n">
        <f aca="false">INDEX(FX!$A$3:$C$362,MATCH(B138,FX!$A$3:$A$362,0),MATCH("Monthly Curve",FX!$A$2:$C$2,0))</f>
        <v>1.31403051757469</v>
      </c>
      <c r="L138" s="869"/>
      <c r="M138" s="987" t="n">
        <v>3.1545</v>
      </c>
      <c r="N138" s="988" t="n">
        <v>0.145</v>
      </c>
      <c r="O138" s="986" t="n">
        <v>0.1</v>
      </c>
      <c r="P138" s="872" t="n">
        <f aca="false">N138+O138</f>
        <v>0.245</v>
      </c>
      <c r="Q138" s="873" t="n">
        <f aca="false">SUM(M138:O138)</f>
        <v>3.3995</v>
      </c>
      <c r="R138" s="974" t="n">
        <f aca="false">IF(A138="January",(R137+R137*Assumptions!$E$32),R137)</f>
        <v>0.366095392349884</v>
      </c>
      <c r="S138" s="875" t="n">
        <f aca="false">(Q138*K138)+R138</f>
        <v>4.83314213684504</v>
      </c>
      <c r="T138" s="869"/>
      <c r="U138" s="984"/>
      <c r="V138" s="978"/>
      <c r="W138" s="978"/>
      <c r="X138" s="971"/>
      <c r="Y138" s="975" t="n">
        <f aca="false">Tables!$D$36</f>
        <v>312</v>
      </c>
      <c r="Z138" s="879" t="n">
        <f aca="false">IF($Z$10=$V$10,V138,IF($Z$10=$W$10,W138,IF($Z$10=$X$10,X138,0)))</f>
        <v>0</v>
      </c>
      <c r="AA138" s="880" t="n">
        <f aca="false">Y138*Z138</f>
        <v>0</v>
      </c>
      <c r="AB138" s="881" t="n">
        <f aca="false">AA138*K138</f>
        <v>0</v>
      </c>
      <c r="AC138" s="188"/>
      <c r="AD138" s="882" t="n">
        <f aca="false">IF(Tables!$E$30="Michigan",INDEX('Michigan Curve'!$A$4:$S$256,MATCH('Monthly Table'!B138,'Michigan Curve'!$A$4:$A$256,0),MATCH("Michigan Selected Option Value US$/month",'Michigan Curve'!$A$4:$S$4,0)),INDEX('NY Curve'!$A$4:$T$256,MATCH('Monthly Table'!B138,'NY Curve'!$A$4:$A$256,0),MATCH("New York Selected Option Value US$/month",'NY Curve'!$A$4:$T$4,0)))</f>
        <v>281522.274509662</v>
      </c>
      <c r="AE138" s="883" t="n">
        <f aca="false">AD138*K138</f>
        <v>369928.860082735</v>
      </c>
      <c r="AF138" s="188"/>
      <c r="AG138" s="884"/>
      <c r="AH138" s="49"/>
      <c r="AI138" s="885" t="n">
        <f aca="false">Assumptions!$B$50</f>
        <v>65</v>
      </c>
      <c r="AJ138" s="916"/>
      <c r="AK138" s="887" t="n">
        <f aca="false">IF(Tables!$E$30="Custom",'Monthly Table'!AI138,IF(Tables!$E$30="New York",INDEX('NY Curve'!$A$4:$G$256,MATCH('Monthly Table'!B138,'NY Curve'!$A$4:$A$256,0),MATCH("Super Peak Curve",'NY Curve'!$A$4:$G$4,0)),IF(Tables!$E$30="New York Flat",INDEX('NY Curve'!$A$4:$G$256,MATCH('Monthly Table'!B138,'NY Curve'!$A$4:$A$256,0),MATCH("Flat NY West",'NY Curve'!$A$4:$G$4,0)),INDEX('Michigan Curve'!$A$4:$F$256,MATCH('Monthly Table'!B138,'Michigan Curve'!$A$4:$A$256,0),MATCH("Michigan Super Peak Curve US$/MWhr",'Michigan Curve'!$A$4:$F$4,0)))))</f>
        <v>149.222383320603</v>
      </c>
      <c r="AL138" s="888" t="n">
        <f aca="false">IF(D138&lt;=Tables!$B$21,IF($AL$10=$AI$10,AI138,IF($AL$10=$AJ$10,AJ138,IF($AL$10=$AK$10,AK138,0))),0)</f>
        <v>149.222383320603</v>
      </c>
      <c r="AM138" s="889" t="n">
        <f aca="false">+AL138*K138</f>
        <v>196.082765588501</v>
      </c>
      <c r="AN138" s="890" t="n">
        <f aca="false">IF((AL138*K138)&gt;(CP138+$BF$4),1,0)</f>
        <v>1</v>
      </c>
      <c r="AO138" s="891"/>
      <c r="AP138" s="894"/>
      <c r="AQ138" s="892" t="n">
        <f aca="false">IF(Tables!$E$30="New York",INDEX('NY Curve'!$A$4:$L$256,MATCH('Monthly Table'!B138,'NY Curve'!$A$4:$A$256,0),MATCH("New York Shoulder Hour Curve Mon-Fri",'NY Curve'!$A$4:$L$4,0)),IF(Tables!$E$30="Michigan",INDEX('Michigan Curve'!$A$4:$K$256,MATCH('Monthly Table'!B138,'Michigan Curve'!$A$4:$A$256,0),MATCH("Michigan Shoulder Hour Curve Mon-Fri",'Michigan Curve'!$A$4:$K$4,0))))</f>
        <v>28.7776166793966</v>
      </c>
      <c r="AR138" s="889" t="n">
        <f aca="false">AQ138*K138</f>
        <v>37.8146665397936</v>
      </c>
      <c r="AS138" s="893" t="n">
        <f aca="false">IF(AR138&gt;($CP138+$BF$4),1,0)</f>
        <v>0</v>
      </c>
      <c r="AT138" s="188"/>
      <c r="AU138" s="892" t="n">
        <f aca="false">IF(Tables!$E$30="New York",INDEX('NY Curve'!$A$4:$L$256,MATCH('Monthly Table'!$B138,'NY Curve'!$A$4:$A$256,0),MATCH("New York Saturday Super Peak",'NY Curve'!$A$4:$L$4,0)),IF(Tables!$E$30="Michigan",INDEX('Michigan Curve'!$A$4:$K$256,MATCH('Monthly Table'!$B138,'Michigan Curve'!$A$4:$A$256,0),MATCH("Michigan Saturday Super Peak",'Michigan Curve'!$A$4:$K$4,0))))</f>
        <v>58.6829661287566</v>
      </c>
      <c r="AV138" s="894" t="n">
        <f aca="false">AU138*K138</f>
        <v>77.111208354988</v>
      </c>
      <c r="AW138" s="893" t="n">
        <f aca="false">IF(AV138&gt;($CP138+$BF$4),1,0)</f>
        <v>1</v>
      </c>
      <c r="AX138" s="892" t="n">
        <f aca="false">IF(Tables!$E$30="New York",INDEX('NY Curve'!$A$4:$L$256,MATCH('Monthly Table'!$B138,'NY Curve'!$A$4:$A$256,0),MATCH("New York Saturday Shoulder Peak",'NY Curve'!$A$4:$L$4,0)),IF(Tables!$E$30="Michigan",INDEX('Michigan Curve'!$A$4:$K$256,MATCH('Monthly Table'!$B138,'Michigan Curve'!$A$4:$A$256,0),MATCH("Michigan Saturday Shoulder Peak",'Michigan Curve'!$A$4:$K$4,0))))</f>
        <v>11.3170415006379</v>
      </c>
      <c r="AY138" s="895" t="n">
        <f aca="false">AX138*K138</f>
        <v>14.8709379004975</v>
      </c>
      <c r="AZ138" s="893" t="n">
        <f aca="false">IF(AY138&gt;($CP138+$BF$4),1,0)</f>
        <v>0</v>
      </c>
      <c r="BA138" s="188"/>
      <c r="BB138" s="892" t="n">
        <f aca="false">IF(Tables!$E$30="New York",INDEX('NY Curve'!$A$4:$M$256,MATCH('Monthly Table'!$B138,'NY Curve'!$A$4:$A$256,0),MATCH("NY Sunday Super Peak",'NY Curve'!$A$4:$M$4,0)),IF(Tables!$E$30="Michigan",INDEX('Michigan Curve'!$A$4:$L$256,MATCH('Monthly Table'!$B138,'Michigan Curve'!$A$4:$A$256,0),MATCH("Michigan Sunday Super Peak",'Michigan Curve'!$A$4:$L$4,0))))</f>
        <v>51.9763357633562</v>
      </c>
      <c r="BC138" s="894" t="n">
        <f aca="false">BB138*K138</f>
        <v>68.2984913847589</v>
      </c>
      <c r="BD138" s="893" t="n">
        <f aca="false">IF(BC138&gt;($CP138+$BF$4),1,0)</f>
        <v>1</v>
      </c>
      <c r="BE138" s="188"/>
      <c r="BF138" s="896" t="n">
        <f aca="false">B138</f>
        <v>40756</v>
      </c>
      <c r="BG138" s="897" t="n">
        <f aca="false">IF($AN138=1,$E138*$BF$5,0)</f>
        <v>184</v>
      </c>
      <c r="BH138" s="976" t="n">
        <f aca="false">IF(Tables!$B$36="Combined Cycle",(BF138-BF137)*24*Assumptions!$B$21,0)</f>
        <v>0</v>
      </c>
      <c r="BI138" s="714" t="n">
        <f aca="false">IF($AN138=1,$E138*$BF$5,0)</f>
        <v>184</v>
      </c>
      <c r="BJ138" s="898" t="n">
        <f aca="false">IF('Monthly Table'!D138&lt;=Tables!$B$21,IF($BJ$10=$BG$10,BG138,IF($BJ$10=$BH$10,BH138,IF($BJ$10=$BI$10,BI138,0))),0)</f>
        <v>184</v>
      </c>
      <c r="BK138" s="288"/>
      <c r="BL138" s="898" t="n">
        <f aca="false">IF($AW138=1,$F138*$BF$5,0)</f>
        <v>32</v>
      </c>
      <c r="BM138" s="898" t="n">
        <f aca="false">IF($BD138=1,($G138+H138)*$BF$5,0)</f>
        <v>32</v>
      </c>
      <c r="BO138" s="898" t="n">
        <f aca="false">IF(AS138=1,BJ138,0)</f>
        <v>0</v>
      </c>
      <c r="BP138" s="898" t="n">
        <f aca="false">IF(AZ138=1,F138*$BF$5,0)</f>
        <v>0</v>
      </c>
      <c r="BR138" s="899" t="n">
        <f aca="false">IF(BJ138&gt;0,INDEX(OperationalDetail,MATCH("Capacity Degradation",ODColumn,0),MATCH('Monthly Table'!C138,ODRow,0)),0)</f>
        <v>0.01509</v>
      </c>
      <c r="BS138" s="900" t="n">
        <f aca="false">BJ138*(1-BR138)*Tables!$C$36</f>
        <v>58716.39456</v>
      </c>
      <c r="BT138" s="883" t="n">
        <f aca="false">BS138*AL138/1000</f>
        <v>8761.80033623611</v>
      </c>
      <c r="BU138" s="883" t="n">
        <f aca="false">BT138*K138</f>
        <v>11513.2730307104</v>
      </c>
      <c r="BV138" s="188"/>
      <c r="BW138" s="901" t="n">
        <f aca="false">$BO138*(1-$BR138)*Tables!$C$36</f>
        <v>0</v>
      </c>
      <c r="BX138" s="902" t="n">
        <f aca="false">(BW138*AQ138)/1000</f>
        <v>0</v>
      </c>
      <c r="BY138" s="883" t="n">
        <f aca="false">BX138*K138</f>
        <v>0</v>
      </c>
      <c r="BZ138" s="188"/>
      <c r="CA138" s="901" t="n">
        <f aca="false">$BL138*(1-$BR138)*Tables!$C$36</f>
        <v>10211.54688</v>
      </c>
      <c r="CB138" s="902" t="n">
        <f aca="false">(CA138*AU138)/1000</f>
        <v>599.24385968125</v>
      </c>
      <c r="CC138" s="883" t="n">
        <f aca="false">CB138*K138</f>
        <v>787.424719090408</v>
      </c>
      <c r="CD138" s="901" t="n">
        <f aca="false">$BP138*(1-$BR138)*Tables!$C$36</f>
        <v>0</v>
      </c>
      <c r="CE138" s="902" t="n">
        <f aca="false">(CD138*AX138)/1000</f>
        <v>0</v>
      </c>
      <c r="CF138" s="883" t="n">
        <f aca="false">CE138*K138</f>
        <v>0</v>
      </c>
      <c r="CH138" s="901" t="n">
        <f aca="false">$BM138*(1-$BR138)*Tables!$C$36</f>
        <v>10211.54688</v>
      </c>
      <c r="CI138" s="902" t="n">
        <f aca="false">(CH138*BB138)/1000</f>
        <v>530.758789298133</v>
      </c>
      <c r="CJ138" s="883" t="n">
        <f aca="false">CI138*K138</f>
        <v>697.433246608741</v>
      </c>
      <c r="CK138" s="292"/>
      <c r="CL138" s="292" t="n">
        <f aca="false">C138-1</f>
        <v>2010</v>
      </c>
      <c r="CM138" s="903" t="n">
        <f aca="false">INDEX(OperationalDetail,MATCH("Degraded Heat Rate",ODColumn,0),MATCH('Monthly Table'!CL138,ODRow,0))/1000</f>
        <v>12.1095</v>
      </c>
      <c r="CN138" s="904" t="n">
        <f aca="false">S138*CM138</f>
        <v>58.5269347061251</v>
      </c>
      <c r="CO138" s="905" t="n">
        <f aca="false">IF(A138="January",(CO137*(1+Assumptions!$E$32)),CO137)</f>
        <v>8.21068929017719</v>
      </c>
      <c r="CP138" s="906" t="n">
        <f aca="false">CN138+CO138</f>
        <v>66.7376239963023</v>
      </c>
      <c r="CQ138" s="292"/>
      <c r="CR138" s="856" t="n">
        <f aca="false">IF(BJ138=0,"",C138)</f>
        <v>2011</v>
      </c>
      <c r="CS138" s="856" t="str">
        <f aca="false">IF(BO138=0,"",$C138)</f>
        <v/>
      </c>
      <c r="CT138" s="856" t="n">
        <f aca="false">IF(BL138=0,"",$C138)</f>
        <v>2011</v>
      </c>
      <c r="CU138" s="856" t="str">
        <f aca="false">IF(BP138=0,"",$C138)</f>
        <v/>
      </c>
      <c r="CV138" s="856" t="n">
        <f aca="false">IF(BD138=0,"",$C138)</f>
        <v>2011</v>
      </c>
      <c r="CW138" s="907" t="n">
        <f aca="false">YEAR(BF138)</f>
        <v>2011</v>
      </c>
      <c r="CX138" s="908" t="n">
        <f aca="false">INDEX('NY Curve'!$A$4:$G$256,MATCH('Monthly Table'!B138,'NY Curve'!$A$4:$A$256,0),MATCH("New York 5 X 16",'NY Curve'!$A$4:$G$4,0))</f>
        <v>72.5</v>
      </c>
      <c r="CY138" s="909" t="n">
        <f aca="false">K138</f>
        <v>1.31403051757469</v>
      </c>
      <c r="CZ138" s="910" t="n">
        <f aca="false">CX138*CY138</f>
        <v>95.267212524165</v>
      </c>
      <c r="DB138" s="911"/>
      <c r="DC138" s="911"/>
    </row>
    <row r="139" customFormat="false" ht="18.75" hidden="false" customHeight="true" outlineLevel="0" collapsed="false">
      <c r="A139" s="49" t="s">
        <v>818</v>
      </c>
      <c r="B139" s="863" t="n">
        <v>40787</v>
      </c>
      <c r="C139" s="288" t="n">
        <f aca="false">YEAR(B139)</f>
        <v>2011</v>
      </c>
      <c r="D139" s="864" t="n">
        <f aca="false">IF(A139="January",D138+1,D138)</f>
        <v>11</v>
      </c>
      <c r="E139" s="865" t="n">
        <v>21</v>
      </c>
      <c r="F139" s="866" t="n">
        <v>4</v>
      </c>
      <c r="G139" s="866" t="n">
        <v>4</v>
      </c>
      <c r="H139" s="866" t="n">
        <v>1</v>
      </c>
      <c r="I139" s="867" t="n">
        <f aca="false">SUM(E139:H139)</f>
        <v>30</v>
      </c>
      <c r="J139" s="868"/>
      <c r="K139" s="869" t="n">
        <f aca="false">INDEX(FX!$A$3:$C$362,MATCH(B139,FX!$A$3:$A$362,0),MATCH("Monthly Curve",FX!$A$2:$C$2,0))</f>
        <v>1.31317078808901</v>
      </c>
      <c r="L139" s="869"/>
      <c r="M139" s="987" t="n">
        <v>3.1615</v>
      </c>
      <c r="N139" s="988" t="n">
        <v>0.145</v>
      </c>
      <c r="O139" s="986" t="n">
        <v>0.1</v>
      </c>
      <c r="P139" s="872" t="n">
        <f aca="false">N139+O139</f>
        <v>0.245</v>
      </c>
      <c r="Q139" s="873" t="n">
        <f aca="false">SUM(M139:O139)</f>
        <v>3.4065</v>
      </c>
      <c r="R139" s="974" t="n">
        <f aca="false">IF(A139="January",(R138+R138*Assumptions!$E$32),R138)</f>
        <v>0.366095392349884</v>
      </c>
      <c r="S139" s="875" t="n">
        <f aca="false">(Q139*K139)+R139</f>
        <v>4.8394116819751</v>
      </c>
      <c r="T139" s="869"/>
      <c r="U139" s="984"/>
      <c r="V139" s="978"/>
      <c r="W139" s="978"/>
      <c r="X139" s="971"/>
      <c r="Y139" s="975" t="n">
        <f aca="false">Tables!$D$36</f>
        <v>312</v>
      </c>
      <c r="Z139" s="879" t="n">
        <f aca="false">IF($Z$10=$V$10,V139,IF($Z$10=$W$10,W139,IF($Z$10=$X$10,X139,0)))</f>
        <v>0</v>
      </c>
      <c r="AA139" s="880" t="n">
        <f aca="false">Y139*Z139</f>
        <v>0</v>
      </c>
      <c r="AB139" s="881" t="n">
        <f aca="false">AA139*K139</f>
        <v>0</v>
      </c>
      <c r="AC139" s="188"/>
      <c r="AD139" s="882" t="n">
        <f aca="false">IF(Tables!$E$30="Michigan",INDEX('Michigan Curve'!$A$4:$S$256,MATCH('Monthly Table'!B139,'Michigan Curve'!$A$4:$A$256,0),MATCH("Michigan Selected Option Value US$/month",'Michigan Curve'!$A$4:$S$4,0)),INDEX('NY Curve'!$A$4:$T$256,MATCH('Monthly Table'!B139,'NY Curve'!$A$4:$A$256,0),MATCH("New York Selected Option Value US$/month",'NY Curve'!$A$4:$T$4,0)))</f>
        <v>168520.260227145</v>
      </c>
      <c r="AE139" s="883" t="n">
        <f aca="false">AD139*K139</f>
        <v>221295.882931446</v>
      </c>
      <c r="AF139" s="188"/>
      <c r="AG139" s="884"/>
      <c r="AH139" s="49"/>
      <c r="AI139" s="885" t="n">
        <f aca="false">Assumptions!$B$50</f>
        <v>65</v>
      </c>
      <c r="AJ139" s="916"/>
      <c r="AK139" s="887" t="n">
        <f aca="false">IF(Tables!$E$30="Custom",'Monthly Table'!AI139,IF(Tables!$E$30="New York",INDEX('NY Curve'!$A$4:$G$256,MATCH('Monthly Table'!B139,'NY Curve'!$A$4:$A$256,0),MATCH("Super Peak Curve",'NY Curve'!$A$4:$G$4,0)),IF(Tables!$E$30="New York Flat",INDEX('NY Curve'!$A$4:$G$256,MATCH('Monthly Table'!B139,'NY Curve'!$A$4:$A$256,0),MATCH("Flat NY West",'NY Curve'!$A$4:$G$4,0)),INDEX('Michigan Curve'!$A$4:$F$256,MATCH('Monthly Table'!B139,'Michigan Curve'!$A$4:$A$256,0),MATCH("Michigan Super Peak Curve US$/MWhr",'Michigan Curve'!$A$4:$F$4,0)))))</f>
        <v>47.6315622478724</v>
      </c>
      <c r="AL139" s="888" t="n">
        <f aca="false">IF(D139&lt;=Tables!$B$21,IF($AL$10=$AI$10,AI139,IF($AL$10=$AJ$10,AJ139,IF($AL$10=$AK$10,AK139,0))),0)</f>
        <v>47.6315622478724</v>
      </c>
      <c r="AM139" s="889" t="n">
        <f aca="false">+AL139*K139</f>
        <v>62.5483761349493</v>
      </c>
      <c r="AN139" s="890" t="n">
        <f aca="false">IF((AL139*K139)&gt;(CP139+$BF$4),1,0)</f>
        <v>0</v>
      </c>
      <c r="AO139" s="891"/>
      <c r="AP139" s="894"/>
      <c r="AQ139" s="892" t="n">
        <f aca="false">IF(Tables!$E$30="New York",INDEX('NY Curve'!$A$4:$L$256,MATCH('Monthly Table'!B139,'NY Curve'!$A$4:$A$256,0),MATCH("New York Shoulder Hour Curve Mon-Fri",'NY Curve'!$A$4:$L$4,0)),IF(Tables!$E$30="Michigan",INDEX('Michigan Curve'!$A$4:$K$256,MATCH('Monthly Table'!B139,'Michigan Curve'!$A$4:$A$256,0),MATCH("Michigan Shoulder Hour Curve Mon-Fri",'Michigan Curve'!$A$4:$K$4,0))))</f>
        <v>22.8684377521276</v>
      </c>
      <c r="AR139" s="889" t="n">
        <f aca="false">AQ139*K139</f>
        <v>30.0301644253259</v>
      </c>
      <c r="AS139" s="893" t="n">
        <f aca="false">IF(AR139&gt;($CP139+$BF$4),1,0)</f>
        <v>0</v>
      </c>
      <c r="AT139" s="188"/>
      <c r="AU139" s="892" t="n">
        <f aca="false">IF(Tables!$E$30="New York",INDEX('NY Curve'!$A$4:$L$256,MATCH('Monthly Table'!$B139,'NY Curve'!$A$4:$A$256,0),MATCH("New York Saturday Super Peak",'NY Curve'!$A$4:$L$4,0)),IF(Tables!$E$30="Michigan",INDEX('Michigan Curve'!$A$4:$K$256,MATCH('Monthly Table'!$B139,'Michigan Curve'!$A$4:$A$256,0),MATCH("Michigan Saturday Super Peak",'Michigan Curve'!$A$4:$K$4,0))))</f>
        <v>33.7812498211861</v>
      </c>
      <c r="AV139" s="894" t="n">
        <f aca="false">AU139*K139</f>
        <v>44.3605504503186</v>
      </c>
      <c r="AW139" s="893" t="n">
        <f aca="false">IF(AV139&gt;($CP139+$BF$4),1,0)</f>
        <v>0</v>
      </c>
      <c r="AX139" s="892" t="n">
        <f aca="false">IF(Tables!$E$30="New York",INDEX('NY Curve'!$A$4:$L$256,MATCH('Monthly Table'!$B139,'NY Curve'!$A$4:$A$256,0),MATCH("New York Saturday Shoulder Peak",'NY Curve'!$A$4:$L$4,0)),IF(Tables!$E$30="Michigan",INDEX('Michigan Curve'!$A$4:$K$256,MATCH('Monthly Table'!$B139,'Michigan Curve'!$A$4:$A$256,0),MATCH("Michigan Saturday Shoulder Peak",'Michigan Curve'!$A$4:$K$4,0))))</f>
        <v>16.2187501788139</v>
      </c>
      <c r="AY139" s="895" t="n">
        <f aca="false">AX139*K139</f>
        <v>21.2979889541319</v>
      </c>
      <c r="AZ139" s="893" t="n">
        <f aca="false">IF(AY139&gt;($CP139+$BF$4),1,0)</f>
        <v>0</v>
      </c>
      <c r="BA139" s="188"/>
      <c r="BB139" s="892" t="n">
        <f aca="false">IF(Tables!$E$30="New York",INDEX('NY Curve'!$A$4:$M$256,MATCH('Monthly Table'!$B139,'NY Curve'!$A$4:$A$256,0),MATCH("NY Sunday Super Peak",'NY Curve'!$A$4:$M$4,0)),IF(Tables!$E$30="Michigan",INDEX('Michigan Curve'!$A$4:$L$256,MATCH('Monthly Table'!$B139,'Michigan Curve'!$A$4:$A$256,0),MATCH("Michigan Sunday Super Peak",'Michigan Curve'!$A$4:$L$4,0))))</f>
        <v>32.4299998283386</v>
      </c>
      <c r="BC139" s="894" t="n">
        <f aca="false">BB139*K139</f>
        <v>42.5861284323059</v>
      </c>
      <c r="BD139" s="893" t="n">
        <f aca="false">IF(BC139&gt;($CP139+$BF$4),1,0)</f>
        <v>0</v>
      </c>
      <c r="BE139" s="188"/>
      <c r="BF139" s="896" t="n">
        <f aca="false">B139</f>
        <v>40787</v>
      </c>
      <c r="BG139" s="897" t="n">
        <f aca="false">IF($AN139=1,$E139*$BF$5,0)</f>
        <v>0</v>
      </c>
      <c r="BH139" s="976" t="n">
        <f aca="false">IF(Tables!$B$36="Combined Cycle",(BF139-BF138)*24*Assumptions!$B$21,0)</f>
        <v>0</v>
      </c>
      <c r="BI139" s="714" t="n">
        <f aca="false">IF($AN139=1,$E139*$BF$5,0)</f>
        <v>0</v>
      </c>
      <c r="BJ139" s="898" t="n">
        <f aca="false">IF('Monthly Table'!D139&lt;=Tables!$B$21,IF($BJ$10=$BG$10,BG139,IF($BJ$10=$BH$10,BH139,IF($BJ$10=$BI$10,BI139,0))),0)</f>
        <v>0</v>
      </c>
      <c r="BK139" s="288"/>
      <c r="BL139" s="898" t="n">
        <f aca="false">IF($AW139=1,$F139*$BF$5,0)</f>
        <v>0</v>
      </c>
      <c r="BM139" s="898" t="n">
        <f aca="false">IF($BD139=1,($G139+H139)*$BF$5,0)</f>
        <v>0</v>
      </c>
      <c r="BO139" s="898" t="n">
        <f aca="false">IF(AS139=1,BJ139,0)</f>
        <v>0</v>
      </c>
      <c r="BP139" s="898" t="n">
        <f aca="false">IF(AZ139=1,F139*$BF$5,0)</f>
        <v>0</v>
      </c>
      <c r="BR139" s="899" t="n">
        <f aca="false">IF(BJ139&gt;0,INDEX(OperationalDetail,MATCH("Capacity Degradation",ODColumn,0),MATCH('Monthly Table'!C139,ODRow,0)),0)</f>
        <v>0</v>
      </c>
      <c r="BS139" s="900" t="n">
        <f aca="false">BJ139*(1-BR139)*Tables!$C$36</f>
        <v>0</v>
      </c>
      <c r="BT139" s="883" t="n">
        <f aca="false">BS139*AL139/1000</f>
        <v>0</v>
      </c>
      <c r="BU139" s="883" t="n">
        <f aca="false">BT139*K139</f>
        <v>0</v>
      </c>
      <c r="BV139" s="188"/>
      <c r="BW139" s="901" t="n">
        <f aca="false">$BO139*(1-$BR139)*Tables!$C$36</f>
        <v>0</v>
      </c>
      <c r="BX139" s="902" t="n">
        <f aca="false">(BW139*AQ139)/1000</f>
        <v>0</v>
      </c>
      <c r="BY139" s="883" t="n">
        <f aca="false">BX139*K139</f>
        <v>0</v>
      </c>
      <c r="BZ139" s="188"/>
      <c r="CA139" s="901" t="n">
        <f aca="false">$BL139*(1-$BR139)*Tables!$C$36</f>
        <v>0</v>
      </c>
      <c r="CB139" s="902" t="n">
        <f aca="false">(CA139*AU139)/1000</f>
        <v>0</v>
      </c>
      <c r="CC139" s="883" t="n">
        <f aca="false">CB139*K139</f>
        <v>0</v>
      </c>
      <c r="CD139" s="901" t="n">
        <f aca="false">$BP139*(1-$BR139)*Tables!$C$36</f>
        <v>0</v>
      </c>
      <c r="CE139" s="902" t="n">
        <f aca="false">(CD139*AX139)/1000</f>
        <v>0</v>
      </c>
      <c r="CF139" s="883" t="n">
        <f aca="false">CE139*K139</f>
        <v>0</v>
      </c>
      <c r="CH139" s="901" t="n">
        <f aca="false">$BM139*(1-$BR139)*Tables!$C$36</f>
        <v>0</v>
      </c>
      <c r="CI139" s="902" t="n">
        <f aca="false">(CH139*BB139)/1000</f>
        <v>0</v>
      </c>
      <c r="CJ139" s="883" t="n">
        <f aca="false">CI139*K139</f>
        <v>0</v>
      </c>
      <c r="CK139" s="292"/>
      <c r="CL139" s="292" t="n">
        <f aca="false">C139-1</f>
        <v>2010</v>
      </c>
      <c r="CM139" s="903" t="n">
        <f aca="false">INDEX(OperationalDetail,MATCH("Degraded Heat Rate",ODColumn,0),MATCH('Monthly Table'!CL139,ODRow,0))/1000</f>
        <v>12.1095</v>
      </c>
      <c r="CN139" s="904" t="n">
        <f aca="false">S139*CM139</f>
        <v>58.6028557628775</v>
      </c>
      <c r="CO139" s="905" t="n">
        <f aca="false">IF(A139="January",(CO138*(1+Assumptions!$E$32)),CO138)</f>
        <v>8.21068929017719</v>
      </c>
      <c r="CP139" s="906" t="n">
        <f aca="false">CN139+CO139</f>
        <v>66.8135450530546</v>
      </c>
      <c r="CQ139" s="292"/>
      <c r="CR139" s="856" t="str">
        <f aca="false">IF(BJ139=0,"",C139)</f>
        <v/>
      </c>
      <c r="CS139" s="856" t="str">
        <f aca="false">IF(BO139=0,"",$C139)</f>
        <v/>
      </c>
      <c r="CT139" s="856" t="str">
        <f aca="false">IF(BL139=0,"",$C139)</f>
        <v/>
      </c>
      <c r="CU139" s="856" t="str">
        <f aca="false">IF(BP139=0,"",$C139)</f>
        <v/>
      </c>
      <c r="CV139" s="856" t="str">
        <f aca="false">IF(BD139=0,"",$C139)</f>
        <v/>
      </c>
      <c r="CW139" s="907" t="n">
        <f aca="false">YEAR(BF139)</f>
        <v>2011</v>
      </c>
      <c r="CX139" s="908" t="n">
        <f aca="false">INDEX('NY Curve'!$A$4:$G$256,MATCH('Monthly Table'!B139,'NY Curve'!$A$4:$A$256,0),MATCH("New York 5 X 16",'NY Curve'!$A$4:$G$4,0))</f>
        <v>30.75</v>
      </c>
      <c r="CY139" s="909" t="n">
        <f aca="false">K139</f>
        <v>1.31317078808901</v>
      </c>
      <c r="CZ139" s="910" t="n">
        <f aca="false">CX139*CY139</f>
        <v>40.3800017337371</v>
      </c>
      <c r="DB139" s="911"/>
      <c r="DC139" s="911"/>
    </row>
    <row r="140" customFormat="false" ht="18.75" hidden="false" customHeight="true" outlineLevel="0" collapsed="false">
      <c r="A140" s="49" t="s">
        <v>819</v>
      </c>
      <c r="B140" s="863" t="n">
        <v>40817</v>
      </c>
      <c r="C140" s="288" t="n">
        <f aca="false">YEAR(B140)</f>
        <v>2011</v>
      </c>
      <c r="D140" s="864" t="n">
        <f aca="false">IF(A140="January",D139+1,D139)</f>
        <v>11</v>
      </c>
      <c r="E140" s="865" t="n">
        <v>21</v>
      </c>
      <c r="F140" s="866" t="n">
        <v>5</v>
      </c>
      <c r="G140" s="866" t="n">
        <v>5</v>
      </c>
      <c r="H140" s="866" t="n">
        <v>0</v>
      </c>
      <c r="I140" s="867" t="n">
        <f aca="false">SUM(E140:H140)</f>
        <v>31</v>
      </c>
      <c r="J140" s="868"/>
      <c r="K140" s="869" t="n">
        <f aca="false">INDEX(FX!$A$3:$C$362,MATCH(B140,FX!$A$3:$A$362,0),MATCH("Monthly Curve",FX!$A$2:$C$2,0))</f>
        <v>1.31234112938605</v>
      </c>
      <c r="L140" s="869"/>
      <c r="M140" s="987" t="n">
        <v>3.1885</v>
      </c>
      <c r="N140" s="988" t="n">
        <v>0.145</v>
      </c>
      <c r="O140" s="986" t="n">
        <v>0.1</v>
      </c>
      <c r="P140" s="872" t="n">
        <f aca="false">N140+O140</f>
        <v>0.245</v>
      </c>
      <c r="Q140" s="873" t="n">
        <f aca="false">SUM(M140:O140)</f>
        <v>3.4335</v>
      </c>
      <c r="R140" s="974" t="n">
        <f aca="false">IF(A140="January",(R139+R139*Assumptions!$E$32),R139)</f>
        <v>0.366095392349884</v>
      </c>
      <c r="S140" s="875" t="n">
        <f aca="false">(Q140*K140)+R140</f>
        <v>4.87201866009689</v>
      </c>
      <c r="T140" s="869"/>
      <c r="U140" s="984"/>
      <c r="V140" s="978"/>
      <c r="W140" s="978"/>
      <c r="X140" s="971"/>
      <c r="Y140" s="975" t="n">
        <f aca="false">Tables!$D$36</f>
        <v>312</v>
      </c>
      <c r="Z140" s="879" t="n">
        <f aca="false">IF($Z$10=$V$10,V140,IF($Z$10=$W$10,W140,IF($Z$10=$X$10,X140,0)))</f>
        <v>0</v>
      </c>
      <c r="AA140" s="880" t="n">
        <f aca="false">Y140*Z140</f>
        <v>0</v>
      </c>
      <c r="AB140" s="881" t="n">
        <f aca="false">AA140*K140</f>
        <v>0</v>
      </c>
      <c r="AC140" s="188"/>
      <c r="AD140" s="882" t="n">
        <f aca="false">IF(Tables!$E$30="Michigan",INDEX('Michigan Curve'!$A$4:$S$256,MATCH('Monthly Table'!B140,'Michigan Curve'!$A$4:$A$256,0),MATCH("Michigan Selected Option Value US$/month",'Michigan Curve'!$A$4:$S$4,0)),INDEX('NY Curve'!$A$4:$T$256,MATCH('Monthly Table'!B140,'NY Curve'!$A$4:$A$256,0),MATCH("New York Selected Option Value US$/month",'NY Curve'!$A$4:$T$4,0)))</f>
        <v>2249.3776336251</v>
      </c>
      <c r="AE140" s="883" t="n">
        <f aca="false">AD140*K140</f>
        <v>2951.95078412728</v>
      </c>
      <c r="AF140" s="188"/>
      <c r="AG140" s="884"/>
      <c r="AH140" s="49"/>
      <c r="AI140" s="885" t="n">
        <f aca="false">Assumptions!$B$50</f>
        <v>65</v>
      </c>
      <c r="AJ140" s="916"/>
      <c r="AK140" s="887" t="n">
        <f aca="false">IF(Tables!$E$30="Custom",'Monthly Table'!AI140,IF(Tables!$E$30="New York",INDEX('NY Curve'!$A$4:$G$256,MATCH('Monthly Table'!B140,'NY Curve'!$A$4:$A$256,0),MATCH("Super Peak Curve",'NY Curve'!$A$4:$G$4,0)),IF(Tables!$E$30="New York Flat",INDEX('NY Curve'!$A$4:$G$256,MATCH('Monthly Table'!B140,'NY Curve'!$A$4:$A$256,0),MATCH("Flat NY West",'NY Curve'!$A$4:$G$4,0)),INDEX('Michigan Curve'!$A$4:$F$256,MATCH('Monthly Table'!B140,'Michigan Curve'!$A$4:$A$256,0),MATCH("Michigan Super Peak Curve US$/MWhr",'Michigan Curve'!$A$4:$F$4,0)))))</f>
        <v>28.3499946594238</v>
      </c>
      <c r="AL140" s="888" t="n">
        <f aca="false">IF(D140&lt;=Tables!$B$21,IF($AL$10=$AI$10,AI140,IF($AL$10=$AJ$10,AJ140,IF($AL$10=$AK$10,AK140,0))),0)</f>
        <v>28.3499946594238</v>
      </c>
      <c r="AM140" s="889" t="n">
        <f aca="false">+AL140*K140</f>
        <v>37.2048640094368</v>
      </c>
      <c r="AN140" s="890" t="n">
        <f aca="false">IF((AL140*K140)&gt;(CP140+$BF$4),1,0)</f>
        <v>0</v>
      </c>
      <c r="AO140" s="891"/>
      <c r="AP140" s="894"/>
      <c r="AQ140" s="892" t="n">
        <f aca="false">IF(Tables!$E$30="New York",INDEX('NY Curve'!$A$4:$L$256,MATCH('Monthly Table'!B140,'NY Curve'!$A$4:$A$256,0),MATCH("New York Shoulder Hour Curve Mon-Fri",'NY Curve'!$A$4:$L$4,0)),IF(Tables!$E$30="Michigan",INDEX('Michigan Curve'!$A$4:$K$256,MATCH('Monthly Table'!B140,'Michigan Curve'!$A$4:$A$256,0),MATCH("Michigan Shoulder Hour Curve Mon-Fri",'Michigan Curve'!$A$4:$K$4,0))))</f>
        <v>28.3499946594238</v>
      </c>
      <c r="AR140" s="889" t="n">
        <f aca="false">AQ140*K140</f>
        <v>37.2048640094368</v>
      </c>
      <c r="AS140" s="893" t="n">
        <f aca="false">IF(AR140&gt;($CP140+$BF$4),1,0)</f>
        <v>0</v>
      </c>
      <c r="AT140" s="188"/>
      <c r="AU140" s="892" t="n">
        <f aca="false">IF(Tables!$E$30="New York",INDEX('NY Curve'!$A$4:$L$256,MATCH('Monthly Table'!$B140,'NY Curve'!$A$4:$A$256,0),MATCH("New York Saturday Super Peak",'NY Curve'!$A$4:$L$4,0)),IF(Tables!$E$30="Michigan",INDEX('Michigan Curve'!$A$4:$K$256,MATCH('Monthly Table'!$B140,'Michigan Curve'!$A$4:$A$256,0),MATCH("Michigan Saturday Super Peak",'Michigan Curve'!$A$4:$K$4,0))))</f>
        <v>19.996000289917</v>
      </c>
      <c r="AV140" s="894" t="n">
        <f aca="false">AU140*K140</f>
        <v>26.2415736036735</v>
      </c>
      <c r="AW140" s="893" t="n">
        <f aca="false">IF(AV140&gt;($CP140+$BF$4),1,0)</f>
        <v>0</v>
      </c>
      <c r="AX140" s="892" t="n">
        <f aca="false">IF(Tables!$E$30="New York",INDEX('NY Curve'!$A$4:$L$256,MATCH('Monthly Table'!$B140,'NY Curve'!$A$4:$A$256,0),MATCH("New York Saturday Shoulder Peak",'NY Curve'!$A$4:$L$4,0)),IF(Tables!$E$30="Michigan",INDEX('Michigan Curve'!$A$4:$K$256,MATCH('Monthly Table'!$B140,'Michigan Curve'!$A$4:$A$256,0),MATCH("Michigan Saturday Shoulder Peak",'Michigan Curve'!$A$4:$K$4,0))))</f>
        <v>19.996000289917</v>
      </c>
      <c r="AY140" s="895" t="n">
        <f aca="false">AX140*K140</f>
        <v>26.2415736036735</v>
      </c>
      <c r="AZ140" s="893" t="n">
        <f aca="false">IF(AY140&gt;($CP140+$BF$4),1,0)</f>
        <v>0</v>
      </c>
      <c r="BA140" s="188"/>
      <c r="BB140" s="892" t="n">
        <f aca="false">IF(Tables!$E$30="New York",INDEX('NY Curve'!$A$4:$M$256,MATCH('Monthly Table'!$B140,'NY Curve'!$A$4:$A$256,0),MATCH("NY Sunday Super Peak",'NY Curve'!$A$4:$M$4,0)),IF(Tables!$E$30="Michigan",INDEX('Michigan Curve'!$A$4:$L$256,MATCH('Monthly Table'!$B140,'Michigan Curve'!$A$4:$A$256,0),MATCH("Michigan Sunday Super Peak",'Michigan Curve'!$A$4:$L$4,0))))</f>
        <v>18.9965000152588</v>
      </c>
      <c r="BC140" s="894" t="n">
        <f aca="false">BB140*K140</f>
        <v>24.9298882844068</v>
      </c>
      <c r="BD140" s="893" t="n">
        <f aca="false">IF(BC140&gt;($CP140+$BF$4),1,0)</f>
        <v>0</v>
      </c>
      <c r="BE140" s="188"/>
      <c r="BF140" s="896" t="n">
        <f aca="false">B140</f>
        <v>40817</v>
      </c>
      <c r="BG140" s="897" t="n">
        <f aca="false">IF($AN140=1,$E140*$BF$5,0)</f>
        <v>0</v>
      </c>
      <c r="BH140" s="976" t="n">
        <f aca="false">IF(Tables!$B$36="Combined Cycle",(BF140-BF139)*24*Assumptions!$B$21,0)</f>
        <v>0</v>
      </c>
      <c r="BI140" s="714" t="n">
        <f aca="false">IF($AN140=1,$E140*$BF$5,0)</f>
        <v>0</v>
      </c>
      <c r="BJ140" s="898" t="n">
        <f aca="false">IF('Monthly Table'!D140&lt;=Tables!$B$21,IF($BJ$10=$BG$10,BG140,IF($BJ$10=$BH$10,BH140,IF($BJ$10=$BI$10,BI140,0))),0)</f>
        <v>0</v>
      </c>
      <c r="BK140" s="288"/>
      <c r="BL140" s="898" t="n">
        <f aca="false">IF($AW140=1,$F140*$BF$5,0)</f>
        <v>0</v>
      </c>
      <c r="BM140" s="898" t="n">
        <f aca="false">IF($BD140=1,($G140+H140)*$BF$5,0)</f>
        <v>0</v>
      </c>
      <c r="BO140" s="898" t="n">
        <f aca="false">IF(AS140=1,BJ140,0)</f>
        <v>0</v>
      </c>
      <c r="BP140" s="898" t="n">
        <f aca="false">IF(AZ140=1,F140*$BF$5,0)</f>
        <v>0</v>
      </c>
      <c r="BR140" s="899" t="n">
        <f aca="false">IF(BJ140&gt;0,INDEX(OperationalDetail,MATCH("Capacity Degradation",ODColumn,0),MATCH('Monthly Table'!C140,ODRow,0)),0)</f>
        <v>0</v>
      </c>
      <c r="BS140" s="900" t="n">
        <f aca="false">BJ140*(1-BR140)*Tables!$C$36</f>
        <v>0</v>
      </c>
      <c r="BT140" s="883" t="n">
        <f aca="false">BS140*AL140/1000</f>
        <v>0</v>
      </c>
      <c r="BU140" s="883" t="n">
        <f aca="false">BT140*K140</f>
        <v>0</v>
      </c>
      <c r="BV140" s="188"/>
      <c r="BW140" s="901" t="n">
        <f aca="false">$BO140*(1-$BR140)*Tables!$C$36</f>
        <v>0</v>
      </c>
      <c r="BX140" s="902" t="n">
        <f aca="false">(BW140*AQ140)/1000</f>
        <v>0</v>
      </c>
      <c r="BY140" s="883" t="n">
        <f aca="false">BX140*K140</f>
        <v>0</v>
      </c>
      <c r="BZ140" s="188"/>
      <c r="CA140" s="901" t="n">
        <f aca="false">$BL140*(1-$BR140)*Tables!$C$36</f>
        <v>0</v>
      </c>
      <c r="CB140" s="902" t="n">
        <f aca="false">(CA140*AU140)/1000</f>
        <v>0</v>
      </c>
      <c r="CC140" s="883" t="n">
        <f aca="false">CB140*K140</f>
        <v>0</v>
      </c>
      <c r="CD140" s="901" t="n">
        <f aca="false">$BP140*(1-$BR140)*Tables!$C$36</f>
        <v>0</v>
      </c>
      <c r="CE140" s="902" t="n">
        <f aca="false">(CD140*AX140)/1000</f>
        <v>0</v>
      </c>
      <c r="CF140" s="883" t="n">
        <f aca="false">CE140*K140</f>
        <v>0</v>
      </c>
      <c r="CH140" s="901" t="n">
        <f aca="false">$BM140*(1-$BR140)*Tables!$C$36</f>
        <v>0</v>
      </c>
      <c r="CI140" s="902" t="n">
        <f aca="false">(CH140*BB140)/1000</f>
        <v>0</v>
      </c>
      <c r="CJ140" s="883" t="n">
        <f aca="false">CI140*K140</f>
        <v>0</v>
      </c>
      <c r="CK140" s="292"/>
      <c r="CL140" s="292" t="n">
        <f aca="false">C140-1</f>
        <v>2010</v>
      </c>
      <c r="CM140" s="903" t="n">
        <f aca="false">INDEX(OperationalDetail,MATCH("Degraded Heat Rate",ODColumn,0),MATCH('Monthly Table'!CL140,ODRow,0))/1000</f>
        <v>12.1095</v>
      </c>
      <c r="CN140" s="904" t="n">
        <f aca="false">S140*CM140</f>
        <v>58.9977099644433</v>
      </c>
      <c r="CO140" s="905" t="n">
        <f aca="false">IF(A140="January",(CO139*(1+Assumptions!$E$32)),CO139)</f>
        <v>8.21068929017719</v>
      </c>
      <c r="CP140" s="906" t="n">
        <f aca="false">CN140+CO140</f>
        <v>67.2083992546205</v>
      </c>
      <c r="CQ140" s="292"/>
      <c r="CR140" s="856" t="str">
        <f aca="false">IF(BJ140=0,"",C140)</f>
        <v/>
      </c>
      <c r="CS140" s="856" t="str">
        <f aca="false">IF(BO140=0,"",$C140)</f>
        <v/>
      </c>
      <c r="CT140" s="856" t="str">
        <f aca="false">IF(BL140=0,"",$C140)</f>
        <v/>
      </c>
      <c r="CU140" s="856" t="str">
        <f aca="false">IF(BP140=0,"",$C140)</f>
        <v/>
      </c>
      <c r="CV140" s="856" t="str">
        <f aca="false">IF(BD140=0,"",$C140)</f>
        <v/>
      </c>
      <c r="CW140" s="907" t="n">
        <f aca="false">YEAR(BF140)</f>
        <v>2011</v>
      </c>
      <c r="CX140" s="908" t="n">
        <f aca="false">INDEX('NY Curve'!$A$4:$G$256,MATCH('Monthly Table'!B140,'NY Curve'!$A$4:$A$256,0),MATCH("New York 5 X 16",'NY Curve'!$A$4:$G$4,0))</f>
        <v>26.5</v>
      </c>
      <c r="CY140" s="909" t="n">
        <f aca="false">K140</f>
        <v>1.31234112938605</v>
      </c>
      <c r="CZ140" s="910" t="n">
        <f aca="false">CX140*CY140</f>
        <v>34.7770399287303</v>
      </c>
      <c r="DB140" s="911"/>
      <c r="DC140" s="911"/>
    </row>
    <row r="141" customFormat="false" ht="18.75" hidden="false" customHeight="true" outlineLevel="0" collapsed="false">
      <c r="A141" s="49" t="s">
        <v>820</v>
      </c>
      <c r="B141" s="863" t="n">
        <v>40848</v>
      </c>
      <c r="C141" s="288" t="n">
        <f aca="false">YEAR(B141)</f>
        <v>2011</v>
      </c>
      <c r="D141" s="864" t="n">
        <f aca="false">IF(A141="January",D140+1,D140)</f>
        <v>11</v>
      </c>
      <c r="E141" s="865" t="n">
        <v>21</v>
      </c>
      <c r="F141" s="866" t="n">
        <v>4</v>
      </c>
      <c r="G141" s="866" t="n">
        <v>4</v>
      </c>
      <c r="H141" s="866" t="n">
        <v>1</v>
      </c>
      <c r="I141" s="867" t="n">
        <f aca="false">SUM(E141:H141)</f>
        <v>30</v>
      </c>
      <c r="J141" s="868"/>
      <c r="K141" s="869" t="n">
        <f aca="false">INDEX(FX!$A$3:$C$362,MATCH(B141,FX!$A$3:$A$362,0),MATCH("Monthly Curve",FX!$A$2:$C$2,0))</f>
        <v>1.31148622690921</v>
      </c>
      <c r="L141" s="869"/>
      <c r="M141" s="987" t="n">
        <v>3.3245</v>
      </c>
      <c r="N141" s="988" t="n">
        <v>0.23</v>
      </c>
      <c r="O141" s="986" t="n">
        <v>0.1</v>
      </c>
      <c r="P141" s="872" t="n">
        <f aca="false">N141+O141</f>
        <v>0.33</v>
      </c>
      <c r="Q141" s="873" t="n">
        <f aca="false">SUM(M141:O141)</f>
        <v>3.6545</v>
      </c>
      <c r="R141" s="974" t="n">
        <f aca="false">IF(A141="January",(R140+R140*Assumptions!$E$32),R140)</f>
        <v>0.366095392349884</v>
      </c>
      <c r="S141" s="875" t="n">
        <f aca="false">(Q141*K141)+R141</f>
        <v>5.15892180858959</v>
      </c>
      <c r="T141" s="869"/>
      <c r="U141" s="984"/>
      <c r="V141" s="978"/>
      <c r="W141" s="978"/>
      <c r="X141" s="971"/>
      <c r="Y141" s="975" t="n">
        <f aca="false">Tables!$D$36</f>
        <v>312</v>
      </c>
      <c r="Z141" s="879" t="n">
        <f aca="false">IF($Z$10=$V$10,V141,IF($Z$10=$W$10,W141,IF($Z$10=$X$10,X141,0)))</f>
        <v>0</v>
      </c>
      <c r="AA141" s="880" t="n">
        <f aca="false">Y141*Z141</f>
        <v>0</v>
      </c>
      <c r="AB141" s="881" t="n">
        <f aca="false">AA141*K141</f>
        <v>0</v>
      </c>
      <c r="AC141" s="188"/>
      <c r="AD141" s="882" t="n">
        <f aca="false">IF(Tables!$E$30="Michigan",INDEX('Michigan Curve'!$A$4:$S$256,MATCH('Monthly Table'!B141,'Michigan Curve'!$A$4:$A$256,0),MATCH("Michigan Selected Option Value US$/month",'Michigan Curve'!$A$4:$S$4,0)),INDEX('NY Curve'!$A$4:$T$256,MATCH('Monthly Table'!B141,'NY Curve'!$A$4:$A$256,0),MATCH("New York Selected Option Value US$/month",'NY Curve'!$A$4:$T$4,0)))</f>
        <v>14234.303585498</v>
      </c>
      <c r="AE141" s="883" t="n">
        <f aca="false">AD141*K141</f>
        <v>18668.0931020251</v>
      </c>
      <c r="AF141" s="188"/>
      <c r="AG141" s="884"/>
      <c r="AH141" s="49"/>
      <c r="AI141" s="885" t="n">
        <f aca="false">Assumptions!$B$50</f>
        <v>65</v>
      </c>
      <c r="AJ141" s="916"/>
      <c r="AK141" s="887" t="n">
        <f aca="false">IF(Tables!$E$30="Custom",'Monthly Table'!AI141,IF(Tables!$E$30="New York",INDEX('NY Curve'!$A$4:$G$256,MATCH('Monthly Table'!B141,'NY Curve'!$A$4:$A$256,0),MATCH("Super Peak Curve",'NY Curve'!$A$4:$G$4,0)),IF(Tables!$E$30="New York Flat",INDEX('NY Curve'!$A$4:$G$256,MATCH('Monthly Table'!B141,'NY Curve'!$A$4:$A$256,0),MATCH("Flat NY West",'NY Curve'!$A$4:$G$4,0)),INDEX('Michigan Curve'!$A$4:$F$256,MATCH('Monthly Table'!B141,'Michigan Curve'!$A$4:$A$256,0),MATCH("Michigan Super Peak Curve US$/MWhr",'Michigan Curve'!$A$4:$F$4,0)))))</f>
        <v>30.4883953857422</v>
      </c>
      <c r="AL141" s="888" t="n">
        <f aca="false">IF(D141&lt;=Tables!$B$21,IF($AL$10=$AI$10,AI141,IF($AL$10=$AJ$10,AJ141,IF($AL$10=$AK$10,AK141,0))),0)</f>
        <v>30.4883953857422</v>
      </c>
      <c r="AM141" s="889" t="n">
        <f aca="false">+AL141*K141</f>
        <v>39.9851106289632</v>
      </c>
      <c r="AN141" s="890" t="n">
        <f aca="false">IF((AL141*K141)&gt;(CP141+$BF$4),1,0)</f>
        <v>0</v>
      </c>
      <c r="AO141" s="891"/>
      <c r="AP141" s="894"/>
      <c r="AQ141" s="892" t="n">
        <f aca="false">IF(Tables!$E$30="New York",INDEX('NY Curve'!$A$4:$L$256,MATCH('Monthly Table'!B141,'NY Curve'!$A$4:$A$256,0),MATCH("New York Shoulder Hour Curve Mon-Fri",'NY Curve'!$A$4:$L$4,0)),IF(Tables!$E$30="Michigan",INDEX('Michigan Curve'!$A$4:$K$256,MATCH('Monthly Table'!B141,'Michigan Curve'!$A$4:$A$256,0),MATCH("Michigan Shoulder Hour Curve Mon-Fri",'Michigan Curve'!$A$4:$K$4,0))))</f>
        <v>25.9715960693359</v>
      </c>
      <c r="AR141" s="889" t="n">
        <f aca="false">AQ141*K141</f>
        <v>34.0613905357835</v>
      </c>
      <c r="AS141" s="893" t="n">
        <f aca="false">IF(AR141&gt;($CP141+$BF$4),1,0)</f>
        <v>0</v>
      </c>
      <c r="AT141" s="188"/>
      <c r="AU141" s="892" t="n">
        <f aca="false">IF(Tables!$E$30="New York",INDEX('NY Curve'!$A$4:$L$256,MATCH('Monthly Table'!$B141,'NY Curve'!$A$4:$A$256,0),MATCH("New York Saturday Super Peak",'NY Curve'!$A$4:$L$4,0)),IF(Tables!$E$30="Michigan",INDEX('Michigan Curve'!$A$4:$K$256,MATCH('Monthly Table'!$B141,'Michigan Curve'!$A$4:$A$256,0),MATCH("Michigan Saturday Super Peak",'Michigan Curve'!$A$4:$K$4,0))))</f>
        <v>21.6</v>
      </c>
      <c r="AV141" s="894" t="n">
        <f aca="false">AU141*K141</f>
        <v>28.3281025012389</v>
      </c>
      <c r="AW141" s="893" t="n">
        <f aca="false">IF(AV141&gt;($CP141+$BF$4),1,0)</f>
        <v>0</v>
      </c>
      <c r="AX141" s="892" t="n">
        <f aca="false">IF(Tables!$E$30="New York",INDEX('NY Curve'!$A$4:$L$256,MATCH('Monthly Table'!$B141,'NY Curve'!$A$4:$A$256,0),MATCH("New York Saturday Shoulder Peak",'NY Curve'!$A$4:$L$4,0)),IF(Tables!$E$30="Michigan",INDEX('Michigan Curve'!$A$4:$K$256,MATCH('Monthly Table'!$B141,'Michigan Curve'!$A$4:$A$256,0),MATCH("Michigan Saturday Shoulder Peak",'Michigan Curve'!$A$4:$K$4,0))))</f>
        <v>18.4</v>
      </c>
      <c r="AY141" s="895" t="n">
        <f aca="false">AX141*K141</f>
        <v>24.1313465751295</v>
      </c>
      <c r="AZ141" s="893" t="n">
        <f aca="false">IF(AY141&gt;($CP141+$BF$4),1,0)</f>
        <v>0</v>
      </c>
      <c r="BA141" s="188"/>
      <c r="BB141" s="892" t="n">
        <f aca="false">IF(Tables!$E$30="New York",INDEX('NY Curve'!$A$4:$M$256,MATCH('Monthly Table'!$B141,'NY Curve'!$A$4:$A$256,0),MATCH("NY Sunday Super Peak",'NY Curve'!$A$4:$M$4,0)),IF(Tables!$E$30="Michigan",INDEX('Michigan Curve'!$A$4:$L$256,MATCH('Monthly Table'!$B141,'Michigan Curve'!$A$4:$A$256,0),MATCH("Michigan Sunday Super Peak",'Michigan Curve'!$A$4:$L$4,0))))</f>
        <v>20.52</v>
      </c>
      <c r="BC141" s="894" t="n">
        <f aca="false">BB141*K141</f>
        <v>26.911697376177</v>
      </c>
      <c r="BD141" s="893" t="n">
        <f aca="false">IF(BC141&gt;($CP141+$BF$4),1,0)</f>
        <v>0</v>
      </c>
      <c r="BE141" s="188"/>
      <c r="BF141" s="896" t="n">
        <f aca="false">B141</f>
        <v>40848</v>
      </c>
      <c r="BG141" s="897" t="n">
        <f aca="false">IF($AN141=1,$E141*$BF$5,0)</f>
        <v>0</v>
      </c>
      <c r="BH141" s="976" t="n">
        <f aca="false">IF(Tables!$B$36="Combined Cycle",(BF141-BF140)*24*Assumptions!$B$21,0)</f>
        <v>0</v>
      </c>
      <c r="BI141" s="714" t="n">
        <f aca="false">IF($AN141=1,$E141*$BF$5,0)</f>
        <v>0</v>
      </c>
      <c r="BJ141" s="898" t="n">
        <f aca="false">IF('Monthly Table'!D141&lt;=Tables!$B$21,IF($BJ$10=$BG$10,BG141,IF($BJ$10=$BH$10,BH141,IF($BJ$10=$BI$10,BI141,0))),0)</f>
        <v>0</v>
      </c>
      <c r="BK141" s="288"/>
      <c r="BL141" s="898" t="n">
        <f aca="false">IF($AW141=1,$F141*$BF$5,0)</f>
        <v>0</v>
      </c>
      <c r="BM141" s="898" t="n">
        <f aca="false">IF($BD141=1,($G141+H141)*$BF$5,0)</f>
        <v>0</v>
      </c>
      <c r="BO141" s="898" t="n">
        <f aca="false">IF(AS141=1,BJ141,0)</f>
        <v>0</v>
      </c>
      <c r="BP141" s="898" t="n">
        <f aca="false">IF(AZ141=1,F141*$BF$5,0)</f>
        <v>0</v>
      </c>
      <c r="BR141" s="899" t="n">
        <f aca="false">IF(BJ141&gt;0,INDEX(OperationalDetail,MATCH("Capacity Degradation",ODColumn,0),MATCH('Monthly Table'!C141,ODRow,0)),0)</f>
        <v>0</v>
      </c>
      <c r="BS141" s="900" t="n">
        <f aca="false">BJ141*(1-BR141)*Tables!$C$36</f>
        <v>0</v>
      </c>
      <c r="BT141" s="883" t="n">
        <f aca="false">BS141*AL141/1000</f>
        <v>0</v>
      </c>
      <c r="BU141" s="883" t="n">
        <f aca="false">BT141*K141</f>
        <v>0</v>
      </c>
      <c r="BV141" s="188"/>
      <c r="BW141" s="901" t="n">
        <f aca="false">$BO141*(1-$BR141)*Tables!$C$36</f>
        <v>0</v>
      </c>
      <c r="BX141" s="902" t="n">
        <f aca="false">(BW141*AQ141)/1000</f>
        <v>0</v>
      </c>
      <c r="BY141" s="883" t="n">
        <f aca="false">BX141*K141</f>
        <v>0</v>
      </c>
      <c r="BZ141" s="188"/>
      <c r="CA141" s="901" t="n">
        <f aca="false">$BL141*(1-$BR141)*Tables!$C$36</f>
        <v>0</v>
      </c>
      <c r="CB141" s="902" t="n">
        <f aca="false">(CA141*AU141)/1000</f>
        <v>0</v>
      </c>
      <c r="CC141" s="883" t="n">
        <f aca="false">CB141*K141</f>
        <v>0</v>
      </c>
      <c r="CD141" s="901" t="n">
        <f aca="false">$BP141*(1-$BR141)*Tables!$C$36</f>
        <v>0</v>
      </c>
      <c r="CE141" s="902" t="n">
        <f aca="false">(CD141*AX141)/1000</f>
        <v>0</v>
      </c>
      <c r="CF141" s="883" t="n">
        <f aca="false">CE141*K141</f>
        <v>0</v>
      </c>
      <c r="CH141" s="901" t="n">
        <f aca="false">$BM141*(1-$BR141)*Tables!$C$36</f>
        <v>0</v>
      </c>
      <c r="CI141" s="902" t="n">
        <f aca="false">(CH141*BB141)/1000</f>
        <v>0</v>
      </c>
      <c r="CJ141" s="883" t="n">
        <f aca="false">CI141*K141</f>
        <v>0</v>
      </c>
      <c r="CK141" s="292"/>
      <c r="CL141" s="292" t="n">
        <f aca="false">C141-1</f>
        <v>2010</v>
      </c>
      <c r="CM141" s="903" t="n">
        <f aca="false">INDEX(OperationalDetail,MATCH("Degraded Heat Rate",ODColumn,0),MATCH('Monthly Table'!CL141,ODRow,0))/1000</f>
        <v>12.1095</v>
      </c>
      <c r="CN141" s="904" t="n">
        <f aca="false">S141*CM141</f>
        <v>62.4719636411157</v>
      </c>
      <c r="CO141" s="905" t="n">
        <f aca="false">IF(A141="January",(CO140*(1+Assumptions!$E$32)),CO140)</f>
        <v>8.21068929017719</v>
      </c>
      <c r="CP141" s="906" t="n">
        <f aca="false">CN141+CO141</f>
        <v>70.6826529312929</v>
      </c>
      <c r="CQ141" s="292"/>
      <c r="CR141" s="856" t="str">
        <f aca="false">IF(BJ141=0,"",C141)</f>
        <v/>
      </c>
      <c r="CS141" s="856" t="str">
        <f aca="false">IF(BO141=0,"",$C141)</f>
        <v/>
      </c>
      <c r="CT141" s="856" t="str">
        <f aca="false">IF(BL141=0,"",$C141)</f>
        <v/>
      </c>
      <c r="CU141" s="856" t="str">
        <f aca="false">IF(BP141=0,"",$C141)</f>
        <v/>
      </c>
      <c r="CV141" s="856" t="str">
        <f aca="false">IF(BD141=0,"",$C141)</f>
        <v/>
      </c>
      <c r="CW141" s="907" t="n">
        <f aca="false">YEAR(BF141)</f>
        <v>2011</v>
      </c>
      <c r="CX141" s="908" t="n">
        <f aca="false">INDEX('NY Curve'!$A$4:$G$256,MATCH('Monthly Table'!B141,'NY Curve'!$A$4:$A$256,0),MATCH("New York 5 X 16",'NY Curve'!$A$4:$G$4,0))</f>
        <v>27</v>
      </c>
      <c r="CY141" s="909" t="n">
        <f aca="false">K141</f>
        <v>1.31148622690921</v>
      </c>
      <c r="CZ141" s="910" t="n">
        <f aca="false">CX141*CY141</f>
        <v>35.4101281265487</v>
      </c>
      <c r="DB141" s="911"/>
      <c r="DC141" s="911"/>
    </row>
    <row r="142" customFormat="false" ht="18.75" hidden="false" customHeight="true" outlineLevel="0" collapsed="false">
      <c r="A142" s="110" t="s">
        <v>821</v>
      </c>
      <c r="B142" s="918" t="n">
        <v>40878</v>
      </c>
      <c r="C142" s="917" t="n">
        <f aca="false">YEAR(B142)</f>
        <v>2011</v>
      </c>
      <c r="D142" s="919" t="n">
        <f aca="false">IF(A142="January",D141+1,D141)</f>
        <v>11</v>
      </c>
      <c r="E142" s="865" t="n">
        <v>21</v>
      </c>
      <c r="F142" s="866" t="n">
        <v>5</v>
      </c>
      <c r="G142" s="866" t="n">
        <v>4</v>
      </c>
      <c r="H142" s="866" t="n">
        <v>1</v>
      </c>
      <c r="I142" s="867" t="n">
        <f aca="false">SUM(E142:H142)</f>
        <v>31</v>
      </c>
      <c r="J142" s="923"/>
      <c r="K142" s="924" t="n">
        <f aca="false">INDEX(FX!$A$3:$C$362,MATCH(B142,FX!$A$3:$A$362,0),MATCH("Monthly Curve",FX!$A$2:$C$2,0))</f>
        <v>1.31066123186286</v>
      </c>
      <c r="L142" s="924"/>
      <c r="M142" s="987" t="n">
        <v>3.4505</v>
      </c>
      <c r="N142" s="988" t="n">
        <v>0.27</v>
      </c>
      <c r="O142" s="991" t="n">
        <v>0.1</v>
      </c>
      <c r="P142" s="928" t="n">
        <f aca="false">N142+O142</f>
        <v>0.37</v>
      </c>
      <c r="Q142" s="929" t="n">
        <f aca="false">SUM(M142:O142)</f>
        <v>3.8205</v>
      </c>
      <c r="R142" s="979" t="n">
        <f aca="false">IF(A142="January",(R141+R141*Assumptions!$E$32),R141)</f>
        <v>0.366095392349884</v>
      </c>
      <c r="S142" s="931" t="n">
        <f aca="false">(Q142*K142)+R142</f>
        <v>5.37347662868194</v>
      </c>
      <c r="T142" s="924"/>
      <c r="U142" s="983"/>
      <c r="V142" s="980"/>
      <c r="W142" s="980"/>
      <c r="X142" s="972"/>
      <c r="Y142" s="981" t="n">
        <f aca="false">Tables!$D$36</f>
        <v>312</v>
      </c>
      <c r="Z142" s="935" t="n">
        <f aca="false">IF($Z$10=$V$10,V142,IF($Z$10=$W$10,W142,IF($Z$10=$X$10,X142,0)))</f>
        <v>0</v>
      </c>
      <c r="AA142" s="936" t="n">
        <f aca="false">Y142*Z142</f>
        <v>0</v>
      </c>
      <c r="AB142" s="937" t="n">
        <f aca="false">AA142*K142</f>
        <v>0</v>
      </c>
      <c r="AC142" s="938"/>
      <c r="AD142" s="882" t="n">
        <f aca="false">IF(Tables!$E$30="Michigan",INDEX('Michigan Curve'!$A$4:$S$256,MATCH('Monthly Table'!B142,'Michigan Curve'!$A$4:$A$256,0),MATCH("Michigan Selected Option Value US$/month",'Michigan Curve'!$A$4:$S$4,0)),INDEX('NY Curve'!$A$4:$T$256,MATCH('Monthly Table'!B142,'NY Curve'!$A$4:$A$256,0),MATCH("New York Selected Option Value US$/month",'NY Curve'!$A$4:$T$4,0)))</f>
        <v>7640.27178977061</v>
      </c>
      <c r="AE142" s="883" t="n">
        <f aca="false">AD142*K142</f>
        <v>10013.8080357478</v>
      </c>
      <c r="AF142" s="938"/>
      <c r="AG142" s="939"/>
      <c r="AH142" s="110"/>
      <c r="AI142" s="885" t="n">
        <f aca="false">Assumptions!$B$50</f>
        <v>65</v>
      </c>
      <c r="AJ142" s="940"/>
      <c r="AK142" s="887" t="n">
        <f aca="false">IF(Tables!$E$30="Custom",'Monthly Table'!AI142,IF(Tables!$E$30="New York",INDEX('NY Curve'!$A$4:$G$256,MATCH('Monthly Table'!B142,'NY Curve'!$A$4:$A$256,0),MATCH("Super Peak Curve",'NY Curve'!$A$4:$G$4,0)),IF(Tables!$E$30="New York Flat",INDEX('NY Curve'!$A$4:$G$256,MATCH('Monthly Table'!B142,'NY Curve'!$A$4:$A$256,0),MATCH("Flat NY West",'NY Curve'!$A$4:$G$4,0)),INDEX('Michigan Curve'!$A$4:$F$256,MATCH('Monthly Table'!B142,'Michigan Curve'!$A$4:$A$256,0),MATCH("Michigan Super Peak Curve US$/MWhr",'Michigan Curve'!$A$4:$F$4,0)))))</f>
        <v>29.2739949417114</v>
      </c>
      <c r="AL142" s="941" t="n">
        <f aca="false">IF(D142&lt;=Tables!$B$21,IF($AL$10=$AI$10,AI142,IF($AL$10=$AJ$10,AJ142,IF($AL$10=$AK$10,AK142,0))),0)</f>
        <v>29.2739949417114</v>
      </c>
      <c r="AM142" s="889" t="n">
        <f aca="false">+AL142*K142</f>
        <v>38.3682902718506</v>
      </c>
      <c r="AN142" s="943" t="n">
        <f aca="false">IF((AL142*K142)&gt;(CP142+$BF$4),1,0)</f>
        <v>0</v>
      </c>
      <c r="AO142" s="944"/>
      <c r="AP142" s="894"/>
      <c r="AQ142" s="892" t="n">
        <f aca="false">IF(Tables!$E$30="New York",INDEX('NY Curve'!$A$4:$L$256,MATCH('Monthly Table'!B142,'NY Curve'!$A$4:$A$256,0),MATCH("New York Shoulder Hour Curve Mon-Fri",'NY Curve'!$A$4:$L$4,0)),IF(Tables!$E$30="Michigan",INDEX('Michigan Curve'!$A$4:$K$256,MATCH('Monthly Table'!B142,'Michigan Curve'!$A$4:$A$256,0),MATCH("Michigan Shoulder Hour Curve Mon-Fri",'Michigan Curve'!$A$4:$K$4,0))))</f>
        <v>28.1259951400757</v>
      </c>
      <c r="AR142" s="889" t="n">
        <f aca="false">AQ142*K142</f>
        <v>36.8636514376604</v>
      </c>
      <c r="AS142" s="893" t="n">
        <f aca="false">IF(AR142&gt;($CP142+$BF$4),1,0)</f>
        <v>0</v>
      </c>
      <c r="AT142" s="938"/>
      <c r="AU142" s="892" t="n">
        <f aca="false">IF(Tables!$E$30="New York",INDEX('NY Curve'!$A$4:$L$256,MATCH('Monthly Table'!$B142,'NY Curve'!$A$4:$A$256,0),MATCH("New York Saturday Super Peak",'NY Curve'!$A$4:$L$4,0)),IF(Tables!$E$30="Michigan",INDEX('Michigan Curve'!$A$4:$K$256,MATCH('Monthly Table'!$B142,'Michigan Curve'!$A$4:$A$256,0),MATCH("Michigan Saturday Super Peak",'Michigan Curve'!$A$4:$K$4,0))))</f>
        <v>20.4</v>
      </c>
      <c r="AV142" s="894" t="n">
        <f aca="false">AU142*K142</f>
        <v>26.7374891300023</v>
      </c>
      <c r="AW142" s="893" t="n">
        <f aca="false">IF(AV142&gt;($CP142+$BF$4),1,0)</f>
        <v>0</v>
      </c>
      <c r="AX142" s="892" t="n">
        <f aca="false">IF(Tables!$E$30="New York",INDEX('NY Curve'!$A$4:$L$256,MATCH('Monthly Table'!$B142,'NY Curve'!$A$4:$A$256,0),MATCH("New York Saturday Shoulder Peak",'NY Curve'!$A$4:$L$4,0)),IF(Tables!$E$30="Michigan",INDEX('Michigan Curve'!$A$4:$K$256,MATCH('Monthly Table'!$B142,'Michigan Curve'!$A$4:$A$256,0),MATCH("Michigan Saturday Shoulder Peak",'Michigan Curve'!$A$4:$K$4,0))))</f>
        <v>19.6</v>
      </c>
      <c r="AY142" s="895" t="n">
        <f aca="false">AX142*K142</f>
        <v>25.6889601445121</v>
      </c>
      <c r="AZ142" s="893" t="n">
        <f aca="false">IF(AY142&gt;($CP142+$BF$4),1,0)</f>
        <v>0</v>
      </c>
      <c r="BA142" s="938"/>
      <c r="BB142" s="892" t="n">
        <f aca="false">IF(Tables!$E$30="New York",INDEX('NY Curve'!$A$4:$M$256,MATCH('Monthly Table'!$B142,'NY Curve'!$A$4:$A$256,0),MATCH("NY Sunday Super Peak",'NY Curve'!$A$4:$M$4,0)),IF(Tables!$E$30="Michigan",INDEX('Michigan Curve'!$A$4:$L$256,MATCH('Monthly Table'!$B142,'Michigan Curve'!$A$4:$A$256,0),MATCH("Michigan Sunday Super Peak",'Michigan Curve'!$A$4:$L$4,0))))</f>
        <v>19.38</v>
      </c>
      <c r="BC142" s="894" t="n">
        <f aca="false">BB142*K142</f>
        <v>25.4006146735022</v>
      </c>
      <c r="BD142" s="893" t="n">
        <f aca="false">IF(BC142&gt;($CP142+$BF$4),1,0)</f>
        <v>0</v>
      </c>
      <c r="BE142" s="938"/>
      <c r="BF142" s="948" t="n">
        <f aca="false">B142</f>
        <v>40878</v>
      </c>
      <c r="BG142" s="897" t="n">
        <f aca="false">IF($AN142=1,$E142*$BF$5,0)</f>
        <v>0</v>
      </c>
      <c r="BH142" s="982" t="n">
        <f aca="false">IF(Tables!$B$36="Combined Cycle",(BF142-BF141)*24*Assumptions!$B$21,0)</f>
        <v>0</v>
      </c>
      <c r="BI142" s="714" t="n">
        <f aca="false">IF($AN142=1,$E142*$BF$5,0)</f>
        <v>0</v>
      </c>
      <c r="BJ142" s="950" t="n">
        <f aca="false">IF('Monthly Table'!D142&lt;=Tables!$B$21,IF($BJ$10=$BG$10,BG142,IF($BJ$10=$BH$10,BH142,IF($BJ$10=$BI$10,BI142,0))),0)</f>
        <v>0</v>
      </c>
      <c r="BK142" s="288"/>
      <c r="BL142" s="898" t="n">
        <f aca="false">IF($AW142=1,$F142*$BF$5,0)</f>
        <v>0</v>
      </c>
      <c r="BM142" s="898" t="n">
        <f aca="false">IF($BD142=1,($G142+H142)*$BF$5,0)</f>
        <v>0</v>
      </c>
      <c r="BO142" s="898" t="n">
        <f aca="false">IF(AS142=1,BJ142,0)</f>
        <v>0</v>
      </c>
      <c r="BP142" s="898" t="n">
        <f aca="false">IF(AZ142=1,F142*$BF$5,0)</f>
        <v>0</v>
      </c>
      <c r="BR142" s="951" t="n">
        <f aca="false">IF(BJ142&gt;0,INDEX(OperationalDetail,MATCH("Capacity Degradation",ODColumn,0),MATCH('Monthly Table'!C142,ODRow,0)),0)</f>
        <v>0</v>
      </c>
      <c r="BS142" s="900" t="n">
        <f aca="false">BJ142*(1-BR142)*Tables!$C$36</f>
        <v>0</v>
      </c>
      <c r="BT142" s="953" t="n">
        <f aca="false">BS142*AL142/1000</f>
        <v>0</v>
      </c>
      <c r="BU142" s="953" t="n">
        <f aca="false">BT142*K142</f>
        <v>0</v>
      </c>
      <c r="BV142" s="188"/>
      <c r="BW142" s="901" t="n">
        <f aca="false">$BO142*(1-$BR142)*Tables!$C$36</f>
        <v>0</v>
      </c>
      <c r="BX142" s="902" t="n">
        <f aca="false">(BW142*AQ142)/1000</f>
        <v>0</v>
      </c>
      <c r="BY142" s="883" t="n">
        <f aca="false">BX142*K142</f>
        <v>0</v>
      </c>
      <c r="BZ142" s="938"/>
      <c r="CA142" s="901" t="n">
        <f aca="false">$BL142*(1-$BR142)*Tables!$C$36</f>
        <v>0</v>
      </c>
      <c r="CB142" s="902" t="n">
        <f aca="false">(CA142*AU142)/1000</f>
        <v>0</v>
      </c>
      <c r="CC142" s="883" t="n">
        <f aca="false">CB142*K142</f>
        <v>0</v>
      </c>
      <c r="CD142" s="901" t="n">
        <f aca="false">$BP142*(1-$BR142)*Tables!$C$36</f>
        <v>0</v>
      </c>
      <c r="CE142" s="902" t="n">
        <f aca="false">(CD142*AX142)/1000</f>
        <v>0</v>
      </c>
      <c r="CF142" s="883" t="n">
        <f aca="false">CE142*K142</f>
        <v>0</v>
      </c>
      <c r="CG142" s="110"/>
      <c r="CH142" s="901" t="n">
        <f aca="false">$BM142*(1-$BR142)*Tables!$C$36</f>
        <v>0</v>
      </c>
      <c r="CI142" s="902" t="n">
        <f aca="false">(CH142*BB142)/1000</f>
        <v>0</v>
      </c>
      <c r="CJ142" s="883" t="n">
        <f aca="false">CI142*K142</f>
        <v>0</v>
      </c>
      <c r="CK142" s="292"/>
      <c r="CL142" s="292" t="n">
        <f aca="false">C142-1</f>
        <v>2010</v>
      </c>
      <c r="CM142" s="903" t="n">
        <f aca="false">INDEX(OperationalDetail,MATCH("Degraded Heat Rate",ODColumn,0),MATCH('Monthly Table'!CL142,ODRow,0))/1000</f>
        <v>12.1095</v>
      </c>
      <c r="CN142" s="958" t="n">
        <f aca="false">S142*CM142</f>
        <v>65.070115235024</v>
      </c>
      <c r="CO142" s="959" t="n">
        <f aca="false">IF(A142="January",(CO141*(1+Assumptions!$E$32)),CO141)</f>
        <v>8.21068929017719</v>
      </c>
      <c r="CP142" s="960" t="n">
        <f aca="false">CN142+CO142</f>
        <v>73.2808045252012</v>
      </c>
      <c r="CQ142" s="292"/>
      <c r="CR142" s="961" t="str">
        <f aca="false">IF(BJ142=0,"",C142)</f>
        <v/>
      </c>
      <c r="CS142" s="856" t="str">
        <f aca="false">IF(BO142=0,"",$C142)</f>
        <v/>
      </c>
      <c r="CT142" s="856" t="str">
        <f aca="false">IF(BL142=0,"",$C142)</f>
        <v/>
      </c>
      <c r="CU142" s="856" t="str">
        <f aca="false">IF(BP142=0,"",$C142)</f>
        <v/>
      </c>
      <c r="CV142" s="856" t="str">
        <f aca="false">IF(BD142=0,"",$C142)</f>
        <v/>
      </c>
      <c r="CW142" s="962" t="n">
        <f aca="false">YEAR(BF142)</f>
        <v>2011</v>
      </c>
      <c r="CX142" s="963" t="n">
        <f aca="false">INDEX('NY Curve'!$A$4:$G$256,MATCH('Monthly Table'!B142,'NY Curve'!$A$4:$A$256,0),MATCH("New York 5 X 16",'NY Curve'!$A$4:$G$4,0))</f>
        <v>27.5</v>
      </c>
      <c r="CY142" s="964" t="n">
        <f aca="false">K142</f>
        <v>1.31066123186286</v>
      </c>
      <c r="CZ142" s="965" t="n">
        <f aca="false">CX142*CY142</f>
        <v>36.0431838762287</v>
      </c>
      <c r="DA142" s="110"/>
      <c r="DB142" s="911"/>
      <c r="DC142" s="911"/>
      <c r="DD142" s="110"/>
      <c r="DE142" s="110"/>
      <c r="DF142" s="110"/>
      <c r="DG142" s="110"/>
      <c r="DH142" s="110"/>
    </row>
    <row r="143" customFormat="false" ht="18.75" hidden="false" customHeight="true" outlineLevel="0" collapsed="false">
      <c r="A143" s="49" t="s">
        <v>810</v>
      </c>
      <c r="B143" s="863" t="n">
        <v>40909</v>
      </c>
      <c r="C143" s="288" t="n">
        <f aca="false">YEAR(B143)</f>
        <v>2012</v>
      </c>
      <c r="D143" s="864" t="n">
        <f aca="false">IF(A143="January",D142+1,D142)</f>
        <v>12</v>
      </c>
      <c r="E143" s="865" t="n">
        <v>21</v>
      </c>
      <c r="F143" s="866" t="n">
        <v>4</v>
      </c>
      <c r="G143" s="866" t="n">
        <v>5</v>
      </c>
      <c r="H143" s="866" t="n">
        <v>1</v>
      </c>
      <c r="I143" s="867" t="n">
        <f aca="false">SUM(E143:H143)</f>
        <v>31</v>
      </c>
      <c r="J143" s="868"/>
      <c r="K143" s="869" t="n">
        <f aca="false">INDEX(FX!$A$3:$C$362,MATCH(B143,FX!$A$3:$A$362,0),MATCH("Monthly Curve",FX!$A$2:$C$2,0))</f>
        <v>1.30981114062628</v>
      </c>
      <c r="L143" s="869"/>
      <c r="M143" s="987" t="n">
        <v>3.536</v>
      </c>
      <c r="N143" s="988" t="n">
        <v>0.28</v>
      </c>
      <c r="O143" s="986" t="n">
        <v>0.1</v>
      </c>
      <c r="P143" s="872" t="n">
        <f aca="false">N143+O143</f>
        <v>0.38</v>
      </c>
      <c r="Q143" s="873" t="n">
        <f aca="false">SUM(M143:O143)</f>
        <v>3.916</v>
      </c>
      <c r="R143" s="974" t="n">
        <f aca="false">IF(A143="January",(R142+R142*Assumptions!$E$32),R142)</f>
        <v>0.373417300196882</v>
      </c>
      <c r="S143" s="875" t="n">
        <f aca="false">(Q143*K143)+R143</f>
        <v>5.5026377268894</v>
      </c>
      <c r="T143" s="869"/>
      <c r="U143" s="984"/>
      <c r="V143" s="978"/>
      <c r="W143" s="978"/>
      <c r="X143" s="971"/>
      <c r="Y143" s="975" t="n">
        <f aca="false">Tables!$D$36</f>
        <v>312</v>
      </c>
      <c r="Z143" s="879" t="n">
        <f aca="false">IF($Z$10=$V$10,V143,IF($Z$10=$W$10,W143,IF($Z$10=$X$10,X143,0)))</f>
        <v>0</v>
      </c>
      <c r="AA143" s="880" t="n">
        <f aca="false">Y143*Z143</f>
        <v>0</v>
      </c>
      <c r="AB143" s="881" t="n">
        <f aca="false">AA143*K143</f>
        <v>0</v>
      </c>
      <c r="AC143" s="188"/>
      <c r="AD143" s="882" t="n">
        <f aca="false">IF(Tables!$E$30="Michigan",INDEX('Michigan Curve'!$A$4:$S$256,MATCH('Monthly Table'!B143,'Michigan Curve'!$A$4:$A$256,0),MATCH("Michigan Selected Option Value US$/month",'Michigan Curve'!$A$4:$S$4,0)),INDEX('NY Curve'!$A$4:$T$256,MATCH('Monthly Table'!B143,'NY Curve'!$A$4:$A$256,0),MATCH("New York Selected Option Value US$/month",'NY Curve'!$A$4:$T$4,0)))</f>
        <v>39830.6743586008</v>
      </c>
      <c r="AE143" s="883" t="n">
        <f aca="false">AD143*K143</f>
        <v>52170.6610135528</v>
      </c>
      <c r="AF143" s="188"/>
      <c r="AG143" s="884"/>
      <c r="AH143" s="49"/>
      <c r="AI143" s="885" t="n">
        <f aca="false">Assumptions!$B$50</f>
        <v>65</v>
      </c>
      <c r="AJ143" s="916"/>
      <c r="AK143" s="887" t="n">
        <f aca="false">IF(Tables!$E$30="Custom",'Monthly Table'!AI143,IF(Tables!$E$30="New York",INDEX('NY Curve'!$A$4:$G$256,MATCH('Monthly Table'!B143,'NY Curve'!$A$4:$A$256,0),MATCH("Super Peak Curve",'NY Curve'!$A$4:$G$4,0)),IF(Tables!$E$30="New York Flat",INDEX('NY Curve'!$A$4:$G$256,MATCH('Monthly Table'!B143,'NY Curve'!$A$4:$A$256,0),MATCH("Flat NY West",'NY Curve'!$A$4:$G$4,0)),INDEX('Michigan Curve'!$A$4:$F$256,MATCH('Monthly Table'!B143,'Michigan Curve'!$A$4:$A$256,0),MATCH("Michigan Super Peak Curve US$/MWhr",'Michigan Curve'!$A$4:$F$4,0)))))</f>
        <v>34.8840003890991</v>
      </c>
      <c r="AL143" s="888" t="n">
        <f aca="false">IF(D143&lt;=Tables!$B$21,IF($AL$10=$AI$10,AI143,IF($AL$10=$AJ$10,AJ143,IF($AL$10=$AK$10,AK143,0))),0)</f>
        <v>34.8840003890991</v>
      </c>
      <c r="AM143" s="889" t="n">
        <f aca="false">+AL143*K143</f>
        <v>45.6914523392535</v>
      </c>
      <c r="AN143" s="890" t="n">
        <f aca="false">IF((AL143*K143)&gt;(CP143+$BF$4),1,0)</f>
        <v>0</v>
      </c>
      <c r="AO143" s="891"/>
      <c r="AP143" s="894"/>
      <c r="AQ143" s="892" t="n">
        <f aca="false">IF(Tables!$E$30="New York",INDEX('NY Curve'!$A$4:$L$256,MATCH('Monthly Table'!B143,'NY Curve'!$A$4:$A$256,0),MATCH("New York Shoulder Hour Curve Mon-Fri",'NY Curve'!$A$4:$L$4,0)),IF(Tables!$E$30="Michigan",INDEX('Michigan Curve'!$A$4:$K$256,MATCH('Monthly Table'!B143,'Michigan Curve'!$A$4:$A$256,0),MATCH("Michigan Shoulder Hour Curve Mon-Fri",'Michigan Curve'!$A$4:$K$4,0))))</f>
        <v>33.5160003738403</v>
      </c>
      <c r="AR143" s="889" t="n">
        <f aca="false">AQ143*K143</f>
        <v>43.8996306788906</v>
      </c>
      <c r="AS143" s="893" t="n">
        <f aca="false">IF(AR143&gt;($CP143+$BF$4),1,0)</f>
        <v>0</v>
      </c>
      <c r="AT143" s="188"/>
      <c r="AU143" s="892" t="n">
        <f aca="false">IF(Tables!$E$30="New York",INDEX('NY Curve'!$A$4:$L$256,MATCH('Monthly Table'!$B143,'NY Curve'!$A$4:$A$256,0),MATCH("New York Saturday Super Peak",'NY Curve'!$A$4:$L$4,0)),IF(Tables!$E$30="Michigan",INDEX('Michigan Curve'!$A$4:$K$256,MATCH('Monthly Table'!$B143,'Michigan Curve'!$A$4:$A$256,0),MATCH("Michigan Saturday Super Peak",'Michigan Curve'!$A$4:$K$4,0))))</f>
        <v>22.44</v>
      </c>
      <c r="AV143" s="894" t="n">
        <f aca="false">AU143*K143</f>
        <v>29.3921619956537</v>
      </c>
      <c r="AW143" s="893" t="n">
        <f aca="false">IF(AV143&gt;($CP143+$BF$4),1,0)</f>
        <v>0</v>
      </c>
      <c r="AX143" s="892" t="n">
        <f aca="false">IF(Tables!$E$30="New York",INDEX('NY Curve'!$A$4:$L$256,MATCH('Monthly Table'!$B143,'NY Curve'!$A$4:$A$256,0),MATCH("New York Saturday Shoulder Peak",'NY Curve'!$A$4:$L$4,0)),IF(Tables!$E$30="Michigan",INDEX('Michigan Curve'!$A$4:$K$256,MATCH('Monthly Table'!$B143,'Michigan Curve'!$A$4:$A$256,0),MATCH("Michigan Saturday Shoulder Peak",'Michigan Curve'!$A$4:$K$4,0))))</f>
        <v>21.56</v>
      </c>
      <c r="AY143" s="895" t="n">
        <f aca="false">AX143*K143</f>
        <v>28.2395281919026</v>
      </c>
      <c r="AZ143" s="893" t="n">
        <f aca="false">IF(AY143&gt;($CP143+$BF$4),1,0)</f>
        <v>0</v>
      </c>
      <c r="BA143" s="188"/>
      <c r="BB143" s="892" t="n">
        <f aca="false">IF(Tables!$E$30="New York",INDEX('NY Curve'!$A$4:$M$256,MATCH('Monthly Table'!$B143,'NY Curve'!$A$4:$A$256,0),MATCH("NY Sunday Super Peak",'NY Curve'!$A$4:$M$4,0)),IF(Tables!$E$30="Michigan",INDEX('Michigan Curve'!$A$4:$L$256,MATCH('Monthly Table'!$B143,'Michigan Curve'!$A$4:$A$256,0),MATCH("Michigan Sunday Super Peak",'Michigan Curve'!$A$4:$L$4,0))))</f>
        <v>21.42</v>
      </c>
      <c r="BC143" s="894" t="n">
        <f aca="false">BB143*K143</f>
        <v>28.0561546322149</v>
      </c>
      <c r="BD143" s="893" t="n">
        <f aca="false">IF(BC143&gt;($CP143+$BF$4),1,0)</f>
        <v>0</v>
      </c>
      <c r="BE143" s="188"/>
      <c r="BF143" s="896" t="n">
        <f aca="false">B143</f>
        <v>40909</v>
      </c>
      <c r="BG143" s="897" t="n">
        <f aca="false">IF($AN143=1,$E143*$BF$5,0)</f>
        <v>0</v>
      </c>
      <c r="BH143" s="976" t="n">
        <f aca="false">IF(Tables!$B$36="Combined Cycle",(BF143-BF142)*24*Assumptions!$B$21,0)</f>
        <v>0</v>
      </c>
      <c r="BI143" s="714" t="n">
        <f aca="false">IF($AN143=1,$E143*$BF$5,0)</f>
        <v>0</v>
      </c>
      <c r="BJ143" s="898" t="n">
        <f aca="false">IF('Monthly Table'!D143&lt;=Tables!$B$21,IF($BJ$10=$BG$10,BG143,IF($BJ$10=$BH$10,BH143,IF($BJ$10=$BI$10,BI143,0))),0)</f>
        <v>0</v>
      </c>
      <c r="BK143" s="288"/>
      <c r="BL143" s="898" t="n">
        <f aca="false">IF($AW143=1,$F143*$BF$5,0)</f>
        <v>0</v>
      </c>
      <c r="BM143" s="898" t="n">
        <f aca="false">IF($BD143=1,($G143+H143)*$BF$5,0)</f>
        <v>0</v>
      </c>
      <c r="BO143" s="898" t="n">
        <f aca="false">IF(AS143=1,BJ143,0)</f>
        <v>0</v>
      </c>
      <c r="BP143" s="898" t="n">
        <f aca="false">IF(AZ143=1,F143*$BF$5,0)</f>
        <v>0</v>
      </c>
      <c r="BR143" s="899" t="n">
        <f aca="false">IF(BJ143&gt;0,INDEX(OperationalDetail,MATCH("Capacity Degradation",ODColumn,0),MATCH('Monthly Table'!C143,ODRow,0)),0)</f>
        <v>0</v>
      </c>
      <c r="BS143" s="900" t="n">
        <f aca="false">BJ143*(1-BR143)*Tables!$C$36</f>
        <v>0</v>
      </c>
      <c r="BT143" s="883" t="n">
        <f aca="false">BS143*AL143/1000</f>
        <v>0</v>
      </c>
      <c r="BU143" s="883" t="n">
        <f aca="false">BT143*K143</f>
        <v>0</v>
      </c>
      <c r="BV143" s="188"/>
      <c r="BW143" s="901" t="n">
        <f aca="false">$BO143*(1-$BR143)*Tables!$C$36</f>
        <v>0</v>
      </c>
      <c r="BX143" s="902" t="n">
        <f aca="false">(BW143*AQ143)/1000</f>
        <v>0</v>
      </c>
      <c r="BY143" s="883" t="n">
        <f aca="false">BX143*K143</f>
        <v>0</v>
      </c>
      <c r="BZ143" s="188"/>
      <c r="CA143" s="901" t="n">
        <f aca="false">$BL143*(1-$BR143)*Tables!$C$36</f>
        <v>0</v>
      </c>
      <c r="CB143" s="902" t="n">
        <f aca="false">(CA143*AU143)/1000</f>
        <v>0</v>
      </c>
      <c r="CC143" s="883" t="n">
        <f aca="false">CB143*K143</f>
        <v>0</v>
      </c>
      <c r="CD143" s="901" t="n">
        <f aca="false">$BP143*(1-$BR143)*Tables!$C$36</f>
        <v>0</v>
      </c>
      <c r="CE143" s="902" t="n">
        <f aca="false">(CD143*AX143)/1000</f>
        <v>0</v>
      </c>
      <c r="CF143" s="883" t="n">
        <f aca="false">CE143*K143</f>
        <v>0</v>
      </c>
      <c r="CH143" s="901" t="n">
        <f aca="false">$BM143*(1-$BR143)*Tables!$C$36</f>
        <v>0</v>
      </c>
      <c r="CI143" s="902" t="n">
        <f aca="false">(CH143*BB143)/1000</f>
        <v>0</v>
      </c>
      <c r="CJ143" s="883" t="n">
        <f aca="false">CI143*K143</f>
        <v>0</v>
      </c>
      <c r="CK143" s="292"/>
      <c r="CL143" s="292" t="n">
        <f aca="false">C143-1</f>
        <v>2011</v>
      </c>
      <c r="CM143" s="903" t="n">
        <f aca="false">INDEX(OperationalDetail,MATCH("Degraded Heat Rate",ODColumn,0),MATCH('Monthly Table'!CL143,ODRow,0))/1000</f>
        <v>12.1404764</v>
      </c>
      <c r="CN143" s="904" t="n">
        <f aca="false">S143*CM143</f>
        <v>66.8046434610504</v>
      </c>
      <c r="CO143" s="905" t="n">
        <f aca="false">IF(A143="January",(CO142*(1+Assumptions!$E$32)),CO142)</f>
        <v>8.37490307598073</v>
      </c>
      <c r="CP143" s="906" t="n">
        <f aca="false">CN143+CO143</f>
        <v>75.1795465370311</v>
      </c>
      <c r="CQ143" s="292"/>
      <c r="CR143" s="856" t="str">
        <f aca="false">IF(BJ143=0,"",C143)</f>
        <v/>
      </c>
      <c r="CS143" s="856" t="str">
        <f aca="false">IF(BO143=0,"",$C143)</f>
        <v/>
      </c>
      <c r="CT143" s="856" t="str">
        <f aca="false">IF(BL143=0,"",$C143)</f>
        <v/>
      </c>
      <c r="CU143" s="856" t="str">
        <f aca="false">IF(BP143=0,"",$C143)</f>
        <v/>
      </c>
      <c r="CV143" s="856" t="str">
        <f aca="false">IF(BD143=0,"",$C143)</f>
        <v/>
      </c>
      <c r="CW143" s="907" t="n">
        <f aca="false">YEAR(BF143)</f>
        <v>2012</v>
      </c>
      <c r="CX143" s="908" t="n">
        <f aca="false">INDEX('NY Curve'!$A$4:$G$256,MATCH('Monthly Table'!B143,'NY Curve'!$A$4:$A$256,0),MATCH("New York 5 X 16",'NY Curve'!$A$4:$G$4,0))</f>
        <v>33.05</v>
      </c>
      <c r="CY143" s="909" t="n">
        <f aca="false">K143</f>
        <v>1.30981114062628</v>
      </c>
      <c r="CZ143" s="910" t="n">
        <f aca="false">CX143*CY143</f>
        <v>43.2892581976986</v>
      </c>
      <c r="DB143" s="911"/>
      <c r="DC143" s="911"/>
    </row>
    <row r="144" customFormat="false" ht="18.75" hidden="false" customHeight="true" outlineLevel="0" collapsed="false">
      <c r="A144" s="49" t="s">
        <v>811</v>
      </c>
      <c r="B144" s="863" t="n">
        <v>40940</v>
      </c>
      <c r="C144" s="288" t="n">
        <f aca="false">YEAR(B144)</f>
        <v>2012</v>
      </c>
      <c r="D144" s="864" t="n">
        <f aca="false">IF(A144="January",D143+1,D143)</f>
        <v>12</v>
      </c>
      <c r="E144" s="865" t="n">
        <v>21</v>
      </c>
      <c r="F144" s="866" t="n">
        <v>4</v>
      </c>
      <c r="G144" s="866" t="n">
        <v>4</v>
      </c>
      <c r="H144" s="866" t="n">
        <v>0</v>
      </c>
      <c r="I144" s="867" t="n">
        <f aca="false">SUM(E144:H144)</f>
        <v>29</v>
      </c>
      <c r="J144" s="868"/>
      <c r="K144" s="869" t="n">
        <f aca="false">INDEX(FX!$A$3:$C$362,MATCH(B144,FX!$A$3:$A$362,0),MATCH("Monthly Curve",FX!$A$2:$C$2,0))</f>
        <v>1.30896348843557</v>
      </c>
      <c r="L144" s="869"/>
      <c r="M144" s="987" t="n">
        <v>3.423</v>
      </c>
      <c r="N144" s="988" t="n">
        <v>0.31</v>
      </c>
      <c r="O144" s="986" t="n">
        <v>0.1</v>
      </c>
      <c r="P144" s="872" t="n">
        <f aca="false">N144+O144</f>
        <v>0.41</v>
      </c>
      <c r="Q144" s="873" t="n">
        <f aca="false">SUM(M144:O144)</f>
        <v>3.833</v>
      </c>
      <c r="R144" s="974" t="n">
        <f aca="false">IF(A144="January",(R143+R143*Assumptions!$E$32),R143)</f>
        <v>0.373417300196882</v>
      </c>
      <c r="S144" s="875" t="n">
        <f aca="false">(Q144*K144)+R144</f>
        <v>5.39067435137042</v>
      </c>
      <c r="T144" s="869"/>
      <c r="U144" s="984"/>
      <c r="V144" s="978"/>
      <c r="W144" s="978"/>
      <c r="X144" s="971"/>
      <c r="Y144" s="975" t="n">
        <f aca="false">Tables!$D$36</f>
        <v>312</v>
      </c>
      <c r="Z144" s="879" t="n">
        <f aca="false">IF($Z$10=$V$10,V144,IF($Z$10=$W$10,W144,IF($Z$10=$X$10,X144,0)))</f>
        <v>0</v>
      </c>
      <c r="AA144" s="880" t="n">
        <f aca="false">Y144*Z144</f>
        <v>0</v>
      </c>
      <c r="AB144" s="881" t="n">
        <f aca="false">AA144*K144</f>
        <v>0</v>
      </c>
      <c r="AC144" s="188"/>
      <c r="AD144" s="882" t="n">
        <f aca="false">IF(Tables!$E$30="Michigan",INDEX('Michigan Curve'!$A$4:$S$256,MATCH('Monthly Table'!B144,'Michigan Curve'!$A$4:$A$256,0),MATCH("Michigan Selected Option Value US$/month",'Michigan Curve'!$A$4:$S$4,0)),INDEX('NY Curve'!$A$4:$T$256,MATCH('Monthly Table'!B144,'NY Curve'!$A$4:$A$256,0),MATCH("New York Selected Option Value US$/month",'NY Curve'!$A$4:$T$4,0)))</f>
        <v>40157.501214488</v>
      </c>
      <c r="AE144" s="883" t="n">
        <f aca="false">AD144*K144</f>
        <v>52564.7028765719</v>
      </c>
      <c r="AF144" s="188"/>
      <c r="AG144" s="884"/>
      <c r="AH144" s="49"/>
      <c r="AI144" s="885" t="n">
        <f aca="false">Assumptions!$B$50</f>
        <v>65</v>
      </c>
      <c r="AJ144" s="916"/>
      <c r="AK144" s="887" t="n">
        <f aca="false">IF(Tables!$E$30="Custom",'Monthly Table'!AI144,IF(Tables!$E$30="New York",INDEX('NY Curve'!$A$4:$G$256,MATCH('Monthly Table'!B144,'NY Curve'!$A$4:$A$256,0),MATCH("Super Peak Curve",'NY Curve'!$A$4:$G$4,0)),IF(Tables!$E$30="New York Flat",INDEX('NY Curve'!$A$4:$G$256,MATCH('Monthly Table'!B144,'NY Curve'!$A$4:$A$256,0),MATCH("Flat NY West",'NY Curve'!$A$4:$G$4,0)),INDEX('Michigan Curve'!$A$4:$F$256,MATCH('Monthly Table'!B144,'Michigan Curve'!$A$4:$A$256,0),MATCH("Michigan Super Peak Curve US$/MWhr",'Michigan Curve'!$A$4:$F$4,0)))))</f>
        <v>34.8839984436035</v>
      </c>
      <c r="AL144" s="888" t="n">
        <f aca="false">IF(D144&lt;=Tables!$B$21,IF($AL$10=$AI$10,AI144,IF($AL$10=$AJ$10,AJ144,IF($AL$10=$AK$10,AK144,0))),0)</f>
        <v>34.8839984436035</v>
      </c>
      <c r="AM144" s="889" t="n">
        <f aca="false">+AL144*K144</f>
        <v>45.6618802933203</v>
      </c>
      <c r="AN144" s="890" t="n">
        <f aca="false">IF((AL144*K144)&gt;(CP144+$BF$4),1,0)</f>
        <v>0</v>
      </c>
      <c r="AO144" s="891"/>
      <c r="AP144" s="894"/>
      <c r="AQ144" s="892" t="n">
        <f aca="false">IF(Tables!$E$30="New York",INDEX('NY Curve'!$A$4:$L$256,MATCH('Monthly Table'!B144,'NY Curve'!$A$4:$A$256,0),MATCH("New York Shoulder Hour Curve Mon-Fri",'NY Curve'!$A$4:$L$4,0)),IF(Tables!$E$30="Michigan",INDEX('Michigan Curve'!$A$4:$K$256,MATCH('Monthly Table'!B144,'Michigan Curve'!$A$4:$A$256,0),MATCH("Michigan Shoulder Hour Curve Mon-Fri",'Michigan Curve'!$A$4:$K$4,0))))</f>
        <v>33.5159985046387</v>
      </c>
      <c r="AR144" s="889" t="n">
        <f aca="false">AQ144*K144</f>
        <v>43.8712183210332</v>
      </c>
      <c r="AS144" s="893" t="n">
        <f aca="false">IF(AR144&gt;($CP144+$BF$4),1,0)</f>
        <v>0</v>
      </c>
      <c r="AT144" s="188"/>
      <c r="AU144" s="892" t="n">
        <f aca="false">IF(Tables!$E$30="New York",INDEX('NY Curve'!$A$4:$L$256,MATCH('Monthly Table'!$B144,'NY Curve'!$A$4:$A$256,0),MATCH("New York Saturday Super Peak",'NY Curve'!$A$4:$L$4,0)),IF(Tables!$E$30="Michigan",INDEX('Michigan Curve'!$A$4:$K$256,MATCH('Monthly Table'!$B144,'Michigan Curve'!$A$4:$A$256,0),MATCH("Michigan Saturday Super Peak",'Michigan Curve'!$A$4:$K$4,0))))</f>
        <v>22.4359202957153</v>
      </c>
      <c r="AV144" s="894" t="n">
        <f aca="false">AU144*K144</f>
        <v>29.3678004965419</v>
      </c>
      <c r="AW144" s="893" t="n">
        <f aca="false">IF(AV144&gt;($CP144+$BF$4),1,0)</f>
        <v>0</v>
      </c>
      <c r="AX144" s="892" t="n">
        <f aca="false">IF(Tables!$E$30="New York",INDEX('NY Curve'!$A$4:$L$256,MATCH('Monthly Table'!$B144,'NY Curve'!$A$4:$A$256,0),MATCH("New York Saturday Shoulder Peak",'NY Curve'!$A$4:$L$4,0)),IF(Tables!$E$30="Michigan",INDEX('Michigan Curve'!$A$4:$K$256,MATCH('Monthly Table'!$B144,'Michigan Curve'!$A$4:$A$256,0),MATCH("Michigan Saturday Shoulder Peak",'Michigan Curve'!$A$4:$K$4,0))))</f>
        <v>21.5560802841187</v>
      </c>
      <c r="AY144" s="895" t="n">
        <f aca="false">AX144*K144</f>
        <v>28.2161220456972</v>
      </c>
      <c r="AZ144" s="893" t="n">
        <f aca="false">IF(AY144&gt;($CP144+$BF$4),1,0)</f>
        <v>0</v>
      </c>
      <c r="BA144" s="188"/>
      <c r="BB144" s="892" t="n">
        <f aca="false">IF(Tables!$E$30="New York",INDEX('NY Curve'!$A$4:$M$256,MATCH('Monthly Table'!$B144,'NY Curve'!$A$4:$A$256,0),MATCH("NY Sunday Super Peak",'NY Curve'!$A$4:$M$4,0)),IF(Tables!$E$30="Michigan",INDEX('Michigan Curve'!$A$4:$L$256,MATCH('Monthly Table'!$B144,'Michigan Curve'!$A$4:$A$256,0),MATCH("Michigan Sunday Super Peak",'Michigan Curve'!$A$4:$L$4,0))))</f>
        <v>21.4164319610596</v>
      </c>
      <c r="BC144" s="894" t="n">
        <f aca="false">BB144*K144</f>
        <v>28.0333274895916</v>
      </c>
      <c r="BD144" s="893" t="n">
        <f aca="false">IF(BC144&gt;($CP144+$BF$4),1,0)</f>
        <v>0</v>
      </c>
      <c r="BE144" s="188"/>
      <c r="BF144" s="896" t="n">
        <f aca="false">B144</f>
        <v>40940</v>
      </c>
      <c r="BG144" s="897" t="n">
        <f aca="false">IF($AN144=1,$E144*$BF$5,0)</f>
        <v>0</v>
      </c>
      <c r="BH144" s="976" t="n">
        <f aca="false">IF(Tables!$B$36="Combined Cycle",(BF144-BF143)*24*Assumptions!$B$21,0)</f>
        <v>0</v>
      </c>
      <c r="BI144" s="714" t="n">
        <f aca="false">IF($AN144=1,$E144*$BF$5,0)</f>
        <v>0</v>
      </c>
      <c r="BJ144" s="898" t="n">
        <f aca="false">IF('Monthly Table'!D144&lt;=Tables!$B$21,IF($BJ$10=$BG$10,BG144,IF($BJ$10=$BH$10,BH144,IF($BJ$10=$BI$10,BI144,0))),0)</f>
        <v>0</v>
      </c>
      <c r="BK144" s="288"/>
      <c r="BL144" s="898" t="n">
        <f aca="false">IF($AW144=1,$F144*$BF$5,0)</f>
        <v>0</v>
      </c>
      <c r="BM144" s="898" t="n">
        <f aca="false">IF($BD144=1,($G144+H144)*$BF$5,0)</f>
        <v>0</v>
      </c>
      <c r="BO144" s="898" t="n">
        <f aca="false">IF(AS144=1,BJ144,0)</f>
        <v>0</v>
      </c>
      <c r="BP144" s="898" t="n">
        <f aca="false">IF(AZ144=1,F144*$BF$5,0)</f>
        <v>0</v>
      </c>
      <c r="BR144" s="899" t="n">
        <f aca="false">IF(BJ144&gt;0,INDEX(OperationalDetail,MATCH("Capacity Degradation",ODColumn,0),MATCH('Monthly Table'!C144,ODRow,0)),0)</f>
        <v>0</v>
      </c>
      <c r="BS144" s="900" t="n">
        <f aca="false">BJ144*(1-BR144)*Tables!$C$36</f>
        <v>0</v>
      </c>
      <c r="BT144" s="883" t="n">
        <f aca="false">BS144*AL144/1000</f>
        <v>0</v>
      </c>
      <c r="BU144" s="883" t="n">
        <f aca="false">BT144*K144</f>
        <v>0</v>
      </c>
      <c r="BV144" s="188"/>
      <c r="BW144" s="901" t="n">
        <f aca="false">$BO144*(1-$BR144)*Tables!$C$36</f>
        <v>0</v>
      </c>
      <c r="BX144" s="902" t="n">
        <f aca="false">(BW144*AQ144)/1000</f>
        <v>0</v>
      </c>
      <c r="BY144" s="883" t="n">
        <f aca="false">BX144*K144</f>
        <v>0</v>
      </c>
      <c r="BZ144" s="188"/>
      <c r="CA144" s="901" t="n">
        <f aca="false">$BL144*(1-$BR144)*Tables!$C$36</f>
        <v>0</v>
      </c>
      <c r="CB144" s="902" t="n">
        <f aca="false">(CA144*AU144)/1000</f>
        <v>0</v>
      </c>
      <c r="CC144" s="883" t="n">
        <f aca="false">CB144*K144</f>
        <v>0</v>
      </c>
      <c r="CD144" s="901" t="n">
        <f aca="false">$BP144*(1-$BR144)*Tables!$C$36</f>
        <v>0</v>
      </c>
      <c r="CE144" s="902" t="n">
        <f aca="false">(CD144*AX144)/1000</f>
        <v>0</v>
      </c>
      <c r="CF144" s="883" t="n">
        <f aca="false">CE144*K144</f>
        <v>0</v>
      </c>
      <c r="CH144" s="901" t="n">
        <f aca="false">$BM144*(1-$BR144)*Tables!$C$36</f>
        <v>0</v>
      </c>
      <c r="CI144" s="902" t="n">
        <f aca="false">(CH144*BB144)/1000</f>
        <v>0</v>
      </c>
      <c r="CJ144" s="883" t="n">
        <f aca="false">CI144*K144</f>
        <v>0</v>
      </c>
      <c r="CK144" s="292"/>
      <c r="CL144" s="292" t="n">
        <f aca="false">C144-1</f>
        <v>2011</v>
      </c>
      <c r="CM144" s="903" t="n">
        <f aca="false">INDEX(OperationalDetail,MATCH("Degraded Heat Rate",ODColumn,0),MATCH('Monthly Table'!CL144,ODRow,0))/1000</f>
        <v>12.1404764</v>
      </c>
      <c r="CN144" s="904" t="n">
        <f aca="false">S144*CM144</f>
        <v>65.4453547428979</v>
      </c>
      <c r="CO144" s="905" t="n">
        <f aca="false">IF(A144="January",(CO143*(1+Assumptions!$E$32)),CO143)</f>
        <v>8.37490307598073</v>
      </c>
      <c r="CP144" s="906" t="n">
        <f aca="false">CN144+CO144</f>
        <v>73.8202578188787</v>
      </c>
      <c r="CQ144" s="292"/>
      <c r="CR144" s="856" t="str">
        <f aca="false">IF(BJ144=0,"",C144)</f>
        <v/>
      </c>
      <c r="CS144" s="856" t="str">
        <f aca="false">IF(BO144=0,"",$C144)</f>
        <v/>
      </c>
      <c r="CT144" s="856" t="str">
        <f aca="false">IF(BL144=0,"",$C144)</f>
        <v/>
      </c>
      <c r="CU144" s="856" t="str">
        <f aca="false">IF(BP144=0,"",$C144)</f>
        <v/>
      </c>
      <c r="CV144" s="856" t="str">
        <f aca="false">IF(BD144=0,"",$C144)</f>
        <v/>
      </c>
      <c r="CW144" s="907" t="n">
        <f aca="false">YEAR(BF144)</f>
        <v>2012</v>
      </c>
      <c r="CX144" s="908" t="n">
        <f aca="false">INDEX('NY Curve'!$A$4:$G$256,MATCH('Monthly Table'!B144,'NY Curve'!$A$4:$A$256,0),MATCH("New York 5 X 16",'NY Curve'!$A$4:$G$4,0))</f>
        <v>33.05</v>
      </c>
      <c r="CY144" s="909" t="n">
        <f aca="false">K144</f>
        <v>1.30896348843557</v>
      </c>
      <c r="CZ144" s="910" t="n">
        <f aca="false">CX144*CY144</f>
        <v>43.2612432927956</v>
      </c>
      <c r="DB144" s="911"/>
      <c r="DC144" s="911"/>
    </row>
    <row r="145" customFormat="false" ht="18.75" hidden="false" customHeight="true" outlineLevel="0" collapsed="false">
      <c r="A145" s="49" t="s">
        <v>812</v>
      </c>
      <c r="B145" s="863" t="n">
        <v>40969</v>
      </c>
      <c r="C145" s="288" t="n">
        <f aca="false">YEAR(B145)</f>
        <v>2012</v>
      </c>
      <c r="D145" s="864" t="n">
        <f aca="false">IF(A145="January",D144+1,D144)</f>
        <v>12</v>
      </c>
      <c r="E145" s="865" t="n">
        <v>22</v>
      </c>
      <c r="F145" s="866" t="n">
        <v>5</v>
      </c>
      <c r="G145" s="866" t="n">
        <v>4</v>
      </c>
      <c r="H145" s="866" t="n">
        <v>0</v>
      </c>
      <c r="I145" s="867" t="n">
        <f aca="false">SUM(E145:H145)</f>
        <v>31</v>
      </c>
      <c r="J145" s="868"/>
      <c r="K145" s="869" t="n">
        <f aca="false">INDEX(FX!$A$3:$C$362,MATCH(B145,FX!$A$3:$A$362,0),MATCH("Monthly Curve",FX!$A$2:$C$2,0))</f>
        <v>1.30817272799524</v>
      </c>
      <c r="L145" s="869"/>
      <c r="M145" s="987" t="n">
        <v>3.308</v>
      </c>
      <c r="N145" s="988" t="n">
        <v>0.31</v>
      </c>
      <c r="O145" s="986" t="n">
        <v>0.1</v>
      </c>
      <c r="P145" s="872" t="n">
        <f aca="false">N145+O145</f>
        <v>0.41</v>
      </c>
      <c r="Q145" s="873" t="n">
        <f aca="false">SUM(M145:O145)</f>
        <v>3.718</v>
      </c>
      <c r="R145" s="974" t="n">
        <f aca="false">IF(A145="January",(R144+R144*Assumptions!$E$32),R144)</f>
        <v>0.373417300196882</v>
      </c>
      <c r="S145" s="875" t="n">
        <f aca="false">(Q145*K145)+R145</f>
        <v>5.23720350288319</v>
      </c>
      <c r="T145" s="869"/>
      <c r="U145" s="984"/>
      <c r="V145" s="978"/>
      <c r="W145" s="978"/>
      <c r="X145" s="971"/>
      <c r="Y145" s="975" t="n">
        <f aca="false">Tables!$D$36</f>
        <v>312</v>
      </c>
      <c r="Z145" s="879" t="n">
        <f aca="false">IF($Z$10=$V$10,V145,IF($Z$10=$W$10,W145,IF($Z$10=$X$10,X145,0)))</f>
        <v>0</v>
      </c>
      <c r="AA145" s="880" t="n">
        <f aca="false">Y145*Z145</f>
        <v>0</v>
      </c>
      <c r="AB145" s="881" t="n">
        <f aca="false">AA145*K145</f>
        <v>0</v>
      </c>
      <c r="AC145" s="188"/>
      <c r="AD145" s="882" t="n">
        <f aca="false">IF(Tables!$E$30="Michigan",INDEX('Michigan Curve'!$A$4:$S$256,MATCH('Monthly Table'!B145,'Michigan Curve'!$A$4:$A$256,0),MATCH("Michigan Selected Option Value US$/month",'Michigan Curve'!$A$4:$S$4,0)),INDEX('NY Curve'!$A$4:$T$256,MATCH('Monthly Table'!B145,'NY Curve'!$A$4:$A$256,0),MATCH("New York Selected Option Value US$/month",'NY Curve'!$A$4:$T$4,0)))</f>
        <v>9724.75623913901</v>
      </c>
      <c r="AE145" s="883" t="n">
        <f aca="false">AD145*K145</f>
        <v>12721.6608984432</v>
      </c>
      <c r="AF145" s="188"/>
      <c r="AG145" s="884"/>
      <c r="AH145" s="49"/>
      <c r="AI145" s="885" t="n">
        <f aca="false">Assumptions!$B$50</f>
        <v>65</v>
      </c>
      <c r="AJ145" s="916"/>
      <c r="AK145" s="887" t="n">
        <f aca="false">IF(Tables!$E$30="Custom",'Monthly Table'!AI145,IF(Tables!$E$30="New York",INDEX('NY Curve'!$A$4:$G$256,MATCH('Monthly Table'!B145,'NY Curve'!$A$4:$A$256,0),MATCH("Super Peak Curve",'NY Curve'!$A$4:$G$4,0)),IF(Tables!$E$30="New York Flat",INDEX('NY Curve'!$A$4:$G$256,MATCH('Monthly Table'!B145,'NY Curve'!$A$4:$A$256,0),MATCH("Flat NY West",'NY Curve'!$A$4:$G$4,0)),INDEX('Michigan Curve'!$A$4:$F$256,MATCH('Monthly Table'!B145,'Michigan Curve'!$A$4:$A$256,0),MATCH("Michigan Super Peak Curve US$/MWhr",'Michigan Curve'!$A$4:$F$4,0)))))</f>
        <v>29.58</v>
      </c>
      <c r="AL145" s="888" t="n">
        <f aca="false">IF(D145&lt;=Tables!$B$21,IF($AL$10=$AI$10,AI145,IF($AL$10=$AJ$10,AJ145,IF($AL$10=$AK$10,AK145,0))),0)</f>
        <v>29.58</v>
      </c>
      <c r="AM145" s="889" t="n">
        <f aca="false">+AL145*K145</f>
        <v>38.6957492940992</v>
      </c>
      <c r="AN145" s="890" t="n">
        <f aca="false">IF((AL145*K145)&gt;(CP145+$BF$4),1,0)</f>
        <v>0</v>
      </c>
      <c r="AO145" s="891"/>
      <c r="AP145" s="894"/>
      <c r="AQ145" s="892" t="n">
        <f aca="false">IF(Tables!$E$30="New York",INDEX('NY Curve'!$A$4:$L$256,MATCH('Monthly Table'!B145,'NY Curve'!$A$4:$A$256,0),MATCH("New York Shoulder Hour Curve Mon-Fri",'NY Curve'!$A$4:$L$4,0)),IF(Tables!$E$30="Michigan",INDEX('Michigan Curve'!$A$4:$K$256,MATCH('Monthly Table'!B145,'Michigan Curve'!$A$4:$A$256,0),MATCH("Michigan Shoulder Hour Curve Mon-Fri",'Michigan Curve'!$A$4:$K$4,0))))</f>
        <v>28.42</v>
      </c>
      <c r="AR145" s="889" t="n">
        <f aca="false">AQ145*K145</f>
        <v>37.1782689296247</v>
      </c>
      <c r="AS145" s="893" t="n">
        <f aca="false">IF(AR145&gt;($CP145+$BF$4),1,0)</f>
        <v>0</v>
      </c>
      <c r="AT145" s="188"/>
      <c r="AU145" s="892" t="n">
        <f aca="false">IF(Tables!$E$30="New York",INDEX('NY Curve'!$A$4:$L$256,MATCH('Monthly Table'!$B145,'NY Curve'!$A$4:$A$256,0),MATCH("New York Saturday Super Peak",'NY Curve'!$A$4:$L$4,0)),IF(Tables!$E$30="Michigan",INDEX('Michigan Curve'!$A$4:$K$256,MATCH('Monthly Table'!$B145,'Michigan Curve'!$A$4:$A$256,0),MATCH("Michigan Saturday Super Peak",'Michigan Curve'!$A$4:$K$4,0))))</f>
        <v>20.4</v>
      </c>
      <c r="AV145" s="894" t="n">
        <f aca="false">AU145*K145</f>
        <v>26.6867236511029</v>
      </c>
      <c r="AW145" s="893" t="n">
        <f aca="false">IF(AV145&gt;($CP145+$BF$4),1,0)</f>
        <v>0</v>
      </c>
      <c r="AX145" s="892" t="n">
        <f aca="false">IF(Tables!$E$30="New York",INDEX('NY Curve'!$A$4:$L$256,MATCH('Monthly Table'!$B145,'NY Curve'!$A$4:$A$256,0),MATCH("New York Saturday Shoulder Peak",'NY Curve'!$A$4:$L$4,0)),IF(Tables!$E$30="Michigan",INDEX('Michigan Curve'!$A$4:$K$256,MATCH('Monthly Table'!$B145,'Michigan Curve'!$A$4:$A$256,0),MATCH("Michigan Saturday Shoulder Peak",'Michigan Curve'!$A$4:$K$4,0))))</f>
        <v>19.6</v>
      </c>
      <c r="AY145" s="895" t="n">
        <f aca="false">AX145*K145</f>
        <v>25.6401854687067</v>
      </c>
      <c r="AZ145" s="893" t="n">
        <f aca="false">IF(AY145&gt;($CP145+$BF$4),1,0)</f>
        <v>0</v>
      </c>
      <c r="BA145" s="188"/>
      <c r="BB145" s="892" t="n">
        <f aca="false">IF(Tables!$E$30="New York",INDEX('NY Curve'!$A$4:$M$256,MATCH('Monthly Table'!$B145,'NY Curve'!$A$4:$A$256,0),MATCH("NY Sunday Super Peak",'NY Curve'!$A$4:$M$4,0)),IF(Tables!$E$30="Michigan",INDEX('Michigan Curve'!$A$4:$L$256,MATCH('Monthly Table'!$B145,'Michigan Curve'!$A$4:$A$256,0),MATCH("Michigan Sunday Super Peak",'Michigan Curve'!$A$4:$L$4,0))))</f>
        <v>19.38</v>
      </c>
      <c r="BC145" s="894" t="n">
        <f aca="false">BB145*K145</f>
        <v>25.3523874685478</v>
      </c>
      <c r="BD145" s="893" t="n">
        <f aca="false">IF(BC145&gt;($CP145+$BF$4),1,0)</f>
        <v>0</v>
      </c>
      <c r="BE145" s="188"/>
      <c r="BF145" s="896" t="n">
        <f aca="false">B145</f>
        <v>40969</v>
      </c>
      <c r="BG145" s="897" t="n">
        <f aca="false">IF($AN145=1,$E145*$BF$5,0)</f>
        <v>0</v>
      </c>
      <c r="BH145" s="976" t="n">
        <f aca="false">IF(Tables!$B$36="Combined Cycle",(BF145-BF144)*24*Assumptions!$B$21,0)</f>
        <v>0</v>
      </c>
      <c r="BI145" s="714" t="n">
        <f aca="false">IF($AN145=1,$E145*$BF$5,0)</f>
        <v>0</v>
      </c>
      <c r="BJ145" s="898" t="n">
        <f aca="false">IF('Monthly Table'!D145&lt;=Tables!$B$21,IF($BJ$10=$BG$10,BG145,IF($BJ$10=$BH$10,BH145,IF($BJ$10=$BI$10,BI145,0))),0)</f>
        <v>0</v>
      </c>
      <c r="BK145" s="288"/>
      <c r="BL145" s="898" t="n">
        <f aca="false">IF($AW145=1,$F145*$BF$5,0)</f>
        <v>0</v>
      </c>
      <c r="BM145" s="898" t="n">
        <f aca="false">IF($BD145=1,($G145+H145)*$BF$5,0)</f>
        <v>0</v>
      </c>
      <c r="BO145" s="898" t="n">
        <f aca="false">IF(AS145=1,BJ145,0)</f>
        <v>0</v>
      </c>
      <c r="BP145" s="898" t="n">
        <f aca="false">IF(AZ145=1,F145*$BF$5,0)</f>
        <v>0</v>
      </c>
      <c r="BR145" s="899" t="n">
        <f aca="false">IF(BJ145&gt;0,INDEX(OperationalDetail,MATCH("Capacity Degradation",ODColumn,0),MATCH('Monthly Table'!C145,ODRow,0)),0)</f>
        <v>0</v>
      </c>
      <c r="BS145" s="900" t="n">
        <f aca="false">BJ145*(1-BR145)*Tables!$C$36</f>
        <v>0</v>
      </c>
      <c r="BT145" s="883" t="n">
        <f aca="false">BS145*AL145/1000</f>
        <v>0</v>
      </c>
      <c r="BU145" s="883" t="n">
        <f aca="false">BT145*K145</f>
        <v>0</v>
      </c>
      <c r="BV145" s="188"/>
      <c r="BW145" s="901" t="n">
        <f aca="false">$BO145*(1-$BR145)*Tables!$C$36</f>
        <v>0</v>
      </c>
      <c r="BX145" s="902" t="n">
        <f aca="false">(BW145*AQ145)/1000</f>
        <v>0</v>
      </c>
      <c r="BY145" s="883" t="n">
        <f aca="false">BX145*K145</f>
        <v>0</v>
      </c>
      <c r="BZ145" s="188"/>
      <c r="CA145" s="901" t="n">
        <f aca="false">$BL145*(1-$BR145)*Tables!$C$36</f>
        <v>0</v>
      </c>
      <c r="CB145" s="902" t="n">
        <f aca="false">(CA145*AU145)/1000</f>
        <v>0</v>
      </c>
      <c r="CC145" s="883" t="n">
        <f aca="false">CB145*K145</f>
        <v>0</v>
      </c>
      <c r="CD145" s="901" t="n">
        <f aca="false">$BP145*(1-$BR145)*Tables!$C$36</f>
        <v>0</v>
      </c>
      <c r="CE145" s="902" t="n">
        <f aca="false">(CD145*AX145)/1000</f>
        <v>0</v>
      </c>
      <c r="CF145" s="883" t="n">
        <f aca="false">CE145*K145</f>
        <v>0</v>
      </c>
      <c r="CH145" s="901" t="n">
        <f aca="false">$BM145*(1-$BR145)*Tables!$C$36</f>
        <v>0</v>
      </c>
      <c r="CI145" s="902" t="n">
        <f aca="false">(CH145*BB145)/1000</f>
        <v>0</v>
      </c>
      <c r="CJ145" s="883" t="n">
        <f aca="false">CI145*K145</f>
        <v>0</v>
      </c>
      <c r="CK145" s="292"/>
      <c r="CL145" s="292" t="n">
        <f aca="false">C145-1</f>
        <v>2011</v>
      </c>
      <c r="CM145" s="903" t="n">
        <f aca="false">INDEX(OperationalDetail,MATCH("Degraded Heat Rate",ODColumn,0),MATCH('Monthly Table'!CL145,ODRow,0))/1000</f>
        <v>12.1404764</v>
      </c>
      <c r="CN145" s="904" t="n">
        <f aca="false">S145*CM145</f>
        <v>63.5821455287506</v>
      </c>
      <c r="CO145" s="905" t="n">
        <f aca="false">IF(A145="January",(CO144*(1+Assumptions!$E$32)),CO144)</f>
        <v>8.37490307598073</v>
      </c>
      <c r="CP145" s="906" t="n">
        <f aca="false">CN145+CO145</f>
        <v>71.9570486047314</v>
      </c>
      <c r="CQ145" s="292"/>
      <c r="CR145" s="856" t="str">
        <f aca="false">IF(BJ145=0,"",C145)</f>
        <v/>
      </c>
      <c r="CS145" s="856" t="str">
        <f aca="false">IF(BO145=0,"",$C145)</f>
        <v/>
      </c>
      <c r="CT145" s="856" t="str">
        <f aca="false">IF(BL145=0,"",$C145)</f>
        <v/>
      </c>
      <c r="CU145" s="856" t="str">
        <f aca="false">IF(BP145=0,"",$C145)</f>
        <v/>
      </c>
      <c r="CV145" s="856" t="str">
        <f aca="false">IF(BD145=0,"",$C145)</f>
        <v/>
      </c>
      <c r="CW145" s="907" t="n">
        <f aca="false">YEAR(BF145)</f>
        <v>2012</v>
      </c>
      <c r="CX145" s="908" t="n">
        <f aca="false">INDEX('NY Curve'!$A$4:$G$256,MATCH('Monthly Table'!B145,'NY Curve'!$A$4:$A$256,0),MATCH("New York 5 X 16",'NY Curve'!$A$4:$G$4,0))</f>
        <v>28.05</v>
      </c>
      <c r="CY145" s="909" t="n">
        <f aca="false">K145</f>
        <v>1.30817272799524</v>
      </c>
      <c r="CZ145" s="910" t="n">
        <f aca="false">CX145*CY145</f>
        <v>36.6942450202665</v>
      </c>
      <c r="DB145" s="911"/>
      <c r="DC145" s="911"/>
    </row>
    <row r="146" customFormat="false" ht="18.75" hidden="false" customHeight="true" outlineLevel="0" collapsed="false">
      <c r="A146" s="49" t="s">
        <v>813</v>
      </c>
      <c r="B146" s="863" t="n">
        <v>41000</v>
      </c>
      <c r="C146" s="288" t="n">
        <f aca="false">YEAR(B146)</f>
        <v>2012</v>
      </c>
      <c r="D146" s="864" t="n">
        <f aca="false">IF(A146="January",D145+1,D145)</f>
        <v>12</v>
      </c>
      <c r="E146" s="865" t="n">
        <v>21</v>
      </c>
      <c r="F146" s="866" t="n">
        <v>4</v>
      </c>
      <c r="G146" s="866" t="n">
        <v>5</v>
      </c>
      <c r="H146" s="866" t="n">
        <v>0</v>
      </c>
      <c r="I146" s="867" t="n">
        <f aca="false">SUM(E146:H146)</f>
        <v>30</v>
      </c>
      <c r="J146" s="868"/>
      <c r="K146" s="869" t="n">
        <f aca="false">INDEX(FX!$A$3:$C$362,MATCH(B146,FX!$A$3:$A$362,0),MATCH("Monthly Curve",FX!$A$2:$C$2,0))</f>
        <v>1.30732978509263</v>
      </c>
      <c r="L146" s="869"/>
      <c r="M146" s="987" t="n">
        <v>3.2405</v>
      </c>
      <c r="N146" s="988" t="n">
        <v>0.145</v>
      </c>
      <c r="O146" s="986" t="n">
        <v>0.1</v>
      </c>
      <c r="P146" s="872" t="n">
        <f aca="false">N146+O146</f>
        <v>0.245</v>
      </c>
      <c r="Q146" s="873" t="n">
        <f aca="false">SUM(M146:O146)</f>
        <v>3.4855</v>
      </c>
      <c r="R146" s="974" t="n">
        <f aca="false">IF(A146="January",(R145+R145*Assumptions!$E$32),R145)</f>
        <v>0.373417300196882</v>
      </c>
      <c r="S146" s="875" t="n">
        <f aca="false">(Q146*K146)+R146</f>
        <v>4.93011526613724</v>
      </c>
      <c r="T146" s="869"/>
      <c r="U146" s="984"/>
      <c r="V146" s="978"/>
      <c r="W146" s="978"/>
      <c r="X146" s="971"/>
      <c r="Y146" s="975" t="n">
        <f aca="false">Tables!$D$36</f>
        <v>312</v>
      </c>
      <c r="Z146" s="879" t="n">
        <f aca="false">IF($Z$10=$V$10,V146,IF($Z$10=$W$10,W146,IF($Z$10=$X$10,X146,0)))</f>
        <v>0</v>
      </c>
      <c r="AA146" s="880" t="n">
        <f aca="false">Y146*Z146</f>
        <v>0</v>
      </c>
      <c r="AB146" s="881" t="n">
        <f aca="false">AA146*K146</f>
        <v>0</v>
      </c>
      <c r="AC146" s="188"/>
      <c r="AD146" s="882" t="n">
        <f aca="false">IF(Tables!$E$30="Michigan",INDEX('Michigan Curve'!$A$4:$S$256,MATCH('Monthly Table'!B146,'Michigan Curve'!$A$4:$A$256,0),MATCH("Michigan Selected Option Value US$/month",'Michigan Curve'!$A$4:$S$4,0)),INDEX('NY Curve'!$A$4:$T$256,MATCH('Monthly Table'!B146,'NY Curve'!$A$4:$A$256,0),MATCH("New York Selected Option Value US$/month",'NY Curve'!$A$4:$T$4,0)))</f>
        <v>11074.5324165362</v>
      </c>
      <c r="AE146" s="883" t="n">
        <f aca="false">AD146*K146</f>
        <v>14478.0660841117</v>
      </c>
      <c r="AF146" s="188"/>
      <c r="AG146" s="884"/>
      <c r="AH146" s="49"/>
      <c r="AI146" s="885" t="n">
        <f aca="false">Assumptions!$B$50</f>
        <v>65</v>
      </c>
      <c r="AJ146" s="916"/>
      <c r="AK146" s="887" t="n">
        <f aca="false">IF(Tables!$E$30="Custom",'Monthly Table'!AI146,IF(Tables!$E$30="New York",INDEX('NY Curve'!$A$4:$G$256,MATCH('Monthly Table'!B146,'NY Curve'!$A$4:$A$256,0),MATCH("Super Peak Curve",'NY Curve'!$A$4:$G$4,0)),IF(Tables!$E$30="New York Flat",INDEX('NY Curve'!$A$4:$G$256,MATCH('Monthly Table'!B146,'NY Curve'!$A$4:$A$256,0),MATCH("Flat NY West",'NY Curve'!$A$4:$G$4,0)),INDEX('Michigan Curve'!$A$4:$F$256,MATCH('Monthly Table'!B146,'Michigan Curve'!$A$4:$A$256,0),MATCH("Michigan Super Peak Curve US$/MWhr",'Michigan Curve'!$A$4:$F$4,0)))))</f>
        <v>29.25</v>
      </c>
      <c r="AL146" s="888" t="n">
        <f aca="false">IF(D146&lt;=Tables!$B$21,IF($AL$10=$AI$10,AI146,IF($AL$10=$AJ$10,AJ146,IF($AL$10=$AK$10,AK146,0))),0)</f>
        <v>29.25</v>
      </c>
      <c r="AM146" s="889" t="n">
        <f aca="false">+AL146*K146</f>
        <v>38.2393962139594</v>
      </c>
      <c r="AN146" s="890" t="n">
        <f aca="false">IF((AL146*K146)&gt;(CP146+$BF$4),1,0)</f>
        <v>0</v>
      </c>
      <c r="AO146" s="891"/>
      <c r="AP146" s="894"/>
      <c r="AQ146" s="892" t="n">
        <f aca="false">IF(Tables!$E$30="New York",INDEX('NY Curve'!$A$4:$L$256,MATCH('Monthly Table'!B146,'NY Curve'!$A$4:$A$256,0),MATCH("New York Shoulder Hour Curve Mon-Fri",'NY Curve'!$A$4:$L$4,0)),IF(Tables!$E$30="Michigan",INDEX('Michigan Curve'!$A$4:$K$256,MATCH('Monthly Table'!B146,'Michigan Curve'!$A$4:$A$256,0),MATCH("Michigan Shoulder Hour Curve Mon-Fri",'Michigan Curve'!$A$4:$K$4,0))))</f>
        <v>29.25</v>
      </c>
      <c r="AR146" s="889" t="n">
        <f aca="false">AQ146*K146</f>
        <v>38.2393962139594</v>
      </c>
      <c r="AS146" s="893" t="n">
        <f aca="false">IF(AR146&gt;($CP146+$BF$4),1,0)</f>
        <v>0</v>
      </c>
      <c r="AT146" s="188"/>
      <c r="AU146" s="892" t="n">
        <f aca="false">IF(Tables!$E$30="New York",INDEX('NY Curve'!$A$4:$L$256,MATCH('Monthly Table'!$B146,'NY Curve'!$A$4:$A$256,0),MATCH("New York Saturday Super Peak",'NY Curve'!$A$4:$L$4,0)),IF(Tables!$E$30="Michigan",INDEX('Michigan Curve'!$A$4:$K$256,MATCH('Monthly Table'!$B146,'Michigan Curve'!$A$4:$A$256,0),MATCH("Michigan Saturday Super Peak",'Michigan Curve'!$A$4:$K$4,0))))</f>
        <v>20</v>
      </c>
      <c r="AV146" s="894" t="n">
        <f aca="false">AU146*K146</f>
        <v>26.1465957018526</v>
      </c>
      <c r="AW146" s="893" t="n">
        <f aca="false">IF(AV146&gt;($CP146+$BF$4),1,0)</f>
        <v>0</v>
      </c>
      <c r="AX146" s="892" t="n">
        <f aca="false">IF(Tables!$E$30="New York",INDEX('NY Curve'!$A$4:$L$256,MATCH('Monthly Table'!$B146,'NY Curve'!$A$4:$A$256,0),MATCH("New York Saturday Shoulder Peak",'NY Curve'!$A$4:$L$4,0)),IF(Tables!$E$30="Michigan",INDEX('Michigan Curve'!$A$4:$K$256,MATCH('Monthly Table'!$B146,'Michigan Curve'!$A$4:$A$256,0),MATCH("Michigan Saturday Shoulder Peak",'Michigan Curve'!$A$4:$K$4,0))))</f>
        <v>20</v>
      </c>
      <c r="AY146" s="895" t="n">
        <f aca="false">AX146*K146</f>
        <v>26.1465957018526</v>
      </c>
      <c r="AZ146" s="893" t="n">
        <f aca="false">IF(AY146&gt;($CP146+$BF$4),1,0)</f>
        <v>0</v>
      </c>
      <c r="BA146" s="188"/>
      <c r="BB146" s="892" t="n">
        <f aca="false">IF(Tables!$E$30="New York",INDEX('NY Curve'!$A$4:$M$256,MATCH('Monthly Table'!$B146,'NY Curve'!$A$4:$A$256,0),MATCH("NY Sunday Super Peak",'NY Curve'!$A$4:$M$4,0)),IF(Tables!$E$30="Michigan",INDEX('Michigan Curve'!$A$4:$L$256,MATCH('Monthly Table'!$B146,'Michigan Curve'!$A$4:$A$256,0),MATCH("Michigan Sunday Super Peak",'Michigan Curve'!$A$4:$L$4,0))))</f>
        <v>18.9950008392334</v>
      </c>
      <c r="BC146" s="894" t="n">
        <f aca="false">BB146*K146</f>
        <v>24.8327303649893</v>
      </c>
      <c r="BD146" s="893" t="n">
        <f aca="false">IF(BC146&gt;($CP146+$BF$4),1,0)</f>
        <v>0</v>
      </c>
      <c r="BE146" s="188"/>
      <c r="BF146" s="896" t="n">
        <f aca="false">B146</f>
        <v>41000</v>
      </c>
      <c r="BG146" s="897" t="n">
        <f aca="false">IF($AN146=1,$E146*$BF$5,0)</f>
        <v>0</v>
      </c>
      <c r="BH146" s="976" t="n">
        <f aca="false">IF(Tables!$B$36="Combined Cycle",(BF146-BF145)*24*Assumptions!$B$21,0)</f>
        <v>0</v>
      </c>
      <c r="BI146" s="714" t="n">
        <f aca="false">IF($AN146=1,$E146*$BF$5,0)</f>
        <v>0</v>
      </c>
      <c r="BJ146" s="898" t="n">
        <f aca="false">IF('Monthly Table'!D146&lt;=Tables!$B$21,IF($BJ$10=$BG$10,BG146,IF($BJ$10=$BH$10,BH146,IF($BJ$10=$BI$10,BI146,0))),0)</f>
        <v>0</v>
      </c>
      <c r="BK146" s="288"/>
      <c r="BL146" s="898" t="n">
        <f aca="false">IF($AW146=1,$F146*$BF$5,0)</f>
        <v>0</v>
      </c>
      <c r="BM146" s="898" t="n">
        <f aca="false">IF($BD146=1,($G146+H146)*$BF$5,0)</f>
        <v>0</v>
      </c>
      <c r="BO146" s="898" t="n">
        <f aca="false">IF(AS146=1,BJ146,0)</f>
        <v>0</v>
      </c>
      <c r="BP146" s="898" t="n">
        <f aca="false">IF(AZ146=1,F146*$BF$5,0)</f>
        <v>0</v>
      </c>
      <c r="BR146" s="899" t="n">
        <f aca="false">IF(BJ146&gt;0,INDEX(OperationalDetail,MATCH("Capacity Degradation",ODColumn,0),MATCH('Monthly Table'!C146,ODRow,0)),0)</f>
        <v>0</v>
      </c>
      <c r="BS146" s="900" t="n">
        <f aca="false">BJ146*(1-BR146)*Tables!$C$36</f>
        <v>0</v>
      </c>
      <c r="BT146" s="883" t="n">
        <f aca="false">BS146*AL146/1000</f>
        <v>0</v>
      </c>
      <c r="BU146" s="883" t="n">
        <f aca="false">BT146*K146</f>
        <v>0</v>
      </c>
      <c r="BV146" s="188"/>
      <c r="BW146" s="901" t="n">
        <f aca="false">$BO146*(1-$BR146)*Tables!$C$36</f>
        <v>0</v>
      </c>
      <c r="BX146" s="902" t="n">
        <f aca="false">(BW146*AQ146)/1000</f>
        <v>0</v>
      </c>
      <c r="BY146" s="883" t="n">
        <f aca="false">BX146*K146</f>
        <v>0</v>
      </c>
      <c r="BZ146" s="188"/>
      <c r="CA146" s="901" t="n">
        <f aca="false">$BL146*(1-$BR146)*Tables!$C$36</f>
        <v>0</v>
      </c>
      <c r="CB146" s="902" t="n">
        <f aca="false">(CA146*AU146)/1000</f>
        <v>0</v>
      </c>
      <c r="CC146" s="883" t="n">
        <f aca="false">CB146*K146</f>
        <v>0</v>
      </c>
      <c r="CD146" s="901" t="n">
        <f aca="false">$BP146*(1-$BR146)*Tables!$C$36</f>
        <v>0</v>
      </c>
      <c r="CE146" s="902" t="n">
        <f aca="false">(CD146*AX146)/1000</f>
        <v>0</v>
      </c>
      <c r="CF146" s="883" t="n">
        <f aca="false">CE146*K146</f>
        <v>0</v>
      </c>
      <c r="CH146" s="901" t="n">
        <f aca="false">$BM146*(1-$BR146)*Tables!$C$36</f>
        <v>0</v>
      </c>
      <c r="CI146" s="902" t="n">
        <f aca="false">(CH146*BB146)/1000</f>
        <v>0</v>
      </c>
      <c r="CJ146" s="883" t="n">
        <f aca="false">CI146*K146</f>
        <v>0</v>
      </c>
      <c r="CK146" s="292"/>
      <c r="CL146" s="292" t="n">
        <f aca="false">C146-1</f>
        <v>2011</v>
      </c>
      <c r="CM146" s="903" t="n">
        <f aca="false">INDEX(OperationalDetail,MATCH("Degraded Heat Rate",ODColumn,0),MATCH('Monthly Table'!CL146,ODRow,0))/1000</f>
        <v>12.1404764</v>
      </c>
      <c r="CN146" s="904" t="n">
        <f aca="false">S146*CM146</f>
        <v>59.8539480378189</v>
      </c>
      <c r="CO146" s="905" t="n">
        <f aca="false">IF(A146="January",(CO145*(1+Assumptions!$E$32)),CO145)</f>
        <v>8.37490307598073</v>
      </c>
      <c r="CP146" s="906" t="n">
        <f aca="false">CN146+CO146</f>
        <v>68.2288511137997</v>
      </c>
      <c r="CQ146" s="292"/>
      <c r="CR146" s="856" t="str">
        <f aca="false">IF(BJ146=0,"",C146)</f>
        <v/>
      </c>
      <c r="CS146" s="856" t="str">
        <f aca="false">IF(BO146=0,"",$C146)</f>
        <v/>
      </c>
      <c r="CT146" s="856" t="str">
        <f aca="false">IF(BL146=0,"",$C146)</f>
        <v/>
      </c>
      <c r="CU146" s="856" t="str">
        <f aca="false">IF(BP146=0,"",$C146)</f>
        <v/>
      </c>
      <c r="CV146" s="856" t="str">
        <f aca="false">IF(BD146=0,"",$C146)</f>
        <v/>
      </c>
      <c r="CW146" s="907" t="n">
        <f aca="false">YEAR(BF146)</f>
        <v>2012</v>
      </c>
      <c r="CX146" s="908" t="n">
        <f aca="false">INDEX('NY Curve'!$A$4:$G$256,MATCH('Monthly Table'!B146,'NY Curve'!$A$4:$A$256,0),MATCH("New York 5 X 16",'NY Curve'!$A$4:$G$4,0))</f>
        <v>26.8</v>
      </c>
      <c r="CY146" s="909" t="n">
        <f aca="false">K146</f>
        <v>1.30732978509263</v>
      </c>
      <c r="CZ146" s="910" t="n">
        <f aca="false">CX146*CY146</f>
        <v>35.0364382404825</v>
      </c>
      <c r="DB146" s="911"/>
      <c r="DC146" s="911"/>
    </row>
    <row r="147" customFormat="false" ht="18.75" hidden="false" customHeight="true" outlineLevel="0" collapsed="false">
      <c r="A147" s="49" t="s">
        <v>814</v>
      </c>
      <c r="B147" s="863" t="n">
        <v>41030</v>
      </c>
      <c r="C147" s="288" t="n">
        <f aca="false">YEAR(B147)</f>
        <v>2012</v>
      </c>
      <c r="D147" s="864" t="n">
        <f aca="false">IF(A147="January",D146+1,D146)</f>
        <v>12</v>
      </c>
      <c r="E147" s="865" t="n">
        <v>22</v>
      </c>
      <c r="F147" s="866" t="n">
        <v>4</v>
      </c>
      <c r="G147" s="866" t="n">
        <v>4</v>
      </c>
      <c r="H147" s="866" t="n">
        <v>1</v>
      </c>
      <c r="I147" s="867" t="n">
        <f aca="false">SUM(E147:H147)</f>
        <v>31</v>
      </c>
      <c r="J147" s="868"/>
      <c r="K147" s="869" t="n">
        <f aca="false">INDEX(FX!$A$3:$C$362,MATCH(B147,FX!$A$3:$A$362,0),MATCH("Monthly Curve",FX!$A$2:$C$2,0))</f>
        <v>1.30651634499691</v>
      </c>
      <c r="L147" s="869"/>
      <c r="M147" s="987" t="n">
        <v>3.2145</v>
      </c>
      <c r="N147" s="988" t="n">
        <v>0.145</v>
      </c>
      <c r="O147" s="986" t="n">
        <v>0.1</v>
      </c>
      <c r="P147" s="872" t="n">
        <f aca="false">N147+O147</f>
        <v>0.245</v>
      </c>
      <c r="Q147" s="873" t="n">
        <f aca="false">SUM(M147:O147)</f>
        <v>3.4595</v>
      </c>
      <c r="R147" s="974" t="n">
        <f aca="false">IF(A147="January",(R146+R146*Assumptions!$E$32),R146)</f>
        <v>0.373417300196882</v>
      </c>
      <c r="S147" s="875" t="n">
        <f aca="false">(Q147*K147)+R147</f>
        <v>4.89331059571369</v>
      </c>
      <c r="T147" s="869"/>
      <c r="U147" s="984"/>
      <c r="V147" s="978"/>
      <c r="W147" s="978"/>
      <c r="X147" s="971"/>
      <c r="Y147" s="975" t="n">
        <f aca="false">Tables!$D$36</f>
        <v>312</v>
      </c>
      <c r="Z147" s="879" t="n">
        <f aca="false">IF($Z$10=$V$10,V147,IF($Z$10=$W$10,W147,IF($Z$10=$X$10,X147,0)))</f>
        <v>0</v>
      </c>
      <c r="AA147" s="880" t="n">
        <f aca="false">Y147*Z147</f>
        <v>0</v>
      </c>
      <c r="AB147" s="881" t="n">
        <f aca="false">AA147*K147</f>
        <v>0</v>
      </c>
      <c r="AC147" s="188"/>
      <c r="AD147" s="882" t="n">
        <f aca="false">IF(Tables!$E$30="Michigan",INDEX('Michigan Curve'!$A$4:$S$256,MATCH('Monthly Table'!B147,'Michigan Curve'!$A$4:$A$256,0),MATCH("Michigan Selected Option Value US$/month",'Michigan Curve'!$A$4:$S$4,0)),INDEX('NY Curve'!$A$4:$T$256,MATCH('Monthly Table'!B147,'NY Curve'!$A$4:$A$256,0),MATCH("New York Selected Option Value US$/month",'NY Curve'!$A$4:$T$4,0)))</f>
        <v>23321.4696708334</v>
      </c>
      <c r="AE147" s="883" t="n">
        <f aca="false">AD147*K147</f>
        <v>30469.8813142935</v>
      </c>
      <c r="AF147" s="188"/>
      <c r="AG147" s="884"/>
      <c r="AH147" s="49"/>
      <c r="AI147" s="885" t="n">
        <f aca="false">Assumptions!$B$50</f>
        <v>65</v>
      </c>
      <c r="AJ147" s="916"/>
      <c r="AK147" s="887" t="n">
        <f aca="false">IF(Tables!$E$30="Custom",'Monthly Table'!AI147,IF(Tables!$E$30="New York",INDEX('NY Curve'!$A$4:$G$256,MATCH('Monthly Table'!B147,'NY Curve'!$A$4:$A$256,0),MATCH("Super Peak Curve",'NY Curve'!$A$4:$G$4,0)),IF(Tables!$E$30="New York Flat",INDEX('NY Curve'!$A$4:$G$256,MATCH('Monthly Table'!B147,'NY Curve'!$A$4:$A$256,0),MATCH("Flat NY West",'NY Curve'!$A$4:$G$4,0)),INDEX('Michigan Curve'!$A$4:$F$256,MATCH('Monthly Table'!B147,'Michigan Curve'!$A$4:$A$256,0),MATCH("Michigan Super Peak Curve US$/MWhr",'Michigan Curve'!$A$4:$F$4,0)))))</f>
        <v>35.5162500590086</v>
      </c>
      <c r="AL147" s="888" t="n">
        <f aca="false">IF(D147&lt;=Tables!$B$21,IF($AL$10=$AI$10,AI147,IF($AL$10=$AJ$10,AJ147,IF($AL$10=$AK$10,AK147,0))),0)</f>
        <v>35.5162500590086</v>
      </c>
      <c r="AM147" s="889" t="n">
        <f aca="false">+AL147*K147</f>
        <v>46.4025612150922</v>
      </c>
      <c r="AN147" s="890" t="n">
        <f aca="false">IF((AL147*K147)&gt;(CP147+$BF$4),1,0)</f>
        <v>0</v>
      </c>
      <c r="AO147" s="891"/>
      <c r="AP147" s="894"/>
      <c r="AQ147" s="892" t="n">
        <f aca="false">IF(Tables!$E$30="New York",INDEX('NY Curve'!$A$4:$L$256,MATCH('Monthly Table'!B147,'NY Curve'!$A$4:$A$256,0),MATCH("New York Shoulder Hour Curve Mon-Fri",'NY Curve'!$A$4:$L$4,0)),IF(Tables!$E$30="Michigan",INDEX('Michigan Curve'!$A$4:$K$256,MATCH('Monthly Table'!B147,'Michigan Curve'!$A$4:$A$256,0),MATCH("Michigan Shoulder Hour Curve Mon-Fri",'Michigan Curve'!$A$4:$K$4,0))))</f>
        <v>30.4837499409914</v>
      </c>
      <c r="AR147" s="889" t="n">
        <f aca="false">AQ147*K147</f>
        <v>39.8275175547039</v>
      </c>
      <c r="AS147" s="893" t="n">
        <f aca="false">IF(AR147&gt;($CP147+$BF$4),1,0)</f>
        <v>0</v>
      </c>
      <c r="AT147" s="188"/>
      <c r="AU147" s="892" t="n">
        <f aca="false">IF(Tables!$E$30="New York",INDEX('NY Curve'!$A$4:$L$256,MATCH('Monthly Table'!$B147,'NY Curve'!$A$4:$A$256,0),MATCH("New York Saturday Super Peak",'NY Curve'!$A$4:$L$4,0)),IF(Tables!$E$30="Michigan",INDEX('Michigan Curve'!$A$4:$K$256,MATCH('Monthly Table'!$B147,'Michigan Curve'!$A$4:$A$256,0),MATCH("Michigan Saturday Super Peak",'Michigan Curve'!$A$4:$K$4,0))))</f>
        <v>22.6012500375509</v>
      </c>
      <c r="AV147" s="894" t="n">
        <f aca="false">AU147*K147</f>
        <v>29.5289025914223</v>
      </c>
      <c r="AW147" s="893" t="n">
        <f aca="false">IF(AV147&gt;($CP147+$BF$4),1,0)</f>
        <v>0</v>
      </c>
      <c r="AX147" s="892" t="n">
        <f aca="false">IF(Tables!$E$30="New York",INDEX('NY Curve'!$A$4:$L$256,MATCH('Monthly Table'!$B147,'NY Curve'!$A$4:$A$256,0),MATCH("New York Saturday Shoulder Peak",'NY Curve'!$A$4:$L$4,0)),IF(Tables!$E$30="Michigan",INDEX('Michigan Curve'!$A$4:$K$256,MATCH('Monthly Table'!$B147,'Michigan Curve'!$A$4:$A$256,0),MATCH("Michigan Saturday Shoulder Peak",'Michigan Curve'!$A$4:$K$4,0))))</f>
        <v>19.3987499624491</v>
      </c>
      <c r="AY147" s="895" t="n">
        <f aca="false">AX147*K147</f>
        <v>25.3447838984479</v>
      </c>
      <c r="AZ147" s="893" t="n">
        <f aca="false">IF(AY147&gt;($CP147+$BF$4),1,0)</f>
        <v>0</v>
      </c>
      <c r="BA147" s="188"/>
      <c r="BB147" s="892" t="n">
        <f aca="false">IF(Tables!$E$30="New York",INDEX('NY Curve'!$A$4:$M$256,MATCH('Monthly Table'!$B147,'NY Curve'!$A$4:$A$256,0),MATCH("NY Sunday Super Peak",'NY Curve'!$A$4:$M$4,0)),IF(Tables!$E$30="Michigan",INDEX('Michigan Curve'!$A$4:$L$256,MATCH('Monthly Table'!$B147,'Michigan Curve'!$A$4:$A$256,0),MATCH("Michigan Sunday Super Peak",'Michigan Curve'!$A$4:$L$4,0))))</f>
        <v>21.5303803825468</v>
      </c>
      <c r="BC147" s="894" t="n">
        <f aca="false">BB147*K147</f>
        <v>28.1297938837982</v>
      </c>
      <c r="BD147" s="893" t="n">
        <f aca="false">IF(BC147&gt;($CP147+$BF$4),1,0)</f>
        <v>0</v>
      </c>
      <c r="BE147" s="188"/>
      <c r="BF147" s="896" t="n">
        <f aca="false">B147</f>
        <v>41030</v>
      </c>
      <c r="BG147" s="897" t="n">
        <f aca="false">IF($AN147=1,$E147*$BF$5,0)</f>
        <v>0</v>
      </c>
      <c r="BH147" s="976" t="n">
        <f aca="false">IF(Tables!$B$36="Combined Cycle",(BF147-BF146)*24*Assumptions!$B$21,0)</f>
        <v>0</v>
      </c>
      <c r="BI147" s="714" t="n">
        <f aca="false">IF($AN147=1,$E147*$BF$5,0)</f>
        <v>0</v>
      </c>
      <c r="BJ147" s="898" t="n">
        <f aca="false">IF('Monthly Table'!D147&lt;=Tables!$B$21,IF($BJ$10=$BG$10,BG147,IF($BJ$10=$BH$10,BH147,IF($BJ$10=$BI$10,BI147,0))),0)</f>
        <v>0</v>
      </c>
      <c r="BK147" s="288"/>
      <c r="BL147" s="898" t="n">
        <f aca="false">IF($AW147=1,$F147*$BF$5,0)</f>
        <v>0</v>
      </c>
      <c r="BM147" s="898" t="n">
        <f aca="false">IF($BD147=1,($G147+H147)*$BF$5,0)</f>
        <v>0</v>
      </c>
      <c r="BO147" s="898" t="n">
        <f aca="false">IF(AS147=1,BJ147,0)</f>
        <v>0</v>
      </c>
      <c r="BP147" s="898" t="n">
        <f aca="false">IF(AZ147=1,F147*$BF$5,0)</f>
        <v>0</v>
      </c>
      <c r="BR147" s="899" t="n">
        <f aca="false">IF(BJ147&gt;0,INDEX(OperationalDetail,MATCH("Capacity Degradation",ODColumn,0),MATCH('Monthly Table'!C147,ODRow,0)),0)</f>
        <v>0</v>
      </c>
      <c r="BS147" s="900" t="n">
        <f aca="false">BJ147*(1-BR147)*Tables!$C$36</f>
        <v>0</v>
      </c>
      <c r="BT147" s="883" t="n">
        <f aca="false">BS147*AL147/1000</f>
        <v>0</v>
      </c>
      <c r="BU147" s="883" t="n">
        <f aca="false">BT147*K147</f>
        <v>0</v>
      </c>
      <c r="BV147" s="188"/>
      <c r="BW147" s="901" t="n">
        <f aca="false">$BO147*(1-$BR147)*Tables!$C$36</f>
        <v>0</v>
      </c>
      <c r="BX147" s="902" t="n">
        <f aca="false">(BW147*AQ147)/1000</f>
        <v>0</v>
      </c>
      <c r="BY147" s="883" t="n">
        <f aca="false">BX147*K147</f>
        <v>0</v>
      </c>
      <c r="BZ147" s="188"/>
      <c r="CA147" s="901" t="n">
        <f aca="false">$BL147*(1-$BR147)*Tables!$C$36</f>
        <v>0</v>
      </c>
      <c r="CB147" s="902" t="n">
        <f aca="false">(CA147*AU147)/1000</f>
        <v>0</v>
      </c>
      <c r="CC147" s="883" t="n">
        <f aca="false">CB147*K147</f>
        <v>0</v>
      </c>
      <c r="CD147" s="901" t="n">
        <f aca="false">$BP147*(1-$BR147)*Tables!$C$36</f>
        <v>0</v>
      </c>
      <c r="CE147" s="902" t="n">
        <f aca="false">(CD147*AX147)/1000</f>
        <v>0</v>
      </c>
      <c r="CF147" s="883" t="n">
        <f aca="false">CE147*K147</f>
        <v>0</v>
      </c>
      <c r="CH147" s="901" t="n">
        <f aca="false">$BM147*(1-$BR147)*Tables!$C$36</f>
        <v>0</v>
      </c>
      <c r="CI147" s="902" t="n">
        <f aca="false">(CH147*BB147)/1000</f>
        <v>0</v>
      </c>
      <c r="CJ147" s="883" t="n">
        <f aca="false">CI147*K147</f>
        <v>0</v>
      </c>
      <c r="CK147" s="292"/>
      <c r="CL147" s="292" t="n">
        <f aca="false">C147-1</f>
        <v>2011</v>
      </c>
      <c r="CM147" s="903" t="n">
        <f aca="false">INDEX(OperationalDetail,MATCH("Degraded Heat Rate",ODColumn,0),MATCH('Monthly Table'!CL147,ODRow,0))/1000</f>
        <v>12.1404764</v>
      </c>
      <c r="CN147" s="904" t="n">
        <f aca="false">S147*CM147</f>
        <v>59.407121805132</v>
      </c>
      <c r="CO147" s="905" t="n">
        <f aca="false">IF(A147="January",(CO146*(1+Assumptions!$E$32)),CO146)</f>
        <v>8.37490307598073</v>
      </c>
      <c r="CP147" s="906" t="n">
        <f aca="false">CN147+CO147</f>
        <v>67.7820248811128</v>
      </c>
      <c r="CQ147" s="292"/>
      <c r="CR147" s="856" t="str">
        <f aca="false">IF(BJ147=0,"",C147)</f>
        <v/>
      </c>
      <c r="CS147" s="856" t="str">
        <f aca="false">IF(BO147=0,"",$C147)</f>
        <v/>
      </c>
      <c r="CT147" s="856" t="str">
        <f aca="false">IF(BL147=0,"",$C147)</f>
        <v/>
      </c>
      <c r="CU147" s="856" t="str">
        <f aca="false">IF(BP147=0,"",$C147)</f>
        <v/>
      </c>
      <c r="CV147" s="856" t="str">
        <f aca="false">IF(BD147=0,"",$C147)</f>
        <v/>
      </c>
      <c r="CW147" s="907" t="n">
        <f aca="false">YEAR(BF147)</f>
        <v>2012</v>
      </c>
      <c r="CX147" s="908" t="n">
        <f aca="false">INDEX('NY Curve'!$A$4:$G$256,MATCH('Monthly Table'!B147,'NY Curve'!$A$4:$A$256,0),MATCH("New York 5 X 16",'NY Curve'!$A$4:$G$4,0))</f>
        <v>31.65</v>
      </c>
      <c r="CY147" s="909" t="n">
        <f aca="false">K147</f>
        <v>1.30651634499691</v>
      </c>
      <c r="CZ147" s="910" t="n">
        <f aca="false">CX147*CY147</f>
        <v>41.3512423191522</v>
      </c>
      <c r="DB147" s="911"/>
      <c r="DC147" s="911"/>
    </row>
    <row r="148" customFormat="false" ht="18.75" hidden="false" customHeight="true" outlineLevel="0" collapsed="false">
      <c r="A148" s="49" t="s">
        <v>815</v>
      </c>
      <c r="B148" s="863" t="n">
        <v>41061</v>
      </c>
      <c r="C148" s="288" t="n">
        <f aca="false">YEAR(B148)</f>
        <v>2012</v>
      </c>
      <c r="D148" s="864" t="n">
        <f aca="false">IF(A148="January",D147+1,D147)</f>
        <v>12</v>
      </c>
      <c r="E148" s="865" t="n">
        <v>21</v>
      </c>
      <c r="F148" s="866" t="n">
        <v>5</v>
      </c>
      <c r="G148" s="866" t="n">
        <v>4</v>
      </c>
      <c r="H148" s="866" t="n">
        <v>0</v>
      </c>
      <c r="I148" s="867" t="n">
        <f aca="false">SUM(E148:H148)</f>
        <v>30</v>
      </c>
      <c r="J148" s="868"/>
      <c r="K148" s="869" t="n">
        <f aca="false">INDEX(FX!$A$3:$C$362,MATCH(B148,FX!$A$3:$A$362,0),MATCH("Monthly Curve",FX!$A$2:$C$2,0))</f>
        <v>1.30567817448017</v>
      </c>
      <c r="L148" s="869"/>
      <c r="M148" s="987" t="n">
        <v>3.2235</v>
      </c>
      <c r="N148" s="988" t="n">
        <v>0.145</v>
      </c>
      <c r="O148" s="986" t="n">
        <v>0.1</v>
      </c>
      <c r="P148" s="872" t="n">
        <f aca="false">N148+O148</f>
        <v>0.245</v>
      </c>
      <c r="Q148" s="873" t="n">
        <f aca="false">SUM(M148:O148)</f>
        <v>3.4685</v>
      </c>
      <c r="R148" s="974" t="n">
        <f aca="false">IF(A148="January",(R147+R147*Assumptions!$E$32),R147)</f>
        <v>0.373417300196882</v>
      </c>
      <c r="S148" s="875" t="n">
        <f aca="false">(Q148*K148)+R148</f>
        <v>4.90216204838135</v>
      </c>
      <c r="T148" s="869"/>
      <c r="U148" s="984"/>
      <c r="V148" s="978"/>
      <c r="W148" s="978"/>
      <c r="X148" s="971"/>
      <c r="Y148" s="975" t="n">
        <f aca="false">Tables!$D$36</f>
        <v>312</v>
      </c>
      <c r="Z148" s="879" t="n">
        <f aca="false">IF($Z$10=$V$10,V148,IF($Z$10=$W$10,W148,IF($Z$10=$X$10,X148,0)))</f>
        <v>0</v>
      </c>
      <c r="AA148" s="880" t="n">
        <f aca="false">Y148*Z148</f>
        <v>0</v>
      </c>
      <c r="AB148" s="881" t="n">
        <f aca="false">AA148*K148</f>
        <v>0</v>
      </c>
      <c r="AC148" s="188"/>
      <c r="AD148" s="882" t="n">
        <f aca="false">IF(Tables!$E$30="Michigan",INDEX('Michigan Curve'!$A$4:$S$256,MATCH('Monthly Table'!B148,'Michigan Curve'!$A$4:$A$256,0),MATCH("Michigan Selected Option Value US$/month",'Michigan Curve'!$A$4:$S$4,0)),INDEX('NY Curve'!$A$4:$T$256,MATCH('Monthly Table'!B148,'NY Curve'!$A$4:$A$256,0),MATCH("New York Selected Option Value US$/month",'NY Curve'!$A$4:$T$4,0)))</f>
        <v>100418.868358742</v>
      </c>
      <c r="AE148" s="883" t="n">
        <f aca="false">AD148*K148</f>
        <v>131114.724722007</v>
      </c>
      <c r="AF148" s="188"/>
      <c r="AG148" s="884"/>
      <c r="AH148" s="49"/>
      <c r="AI148" s="885" t="n">
        <f aca="false">Assumptions!$B$50</f>
        <v>65</v>
      </c>
      <c r="AJ148" s="916"/>
      <c r="AK148" s="887" t="n">
        <f aca="false">IF(Tables!$E$30="Custom",'Monthly Table'!AI148,IF(Tables!$E$30="New York",INDEX('NY Curve'!$A$4:$G$256,MATCH('Monthly Table'!B148,'NY Curve'!$A$4:$A$256,0),MATCH("Super Peak Curve",'NY Curve'!$A$4:$G$4,0)),IF(Tables!$E$30="New York Flat",INDEX('NY Curve'!$A$4:$G$256,MATCH('Monthly Table'!B148,'NY Curve'!$A$4:$A$256,0),MATCH("Flat NY West",'NY Curve'!$A$4:$G$4,0)),INDEX('Michigan Curve'!$A$4:$F$256,MATCH('Monthly Table'!B148,'Michigan Curve'!$A$4:$A$256,0),MATCH("Michigan Super Peak Curve US$/MWhr",'Michigan Curve'!$A$4:$F$4,0)))))</f>
        <v>83.4302125325003</v>
      </c>
      <c r="AL148" s="888" t="n">
        <f aca="false">IF(D148&lt;=Tables!$B$21,IF($AL$10=$AI$10,AI148,IF($AL$10=$AJ$10,AJ148,IF($AL$10=$AK$10,AK148,0))),0)</f>
        <v>83.4302125325003</v>
      </c>
      <c r="AM148" s="889" t="n">
        <f aca="false">+AL148*K148</f>
        <v>108.933007595928</v>
      </c>
      <c r="AN148" s="890" t="n">
        <f aca="false">IF((AL148*K148)&gt;(CP148+$BF$4),1,0)</f>
        <v>1</v>
      </c>
      <c r="AO148" s="891"/>
      <c r="AP148" s="894"/>
      <c r="AQ148" s="892" t="n">
        <f aca="false">IF(Tables!$E$30="New York",INDEX('NY Curve'!$A$4:$L$256,MATCH('Monthly Table'!B148,'NY Curve'!$A$4:$A$256,0),MATCH("New York Shoulder Hour Curve Mon-Fri",'NY Curve'!$A$4:$L$4,0)),IF(Tables!$E$30="Michigan",INDEX('Michigan Curve'!$A$4:$K$256,MATCH('Monthly Table'!B148,'Michigan Curve'!$A$4:$A$256,0),MATCH("Michigan Shoulder Hour Curve Mon-Fri",'Michigan Curve'!$A$4:$K$4,0))))</f>
        <v>23.0697874674997</v>
      </c>
      <c r="AR148" s="889" t="n">
        <f aca="false">AQ148*K148</f>
        <v>30.1217179862105</v>
      </c>
      <c r="AS148" s="893" t="n">
        <f aca="false">IF(AR148&gt;($CP148+$BF$4),1,0)</f>
        <v>0</v>
      </c>
      <c r="AT148" s="188"/>
      <c r="AU148" s="892" t="n">
        <f aca="false">IF(Tables!$E$30="New York",INDEX('NY Curve'!$A$4:$L$256,MATCH('Monthly Table'!$B148,'NY Curve'!$A$4:$A$256,0),MATCH("New York Saturday Super Peak",'NY Curve'!$A$4:$L$4,0)),IF(Tables!$E$30="Michigan",INDEX('Michigan Curve'!$A$4:$K$256,MATCH('Monthly Table'!$B148,'Michigan Curve'!$A$4:$A$256,0),MATCH("Michigan Saturday Super Peak",'Michigan Curve'!$A$4:$K$4,0))))</f>
        <v>40.7358784196246</v>
      </c>
      <c r="AV148" s="894" t="n">
        <f aca="false">AU148*K148</f>
        <v>53.1879473707816</v>
      </c>
      <c r="AW148" s="893" t="n">
        <f aca="false">IF(AV148&gt;($CP148+$BF$4),1,0)</f>
        <v>0</v>
      </c>
      <c r="AX148" s="892" t="n">
        <f aca="false">IF(Tables!$E$30="New York",INDEX('NY Curve'!$A$4:$L$256,MATCH('Monthly Table'!$B148,'NY Curve'!$A$4:$A$256,0),MATCH("New York Saturday Shoulder Peak",'NY Curve'!$A$4:$L$4,0)),IF(Tables!$E$30="Michigan",INDEX('Michigan Curve'!$A$4:$K$256,MATCH('Monthly Table'!$B148,'Michigan Curve'!$A$4:$A$256,0),MATCH("Michigan Saturday Shoulder Peak",'Michigan Curve'!$A$4:$K$4,0))))</f>
        <v>11.2641215803754</v>
      </c>
      <c r="AY148" s="895" t="n">
        <f aca="false">AX148*K148</f>
        <v>14.7073177021873</v>
      </c>
      <c r="AZ148" s="893" t="n">
        <f aca="false">IF(AY148&gt;($CP148+$BF$4),1,0)</f>
        <v>0</v>
      </c>
      <c r="BA148" s="188"/>
      <c r="BB148" s="892" t="n">
        <f aca="false">IF(Tables!$E$30="New York",INDEX('NY Curve'!$A$4:$M$256,MATCH('Monthly Table'!$B148,'NY Curve'!$A$4:$A$256,0),MATCH("NY Sunday Super Peak",'NY Curve'!$A$4:$M$4,0)),IF(Tables!$E$30="Michigan",INDEX('Michigan Curve'!$A$4:$L$256,MATCH('Monthly Table'!$B148,'Michigan Curve'!$A$4:$A$256,0),MATCH("Michigan Sunday Super Peak",'Michigan Curve'!$A$4:$L$4,0))))</f>
        <v>37.6023493104227</v>
      </c>
      <c r="BC148" s="894" t="n">
        <f aca="false">BB148*K148</f>
        <v>49.0965668037984</v>
      </c>
      <c r="BD148" s="893" t="n">
        <f aca="false">IF(BC148&gt;($CP148+$BF$4),1,0)</f>
        <v>0</v>
      </c>
      <c r="BE148" s="188"/>
      <c r="BF148" s="896" t="n">
        <f aca="false">B148</f>
        <v>41061</v>
      </c>
      <c r="BG148" s="897" t="n">
        <f aca="false">IF($AN148=1,$E148*$BF$5,0)</f>
        <v>168</v>
      </c>
      <c r="BH148" s="976" t="n">
        <f aca="false">IF(Tables!$B$36="Combined Cycle",(BF148-BF147)*24*Assumptions!$B$21,0)</f>
        <v>0</v>
      </c>
      <c r="BI148" s="714" t="n">
        <f aca="false">IF($AN148=1,$E148*$BF$5,0)</f>
        <v>168</v>
      </c>
      <c r="BJ148" s="898" t="n">
        <f aca="false">IF('Monthly Table'!D148&lt;=Tables!$B$21,IF($BJ$10=$BG$10,BG148,IF($BJ$10=$BH$10,BH148,IF($BJ$10=$BI$10,BI148,0))),0)</f>
        <v>168</v>
      </c>
      <c r="BK148" s="288"/>
      <c r="BL148" s="898" t="n">
        <f aca="false">IF($AW148=1,$F148*$BF$5,0)</f>
        <v>0</v>
      </c>
      <c r="BM148" s="898" t="n">
        <f aca="false">IF($BD148=1,($G148+H148)*$BF$5,0)</f>
        <v>0</v>
      </c>
      <c r="BO148" s="898" t="n">
        <f aca="false">IF(AS148=1,BJ148,0)</f>
        <v>0</v>
      </c>
      <c r="BP148" s="898" t="n">
        <f aca="false">IF(AZ148=1,F148*$BF$5,0)</f>
        <v>0</v>
      </c>
      <c r="BR148" s="899" t="n">
        <f aca="false">IF(BJ148&gt;0,INDEX(OperationalDetail,MATCH("Capacity Degradation",ODColumn,0),MATCH('Monthly Table'!C148,ODRow,0)),0)</f>
        <v>0.01757</v>
      </c>
      <c r="BS148" s="900" t="n">
        <f aca="false">BJ148*(1-BR148)*Tables!$C$36</f>
        <v>53475.62976</v>
      </c>
      <c r="BT148" s="883" t="n">
        <f aca="false">BS148*AL148/1000</f>
        <v>4461.4831561861</v>
      </c>
      <c r="BU148" s="883" t="n">
        <f aca="false">BT148*K148</f>
        <v>5825.26118284309</v>
      </c>
      <c r="BV148" s="188"/>
      <c r="BW148" s="901" t="n">
        <f aca="false">$BO148*(1-$BR148)*Tables!$C$36</f>
        <v>0</v>
      </c>
      <c r="BX148" s="902" t="n">
        <f aca="false">(BW148*AQ148)/1000</f>
        <v>0</v>
      </c>
      <c r="BY148" s="883" t="n">
        <f aca="false">BX148*K148</f>
        <v>0</v>
      </c>
      <c r="BZ148" s="188"/>
      <c r="CA148" s="901" t="n">
        <f aca="false">$BL148*(1-$BR148)*Tables!$C$36</f>
        <v>0</v>
      </c>
      <c r="CB148" s="902" t="n">
        <f aca="false">(CA148*AU148)/1000</f>
        <v>0</v>
      </c>
      <c r="CC148" s="883" t="n">
        <f aca="false">CB148*K148</f>
        <v>0</v>
      </c>
      <c r="CD148" s="901" t="n">
        <f aca="false">$BP148*(1-$BR148)*Tables!$C$36</f>
        <v>0</v>
      </c>
      <c r="CE148" s="902" t="n">
        <f aca="false">(CD148*AX148)/1000</f>
        <v>0</v>
      </c>
      <c r="CF148" s="883" t="n">
        <f aca="false">CE148*K148</f>
        <v>0</v>
      </c>
      <c r="CH148" s="901" t="n">
        <f aca="false">$BM148*(1-$BR148)*Tables!$C$36</f>
        <v>0</v>
      </c>
      <c r="CI148" s="902" t="n">
        <f aca="false">(CH148*BB148)/1000</f>
        <v>0</v>
      </c>
      <c r="CJ148" s="883" t="n">
        <f aca="false">CI148*K148</f>
        <v>0</v>
      </c>
      <c r="CK148" s="292"/>
      <c r="CL148" s="292" t="n">
        <f aca="false">C148-1</f>
        <v>2011</v>
      </c>
      <c r="CM148" s="903" t="n">
        <f aca="false">INDEX(OperationalDetail,MATCH("Degraded Heat Rate",ODColumn,0),MATCH('Monthly Table'!CL148,ODRow,0))/1000</f>
        <v>12.1404764</v>
      </c>
      <c r="CN148" s="904" t="n">
        <f aca="false">S148*CM148</f>
        <v>59.5145826573495</v>
      </c>
      <c r="CO148" s="905" t="n">
        <f aca="false">IF(A148="January",(CO147*(1+Assumptions!$E$32)),CO147)</f>
        <v>8.37490307598073</v>
      </c>
      <c r="CP148" s="906" t="n">
        <f aca="false">CN148+CO148</f>
        <v>67.8894857333302</v>
      </c>
      <c r="CQ148" s="292"/>
      <c r="CR148" s="856" t="n">
        <f aca="false">IF(BJ148=0,"",C148)</f>
        <v>2012</v>
      </c>
      <c r="CS148" s="856" t="str">
        <f aca="false">IF(BO148=0,"",$C148)</f>
        <v/>
      </c>
      <c r="CT148" s="856" t="str">
        <f aca="false">IF(BL148=0,"",$C148)</f>
        <v/>
      </c>
      <c r="CU148" s="856" t="str">
        <f aca="false">IF(BP148=0,"",$C148)</f>
        <v/>
      </c>
      <c r="CV148" s="856" t="str">
        <f aca="false">IF(BD148=0,"",$C148)</f>
        <v/>
      </c>
      <c r="CW148" s="907" t="n">
        <f aca="false">YEAR(BF148)</f>
        <v>2012</v>
      </c>
      <c r="CX148" s="908" t="n">
        <f aca="false">INDEX('NY Curve'!$A$4:$G$256,MATCH('Monthly Table'!B148,'NY Curve'!$A$4:$A$256,0),MATCH("New York 5 X 16",'NY Curve'!$A$4:$G$4,0))</f>
        <v>53.25</v>
      </c>
      <c r="CY148" s="909" t="n">
        <f aca="false">K148</f>
        <v>1.30567817448017</v>
      </c>
      <c r="CZ148" s="910" t="n">
        <f aca="false">CX148*CY148</f>
        <v>69.5273627910691</v>
      </c>
      <c r="DB148" s="911"/>
      <c r="DC148" s="911"/>
    </row>
    <row r="149" customFormat="false" ht="18.75" hidden="false" customHeight="true" outlineLevel="0" collapsed="false">
      <c r="A149" s="49" t="s">
        <v>816</v>
      </c>
      <c r="B149" s="863" t="n">
        <v>41091</v>
      </c>
      <c r="C149" s="288" t="n">
        <f aca="false">YEAR(B149)</f>
        <v>2012</v>
      </c>
      <c r="D149" s="864" t="n">
        <f aca="false">IF(A149="January",D148+1,D148)</f>
        <v>12</v>
      </c>
      <c r="E149" s="865" t="n">
        <v>21</v>
      </c>
      <c r="F149" s="866" t="n">
        <v>4</v>
      </c>
      <c r="G149" s="866" t="n">
        <v>5</v>
      </c>
      <c r="H149" s="866" t="n">
        <v>1</v>
      </c>
      <c r="I149" s="867" t="n">
        <f aca="false">SUM(E149:H149)</f>
        <v>31</v>
      </c>
      <c r="J149" s="868"/>
      <c r="K149" s="869" t="n">
        <f aca="false">INDEX(FX!$A$3:$C$362,MATCH(B149,FX!$A$3:$A$362,0),MATCH("Monthly Curve",FX!$A$2:$C$2,0))</f>
        <v>1.30486934534974</v>
      </c>
      <c r="L149" s="869"/>
      <c r="M149" s="987" t="n">
        <v>3.2325</v>
      </c>
      <c r="N149" s="988" t="n">
        <v>0.145</v>
      </c>
      <c r="O149" s="986" t="n">
        <v>0.1</v>
      </c>
      <c r="P149" s="872" t="n">
        <f aca="false">N149+O149</f>
        <v>0.245</v>
      </c>
      <c r="Q149" s="873" t="n">
        <f aca="false">SUM(M149:O149)</f>
        <v>3.4775</v>
      </c>
      <c r="R149" s="974" t="n">
        <f aca="false">IF(A149="January",(R148+R148*Assumptions!$E$32),R148)</f>
        <v>0.373417300196882</v>
      </c>
      <c r="S149" s="875" t="n">
        <f aca="false">(Q149*K149)+R149</f>
        <v>4.9111004486506</v>
      </c>
      <c r="T149" s="869"/>
      <c r="U149" s="984"/>
      <c r="V149" s="978"/>
      <c r="W149" s="978"/>
      <c r="X149" s="971"/>
      <c r="Y149" s="975" t="n">
        <f aca="false">Tables!$D$36</f>
        <v>312</v>
      </c>
      <c r="Z149" s="879" t="n">
        <f aca="false">IF($Z$10=$V$10,V149,IF($Z$10=$W$10,W149,IF($Z$10=$X$10,X149,0)))</f>
        <v>0</v>
      </c>
      <c r="AA149" s="880" t="n">
        <f aca="false">Y149*Z149</f>
        <v>0</v>
      </c>
      <c r="AB149" s="881" t="n">
        <f aca="false">AA149*K149</f>
        <v>0</v>
      </c>
      <c r="AC149" s="188"/>
      <c r="AD149" s="882" t="n">
        <f aca="false">IF(Tables!$E$30="Michigan",INDEX('Michigan Curve'!$A$4:$S$256,MATCH('Monthly Table'!B149,'Michigan Curve'!$A$4:$A$256,0),MATCH("Michigan Selected Option Value US$/month",'Michigan Curve'!$A$4:$S$4,0)),INDEX('NY Curve'!$A$4:$T$256,MATCH('Monthly Table'!B149,'NY Curve'!$A$4:$A$256,0),MATCH("New York Selected Option Value US$/month",'NY Curve'!$A$4:$T$4,0)))</f>
        <v>316294.927177495</v>
      </c>
      <c r="AE149" s="883" t="n">
        <f aca="false">AD149*K149</f>
        <v>412723.554563542</v>
      </c>
      <c r="AF149" s="188"/>
      <c r="AG149" s="884"/>
      <c r="AH149" s="49"/>
      <c r="AI149" s="885" t="n">
        <f aca="false">Assumptions!$B$50</f>
        <v>65</v>
      </c>
      <c r="AJ149" s="916"/>
      <c r="AK149" s="887" t="n">
        <f aca="false">IF(Tables!$E$30="Custom",'Monthly Table'!AI149,IF(Tables!$E$30="New York",INDEX('NY Curve'!$A$4:$G$256,MATCH('Monthly Table'!B149,'NY Curve'!$A$4:$A$256,0),MATCH("Super Peak Curve",'NY Curve'!$A$4:$G$4,0)),IF(Tables!$E$30="New York Flat",INDEX('NY Curve'!$A$4:$G$256,MATCH('Monthly Table'!B149,'NY Curve'!$A$4:$A$256,0),MATCH("Flat NY West",'NY Curve'!$A$4:$G$4,0)),INDEX('Michigan Curve'!$A$4:$F$256,MATCH('Monthly Table'!B149,'Michigan Curve'!$A$4:$A$256,0),MATCH("Michigan Super Peak Curve US$/MWhr",'Michigan Curve'!$A$4:$F$4,0)))))</f>
        <v>154.851089336186</v>
      </c>
      <c r="AL149" s="888" t="n">
        <f aca="false">IF(D149&lt;=Tables!$B$21,IF($AL$10=$AI$10,AI149,IF($AL$10=$AJ$10,AJ149,IF($AL$10=$AK$10,AK149,0))),0)</f>
        <v>154.851089336186</v>
      </c>
      <c r="AM149" s="889" t="n">
        <f aca="false">+AL149*K149</f>
        <v>202.060439568803</v>
      </c>
      <c r="AN149" s="890" t="n">
        <f aca="false">IF((AL149*K149)&gt;(CP149+$BF$4),1,0)</f>
        <v>1</v>
      </c>
      <c r="AO149" s="891"/>
      <c r="AP149" s="894"/>
      <c r="AQ149" s="892" t="n">
        <f aca="false">IF(Tables!$E$30="New York",INDEX('NY Curve'!$A$4:$L$256,MATCH('Monthly Table'!B149,'NY Curve'!$A$4:$A$256,0),MATCH("New York Shoulder Hour Curve Mon-Fri",'NY Curve'!$A$4:$L$4,0)),IF(Tables!$E$30="Michigan",INDEX('Michigan Curve'!$A$4:$K$256,MATCH('Monthly Table'!B149,'Michigan Curve'!$A$4:$A$256,0),MATCH("Michigan Shoulder Hour Curve Mon-Fri",'Michigan Curve'!$A$4:$K$4,0))))</f>
        <v>29.1489106638143</v>
      </c>
      <c r="AR149" s="889" t="n">
        <f aca="false">AQ149*K149</f>
        <v>38.0355199755494</v>
      </c>
      <c r="AS149" s="893" t="n">
        <f aca="false">IF(AR149&gt;($CP149+$BF$4),1,0)</f>
        <v>0</v>
      </c>
      <c r="AT149" s="188"/>
      <c r="AU149" s="892" t="n">
        <f aca="false">IF(Tables!$E$30="New York",INDEX('NY Curve'!$A$4:$L$256,MATCH('Monthly Table'!$B149,'NY Curve'!$A$4:$A$256,0),MATCH("New York Saturday Super Peak",'NY Curve'!$A$4:$L$4,0)),IF(Tables!$E$30="Michigan",INDEX('Michigan Curve'!$A$4:$K$256,MATCH('Monthly Table'!$B149,'Michigan Curve'!$A$4:$A$256,0),MATCH("Michigan Saturday Super Peak",'Michigan Curve'!$A$4:$K$4,0))))</f>
        <v>58.9107405083315</v>
      </c>
      <c r="AV149" s="894" t="n">
        <f aca="false">AU149*K149</f>
        <v>76.870819401175</v>
      </c>
      <c r="AW149" s="893" t="n">
        <f aca="false">IF(AV149&gt;($CP149+$BF$4),1,0)</f>
        <v>1</v>
      </c>
      <c r="AX149" s="892" t="n">
        <f aca="false">IF(Tables!$E$30="New York",INDEX('NY Curve'!$A$4:$L$256,MATCH('Monthly Table'!$B149,'NY Curve'!$A$4:$A$256,0),MATCH("New York Saturday Shoulder Peak",'NY Curve'!$A$4:$L$4,0)),IF(Tables!$E$30="Michigan",INDEX('Michigan Curve'!$A$4:$K$256,MATCH('Monthly Table'!$B149,'Michigan Curve'!$A$4:$A$256,0),MATCH("Michigan Saturday Shoulder Peak",'Michigan Curve'!$A$4:$K$4,0))))</f>
        <v>11.0892594916685</v>
      </c>
      <c r="AY149" s="895" t="n">
        <f aca="false">AX149*K149</f>
        <v>14.4700347733068</v>
      </c>
      <c r="AZ149" s="893" t="n">
        <f aca="false">IF(AY149&gt;($CP149+$BF$4),1,0)</f>
        <v>0</v>
      </c>
      <c r="BA149" s="188"/>
      <c r="BB149" s="892" t="n">
        <f aca="false">IF(Tables!$E$30="New York",INDEX('NY Curve'!$A$4:$M$256,MATCH('Monthly Table'!$B149,'NY Curve'!$A$4:$A$256,0),MATCH("NY Sunday Super Peak",'NY Curve'!$A$4:$M$4,0)),IF(Tables!$E$30="Michigan",INDEX('Michigan Curve'!$A$4:$L$256,MATCH('Monthly Table'!$B149,'Michigan Curve'!$A$4:$A$256,0),MATCH("Michigan Sunday Super Peak",'Michigan Curve'!$A$4:$L$4,0))))</f>
        <v>52.1780812398559</v>
      </c>
      <c r="BC149" s="894" t="n">
        <f aca="false">BB149*K149</f>
        <v>68.0855787090563</v>
      </c>
      <c r="BD149" s="893" t="n">
        <f aca="false">IF(BC149&gt;($CP149+$BF$4),1,0)</f>
        <v>0</v>
      </c>
      <c r="BE149" s="188"/>
      <c r="BF149" s="896" t="n">
        <f aca="false">B149</f>
        <v>41091</v>
      </c>
      <c r="BG149" s="897" t="n">
        <f aca="false">IF($AN149=1,$E149*$BF$5,0)</f>
        <v>168</v>
      </c>
      <c r="BH149" s="976" t="n">
        <f aca="false">IF(Tables!$B$36="Combined Cycle",(BF149-BF148)*24*Assumptions!$B$21,0)</f>
        <v>0</v>
      </c>
      <c r="BI149" s="714" t="n">
        <f aca="false">IF($AN149=1,$E149*$BF$5,0)</f>
        <v>168</v>
      </c>
      <c r="BJ149" s="898" t="n">
        <f aca="false">IF('Monthly Table'!D149&lt;=Tables!$B$21,IF($BJ$10=$BG$10,BG149,IF($BJ$10=$BH$10,BH149,IF($BJ$10=$BI$10,BI149,0))),0)</f>
        <v>168</v>
      </c>
      <c r="BK149" s="288"/>
      <c r="BL149" s="898" t="n">
        <f aca="false">IF($AW149=1,$F149*$BF$5,0)</f>
        <v>32</v>
      </c>
      <c r="BM149" s="898" t="n">
        <f aca="false">IF($BD149=1,($G149+H149)*$BF$5,0)</f>
        <v>0</v>
      </c>
      <c r="BO149" s="898" t="n">
        <f aca="false">IF(AS149=1,BJ149,0)</f>
        <v>0</v>
      </c>
      <c r="BP149" s="898" t="n">
        <f aca="false">IF(AZ149=1,F149*$BF$5,0)</f>
        <v>0</v>
      </c>
      <c r="BR149" s="899" t="n">
        <f aca="false">IF(BJ149&gt;0,INDEX(OperationalDetail,MATCH("Capacity Degradation",ODColumn,0),MATCH('Monthly Table'!C149,ODRow,0)),0)</f>
        <v>0.01757</v>
      </c>
      <c r="BS149" s="900" t="n">
        <f aca="false">BJ149*(1-BR149)*Tables!$C$36</f>
        <v>53475.62976</v>
      </c>
      <c r="BT149" s="883" t="n">
        <f aca="false">BS149*AL149/1000</f>
        <v>8280.75952127455</v>
      </c>
      <c r="BU149" s="883" t="n">
        <f aca="false">BT149*K149</f>
        <v>10805.3092555242</v>
      </c>
      <c r="BV149" s="188"/>
      <c r="BW149" s="901" t="n">
        <f aca="false">$BO149*(1-$BR149)*Tables!$C$36</f>
        <v>0</v>
      </c>
      <c r="BX149" s="902" t="n">
        <f aca="false">(BW149*AQ149)/1000</f>
        <v>0</v>
      </c>
      <c r="BY149" s="883" t="n">
        <f aca="false">BX149*K149</f>
        <v>0</v>
      </c>
      <c r="BZ149" s="188"/>
      <c r="CA149" s="901" t="n">
        <f aca="false">$BL149*(1-$BR149)*Tables!$C$36</f>
        <v>10185.83424</v>
      </c>
      <c r="CB149" s="902" t="n">
        <f aca="false">(CA149*AU149)/1000</f>
        <v>600.055037773518</v>
      </c>
      <c r="CC149" s="883" t="n">
        <f aca="false">CB149*K149</f>
        <v>782.993424313344</v>
      </c>
      <c r="CD149" s="901" t="n">
        <f aca="false">$BP149*(1-$BR149)*Tables!$C$36</f>
        <v>0</v>
      </c>
      <c r="CE149" s="902" t="n">
        <f aca="false">(CD149*AX149)/1000</f>
        <v>0</v>
      </c>
      <c r="CF149" s="883" t="n">
        <f aca="false">CE149*K149</f>
        <v>0</v>
      </c>
      <c r="CH149" s="901" t="n">
        <f aca="false">$BM149*(1-$BR149)*Tables!$C$36</f>
        <v>0</v>
      </c>
      <c r="CI149" s="902" t="n">
        <f aca="false">(CH149*BB149)/1000</f>
        <v>0</v>
      </c>
      <c r="CJ149" s="883" t="n">
        <f aca="false">CI149*K149</f>
        <v>0</v>
      </c>
      <c r="CK149" s="292"/>
      <c r="CL149" s="292" t="n">
        <f aca="false">C149-1</f>
        <v>2011</v>
      </c>
      <c r="CM149" s="903" t="n">
        <f aca="false">INDEX(OperationalDetail,MATCH("Degraded Heat Rate",ODColumn,0),MATCH('Monthly Table'!CL149,ODRow,0))/1000</f>
        <v>12.1404764</v>
      </c>
      <c r="CN149" s="904" t="n">
        <f aca="false">S149*CM149</f>
        <v>59.6230990948721</v>
      </c>
      <c r="CO149" s="905" t="n">
        <f aca="false">IF(A149="January",(CO148*(1+Assumptions!$E$32)),CO148)</f>
        <v>8.37490307598073</v>
      </c>
      <c r="CP149" s="906" t="n">
        <f aca="false">CN149+CO149</f>
        <v>67.9980021708528</v>
      </c>
      <c r="CQ149" s="292"/>
      <c r="CR149" s="856" t="n">
        <f aca="false">IF(BJ149=0,"",C149)</f>
        <v>2012</v>
      </c>
      <c r="CS149" s="856" t="str">
        <f aca="false">IF(BO149=0,"",$C149)</f>
        <v/>
      </c>
      <c r="CT149" s="856" t="n">
        <f aca="false">IF(BL149=0,"",$C149)</f>
        <v>2012</v>
      </c>
      <c r="CU149" s="856" t="str">
        <f aca="false">IF(BP149=0,"",$C149)</f>
        <v/>
      </c>
      <c r="CV149" s="856" t="str">
        <f aca="false">IF(BD149=0,"",$C149)</f>
        <v/>
      </c>
      <c r="CW149" s="907" t="n">
        <f aca="false">YEAR(BF149)</f>
        <v>2012</v>
      </c>
      <c r="CX149" s="908" t="n">
        <f aca="false">INDEX('NY Curve'!$A$4:$G$256,MATCH('Monthly Table'!B149,'NY Curve'!$A$4:$A$256,0),MATCH("New York 5 X 16",'NY Curve'!$A$4:$G$4,0))</f>
        <v>82</v>
      </c>
      <c r="CY149" s="909" t="n">
        <f aca="false">K149</f>
        <v>1.30486934534974</v>
      </c>
      <c r="CZ149" s="910" t="n">
        <f aca="false">CX149*CY149</f>
        <v>106.999286318679</v>
      </c>
      <c r="DB149" s="911"/>
      <c r="DC149" s="911"/>
    </row>
    <row r="150" customFormat="false" ht="18.75" hidden="false" customHeight="true" outlineLevel="0" collapsed="false">
      <c r="A150" s="49" t="s">
        <v>817</v>
      </c>
      <c r="B150" s="863" t="n">
        <v>41122</v>
      </c>
      <c r="C150" s="288" t="n">
        <f aca="false">YEAR(B150)</f>
        <v>2012</v>
      </c>
      <c r="D150" s="864" t="n">
        <f aca="false">IF(A150="January",D149+1,D149)</f>
        <v>12</v>
      </c>
      <c r="E150" s="865" t="n">
        <v>23</v>
      </c>
      <c r="F150" s="866" t="n">
        <v>4</v>
      </c>
      <c r="G150" s="866" t="n">
        <v>4</v>
      </c>
      <c r="H150" s="866" t="n">
        <v>0</v>
      </c>
      <c r="I150" s="867" t="n">
        <f aca="false">SUM(E150:H150)</f>
        <v>31</v>
      </c>
      <c r="J150" s="868"/>
      <c r="K150" s="869" t="n">
        <f aca="false">INDEX(FX!$A$3:$C$362,MATCH(B150,FX!$A$3:$A$362,0),MATCH("Monthly Curve",FX!$A$2:$C$2,0))</f>
        <v>1.30403593180042</v>
      </c>
      <c r="L150" s="869"/>
      <c r="M150" s="987" t="n">
        <v>3.2395</v>
      </c>
      <c r="N150" s="988" t="n">
        <v>0.145</v>
      </c>
      <c r="O150" s="986" t="n">
        <v>0.1</v>
      </c>
      <c r="P150" s="872" t="n">
        <f aca="false">N150+O150</f>
        <v>0.245</v>
      </c>
      <c r="Q150" s="873" t="n">
        <f aca="false">SUM(M150:O150)</f>
        <v>3.4845</v>
      </c>
      <c r="R150" s="974" t="n">
        <f aca="false">IF(A150="January",(R149+R149*Assumptions!$E$32),R149)</f>
        <v>0.373417300196882</v>
      </c>
      <c r="S150" s="875" t="n">
        <f aca="false">(Q150*K150)+R150</f>
        <v>4.91733050455545</v>
      </c>
      <c r="T150" s="869"/>
      <c r="U150" s="984"/>
      <c r="V150" s="978"/>
      <c r="W150" s="978"/>
      <c r="X150" s="971"/>
      <c r="Y150" s="975" t="n">
        <f aca="false">Tables!$D$36</f>
        <v>312</v>
      </c>
      <c r="Z150" s="879" t="n">
        <f aca="false">IF($Z$10=$V$10,V150,IF($Z$10=$W$10,W150,IF($Z$10=$X$10,X150,0)))</f>
        <v>0</v>
      </c>
      <c r="AA150" s="880" t="n">
        <f aca="false">Y150*Z150</f>
        <v>0</v>
      </c>
      <c r="AB150" s="881" t="n">
        <f aca="false">AA150*K150</f>
        <v>0</v>
      </c>
      <c r="AC150" s="188"/>
      <c r="AD150" s="882" t="n">
        <f aca="false">IF(Tables!$E$30="Michigan",INDEX('Michigan Curve'!$A$4:$S$256,MATCH('Monthly Table'!B150,'Michigan Curve'!$A$4:$A$256,0),MATCH("Michigan Selected Option Value US$/month",'Michigan Curve'!$A$4:$S$4,0)),INDEX('NY Curve'!$A$4:$T$256,MATCH('Monthly Table'!B150,'NY Curve'!$A$4:$A$256,0),MATCH("New York Selected Option Value US$/month",'NY Curve'!$A$4:$T$4,0)))</f>
        <v>278680.725543684</v>
      </c>
      <c r="AE150" s="883" t="n">
        <f aca="false">AD150*K150</f>
        <v>363409.679609176</v>
      </c>
      <c r="AF150" s="188"/>
      <c r="AG150" s="884"/>
      <c r="AH150" s="49"/>
      <c r="AI150" s="885" t="n">
        <f aca="false">Assumptions!$B$50</f>
        <v>65</v>
      </c>
      <c r="AJ150" s="916"/>
      <c r="AK150" s="887" t="n">
        <f aca="false">IF(Tables!$E$30="Custom",'Monthly Table'!AI150,IF(Tables!$E$30="New York",INDEX('NY Curve'!$A$4:$G$256,MATCH('Monthly Table'!B150,'NY Curve'!$A$4:$A$256,0),MATCH("Super Peak Curve",'NY Curve'!$A$4:$G$4,0)),IF(Tables!$E$30="New York Flat",INDEX('NY Curve'!$A$4:$G$256,MATCH('Monthly Table'!B150,'NY Curve'!$A$4:$A$256,0),MATCH("Flat NY West",'NY Curve'!$A$4:$G$4,0)),INDEX('Michigan Curve'!$A$4:$F$256,MATCH('Monthly Table'!B150,'Michigan Curve'!$A$4:$A$256,0),MATCH("Michigan Super Peak Curve US$/MWhr",'Michigan Curve'!$A$4:$F$4,0)))))</f>
        <v>154.851089336186</v>
      </c>
      <c r="AL150" s="888" t="n">
        <f aca="false">IF(D150&lt;=Tables!$B$21,IF($AL$10=$AI$10,AI150,IF($AL$10=$AJ$10,AJ150,IF($AL$10=$AK$10,AK150,0))),0)</f>
        <v>154.851089336186</v>
      </c>
      <c r="AM150" s="889" t="n">
        <f aca="false">+AL150*K150</f>
        <v>201.931384572823</v>
      </c>
      <c r="AN150" s="890" t="n">
        <f aca="false">IF((AL150*K150)&gt;(CP150+$BF$4),1,0)</f>
        <v>1</v>
      </c>
      <c r="AO150" s="891"/>
      <c r="AP150" s="894"/>
      <c r="AQ150" s="892" t="n">
        <f aca="false">IF(Tables!$E$30="New York",INDEX('NY Curve'!$A$4:$L$256,MATCH('Monthly Table'!B150,'NY Curve'!$A$4:$A$256,0),MATCH("New York Shoulder Hour Curve Mon-Fri",'NY Curve'!$A$4:$L$4,0)),IF(Tables!$E$30="Michigan",INDEX('Michigan Curve'!$A$4:$K$256,MATCH('Monthly Table'!B150,'Michigan Curve'!$A$4:$A$256,0),MATCH("Michigan Shoulder Hour Curve Mon-Fri",'Michigan Curve'!$A$4:$K$4,0))))</f>
        <v>29.1489106638143</v>
      </c>
      <c r="AR150" s="889" t="n">
        <f aca="false">AQ150*K150</f>
        <v>38.0112268784543</v>
      </c>
      <c r="AS150" s="893" t="n">
        <f aca="false">IF(AR150&gt;($CP150+$BF$4),1,0)</f>
        <v>0</v>
      </c>
      <c r="AT150" s="188"/>
      <c r="AU150" s="892" t="n">
        <f aca="false">IF(Tables!$E$30="New York",INDEX('NY Curve'!$A$4:$L$256,MATCH('Monthly Table'!$B150,'NY Curve'!$A$4:$A$256,0),MATCH("New York Saturday Super Peak",'NY Curve'!$A$4:$L$4,0)),IF(Tables!$E$30="Michigan",INDEX('Michigan Curve'!$A$4:$K$256,MATCH('Monthly Table'!$B150,'Michigan Curve'!$A$4:$A$256,0),MATCH("Michigan Saturday Super Peak",'Michigan Curve'!$A$4:$K$4,0))))</f>
        <v>58.9107469290927</v>
      </c>
      <c r="AV150" s="894" t="n">
        <f aca="false">AU150*K150</f>
        <v>76.8217307647381</v>
      </c>
      <c r="AW150" s="893" t="n">
        <f aca="false">IF(AV150&gt;($CP150+$BF$4),1,0)</f>
        <v>1</v>
      </c>
      <c r="AX150" s="892" t="n">
        <f aca="false">IF(Tables!$E$30="New York",INDEX('NY Curve'!$A$4:$L$256,MATCH('Monthly Table'!$B150,'NY Curve'!$A$4:$A$256,0),MATCH("New York Saturday Shoulder Peak",'NY Curve'!$A$4:$L$4,0)),IF(Tables!$E$30="Michigan",INDEX('Michigan Curve'!$A$4:$K$256,MATCH('Monthly Table'!$B150,'Michigan Curve'!$A$4:$A$256,0),MATCH("Michigan Saturday Shoulder Peak",'Michigan Curve'!$A$4:$K$4,0))))</f>
        <v>11.0892607003018</v>
      </c>
      <c r="AY150" s="895" t="n">
        <f aca="false">AX150*K150</f>
        <v>14.4607944102959</v>
      </c>
      <c r="AZ150" s="893" t="n">
        <f aca="false">IF(AY150&gt;($CP150+$BF$4),1,0)</f>
        <v>0</v>
      </c>
      <c r="BA150" s="188"/>
      <c r="BB150" s="892" t="n">
        <f aca="false">IF(Tables!$E$30="New York",INDEX('NY Curve'!$A$4:$M$256,MATCH('Monthly Table'!$B150,'NY Curve'!$A$4:$A$256,0),MATCH("NY Sunday Super Peak",'NY Curve'!$A$4:$M$4,0)),IF(Tables!$E$30="Michigan",INDEX('Michigan Curve'!$A$4:$L$256,MATCH('Monthly Table'!$B150,'Michigan Curve'!$A$4:$A$256,0),MATCH("Michigan Sunday Super Peak",'Michigan Curve'!$A$4:$L$4,0))))</f>
        <v>52.1780844502365</v>
      </c>
      <c r="BC150" s="894" t="n">
        <f aca="false">BB150*K150</f>
        <v>68.0420969756252</v>
      </c>
      <c r="BD150" s="893" t="n">
        <f aca="false">IF(BC150&gt;($CP150+$BF$4),1,0)</f>
        <v>0</v>
      </c>
      <c r="BE150" s="188"/>
      <c r="BF150" s="896" t="n">
        <f aca="false">B150</f>
        <v>41122</v>
      </c>
      <c r="BG150" s="897" t="n">
        <f aca="false">IF($AN150=1,$E150*$BF$5,0)</f>
        <v>184</v>
      </c>
      <c r="BH150" s="976" t="n">
        <f aca="false">IF(Tables!$B$36="Combined Cycle",(BF150-BF149)*24*Assumptions!$B$21,0)</f>
        <v>0</v>
      </c>
      <c r="BI150" s="714" t="n">
        <f aca="false">IF($AN150=1,$E150*$BF$5,0)</f>
        <v>184</v>
      </c>
      <c r="BJ150" s="898" t="n">
        <f aca="false">IF('Monthly Table'!D150&lt;=Tables!$B$21,IF($BJ$10=$BG$10,BG150,IF($BJ$10=$BH$10,BH150,IF($BJ$10=$BI$10,BI150,0))),0)</f>
        <v>184</v>
      </c>
      <c r="BK150" s="288"/>
      <c r="BL150" s="898" t="n">
        <f aca="false">IF($AW150=1,$F150*$BF$5,0)</f>
        <v>32</v>
      </c>
      <c r="BM150" s="898" t="n">
        <f aca="false">IF($BD150=1,($G150+H150)*$BF$5,0)</f>
        <v>0</v>
      </c>
      <c r="BO150" s="898" t="n">
        <f aca="false">IF(AS150=1,BJ150,0)</f>
        <v>0</v>
      </c>
      <c r="BP150" s="898" t="n">
        <f aca="false">IF(AZ150=1,F150*$BF$5,0)</f>
        <v>0</v>
      </c>
      <c r="BR150" s="899" t="n">
        <f aca="false">IF(BJ150&gt;0,INDEX(OperationalDetail,MATCH("Capacity Degradation",ODColumn,0),MATCH('Monthly Table'!C150,ODRow,0)),0)</f>
        <v>0.01757</v>
      </c>
      <c r="BS150" s="900" t="n">
        <f aca="false">BJ150*(1-BR150)*Tables!$C$36</f>
        <v>58568.54688</v>
      </c>
      <c r="BT150" s="883" t="n">
        <f aca="false">BS150*AL150/1000</f>
        <v>9069.40328520546</v>
      </c>
      <c r="BU150" s="883" t="n">
        <f aca="false">BT150*K150</f>
        <v>11826.8277638967</v>
      </c>
      <c r="BV150" s="188"/>
      <c r="BW150" s="901" t="n">
        <f aca="false">$BO150*(1-$BR150)*Tables!$C$36</f>
        <v>0</v>
      </c>
      <c r="BX150" s="902" t="n">
        <f aca="false">(BW150*AQ150)/1000</f>
        <v>0</v>
      </c>
      <c r="BY150" s="883" t="n">
        <f aca="false">BX150*K150</f>
        <v>0</v>
      </c>
      <c r="BZ150" s="188"/>
      <c r="CA150" s="901" t="n">
        <f aca="false">$BL150*(1-$BR150)*Tables!$C$36</f>
        <v>10185.83424</v>
      </c>
      <c r="CB150" s="902" t="n">
        <f aca="false">(CA150*AU150)/1000</f>
        <v>600.055103174327</v>
      </c>
      <c r="CC150" s="883" t="n">
        <f aca="false">CB150*K150</f>
        <v>782.493415599531</v>
      </c>
      <c r="CD150" s="901" t="n">
        <f aca="false">$BP150*(1-$BR150)*Tables!$C$36</f>
        <v>0</v>
      </c>
      <c r="CE150" s="902" t="n">
        <f aca="false">(CD150*AX150)/1000</f>
        <v>0</v>
      </c>
      <c r="CF150" s="883" t="n">
        <f aca="false">CE150*K150</f>
        <v>0</v>
      </c>
      <c r="CH150" s="901" t="n">
        <f aca="false">$BM150*(1-$BR150)*Tables!$C$36</f>
        <v>0</v>
      </c>
      <c r="CI150" s="902" t="n">
        <f aca="false">(CH150*BB150)/1000</f>
        <v>0</v>
      </c>
      <c r="CJ150" s="883" t="n">
        <f aca="false">CI150*K150</f>
        <v>0</v>
      </c>
      <c r="CK150" s="292"/>
      <c r="CL150" s="292" t="n">
        <f aca="false">C150-1</f>
        <v>2011</v>
      </c>
      <c r="CM150" s="903" t="n">
        <f aca="false">INDEX(OperationalDetail,MATCH("Degraded Heat Rate",ODColumn,0),MATCH('Monthly Table'!CL150,ODRow,0))/1000</f>
        <v>12.1404764</v>
      </c>
      <c r="CN150" s="904" t="n">
        <f aca="false">S150*CM150</f>
        <v>59.6987349415555</v>
      </c>
      <c r="CO150" s="905" t="n">
        <f aca="false">IF(A150="January",(CO149*(1+Assumptions!$E$32)),CO149)</f>
        <v>8.37490307598073</v>
      </c>
      <c r="CP150" s="906" t="n">
        <f aca="false">CN150+CO150</f>
        <v>68.0736380175362</v>
      </c>
      <c r="CQ150" s="292"/>
      <c r="CR150" s="856" t="n">
        <f aca="false">IF(BJ150=0,"",C150)</f>
        <v>2012</v>
      </c>
      <c r="CS150" s="856" t="str">
        <f aca="false">IF(BO150=0,"",$C150)</f>
        <v/>
      </c>
      <c r="CT150" s="856" t="n">
        <f aca="false">IF(BL150=0,"",$C150)</f>
        <v>2012</v>
      </c>
      <c r="CU150" s="856" t="str">
        <f aca="false">IF(BP150=0,"",$C150)</f>
        <v/>
      </c>
      <c r="CV150" s="856" t="str">
        <f aca="false">IF(BD150=0,"",$C150)</f>
        <v/>
      </c>
      <c r="CW150" s="907" t="n">
        <f aca="false">YEAR(BF150)</f>
        <v>2012</v>
      </c>
      <c r="CX150" s="908" t="n">
        <f aca="false">INDEX('NY Curve'!$A$4:$G$256,MATCH('Monthly Table'!B150,'NY Curve'!$A$4:$A$256,0),MATCH("New York 5 X 16",'NY Curve'!$A$4:$G$4,0))</f>
        <v>74.5</v>
      </c>
      <c r="CY150" s="909" t="n">
        <f aca="false">K150</f>
        <v>1.30403593180042</v>
      </c>
      <c r="CZ150" s="910" t="n">
        <f aca="false">CX150*CY150</f>
        <v>97.1506769191313</v>
      </c>
      <c r="DB150" s="911"/>
      <c r="DC150" s="911"/>
    </row>
    <row r="151" customFormat="false" ht="18.75" hidden="false" customHeight="true" outlineLevel="0" collapsed="false">
      <c r="A151" s="49" t="s">
        <v>818</v>
      </c>
      <c r="B151" s="863" t="n">
        <v>41153</v>
      </c>
      <c r="C151" s="288" t="n">
        <f aca="false">YEAR(B151)</f>
        <v>2012</v>
      </c>
      <c r="D151" s="864" t="n">
        <f aca="false">IF(A151="January",D150+1,D150)</f>
        <v>12</v>
      </c>
      <c r="E151" s="865" t="n">
        <v>19</v>
      </c>
      <c r="F151" s="866" t="n">
        <v>5</v>
      </c>
      <c r="G151" s="866" t="n">
        <v>5</v>
      </c>
      <c r="H151" s="866" t="n">
        <v>1</v>
      </c>
      <c r="I151" s="867" t="n">
        <f aca="false">SUM(E151:H151)</f>
        <v>30</v>
      </c>
      <c r="J151" s="868"/>
      <c r="K151" s="869" t="n">
        <f aca="false">INDEX(FX!$A$3:$C$362,MATCH(B151,FX!$A$3:$A$362,0),MATCH("Monthly Curve",FX!$A$2:$C$2,0))</f>
        <v>1.30320492984935</v>
      </c>
      <c r="L151" s="869"/>
      <c r="M151" s="987" t="n">
        <v>3.2465</v>
      </c>
      <c r="N151" s="988" t="n">
        <v>0.145</v>
      </c>
      <c r="O151" s="986" t="n">
        <v>0.1</v>
      </c>
      <c r="P151" s="872" t="n">
        <f aca="false">N151+O151</f>
        <v>0.245</v>
      </c>
      <c r="Q151" s="873" t="n">
        <f aca="false">SUM(M151:O151)</f>
        <v>3.4915</v>
      </c>
      <c r="R151" s="974" t="n">
        <f aca="false">IF(A151="January",(R150+R150*Assumptions!$E$32),R150)</f>
        <v>0.373417300196882</v>
      </c>
      <c r="S151" s="875" t="n">
        <f aca="false">(Q151*K151)+R151</f>
        <v>4.92355731276589</v>
      </c>
      <c r="T151" s="869"/>
      <c r="U151" s="984"/>
      <c r="V151" s="978"/>
      <c r="W151" s="978"/>
      <c r="X151" s="971"/>
      <c r="Y151" s="975" t="n">
        <f aca="false">Tables!$D$36</f>
        <v>312</v>
      </c>
      <c r="Z151" s="879" t="n">
        <f aca="false">IF($Z$10=$V$10,V151,IF($Z$10=$W$10,W151,IF($Z$10=$X$10,X151,0)))</f>
        <v>0</v>
      </c>
      <c r="AA151" s="880" t="n">
        <f aca="false">Y151*Z151</f>
        <v>0</v>
      </c>
      <c r="AB151" s="881" t="n">
        <f aca="false">AA151*K151</f>
        <v>0</v>
      </c>
      <c r="AC151" s="188"/>
      <c r="AD151" s="882" t="n">
        <f aca="false">IF(Tables!$E$30="Michigan",INDEX('Michigan Curve'!$A$4:$S$256,MATCH('Monthly Table'!B151,'Michigan Curve'!$A$4:$A$256,0),MATCH("Michigan Selected Option Value US$/month",'Michigan Curve'!$A$4:$S$4,0)),INDEX('NY Curve'!$A$4:$T$256,MATCH('Monthly Table'!B151,'NY Curve'!$A$4:$A$256,0),MATCH("New York Selected Option Value US$/month",'NY Curve'!$A$4:$T$4,0)))</f>
        <v>146168.394686394</v>
      </c>
      <c r="AE151" s="883" t="n">
        <f aca="false">AD151*K151</f>
        <v>190487.372543474</v>
      </c>
      <c r="AF151" s="188"/>
      <c r="AG151" s="884"/>
      <c r="AH151" s="49"/>
      <c r="AI151" s="885" t="n">
        <f aca="false">Assumptions!$B$50</f>
        <v>65</v>
      </c>
      <c r="AJ151" s="916"/>
      <c r="AK151" s="887" t="n">
        <f aca="false">IF(Tables!$E$30="Custom",'Monthly Table'!AI151,IF(Tables!$E$30="New York",INDEX('NY Curve'!$A$4:$G$256,MATCH('Monthly Table'!B151,'NY Curve'!$A$4:$A$256,0),MATCH("Super Peak Curve",'NY Curve'!$A$4:$G$4,0)),IF(Tables!$E$30="New York Flat",INDEX('NY Curve'!$A$4:$G$256,MATCH('Monthly Table'!B151,'NY Curve'!$A$4:$A$256,0),MATCH("Flat NY West",'NY Curve'!$A$4:$G$4,0)),INDEX('Michigan Curve'!$A$4:$F$256,MATCH('Monthly Table'!B151,'Michigan Curve'!$A$4:$A$256,0),MATCH("Michigan Super Peak Curve US$/MWhr",'Michigan Curve'!$A$4:$F$4,0)))))</f>
        <v>48.3071872442961</v>
      </c>
      <c r="AL151" s="888" t="n">
        <f aca="false">IF(D151&lt;=Tables!$B$21,IF($AL$10=$AI$10,AI151,IF($AL$10=$AJ$10,AJ151,IF($AL$10=$AK$10,AK151,0))),0)</f>
        <v>48.3071872442961</v>
      </c>
      <c r="AM151" s="889" t="n">
        <f aca="false">+AL151*K151</f>
        <v>62.9541645639223</v>
      </c>
      <c r="AN151" s="890" t="n">
        <f aca="false">IF((AL151*K151)&gt;(CP151+$BF$4),1,0)</f>
        <v>0</v>
      </c>
      <c r="AO151" s="891"/>
      <c r="AP151" s="894"/>
      <c r="AQ151" s="892" t="n">
        <f aca="false">IF(Tables!$E$30="New York",INDEX('NY Curve'!$A$4:$L$256,MATCH('Monthly Table'!B151,'NY Curve'!$A$4:$A$256,0),MATCH("New York Shoulder Hour Curve Mon-Fri",'NY Curve'!$A$4:$L$4,0)),IF(Tables!$E$30="Michigan",INDEX('Michigan Curve'!$A$4:$K$256,MATCH('Monthly Table'!B151,'Michigan Curve'!$A$4:$A$256,0),MATCH("Michigan Shoulder Hour Curve Mon-Fri",'Michigan Curve'!$A$4:$K$4,0))))</f>
        <v>23.1928127557039</v>
      </c>
      <c r="AR151" s="889" t="n">
        <f aca="false">AQ151*K151</f>
        <v>30.2249879203062</v>
      </c>
      <c r="AS151" s="893" t="n">
        <f aca="false">IF(AR151&gt;($CP151+$BF$4),1,0)</f>
        <v>0</v>
      </c>
      <c r="AT151" s="188"/>
      <c r="AU151" s="892" t="n">
        <f aca="false">IF(Tables!$E$30="New York",INDEX('NY Curve'!$A$4:$L$256,MATCH('Monthly Table'!$B151,'NY Curve'!$A$4:$A$256,0),MATCH("New York Saturday Super Peak",'NY Curve'!$A$4:$L$4,0)),IF(Tables!$E$30="Michigan",INDEX('Michigan Curve'!$A$4:$K$256,MATCH('Monthly Table'!$B151,'Michigan Curve'!$A$4:$A$256,0),MATCH("Michigan Saturday Super Peak",'Michigan Curve'!$A$4:$K$4,0))))</f>
        <v>33.7812498211861</v>
      </c>
      <c r="AV151" s="894" t="n">
        <f aca="false">AU151*K151</f>
        <v>44.0238913034422</v>
      </c>
      <c r="AW151" s="893" t="n">
        <f aca="false">IF(AV151&gt;($CP151+$BF$4),1,0)</f>
        <v>0</v>
      </c>
      <c r="AX151" s="892" t="n">
        <f aca="false">IF(Tables!$E$30="New York",INDEX('NY Curve'!$A$4:$L$256,MATCH('Monthly Table'!$B151,'NY Curve'!$A$4:$A$256,0),MATCH("New York Saturday Shoulder Peak",'NY Curve'!$A$4:$L$4,0)),IF(Tables!$E$30="Michigan",INDEX('Michigan Curve'!$A$4:$K$256,MATCH('Monthly Table'!$B151,'Michigan Curve'!$A$4:$A$256,0),MATCH("Michigan Saturday Shoulder Peak",'Michigan Curve'!$A$4:$K$4,0))))</f>
        <v>16.2187501788139</v>
      </c>
      <c r="AY151" s="895" t="n">
        <f aca="false">AX151*K151</f>
        <v>21.1363551890253</v>
      </c>
      <c r="AZ151" s="893" t="n">
        <f aca="false">IF(AY151&gt;($CP151+$BF$4),1,0)</f>
        <v>0</v>
      </c>
      <c r="BA151" s="188"/>
      <c r="BB151" s="892" t="n">
        <f aca="false">IF(Tables!$E$30="New York",INDEX('NY Curve'!$A$4:$M$256,MATCH('Monthly Table'!$B151,'NY Curve'!$A$4:$A$256,0),MATCH("NY Sunday Super Peak",'NY Curve'!$A$4:$M$4,0)),IF(Tables!$E$30="Michigan",INDEX('Michigan Curve'!$A$4:$L$256,MATCH('Monthly Table'!$B151,'Michigan Curve'!$A$4:$A$256,0),MATCH("Michigan Sunday Super Peak",'Michigan Curve'!$A$4:$L$4,0))))</f>
        <v>32.4299998283386</v>
      </c>
      <c r="BC151" s="894" t="n">
        <f aca="false">BB151*K151</f>
        <v>42.2629356513045</v>
      </c>
      <c r="BD151" s="893" t="n">
        <f aca="false">IF(BC151&gt;($CP151+$BF$4),1,0)</f>
        <v>0</v>
      </c>
      <c r="BE151" s="188"/>
      <c r="BF151" s="896" t="n">
        <f aca="false">B151</f>
        <v>41153</v>
      </c>
      <c r="BG151" s="897" t="n">
        <f aca="false">IF($AN151=1,$E151*$BF$5,0)</f>
        <v>0</v>
      </c>
      <c r="BH151" s="976" t="n">
        <f aca="false">IF(Tables!$B$36="Combined Cycle",(BF151-BF150)*24*Assumptions!$B$21,0)</f>
        <v>0</v>
      </c>
      <c r="BI151" s="714" t="n">
        <f aca="false">IF($AN151=1,$E151*$BF$5,0)</f>
        <v>0</v>
      </c>
      <c r="BJ151" s="898" t="n">
        <f aca="false">IF('Monthly Table'!D151&lt;=Tables!$B$21,IF($BJ$10=$BG$10,BG151,IF($BJ$10=$BH$10,BH151,IF($BJ$10=$BI$10,BI151,0))),0)</f>
        <v>0</v>
      </c>
      <c r="BK151" s="288"/>
      <c r="BL151" s="898" t="n">
        <f aca="false">IF($AW151=1,$F151*$BF$5,0)</f>
        <v>0</v>
      </c>
      <c r="BM151" s="898" t="n">
        <f aca="false">IF($BD151=1,($G151+H151)*$BF$5,0)</f>
        <v>0</v>
      </c>
      <c r="BO151" s="898" t="n">
        <f aca="false">IF(AS151=1,BJ151,0)</f>
        <v>0</v>
      </c>
      <c r="BP151" s="898" t="n">
        <f aca="false">IF(AZ151=1,F151*$BF$5,0)</f>
        <v>0</v>
      </c>
      <c r="BR151" s="899" t="n">
        <f aca="false">IF(BJ151&gt;0,INDEX(OperationalDetail,MATCH("Capacity Degradation",ODColumn,0),MATCH('Monthly Table'!C151,ODRow,0)),0)</f>
        <v>0</v>
      </c>
      <c r="BS151" s="900" t="n">
        <f aca="false">BJ151*(1-BR151)*Tables!$C$36</f>
        <v>0</v>
      </c>
      <c r="BT151" s="883" t="n">
        <f aca="false">BS151*AL151/1000</f>
        <v>0</v>
      </c>
      <c r="BU151" s="883" t="n">
        <f aca="false">BT151*K151</f>
        <v>0</v>
      </c>
      <c r="BV151" s="188"/>
      <c r="BW151" s="901" t="n">
        <f aca="false">$BO151*(1-$BR151)*Tables!$C$36</f>
        <v>0</v>
      </c>
      <c r="BX151" s="902" t="n">
        <f aca="false">(BW151*AQ151)/1000</f>
        <v>0</v>
      </c>
      <c r="BY151" s="883" t="n">
        <f aca="false">BX151*K151</f>
        <v>0</v>
      </c>
      <c r="BZ151" s="188"/>
      <c r="CA151" s="901" t="n">
        <f aca="false">$BL151*(1-$BR151)*Tables!$C$36</f>
        <v>0</v>
      </c>
      <c r="CB151" s="902" t="n">
        <f aca="false">(CA151*AU151)/1000</f>
        <v>0</v>
      </c>
      <c r="CC151" s="883" t="n">
        <f aca="false">CB151*K151</f>
        <v>0</v>
      </c>
      <c r="CD151" s="901" t="n">
        <f aca="false">$BP151*(1-$BR151)*Tables!$C$36</f>
        <v>0</v>
      </c>
      <c r="CE151" s="902" t="n">
        <f aca="false">(CD151*AX151)/1000</f>
        <v>0</v>
      </c>
      <c r="CF151" s="883" t="n">
        <f aca="false">CE151*K151</f>
        <v>0</v>
      </c>
      <c r="CH151" s="901" t="n">
        <f aca="false">$BM151*(1-$BR151)*Tables!$C$36</f>
        <v>0</v>
      </c>
      <c r="CI151" s="902" t="n">
        <f aca="false">(CH151*BB151)/1000</f>
        <v>0</v>
      </c>
      <c r="CJ151" s="883" t="n">
        <f aca="false">CI151*K151</f>
        <v>0</v>
      </c>
      <c r="CK151" s="292"/>
      <c r="CL151" s="292" t="n">
        <f aca="false">C151-1</f>
        <v>2011</v>
      </c>
      <c r="CM151" s="903" t="n">
        <f aca="false">INDEX(OperationalDetail,MATCH("Degraded Heat Rate",ODColumn,0),MATCH('Monthly Table'!CL151,ODRow,0))/1000</f>
        <v>12.1404764</v>
      </c>
      <c r="CN151" s="904" t="n">
        <f aca="false">S151*CM151</f>
        <v>59.7743313596817</v>
      </c>
      <c r="CO151" s="905" t="n">
        <f aca="false">IF(A151="January",(CO150*(1+Assumptions!$E$32)),CO150)</f>
        <v>8.37490307598073</v>
      </c>
      <c r="CP151" s="906" t="n">
        <f aca="false">CN151+CO151</f>
        <v>68.1492344356624</v>
      </c>
      <c r="CQ151" s="292"/>
      <c r="CR151" s="856" t="str">
        <f aca="false">IF(BJ151=0,"",C151)</f>
        <v/>
      </c>
      <c r="CS151" s="856" t="str">
        <f aca="false">IF(BO151=0,"",$C151)</f>
        <v/>
      </c>
      <c r="CT151" s="856" t="str">
        <f aca="false">IF(BL151=0,"",$C151)</f>
        <v/>
      </c>
      <c r="CU151" s="856" t="str">
        <f aca="false">IF(BP151=0,"",$C151)</f>
        <v/>
      </c>
      <c r="CV151" s="856" t="str">
        <f aca="false">IF(BD151=0,"",$C151)</f>
        <v/>
      </c>
      <c r="CW151" s="907" t="n">
        <f aca="false">YEAR(BF151)</f>
        <v>2012</v>
      </c>
      <c r="CX151" s="908" t="n">
        <f aca="false">INDEX('NY Curve'!$A$4:$G$256,MATCH('Monthly Table'!B151,'NY Curve'!$A$4:$A$256,0),MATCH("New York 5 X 16",'NY Curve'!$A$4:$G$4,0))</f>
        <v>31.05</v>
      </c>
      <c r="CY151" s="909" t="n">
        <f aca="false">K151</f>
        <v>1.30320492984935</v>
      </c>
      <c r="CZ151" s="910" t="n">
        <f aca="false">CX151*CY151</f>
        <v>40.4645130718223</v>
      </c>
      <c r="DB151" s="911"/>
      <c r="DC151" s="911"/>
    </row>
    <row r="152" customFormat="false" ht="18.75" hidden="false" customHeight="true" outlineLevel="0" collapsed="false">
      <c r="A152" s="49" t="s">
        <v>819</v>
      </c>
      <c r="B152" s="863" t="n">
        <v>41183</v>
      </c>
      <c r="C152" s="288" t="n">
        <f aca="false">YEAR(B152)</f>
        <v>2012</v>
      </c>
      <c r="D152" s="864" t="n">
        <f aca="false">IF(A152="January",D151+1,D151)</f>
        <v>12</v>
      </c>
      <c r="E152" s="865" t="n">
        <v>23</v>
      </c>
      <c r="F152" s="866" t="n">
        <v>4</v>
      </c>
      <c r="G152" s="866" t="n">
        <v>4</v>
      </c>
      <c r="H152" s="866" t="n">
        <v>0</v>
      </c>
      <c r="I152" s="867" t="n">
        <f aca="false">SUM(E152:H152)</f>
        <v>31</v>
      </c>
      <c r="J152" s="868"/>
      <c r="K152" s="869" t="n">
        <f aca="false">INDEX(FX!$A$3:$C$362,MATCH(B152,FX!$A$3:$A$362,0),MATCH("Monthly Curve",FX!$A$2:$C$2,0))</f>
        <v>1.30240302686116</v>
      </c>
      <c r="L152" s="869"/>
      <c r="M152" s="987" t="n">
        <v>3.2735</v>
      </c>
      <c r="N152" s="988" t="n">
        <v>0.145</v>
      </c>
      <c r="O152" s="986" t="n">
        <v>0.1</v>
      </c>
      <c r="P152" s="872" t="n">
        <f aca="false">N152+O152</f>
        <v>0.245</v>
      </c>
      <c r="Q152" s="873" t="n">
        <f aca="false">SUM(M152:O152)</f>
        <v>3.5185</v>
      </c>
      <c r="R152" s="974" t="n">
        <f aca="false">IF(A152="January",(R151+R151*Assumptions!$E$32),R151)</f>
        <v>0.373417300196882</v>
      </c>
      <c r="S152" s="875" t="n">
        <f aca="false">(Q152*K152)+R152</f>
        <v>4.95592235020787</v>
      </c>
      <c r="T152" s="869"/>
      <c r="U152" s="984"/>
      <c r="V152" s="978"/>
      <c r="W152" s="978"/>
      <c r="X152" s="971"/>
      <c r="Y152" s="975" t="n">
        <f aca="false">Tables!$D$36</f>
        <v>312</v>
      </c>
      <c r="Z152" s="879" t="n">
        <f aca="false">IF($Z$10=$V$10,V152,IF($Z$10=$W$10,W152,IF($Z$10=$X$10,X152,0)))</f>
        <v>0</v>
      </c>
      <c r="AA152" s="880" t="n">
        <f aca="false">Y152*Z152</f>
        <v>0</v>
      </c>
      <c r="AB152" s="881" t="n">
        <f aca="false">AA152*K152</f>
        <v>0</v>
      </c>
      <c r="AC152" s="188"/>
      <c r="AD152" s="882" t="n">
        <f aca="false">IF(Tables!$E$30="Michigan",INDEX('Michigan Curve'!$A$4:$S$256,MATCH('Monthly Table'!B152,'Michigan Curve'!$A$4:$A$256,0),MATCH("Michigan Selected Option Value US$/month",'Michigan Curve'!$A$4:$S$4,0)),INDEX('NY Curve'!$A$4:$T$256,MATCH('Monthly Table'!B152,'NY Curve'!$A$4:$A$256,0),MATCH("New York Selected Option Value US$/month",'NY Curve'!$A$4:$T$4,0)))</f>
        <v>2627.48492329788</v>
      </c>
      <c r="AE152" s="883" t="n">
        <f aca="false">AD152*K152</f>
        <v>3422.04431713522</v>
      </c>
      <c r="AF152" s="188"/>
      <c r="AG152" s="884"/>
      <c r="AH152" s="49"/>
      <c r="AI152" s="885" t="n">
        <f aca="false">Assumptions!$B$50</f>
        <v>65</v>
      </c>
      <c r="AJ152" s="916"/>
      <c r="AK152" s="887" t="n">
        <f aca="false">IF(Tables!$E$30="Custom",'Monthly Table'!AI152,IF(Tables!$E$30="New York",INDEX('NY Curve'!$A$4:$G$256,MATCH('Monthly Table'!B152,'NY Curve'!$A$4:$A$256,0),MATCH("Super Peak Curve",'NY Curve'!$A$4:$G$4,0)),IF(Tables!$E$30="New York Flat",INDEX('NY Curve'!$A$4:$G$256,MATCH('Monthly Table'!B152,'NY Curve'!$A$4:$A$256,0),MATCH("Flat NY West",'NY Curve'!$A$4:$G$4,0)),INDEX('Michigan Curve'!$A$4:$F$256,MATCH('Monthly Table'!B152,'Michigan Curve'!$A$4:$A$256,0),MATCH("Michigan Super Peak Curve US$/MWhr",'Michigan Curve'!$A$4:$F$4,0)))))</f>
        <v>28.8499946594238</v>
      </c>
      <c r="AL152" s="888" t="n">
        <f aca="false">IF(D152&lt;=Tables!$B$21,IF($AL$10=$AI$10,AI152,IF($AL$10=$AJ$10,AJ152,IF($AL$10=$AK$10,AK152,0))),0)</f>
        <v>28.8499946594238</v>
      </c>
      <c r="AM152" s="889" t="n">
        <f aca="false">+AL152*K152</f>
        <v>37.5743203693619</v>
      </c>
      <c r="AN152" s="890" t="n">
        <f aca="false">IF((AL152*K152)&gt;(CP152+$BF$4),1,0)</f>
        <v>0</v>
      </c>
      <c r="AO152" s="891"/>
      <c r="AP152" s="894"/>
      <c r="AQ152" s="892" t="n">
        <f aca="false">IF(Tables!$E$30="New York",INDEX('NY Curve'!$A$4:$L$256,MATCH('Monthly Table'!B152,'NY Curve'!$A$4:$A$256,0),MATCH("New York Shoulder Hour Curve Mon-Fri",'NY Curve'!$A$4:$L$4,0)),IF(Tables!$E$30="Michigan",INDEX('Michigan Curve'!$A$4:$K$256,MATCH('Monthly Table'!B152,'Michigan Curve'!$A$4:$A$256,0),MATCH("Michigan Shoulder Hour Curve Mon-Fri",'Michigan Curve'!$A$4:$K$4,0))))</f>
        <v>28.8499946594238</v>
      </c>
      <c r="AR152" s="889" t="n">
        <f aca="false">AQ152*K152</f>
        <v>37.5743203693619</v>
      </c>
      <c r="AS152" s="893" t="n">
        <f aca="false">IF(AR152&gt;($CP152+$BF$4),1,0)</f>
        <v>0</v>
      </c>
      <c r="AT152" s="188"/>
      <c r="AU152" s="892" t="n">
        <f aca="false">IF(Tables!$E$30="New York",INDEX('NY Curve'!$A$4:$L$256,MATCH('Monthly Table'!$B152,'NY Curve'!$A$4:$A$256,0),MATCH("New York Saturday Super Peak",'NY Curve'!$A$4:$L$4,0)),IF(Tables!$E$30="Michigan",INDEX('Michigan Curve'!$A$4:$K$256,MATCH('Monthly Table'!$B152,'Michigan Curve'!$A$4:$A$256,0),MATCH("Michigan Saturday Super Peak",'Michigan Curve'!$A$4:$K$4,0))))</f>
        <v>19.996000289917</v>
      </c>
      <c r="AV152" s="894" t="n">
        <f aca="false">AU152*K152</f>
        <v>26.0428513027045</v>
      </c>
      <c r="AW152" s="893" t="n">
        <f aca="false">IF(AV152&gt;($CP152+$BF$4),1,0)</f>
        <v>0</v>
      </c>
      <c r="AX152" s="892" t="n">
        <f aca="false">IF(Tables!$E$30="New York",INDEX('NY Curve'!$A$4:$L$256,MATCH('Monthly Table'!$B152,'NY Curve'!$A$4:$A$256,0),MATCH("New York Saturday Shoulder Peak",'NY Curve'!$A$4:$L$4,0)),IF(Tables!$E$30="Michigan",INDEX('Michigan Curve'!$A$4:$K$256,MATCH('Monthly Table'!$B152,'Michigan Curve'!$A$4:$A$256,0),MATCH("Michigan Saturday Shoulder Peak",'Michigan Curve'!$A$4:$K$4,0))))</f>
        <v>19.996000289917</v>
      </c>
      <c r="AY152" s="895" t="n">
        <f aca="false">AX152*K152</f>
        <v>26.0428513027045</v>
      </c>
      <c r="AZ152" s="893" t="n">
        <f aca="false">IF(AY152&gt;($CP152+$BF$4),1,0)</f>
        <v>0</v>
      </c>
      <c r="BA152" s="188"/>
      <c r="BB152" s="892" t="n">
        <f aca="false">IF(Tables!$E$30="New York",INDEX('NY Curve'!$A$4:$M$256,MATCH('Monthly Table'!$B152,'NY Curve'!$A$4:$A$256,0),MATCH("NY Sunday Super Peak",'NY Curve'!$A$4:$M$4,0)),IF(Tables!$E$30="Michigan",INDEX('Michigan Curve'!$A$4:$L$256,MATCH('Monthly Table'!$B152,'Michigan Curve'!$A$4:$A$256,0),MATCH("Michigan Sunday Super Peak",'Michigan Curve'!$A$4:$L$4,0))))</f>
        <v>18.9965000152588</v>
      </c>
      <c r="BC152" s="894" t="n">
        <f aca="false">BB152*K152</f>
        <v>24.7410991196411</v>
      </c>
      <c r="BD152" s="893" t="n">
        <f aca="false">IF(BC152&gt;($CP152+$BF$4),1,0)</f>
        <v>0</v>
      </c>
      <c r="BE152" s="188"/>
      <c r="BF152" s="896" t="n">
        <f aca="false">B152</f>
        <v>41183</v>
      </c>
      <c r="BG152" s="897" t="n">
        <f aca="false">IF($AN152=1,$E152*$BF$5,0)</f>
        <v>0</v>
      </c>
      <c r="BH152" s="976" t="n">
        <f aca="false">IF(Tables!$B$36="Combined Cycle",(BF152-BF151)*24*Assumptions!$B$21,0)</f>
        <v>0</v>
      </c>
      <c r="BI152" s="714" t="n">
        <f aca="false">IF($AN152=1,$E152*$BF$5,0)</f>
        <v>0</v>
      </c>
      <c r="BJ152" s="898" t="n">
        <f aca="false">IF('Monthly Table'!D152&lt;=Tables!$B$21,IF($BJ$10=$BG$10,BG152,IF($BJ$10=$BH$10,BH152,IF($BJ$10=$BI$10,BI152,0))),0)</f>
        <v>0</v>
      </c>
      <c r="BK152" s="288"/>
      <c r="BL152" s="898" t="n">
        <f aca="false">IF($AW152=1,$F152*$BF$5,0)</f>
        <v>0</v>
      </c>
      <c r="BM152" s="898" t="n">
        <f aca="false">IF($BD152=1,($G152+H152)*$BF$5,0)</f>
        <v>0</v>
      </c>
      <c r="BO152" s="898" t="n">
        <f aca="false">IF(AS152=1,BJ152,0)</f>
        <v>0</v>
      </c>
      <c r="BP152" s="898" t="n">
        <f aca="false">IF(AZ152=1,F152*$BF$5,0)</f>
        <v>0</v>
      </c>
      <c r="BR152" s="899" t="n">
        <f aca="false">IF(BJ152&gt;0,INDEX(OperationalDetail,MATCH("Capacity Degradation",ODColumn,0),MATCH('Monthly Table'!C152,ODRow,0)),0)</f>
        <v>0</v>
      </c>
      <c r="BS152" s="900" t="n">
        <f aca="false">BJ152*(1-BR152)*Tables!$C$36</f>
        <v>0</v>
      </c>
      <c r="BT152" s="883" t="n">
        <f aca="false">BS152*AL152/1000</f>
        <v>0</v>
      </c>
      <c r="BU152" s="883" t="n">
        <f aca="false">BT152*K152</f>
        <v>0</v>
      </c>
      <c r="BV152" s="188"/>
      <c r="BW152" s="901" t="n">
        <f aca="false">$BO152*(1-$BR152)*Tables!$C$36</f>
        <v>0</v>
      </c>
      <c r="BX152" s="902" t="n">
        <f aca="false">(BW152*AQ152)/1000</f>
        <v>0</v>
      </c>
      <c r="BY152" s="883" t="n">
        <f aca="false">BX152*K152</f>
        <v>0</v>
      </c>
      <c r="BZ152" s="188"/>
      <c r="CA152" s="901" t="n">
        <f aca="false">$BL152*(1-$BR152)*Tables!$C$36</f>
        <v>0</v>
      </c>
      <c r="CB152" s="902" t="n">
        <f aca="false">(CA152*AU152)/1000</f>
        <v>0</v>
      </c>
      <c r="CC152" s="883" t="n">
        <f aca="false">CB152*K152</f>
        <v>0</v>
      </c>
      <c r="CD152" s="901" t="n">
        <f aca="false">$BP152*(1-$BR152)*Tables!$C$36</f>
        <v>0</v>
      </c>
      <c r="CE152" s="902" t="n">
        <f aca="false">(CD152*AX152)/1000</f>
        <v>0</v>
      </c>
      <c r="CF152" s="883" t="n">
        <f aca="false">CE152*K152</f>
        <v>0</v>
      </c>
      <c r="CH152" s="901" t="n">
        <f aca="false">$BM152*(1-$BR152)*Tables!$C$36</f>
        <v>0</v>
      </c>
      <c r="CI152" s="902" t="n">
        <f aca="false">(CH152*BB152)/1000</f>
        <v>0</v>
      </c>
      <c r="CJ152" s="883" t="n">
        <f aca="false">CI152*K152</f>
        <v>0</v>
      </c>
      <c r="CK152" s="292"/>
      <c r="CL152" s="292" t="n">
        <f aca="false">C152-1</f>
        <v>2011</v>
      </c>
      <c r="CM152" s="903" t="n">
        <f aca="false">INDEX(OperationalDetail,MATCH("Degraded Heat Rate",ODColumn,0),MATCH('Monthly Table'!CL152,ODRow,0))/1000</f>
        <v>12.1404764</v>
      </c>
      <c r="CN152" s="904" t="n">
        <f aca="false">S152*CM152</f>
        <v>60.1672583329312</v>
      </c>
      <c r="CO152" s="905" t="n">
        <f aca="false">IF(A152="January",(CO151*(1+Assumptions!$E$32)),CO151)</f>
        <v>8.37490307598073</v>
      </c>
      <c r="CP152" s="906" t="n">
        <f aca="false">CN152+CO152</f>
        <v>68.542161408912</v>
      </c>
      <c r="CQ152" s="292"/>
      <c r="CR152" s="856" t="str">
        <f aca="false">IF(BJ152=0,"",C152)</f>
        <v/>
      </c>
      <c r="CS152" s="856" t="str">
        <f aca="false">IF(BO152=0,"",$C152)</f>
        <v/>
      </c>
      <c r="CT152" s="856" t="str">
        <f aca="false">IF(BL152=0,"",$C152)</f>
        <v/>
      </c>
      <c r="CU152" s="856" t="str">
        <f aca="false">IF(BP152=0,"",$C152)</f>
        <v/>
      </c>
      <c r="CV152" s="856" t="str">
        <f aca="false">IF(BD152=0,"",$C152)</f>
        <v/>
      </c>
      <c r="CW152" s="907" t="n">
        <f aca="false">YEAR(BF152)</f>
        <v>2012</v>
      </c>
      <c r="CX152" s="908" t="n">
        <f aca="false">INDEX('NY Curve'!$A$4:$G$256,MATCH('Monthly Table'!B152,'NY Curve'!$A$4:$A$256,0),MATCH("New York 5 X 16",'NY Curve'!$A$4:$G$4,0))</f>
        <v>26.8</v>
      </c>
      <c r="CY152" s="909" t="n">
        <f aca="false">K152</f>
        <v>1.30240302686116</v>
      </c>
      <c r="CZ152" s="910" t="n">
        <f aca="false">CX152*CY152</f>
        <v>34.9044011198791</v>
      </c>
      <c r="DB152" s="911"/>
      <c r="DC152" s="911"/>
    </row>
    <row r="153" customFormat="false" ht="18.75" hidden="false" customHeight="true" outlineLevel="0" collapsed="false">
      <c r="A153" s="49" t="s">
        <v>820</v>
      </c>
      <c r="B153" s="863" t="n">
        <v>41214</v>
      </c>
      <c r="C153" s="288" t="n">
        <f aca="false">YEAR(B153)</f>
        <v>2012</v>
      </c>
      <c r="D153" s="864" t="n">
        <f aca="false">IF(A153="January",D152+1,D152)</f>
        <v>12</v>
      </c>
      <c r="E153" s="865" t="n">
        <v>21</v>
      </c>
      <c r="F153" s="866" t="n">
        <v>4</v>
      </c>
      <c r="G153" s="866" t="n">
        <v>4</v>
      </c>
      <c r="H153" s="866" t="n">
        <v>1</v>
      </c>
      <c r="I153" s="867" t="n">
        <f aca="false">SUM(E153:H153)</f>
        <v>30</v>
      </c>
      <c r="J153" s="868"/>
      <c r="K153" s="869" t="n">
        <f aca="false">INDEX(FX!$A$3:$C$362,MATCH(B153,FX!$A$3:$A$362,0),MATCH("Monthly Curve",FX!$A$2:$C$2,0))</f>
        <v>1.30157675881096</v>
      </c>
      <c r="L153" s="869"/>
      <c r="M153" s="987" t="n">
        <v>3.4095</v>
      </c>
      <c r="N153" s="988" t="n">
        <v>0.23</v>
      </c>
      <c r="O153" s="986" t="n">
        <v>0.1</v>
      </c>
      <c r="P153" s="872" t="n">
        <f aca="false">N153+O153</f>
        <v>0.33</v>
      </c>
      <c r="Q153" s="873" t="n">
        <f aca="false">SUM(M153:O153)</f>
        <v>3.7395</v>
      </c>
      <c r="R153" s="974" t="n">
        <f aca="false">IF(A153="January",(R152+R152*Assumptions!$E$32),R152)</f>
        <v>0.373417300196882</v>
      </c>
      <c r="S153" s="875" t="n">
        <f aca="false">(Q153*K153)+R153</f>
        <v>5.24066358977047</v>
      </c>
      <c r="T153" s="869"/>
      <c r="U153" s="984"/>
      <c r="V153" s="978"/>
      <c r="W153" s="978"/>
      <c r="X153" s="971"/>
      <c r="Y153" s="975" t="n">
        <f aca="false">Tables!$D$36</f>
        <v>312</v>
      </c>
      <c r="Z153" s="879" t="n">
        <f aca="false">IF($Z$10=$V$10,V153,IF($Z$10=$W$10,W153,IF($Z$10=$X$10,X153,0)))</f>
        <v>0</v>
      </c>
      <c r="AA153" s="880" t="n">
        <f aca="false">Y153*Z153</f>
        <v>0</v>
      </c>
      <c r="AB153" s="881" t="n">
        <f aca="false">AA153*K153</f>
        <v>0</v>
      </c>
      <c r="AC153" s="188"/>
      <c r="AD153" s="882" t="n">
        <f aca="false">IF(Tables!$E$30="Michigan",INDEX('Michigan Curve'!$A$4:$S$256,MATCH('Monthly Table'!B153,'Michigan Curve'!$A$4:$A$256,0),MATCH("Michigan Selected Option Value US$/month",'Michigan Curve'!$A$4:$S$4,0)),INDEX('NY Curve'!$A$4:$T$256,MATCH('Monthly Table'!B153,'NY Curve'!$A$4:$A$256,0),MATCH("New York Selected Option Value US$/month",'NY Curve'!$A$4:$T$4,0)))</f>
        <v>15499.991393449</v>
      </c>
      <c r="AE153" s="883" t="n">
        <f aca="false">AD153*K153</f>
        <v>20174.4285594832</v>
      </c>
      <c r="AF153" s="188"/>
      <c r="AG153" s="884"/>
      <c r="AH153" s="49"/>
      <c r="AI153" s="885" t="n">
        <f aca="false">Assumptions!$B$50</f>
        <v>65</v>
      </c>
      <c r="AJ153" s="916"/>
      <c r="AK153" s="887" t="n">
        <f aca="false">IF(Tables!$E$30="Custom",'Monthly Table'!AI153,IF(Tables!$E$30="New York",INDEX('NY Curve'!$A$4:$G$256,MATCH('Monthly Table'!B153,'NY Curve'!$A$4:$A$256,0),MATCH("Super Peak Curve",'NY Curve'!$A$4:$G$4,0)),IF(Tables!$E$30="New York Flat",INDEX('NY Curve'!$A$4:$G$256,MATCH('Monthly Table'!B153,'NY Curve'!$A$4:$A$256,0),MATCH("Flat NY West",'NY Curve'!$A$4:$G$4,0)),INDEX('Michigan Curve'!$A$4:$F$256,MATCH('Monthly Table'!B153,'Michigan Curve'!$A$4:$A$256,0),MATCH("Michigan Super Peak Curve US$/MWhr",'Michigan Curve'!$A$4:$F$4,0)))))</f>
        <v>31.0283953857422</v>
      </c>
      <c r="AL153" s="888" t="n">
        <f aca="false">IF(D153&lt;=Tables!$B$21,IF($AL$10=$AI$10,AI153,IF($AL$10=$AJ$10,AJ153,IF($AL$10=$AK$10,AK153,0))),0)</f>
        <v>31.0283953857422</v>
      </c>
      <c r="AM153" s="889" t="n">
        <f aca="false">+AL153*K153</f>
        <v>40.3858382972793</v>
      </c>
      <c r="AN153" s="890" t="n">
        <f aca="false">IF((AL153*K153)&gt;(CP153+$BF$4),1,0)</f>
        <v>0</v>
      </c>
      <c r="AO153" s="891"/>
      <c r="AP153" s="894"/>
      <c r="AQ153" s="892" t="n">
        <f aca="false">IF(Tables!$E$30="New York",INDEX('NY Curve'!$A$4:$L$256,MATCH('Monthly Table'!B153,'NY Curve'!$A$4:$A$256,0),MATCH("New York Shoulder Hour Curve Mon-Fri",'NY Curve'!$A$4:$L$4,0)),IF(Tables!$E$30="Michigan",INDEX('Michigan Curve'!$A$4:$K$256,MATCH('Monthly Table'!B153,'Michigan Curve'!$A$4:$A$256,0),MATCH("Michigan Shoulder Hour Curve Mon-Fri",'Michigan Curve'!$A$4:$K$4,0))))</f>
        <v>26.4315960693359</v>
      </c>
      <c r="AR153" s="889" t="n">
        <f aca="false">AQ153*K153</f>
        <v>34.4027511421268</v>
      </c>
      <c r="AS153" s="893" t="n">
        <f aca="false">IF(AR153&gt;($CP153+$BF$4),1,0)</f>
        <v>0</v>
      </c>
      <c r="AT153" s="188"/>
      <c r="AU153" s="892" t="n">
        <f aca="false">IF(Tables!$E$30="New York",INDEX('NY Curve'!$A$4:$L$256,MATCH('Monthly Table'!$B153,'NY Curve'!$A$4:$A$256,0),MATCH("New York Saturday Super Peak",'NY Curve'!$A$4:$L$4,0)),IF(Tables!$E$30="Michigan",INDEX('Michigan Curve'!$A$4:$K$256,MATCH('Monthly Table'!$B153,'Michigan Curve'!$A$4:$A$256,0),MATCH("Michigan Saturday Super Peak",'Michigan Curve'!$A$4:$K$4,0))))</f>
        <v>21.6</v>
      </c>
      <c r="AV153" s="894" t="n">
        <f aca="false">AU153*K153</f>
        <v>28.1140579903167</v>
      </c>
      <c r="AW153" s="893" t="n">
        <f aca="false">IF(AV153&gt;($CP153+$BF$4),1,0)</f>
        <v>0</v>
      </c>
      <c r="AX153" s="892" t="n">
        <f aca="false">IF(Tables!$E$30="New York",INDEX('NY Curve'!$A$4:$L$256,MATCH('Monthly Table'!$B153,'NY Curve'!$A$4:$A$256,0),MATCH("New York Saturday Shoulder Peak",'NY Curve'!$A$4:$L$4,0)),IF(Tables!$E$30="Michigan",INDEX('Michigan Curve'!$A$4:$K$256,MATCH('Monthly Table'!$B153,'Michigan Curve'!$A$4:$A$256,0),MATCH("Michigan Saturday Shoulder Peak",'Michigan Curve'!$A$4:$K$4,0))))</f>
        <v>18.4</v>
      </c>
      <c r="AY153" s="895" t="n">
        <f aca="false">AX153*K153</f>
        <v>23.9490123621217</v>
      </c>
      <c r="AZ153" s="893" t="n">
        <f aca="false">IF(AY153&gt;($CP153+$BF$4),1,0)</f>
        <v>0</v>
      </c>
      <c r="BA153" s="188"/>
      <c r="BB153" s="892" t="n">
        <f aca="false">IF(Tables!$E$30="New York",INDEX('NY Curve'!$A$4:$M$256,MATCH('Monthly Table'!$B153,'NY Curve'!$A$4:$A$256,0),MATCH("NY Sunday Super Peak",'NY Curve'!$A$4:$M$4,0)),IF(Tables!$E$30="Michigan",INDEX('Michigan Curve'!$A$4:$L$256,MATCH('Monthly Table'!$B153,'Michigan Curve'!$A$4:$A$256,0),MATCH("Michigan Sunday Super Peak",'Michigan Curve'!$A$4:$L$4,0))))</f>
        <v>20.52</v>
      </c>
      <c r="BC153" s="894" t="n">
        <f aca="false">BB153*K153</f>
        <v>26.7083550908009</v>
      </c>
      <c r="BD153" s="893" t="n">
        <f aca="false">IF(BC153&gt;($CP153+$BF$4),1,0)</f>
        <v>0</v>
      </c>
      <c r="BE153" s="188"/>
      <c r="BF153" s="896" t="n">
        <f aca="false">B153</f>
        <v>41214</v>
      </c>
      <c r="BG153" s="897" t="n">
        <f aca="false">IF($AN153=1,$E153*$BF$5,0)</f>
        <v>0</v>
      </c>
      <c r="BH153" s="976" t="n">
        <f aca="false">IF(Tables!$B$36="Combined Cycle",(BF153-BF152)*24*Assumptions!$B$21,0)</f>
        <v>0</v>
      </c>
      <c r="BI153" s="714" t="n">
        <f aca="false">IF($AN153=1,$E153*$BF$5,0)</f>
        <v>0</v>
      </c>
      <c r="BJ153" s="898" t="n">
        <f aca="false">IF('Monthly Table'!D153&lt;=Tables!$B$21,IF($BJ$10=$BG$10,BG153,IF($BJ$10=$BH$10,BH153,IF($BJ$10=$BI$10,BI153,0))),0)</f>
        <v>0</v>
      </c>
      <c r="BK153" s="288"/>
      <c r="BL153" s="898" t="n">
        <f aca="false">IF($AW153=1,$F153*$BF$5,0)</f>
        <v>0</v>
      </c>
      <c r="BM153" s="898" t="n">
        <f aca="false">IF($BD153=1,($G153+H153)*$BF$5,0)</f>
        <v>0</v>
      </c>
      <c r="BO153" s="898" t="n">
        <f aca="false">IF(AS153=1,BJ153,0)</f>
        <v>0</v>
      </c>
      <c r="BP153" s="898" t="n">
        <f aca="false">IF(AZ153=1,F153*$BF$5,0)</f>
        <v>0</v>
      </c>
      <c r="BR153" s="899" t="n">
        <f aca="false">IF(BJ153&gt;0,INDEX(OperationalDetail,MATCH("Capacity Degradation",ODColumn,0),MATCH('Monthly Table'!C153,ODRow,0)),0)</f>
        <v>0</v>
      </c>
      <c r="BS153" s="900" t="n">
        <f aca="false">BJ153*(1-BR153)*Tables!$C$36</f>
        <v>0</v>
      </c>
      <c r="BT153" s="883" t="n">
        <f aca="false">BS153*AL153/1000</f>
        <v>0</v>
      </c>
      <c r="BU153" s="883" t="n">
        <f aca="false">BT153*K153</f>
        <v>0</v>
      </c>
      <c r="BV153" s="188"/>
      <c r="BW153" s="901" t="n">
        <f aca="false">$BO153*(1-$BR153)*Tables!$C$36</f>
        <v>0</v>
      </c>
      <c r="BX153" s="902" t="n">
        <f aca="false">(BW153*AQ153)/1000</f>
        <v>0</v>
      </c>
      <c r="BY153" s="883" t="n">
        <f aca="false">BX153*K153</f>
        <v>0</v>
      </c>
      <c r="BZ153" s="188"/>
      <c r="CA153" s="901" t="n">
        <f aca="false">$BL153*(1-$BR153)*Tables!$C$36</f>
        <v>0</v>
      </c>
      <c r="CB153" s="902" t="n">
        <f aca="false">(CA153*AU153)/1000</f>
        <v>0</v>
      </c>
      <c r="CC153" s="883" t="n">
        <f aca="false">CB153*K153</f>
        <v>0</v>
      </c>
      <c r="CD153" s="901" t="n">
        <f aca="false">$BP153*(1-$BR153)*Tables!$C$36</f>
        <v>0</v>
      </c>
      <c r="CE153" s="902" t="n">
        <f aca="false">(CD153*AX153)/1000</f>
        <v>0</v>
      </c>
      <c r="CF153" s="883" t="n">
        <f aca="false">CE153*K153</f>
        <v>0</v>
      </c>
      <c r="CH153" s="901" t="n">
        <f aca="false">$BM153*(1-$BR153)*Tables!$C$36</f>
        <v>0</v>
      </c>
      <c r="CI153" s="902" t="n">
        <f aca="false">(CH153*BB153)/1000</f>
        <v>0</v>
      </c>
      <c r="CJ153" s="883" t="n">
        <f aca="false">CI153*K153</f>
        <v>0</v>
      </c>
      <c r="CK153" s="292"/>
      <c r="CL153" s="292" t="n">
        <f aca="false">C153-1</f>
        <v>2011</v>
      </c>
      <c r="CM153" s="903" t="n">
        <f aca="false">INDEX(OperationalDetail,MATCH("Degraded Heat Rate",ODColumn,0),MATCH('Monthly Table'!CL153,ODRow,0))/1000</f>
        <v>12.1404764</v>
      </c>
      <c r="CN153" s="904" t="n">
        <f aca="false">S153*CM153</f>
        <v>63.6241526319476</v>
      </c>
      <c r="CO153" s="905" t="n">
        <f aca="false">IF(A153="January",(CO152*(1+Assumptions!$E$32)),CO152)</f>
        <v>8.37490307598073</v>
      </c>
      <c r="CP153" s="906" t="n">
        <f aca="false">CN153+CO153</f>
        <v>71.9990557079284</v>
      </c>
      <c r="CQ153" s="292"/>
      <c r="CR153" s="856" t="str">
        <f aca="false">IF(BJ153=0,"",C153)</f>
        <v/>
      </c>
      <c r="CS153" s="856" t="str">
        <f aca="false">IF(BO153=0,"",$C153)</f>
        <v/>
      </c>
      <c r="CT153" s="856" t="str">
        <f aca="false">IF(BL153=0,"",$C153)</f>
        <v/>
      </c>
      <c r="CU153" s="856" t="str">
        <f aca="false">IF(BP153=0,"",$C153)</f>
        <v/>
      </c>
      <c r="CV153" s="856" t="str">
        <f aca="false">IF(BD153=0,"",$C153)</f>
        <v/>
      </c>
      <c r="CW153" s="907" t="n">
        <f aca="false">YEAR(BF153)</f>
        <v>2012</v>
      </c>
      <c r="CX153" s="908" t="n">
        <f aca="false">INDEX('NY Curve'!$A$4:$G$256,MATCH('Monthly Table'!B153,'NY Curve'!$A$4:$A$256,0),MATCH("New York 5 X 16",'NY Curve'!$A$4:$G$4,0))</f>
        <v>27.3</v>
      </c>
      <c r="CY153" s="909" t="n">
        <f aca="false">K153</f>
        <v>1.30157675881096</v>
      </c>
      <c r="CZ153" s="910" t="n">
        <f aca="false">CX153*CY153</f>
        <v>35.5330455155392</v>
      </c>
      <c r="DB153" s="911"/>
      <c r="DC153" s="911"/>
    </row>
    <row r="154" customFormat="false" ht="18.75" hidden="false" customHeight="true" outlineLevel="0" collapsed="false">
      <c r="A154" s="110" t="s">
        <v>821</v>
      </c>
      <c r="B154" s="918" t="n">
        <v>41244</v>
      </c>
      <c r="C154" s="917" t="n">
        <f aca="false">YEAR(B154)</f>
        <v>2012</v>
      </c>
      <c r="D154" s="919" t="n">
        <f aca="false">IF(A154="January",D153+1,D153)</f>
        <v>12</v>
      </c>
      <c r="E154" s="920" t="n">
        <v>20</v>
      </c>
      <c r="F154" s="921" t="n">
        <v>5</v>
      </c>
      <c r="G154" s="921" t="n">
        <v>5</v>
      </c>
      <c r="H154" s="921" t="n">
        <v>1</v>
      </c>
      <c r="I154" s="922" t="n">
        <f aca="false">SUM(E154:H154)</f>
        <v>31</v>
      </c>
      <c r="J154" s="923"/>
      <c r="K154" s="924" t="n">
        <f aca="false">INDEX(FX!$A$3:$C$362,MATCH(B154,FX!$A$3:$A$362,0),MATCH("Monthly Curve",FX!$A$2:$C$2,0))</f>
        <v>1.30077942966465</v>
      </c>
      <c r="L154" s="924"/>
      <c r="M154" s="989" t="n">
        <v>3.5355</v>
      </c>
      <c r="N154" s="990" t="n">
        <v>0.27</v>
      </c>
      <c r="O154" s="991" t="n">
        <v>0.1</v>
      </c>
      <c r="P154" s="928" t="n">
        <f aca="false">N154+O154</f>
        <v>0.37</v>
      </c>
      <c r="Q154" s="929" t="n">
        <f aca="false">SUM(M154:O154)</f>
        <v>3.9055</v>
      </c>
      <c r="R154" s="979" t="n">
        <f aca="false">IF(A154="January",(R153+R153*Assumptions!$E$32),R153)</f>
        <v>0.373417300196882</v>
      </c>
      <c r="S154" s="931" t="n">
        <f aca="false">(Q154*K154)+R154</f>
        <v>5.45361136275217</v>
      </c>
      <c r="T154" s="924"/>
      <c r="U154" s="983"/>
      <c r="V154" s="980"/>
      <c r="W154" s="980"/>
      <c r="X154" s="972"/>
      <c r="Y154" s="981" t="n">
        <f aca="false">Tables!$D$36</f>
        <v>312</v>
      </c>
      <c r="Z154" s="935" t="n">
        <f aca="false">IF($Z$10=$V$10,V154,IF($Z$10=$W$10,W154,IF($Z$10=$X$10,X154,0)))</f>
        <v>0</v>
      </c>
      <c r="AA154" s="936" t="n">
        <f aca="false">Y154*Z154</f>
        <v>0</v>
      </c>
      <c r="AB154" s="937" t="n">
        <f aca="false">AA154*K154</f>
        <v>0</v>
      </c>
      <c r="AC154" s="938"/>
      <c r="AD154" s="882" t="n">
        <f aca="false">IF(Tables!$E$30="Michigan",INDEX('Michigan Curve'!$A$4:$S$256,MATCH('Monthly Table'!B154,'Michigan Curve'!$A$4:$A$256,0),MATCH("Michigan Selected Option Value US$/month",'Michigan Curve'!$A$4:$S$4,0)),INDEX('NY Curve'!$A$4:$T$256,MATCH('Monthly Table'!B154,'NY Curve'!$A$4:$A$256,0),MATCH("New York Selected Option Value US$/month",'NY Curve'!$A$4:$T$4,0)))</f>
        <v>8239.73945687808</v>
      </c>
      <c r="AE154" s="883" t="n">
        <f aca="false">AD154*K154</f>
        <v>10718.0835913032</v>
      </c>
      <c r="AF154" s="938"/>
      <c r="AG154" s="939"/>
      <c r="AH154" s="110"/>
      <c r="AI154" s="885" t="n">
        <f aca="false">Assumptions!$B$50</f>
        <v>65</v>
      </c>
      <c r="AJ154" s="940"/>
      <c r="AK154" s="887" t="n">
        <f aca="false">IF(Tables!$E$30="Custom",'Monthly Table'!AI154,IF(Tables!$E$30="New York",INDEX('NY Curve'!$A$4:$G$256,MATCH('Monthly Table'!B154,'NY Curve'!$A$4:$A$256,0),MATCH("Super Peak Curve",'NY Curve'!$A$4:$G$4,0)),IF(Tables!$E$30="New York Flat",INDEX('NY Curve'!$A$4:$G$256,MATCH('Monthly Table'!B154,'NY Curve'!$A$4:$A$256,0),MATCH("Flat NY West",'NY Curve'!$A$4:$G$4,0)),INDEX('Michigan Curve'!$A$4:$F$256,MATCH('Monthly Table'!B154,'Michigan Curve'!$A$4:$A$256,0),MATCH("Michigan Super Peak Curve US$/MWhr",'Michigan Curve'!$A$4:$F$4,0)))))</f>
        <v>29.7839949417114</v>
      </c>
      <c r="AL154" s="941" t="n">
        <f aca="false">IF(D154&lt;=Tables!$B$21,IF($AL$10=$AI$10,AI154,IF($AL$10=$AJ$10,AJ154,IF($AL$10=$AK$10,AK154,0))),0)</f>
        <v>29.7839949417114</v>
      </c>
      <c r="AM154" s="942" t="n">
        <f aca="false">+AL154*K154</f>
        <v>38.7424079534142</v>
      </c>
      <c r="AN154" s="943" t="n">
        <f aca="false">IF((AL154*K154)&gt;(CP154+$BF$4),1,0)</f>
        <v>0</v>
      </c>
      <c r="AO154" s="944"/>
      <c r="AP154" s="945"/>
      <c r="AQ154" s="892" t="n">
        <f aca="false">IF(Tables!$E$30="New York",INDEX('NY Curve'!$A$4:$L$256,MATCH('Monthly Table'!B154,'NY Curve'!$A$4:$A$256,0),MATCH("New York Shoulder Hour Curve Mon-Fri",'NY Curve'!$A$4:$L$4,0)),IF(Tables!$E$30="Michigan",INDEX('Michigan Curve'!$A$4:$K$256,MATCH('Monthly Table'!B154,'Michigan Curve'!$A$4:$A$256,0),MATCH("Michigan Shoulder Hour Curve Mon-Fri",'Michigan Curve'!$A$4:$K$4,0))))</f>
        <v>28.6159951400757</v>
      </c>
      <c r="AR154" s="942" t="n">
        <f aca="false">AQ154*K154</f>
        <v>37.223097837594</v>
      </c>
      <c r="AS154" s="946" t="n">
        <f aca="false">IF(AR154&gt;($CP154+$BF$4),1,0)</f>
        <v>0</v>
      </c>
      <c r="AT154" s="938"/>
      <c r="AU154" s="892" t="n">
        <f aca="false">IF(Tables!$E$30="New York",INDEX('NY Curve'!$A$4:$L$256,MATCH('Monthly Table'!$B154,'NY Curve'!$A$4:$A$256,0),MATCH("New York Saturday Super Peak",'NY Curve'!$A$4:$L$4,0)),IF(Tables!$E$30="Michigan",INDEX('Michigan Curve'!$A$4:$K$256,MATCH('Monthly Table'!$B154,'Michigan Curve'!$A$4:$A$256,0),MATCH("Michigan Saturday Super Peak",'Michigan Curve'!$A$4:$K$4,0))))</f>
        <v>20.4</v>
      </c>
      <c r="AV154" s="945" t="n">
        <f aca="false">AU154*K154</f>
        <v>26.5359003651589</v>
      </c>
      <c r="AW154" s="946" t="n">
        <f aca="false">IF(AV154&gt;($CP154+$BF$4),1,0)</f>
        <v>0</v>
      </c>
      <c r="AX154" s="892" t="n">
        <f aca="false">IF(Tables!$E$30="New York",INDEX('NY Curve'!$A$4:$L$256,MATCH('Monthly Table'!$B154,'NY Curve'!$A$4:$A$256,0),MATCH("New York Saturday Shoulder Peak",'NY Curve'!$A$4:$L$4,0)),IF(Tables!$E$30="Michigan",INDEX('Michigan Curve'!$A$4:$K$256,MATCH('Monthly Table'!$B154,'Michigan Curve'!$A$4:$A$256,0),MATCH("Michigan Saturday Shoulder Peak",'Michigan Curve'!$A$4:$K$4,0))))</f>
        <v>19.6</v>
      </c>
      <c r="AY154" s="947" t="n">
        <f aca="false">AX154*K154</f>
        <v>25.4952768214271</v>
      </c>
      <c r="AZ154" s="946" t="n">
        <f aca="false">IF(AY154&gt;($CP154+$BF$4),1,0)</f>
        <v>0</v>
      </c>
      <c r="BA154" s="938"/>
      <c r="BB154" s="892" t="n">
        <f aca="false">IF(Tables!$E$30="New York",INDEX('NY Curve'!$A$4:$M$256,MATCH('Monthly Table'!$B154,'NY Curve'!$A$4:$A$256,0),MATCH("NY Sunday Super Peak",'NY Curve'!$A$4:$M$4,0)),IF(Tables!$E$30="Michigan",INDEX('Michigan Curve'!$A$4:$L$256,MATCH('Monthly Table'!$B154,'Michigan Curve'!$A$4:$A$256,0),MATCH("Michigan Sunday Super Peak",'Michigan Curve'!$A$4:$L$4,0))))</f>
        <v>19.38</v>
      </c>
      <c r="BC154" s="894" t="n">
        <f aca="false">BB154*K154</f>
        <v>25.2091053469009</v>
      </c>
      <c r="BD154" s="946" t="n">
        <f aca="false">IF(BC154&gt;($CP154+$BF$4),1,0)</f>
        <v>0</v>
      </c>
      <c r="BE154" s="938"/>
      <c r="BF154" s="948" t="n">
        <f aca="false">B154</f>
        <v>41244</v>
      </c>
      <c r="BG154" s="949" t="n">
        <f aca="false">IF($AN154=1,$E154*$BF$5,0)</f>
        <v>0</v>
      </c>
      <c r="BH154" s="982" t="n">
        <f aca="false">IF(Tables!$B$36="Combined Cycle",(BF154-BF153)*24*Assumptions!$B$21,0)</f>
        <v>0</v>
      </c>
      <c r="BI154" s="927" t="n">
        <f aca="false">IF($AN154=1,$E154*$BF$5,0)</f>
        <v>0</v>
      </c>
      <c r="BJ154" s="950" t="n">
        <f aca="false">IF('Monthly Table'!D154&lt;=Tables!$B$21,IF($BJ$10=$BG$10,BG154,IF($BJ$10=$BH$10,BH154,IF($BJ$10=$BI$10,BI154,0))),0)</f>
        <v>0</v>
      </c>
      <c r="BK154" s="917"/>
      <c r="BL154" s="950" t="n">
        <f aca="false">IF($AW154=1,$F154*$BF$5,0)</f>
        <v>0</v>
      </c>
      <c r="BM154" s="898" t="n">
        <f aca="false">IF($BD154=1,($G154+H154)*$BF$5,0)</f>
        <v>0</v>
      </c>
      <c r="BN154" s="917"/>
      <c r="BO154" s="950" t="n">
        <f aca="false">IF(AS154=1,BJ154,0)</f>
        <v>0</v>
      </c>
      <c r="BP154" s="950" t="n">
        <f aca="false">IF(AZ154=1,F154*$BF$5,0)</f>
        <v>0</v>
      </c>
      <c r="BQ154" s="917"/>
      <c r="BR154" s="951" t="n">
        <f aca="false">IF(BJ154&gt;0,INDEX(OperationalDetail,MATCH("Capacity Degradation",ODColumn,0),MATCH('Monthly Table'!C154,ODRow,0)),0)</f>
        <v>0</v>
      </c>
      <c r="BS154" s="952" t="n">
        <f aca="false">BJ154*(1-BR154)*Tables!$C$36</f>
        <v>0</v>
      </c>
      <c r="BT154" s="953" t="n">
        <f aca="false">BS154*AL154/1000</f>
        <v>0</v>
      </c>
      <c r="BU154" s="953" t="n">
        <f aca="false">BT154*K154</f>
        <v>0</v>
      </c>
      <c r="BV154" s="938"/>
      <c r="BW154" s="954" t="n">
        <f aca="false">$BO154*(1-$BR154)*Tables!$C$36</f>
        <v>0</v>
      </c>
      <c r="BX154" s="955" t="n">
        <f aca="false">(BW154*AQ154)/1000</f>
        <v>0</v>
      </c>
      <c r="BY154" s="953" t="n">
        <f aca="false">BX154*K154</f>
        <v>0</v>
      </c>
      <c r="BZ154" s="938"/>
      <c r="CA154" s="954" t="n">
        <f aca="false">$BL154*(1-$BR154)*Tables!$C$36</f>
        <v>0</v>
      </c>
      <c r="CB154" s="955" t="n">
        <f aca="false">(CA154*AU154)/1000</f>
        <v>0</v>
      </c>
      <c r="CC154" s="953" t="n">
        <f aca="false">CB154*K154</f>
        <v>0</v>
      </c>
      <c r="CD154" s="954" t="n">
        <f aca="false">$BP154*(1-$BR154)*Tables!$C$36</f>
        <v>0</v>
      </c>
      <c r="CE154" s="955" t="n">
        <f aca="false">(CD154*AX154)/1000</f>
        <v>0</v>
      </c>
      <c r="CF154" s="953" t="n">
        <f aca="false">CE154*K154</f>
        <v>0</v>
      </c>
      <c r="CG154" s="110"/>
      <c r="CH154" s="901" t="n">
        <f aca="false">$BM154*(1-$BR154)*Tables!$C$36</f>
        <v>0</v>
      </c>
      <c r="CI154" s="902" t="n">
        <f aca="false">(CH154*BB154)/1000</f>
        <v>0</v>
      </c>
      <c r="CJ154" s="883" t="n">
        <f aca="false">CI154*K154</f>
        <v>0</v>
      </c>
      <c r="CK154" s="956"/>
      <c r="CL154" s="292" t="n">
        <f aca="false">C154-1</f>
        <v>2011</v>
      </c>
      <c r="CM154" s="903" t="n">
        <f aca="false">INDEX(OperationalDetail,MATCH("Degraded Heat Rate",ODColumn,0),MATCH('Monthly Table'!CL154,ODRow,0))/1000</f>
        <v>12.1404764</v>
      </c>
      <c r="CN154" s="958" t="n">
        <f aca="false">S154*CM154</f>
        <v>66.2094400442646</v>
      </c>
      <c r="CO154" s="959" t="n">
        <f aca="false">IF(A154="January",(CO153*(1+Assumptions!$E$32)),CO153)</f>
        <v>8.37490307598073</v>
      </c>
      <c r="CP154" s="960" t="n">
        <f aca="false">CN154+CO154</f>
        <v>74.5843431202453</v>
      </c>
      <c r="CQ154" s="956"/>
      <c r="CR154" s="961" t="str">
        <f aca="false">IF(BJ154=0,"",C154)</f>
        <v/>
      </c>
      <c r="CS154" s="961" t="str">
        <f aca="false">IF(BO154=0,"",$C154)</f>
        <v/>
      </c>
      <c r="CT154" s="961" t="str">
        <f aca="false">IF(BL154=0,"",$C154)</f>
        <v/>
      </c>
      <c r="CU154" s="961" t="str">
        <f aca="false">IF(BP154=0,"",$C154)</f>
        <v/>
      </c>
      <c r="CV154" s="856" t="str">
        <f aca="false">IF(BD154=0,"",$C154)</f>
        <v/>
      </c>
      <c r="CW154" s="962" t="n">
        <f aca="false">YEAR(BF154)</f>
        <v>2012</v>
      </c>
      <c r="CX154" s="963" t="n">
        <f aca="false">INDEX('NY Curve'!$A$4:$G$256,MATCH('Monthly Table'!B154,'NY Curve'!$A$4:$A$256,0),MATCH("New York 5 X 16",'NY Curve'!$A$4:$G$4,0))</f>
        <v>27.8</v>
      </c>
      <c r="CY154" s="964" t="n">
        <f aca="false">K154</f>
        <v>1.30077942966465</v>
      </c>
      <c r="CZ154" s="965" t="n">
        <f aca="false">CX154*CY154</f>
        <v>36.1616681446773</v>
      </c>
      <c r="DA154" s="110"/>
      <c r="DB154" s="966"/>
      <c r="DC154" s="966"/>
      <c r="DD154" s="110"/>
      <c r="DE154" s="110"/>
      <c r="DF154" s="110"/>
      <c r="DG154" s="110"/>
      <c r="DH154" s="110"/>
    </row>
    <row r="155" customFormat="false" ht="18.75" hidden="false" customHeight="true" outlineLevel="0" collapsed="false">
      <c r="A155" s="49" t="s">
        <v>810</v>
      </c>
      <c r="B155" s="863" t="n">
        <v>41275</v>
      </c>
      <c r="C155" s="288" t="n">
        <f aca="false">YEAR(B155)</f>
        <v>2013</v>
      </c>
      <c r="D155" s="864" t="n">
        <f aca="false">IF(A155="January",D154+1,D154)</f>
        <v>13</v>
      </c>
      <c r="E155" s="865" t="n">
        <v>22</v>
      </c>
      <c r="F155" s="866" t="n">
        <v>4</v>
      </c>
      <c r="G155" s="866" t="n">
        <v>4</v>
      </c>
      <c r="H155" s="866" t="n">
        <v>1</v>
      </c>
      <c r="I155" s="867" t="n">
        <f aca="false">SUM(E155:H155)</f>
        <v>31</v>
      </c>
      <c r="J155" s="868"/>
      <c r="K155" s="869" t="n">
        <f aca="false">INDEX(FX!$A$3:$C$362,MATCH(B155,FX!$A$3:$A$362,0),MATCH("Monthly Curve",FX!$A$2:$C$2,0))</f>
        <v>1.29995788034482</v>
      </c>
      <c r="L155" s="869"/>
      <c r="M155" s="987" t="n">
        <v>3.626</v>
      </c>
      <c r="N155" s="988" t="n">
        <v>0.28</v>
      </c>
      <c r="O155" s="986" t="n">
        <v>0.1</v>
      </c>
      <c r="P155" s="872" t="n">
        <f aca="false">N155+O155</f>
        <v>0.38</v>
      </c>
      <c r="Q155" s="873" t="n">
        <f aca="false">SUM(M155:O155)</f>
        <v>4.006</v>
      </c>
      <c r="R155" s="974" t="n">
        <f aca="false">IF(A155="January",(R154+R154*Assumptions!$E$32),R154)</f>
        <v>0.38088564620082</v>
      </c>
      <c r="S155" s="875" t="n">
        <f aca="false">(Q155*K155)+R155</f>
        <v>5.58851691486217</v>
      </c>
      <c r="T155" s="869"/>
      <c r="U155" s="984"/>
      <c r="V155" s="978"/>
      <c r="W155" s="978"/>
      <c r="X155" s="971"/>
      <c r="Y155" s="975" t="n">
        <f aca="false">Tables!$D$36</f>
        <v>312</v>
      </c>
      <c r="Z155" s="879" t="n">
        <f aca="false">IF($Z$10=$V$10,V155,IF($Z$10=$W$10,W155,IF($Z$10=$X$10,X155,0)))</f>
        <v>0</v>
      </c>
      <c r="AA155" s="880" t="n">
        <f aca="false">Y155*Z155</f>
        <v>0</v>
      </c>
      <c r="AB155" s="881" t="n">
        <f aca="false">AA155*K155</f>
        <v>0</v>
      </c>
      <c r="AC155" s="188"/>
      <c r="AD155" s="882" t="n">
        <f aca="false">IF(Tables!$E$30="Michigan",INDEX('Michigan Curve'!$A$4:$S$256,MATCH('Monthly Table'!B155,'Michigan Curve'!$A$4:$A$256,0),MATCH("Michigan Selected Option Value US$/month",'Michigan Curve'!$A$4:$S$4,0)),INDEX('NY Curve'!$A$4:$T$256,MATCH('Monthly Table'!B155,'NY Curve'!$A$4:$A$256,0),MATCH("New York Selected Option Value US$/month",'NY Curve'!$A$4:$T$4,0)))</f>
        <v>43564.3867377292</v>
      </c>
      <c r="AE155" s="883" t="n">
        <f aca="false">AD155*K155</f>
        <v>56631.8678421005</v>
      </c>
      <c r="AF155" s="188"/>
      <c r="AG155" s="884"/>
      <c r="AH155" s="49"/>
      <c r="AI155" s="885" t="n">
        <f aca="false">Assumptions!$B$50</f>
        <v>65</v>
      </c>
      <c r="AJ155" s="916"/>
      <c r="AK155" s="887" t="n">
        <f aca="false">IF(Tables!$E$30="Custom",'Monthly Table'!AI155,IF(Tables!$E$30="New York",INDEX('NY Curve'!$A$4:$G$256,MATCH('Monthly Table'!B155,'NY Curve'!$A$4:$A$256,0),MATCH("Super Peak Curve",'NY Curve'!$A$4:$G$4,0)),IF(Tables!$E$30="New York Flat",INDEX('NY Curve'!$A$4:$G$256,MATCH('Monthly Table'!B155,'NY Curve'!$A$4:$A$256,0),MATCH("Flat NY West",'NY Curve'!$A$4:$G$4,0)),INDEX('Michigan Curve'!$A$4:$F$256,MATCH('Monthly Table'!B155,'Michigan Curve'!$A$4:$A$256,0),MATCH("Michigan Super Peak Curve US$/MWhr",'Michigan Curve'!$A$4:$F$4,0)))))</f>
        <v>35.3940003890991</v>
      </c>
      <c r="AL155" s="888" t="n">
        <f aca="false">IF(D155&lt;=Tables!$B$21,IF($AL$10=$AI$10,AI155,IF($AL$10=$AJ$10,AJ155,IF($AL$10=$AK$10,AK155,0))),0)</f>
        <v>35.3940003890991</v>
      </c>
      <c r="AM155" s="889" t="n">
        <f aca="false">+AL155*K155</f>
        <v>46.010709722737</v>
      </c>
      <c r="AN155" s="890" t="n">
        <f aca="false">IF((AL155*K155)&gt;(CP155+$BF$4),1,0)</f>
        <v>0</v>
      </c>
      <c r="AO155" s="891"/>
      <c r="AP155" s="894"/>
      <c r="AQ155" s="892" t="n">
        <f aca="false">IF(Tables!$E$30="New York",INDEX('NY Curve'!$A$4:$L$256,MATCH('Monthly Table'!B155,'NY Curve'!$A$4:$A$256,0),MATCH("New York Shoulder Hour Curve Mon-Fri",'NY Curve'!$A$4:$L$4,0)),IF(Tables!$E$30="Michigan",INDEX('Michigan Curve'!$A$4:$K$256,MATCH('Monthly Table'!B155,'Michigan Curve'!$A$4:$A$256,0),MATCH("Michigan Shoulder Hour Curve Mon-Fri",'Michigan Curve'!$A$4:$K$4,0))))</f>
        <v>34.0060003738403</v>
      </c>
      <c r="AR155" s="889" t="n">
        <f aca="false">AQ155*K155</f>
        <v>44.2063681649826</v>
      </c>
      <c r="AS155" s="893" t="n">
        <f aca="false">IF(AR155&gt;($CP155+$BF$4),1,0)</f>
        <v>0</v>
      </c>
      <c r="AT155" s="188"/>
      <c r="AU155" s="892" t="n">
        <f aca="false">IF(Tables!$E$30="New York",INDEX('NY Curve'!$A$4:$L$256,MATCH('Monthly Table'!$B155,'NY Curve'!$A$4:$A$256,0),MATCH("New York Saturday Super Peak",'NY Curve'!$A$4:$L$4,0)),IF(Tables!$E$30="Michigan",INDEX('Michigan Curve'!$A$4:$K$256,MATCH('Monthly Table'!$B155,'Michigan Curve'!$A$4:$A$256,0),MATCH("Michigan Saturday Super Peak",'Michigan Curve'!$A$4:$K$4,0))))</f>
        <v>22.44</v>
      </c>
      <c r="AV155" s="894" t="n">
        <f aca="false">AU155*K155</f>
        <v>29.1710548349378</v>
      </c>
      <c r="AW155" s="893" t="n">
        <f aca="false">IF(AV155&gt;($CP155+$BF$4),1,0)</f>
        <v>0</v>
      </c>
      <c r="AX155" s="892" t="n">
        <f aca="false">IF(Tables!$E$30="New York",INDEX('NY Curve'!$A$4:$L$256,MATCH('Monthly Table'!$B155,'NY Curve'!$A$4:$A$256,0),MATCH("New York Saturday Shoulder Peak",'NY Curve'!$A$4:$L$4,0)),IF(Tables!$E$30="Michigan",INDEX('Michigan Curve'!$A$4:$K$256,MATCH('Monthly Table'!$B155,'Michigan Curve'!$A$4:$A$256,0),MATCH("Michigan Saturday Shoulder Peak",'Michigan Curve'!$A$4:$K$4,0))))</f>
        <v>21.56</v>
      </c>
      <c r="AY155" s="895" t="n">
        <f aca="false">AX155*K155</f>
        <v>28.0270919002343</v>
      </c>
      <c r="AZ155" s="893" t="n">
        <f aca="false">IF(AY155&gt;($CP155+$BF$4),1,0)</f>
        <v>0</v>
      </c>
      <c r="BA155" s="188"/>
      <c r="BB155" s="892" t="n">
        <f aca="false">IF(Tables!$E$30="New York",INDEX('NY Curve'!$A$4:$M$256,MATCH('Monthly Table'!$B155,'NY Curve'!$A$4:$A$256,0),MATCH("NY Sunday Super Peak",'NY Curve'!$A$4:$M$4,0)),IF(Tables!$E$30="Michigan",INDEX('Michigan Curve'!$A$4:$L$256,MATCH('Monthly Table'!$B155,'Michigan Curve'!$A$4:$A$256,0),MATCH("Michigan Sunday Super Peak",'Michigan Curve'!$A$4:$L$4,0))))</f>
        <v>21.42</v>
      </c>
      <c r="BC155" s="894" t="n">
        <f aca="false">BB155*K155</f>
        <v>27.845097796986</v>
      </c>
      <c r="BD155" s="893" t="n">
        <f aca="false">IF(BC155&gt;($CP155+$BF$4),1,0)</f>
        <v>0</v>
      </c>
      <c r="BE155" s="188"/>
      <c r="BF155" s="896" t="n">
        <f aca="false">B155</f>
        <v>41275</v>
      </c>
      <c r="BG155" s="897" t="n">
        <f aca="false">IF($AN155=1,$E155*$BF$5,0)</f>
        <v>0</v>
      </c>
      <c r="BH155" s="976" t="n">
        <f aca="false">IF(Tables!$B$36="Combined Cycle",(BF155-BF154)*24*Assumptions!$B$21,0)</f>
        <v>0</v>
      </c>
      <c r="BI155" s="714" t="n">
        <f aca="false">IF($AN155=1,$E155*$BF$5,0)</f>
        <v>0</v>
      </c>
      <c r="BJ155" s="898" t="n">
        <f aca="false">IF('Monthly Table'!D155&lt;=Tables!$B$21,IF($BJ$10=$BG$10,BG155,IF($BJ$10=$BH$10,BH155,IF($BJ$10=$BI$10,BI155,0))),0)</f>
        <v>0</v>
      </c>
      <c r="BK155" s="288"/>
      <c r="BL155" s="898" t="n">
        <f aca="false">IF($AW155=1,$F155*$BF$5,0)</f>
        <v>0</v>
      </c>
      <c r="BM155" s="898" t="n">
        <f aca="false">IF($BD155=1,($G155+H155)*$BF$5,0)</f>
        <v>0</v>
      </c>
      <c r="BO155" s="898" t="n">
        <f aca="false">IF(AS155=1,BJ155,0)</f>
        <v>0</v>
      </c>
      <c r="BP155" s="898" t="n">
        <f aca="false">IF(AZ155=1,F155*$BF$5,0)</f>
        <v>0</v>
      </c>
      <c r="BR155" s="899" t="n">
        <f aca="false">IF(BJ155&gt;0,INDEX(OperationalDetail,MATCH("Capacity Degradation",ODColumn,0),MATCH('Monthly Table'!C155,ODRow,0)),0)</f>
        <v>0</v>
      </c>
      <c r="BS155" s="900" t="n">
        <f aca="false">BJ155*(1-BR155)*Tables!$C$36</f>
        <v>0</v>
      </c>
      <c r="BT155" s="883" t="n">
        <f aca="false">BS155*AL155/1000</f>
        <v>0</v>
      </c>
      <c r="BU155" s="883" t="n">
        <f aca="false">BT155*K155</f>
        <v>0</v>
      </c>
      <c r="BV155" s="188"/>
      <c r="BW155" s="901" t="n">
        <f aca="false">$BO155*(1-$BR155)*Tables!$C$36</f>
        <v>0</v>
      </c>
      <c r="BX155" s="902" t="n">
        <f aca="false">(BW155*AQ155)/1000</f>
        <v>0</v>
      </c>
      <c r="BY155" s="883" t="n">
        <f aca="false">BX155*K155</f>
        <v>0</v>
      </c>
      <c r="BZ155" s="188"/>
      <c r="CA155" s="901" t="n">
        <f aca="false">$BL155*(1-$BR155)*Tables!$C$36</f>
        <v>0</v>
      </c>
      <c r="CB155" s="902" t="n">
        <f aca="false">(CA155*AU155)/1000</f>
        <v>0</v>
      </c>
      <c r="CC155" s="883" t="n">
        <f aca="false">CB155*K155</f>
        <v>0</v>
      </c>
      <c r="CD155" s="901" t="n">
        <f aca="false">$BP155*(1-$BR155)*Tables!$C$36</f>
        <v>0</v>
      </c>
      <c r="CE155" s="902" t="n">
        <f aca="false">(CD155*AX155)/1000</f>
        <v>0</v>
      </c>
      <c r="CF155" s="883" t="n">
        <f aca="false">CE155*K155</f>
        <v>0</v>
      </c>
      <c r="CH155" s="901" t="n">
        <f aca="false">$BM155*(1-$BR155)*Tables!$C$36</f>
        <v>0</v>
      </c>
      <c r="CI155" s="902" t="n">
        <f aca="false">(CH155*BB155)/1000</f>
        <v>0</v>
      </c>
      <c r="CJ155" s="883" t="n">
        <f aca="false">CI155*K155</f>
        <v>0</v>
      </c>
      <c r="CK155" s="292"/>
      <c r="CL155" s="292" t="n">
        <f aca="false">C155-1</f>
        <v>2012</v>
      </c>
      <c r="CM155" s="903" t="n">
        <f aca="false">INDEX(OperationalDetail,MATCH("Degraded Heat Rate",ODColumn,0),MATCH('Monthly Table'!CL155,ODRow,0))/1000</f>
        <v>12.1701372</v>
      </c>
      <c r="CN155" s="904" t="n">
        <f aca="false">S155*CM155</f>
        <v>68.0130175983933</v>
      </c>
      <c r="CO155" s="905" t="n">
        <f aca="false">IF(A155="January",(CO154*(1+Assumptions!$E$32)),CO154)</f>
        <v>8.54240113750035</v>
      </c>
      <c r="CP155" s="906" t="n">
        <f aca="false">CN155+CO155</f>
        <v>76.5554187358937</v>
      </c>
      <c r="CQ155" s="292"/>
      <c r="CR155" s="856" t="str">
        <f aca="false">IF(BJ155=0,"",C155)</f>
        <v/>
      </c>
      <c r="CS155" s="856" t="str">
        <f aca="false">IF(BO155=0,"",$C155)</f>
        <v/>
      </c>
      <c r="CT155" s="856" t="str">
        <f aca="false">IF(BL155=0,"",$C155)</f>
        <v/>
      </c>
      <c r="CU155" s="856" t="str">
        <f aca="false">IF(BP155=0,"",$C155)</f>
        <v/>
      </c>
      <c r="CV155" s="856" t="str">
        <f aca="false">IF(BD155=0,"",$C155)</f>
        <v/>
      </c>
      <c r="CW155" s="907" t="n">
        <f aca="false">YEAR(BF155)</f>
        <v>2013</v>
      </c>
      <c r="CX155" s="908" t="n">
        <f aca="false">INDEX('NY Curve'!$A$4:$G$256,MATCH('Monthly Table'!B155,'NY Curve'!$A$4:$A$256,0),MATCH("New York 5 X 16",'NY Curve'!$A$4:$G$4,0))</f>
        <v>33.35</v>
      </c>
      <c r="CY155" s="909" t="n">
        <f aca="false">K155</f>
        <v>1.29995788034482</v>
      </c>
      <c r="CZ155" s="910" t="n">
        <f aca="false">CX155*CY155</f>
        <v>43.3535953094997</v>
      </c>
      <c r="DB155" s="911"/>
      <c r="DC155" s="911"/>
    </row>
    <row r="156" customFormat="false" ht="18.75" hidden="false" customHeight="true" outlineLevel="0" collapsed="false">
      <c r="A156" s="49" t="s">
        <v>811</v>
      </c>
      <c r="B156" s="863" t="n">
        <v>41306</v>
      </c>
      <c r="C156" s="288" t="n">
        <f aca="false">YEAR(B156)</f>
        <v>2013</v>
      </c>
      <c r="D156" s="864" t="n">
        <f aca="false">IF(A156="January",D155+1,D155)</f>
        <v>13</v>
      </c>
      <c r="E156" s="865" t="n">
        <v>20</v>
      </c>
      <c r="F156" s="866" t="n">
        <v>4</v>
      </c>
      <c r="G156" s="866" t="n">
        <v>4</v>
      </c>
      <c r="H156" s="866" t="n">
        <v>0</v>
      </c>
      <c r="I156" s="867" t="n">
        <f aca="false">SUM(E156:H156)</f>
        <v>28</v>
      </c>
      <c r="J156" s="868"/>
      <c r="K156" s="869" t="n">
        <f aca="false">INDEX(FX!$A$3:$C$362,MATCH(B156,FX!$A$3:$A$362,0),MATCH("Monthly Curve",FX!$A$2:$C$2,0))</f>
        <v>1.29913872328593</v>
      </c>
      <c r="L156" s="869"/>
      <c r="M156" s="987" t="n">
        <v>3.513</v>
      </c>
      <c r="N156" s="988" t="n">
        <v>0.31</v>
      </c>
      <c r="O156" s="986" t="n">
        <v>0.1</v>
      </c>
      <c r="P156" s="872" t="n">
        <f aca="false">N156+O156</f>
        <v>0.41</v>
      </c>
      <c r="Q156" s="873" t="n">
        <f aca="false">SUM(M156:O156)</f>
        <v>3.923</v>
      </c>
      <c r="R156" s="974" t="n">
        <f aca="false">IF(A156="January",(R155+R155*Assumptions!$E$32),R155)</f>
        <v>0.38088564620082</v>
      </c>
      <c r="S156" s="875" t="n">
        <f aca="false">(Q156*K156)+R156</f>
        <v>5.47740685765152</v>
      </c>
      <c r="T156" s="869"/>
      <c r="U156" s="984"/>
      <c r="V156" s="978"/>
      <c r="W156" s="978"/>
      <c r="X156" s="971"/>
      <c r="Y156" s="975" t="n">
        <f aca="false">Tables!$D$36</f>
        <v>312</v>
      </c>
      <c r="Z156" s="879" t="n">
        <f aca="false">IF($Z$10=$V$10,V156,IF($Z$10=$W$10,W156,IF($Z$10=$X$10,X156,0)))</f>
        <v>0</v>
      </c>
      <c r="AA156" s="880" t="n">
        <f aca="false">Y156*Z156</f>
        <v>0</v>
      </c>
      <c r="AB156" s="881" t="n">
        <f aca="false">AA156*K156</f>
        <v>0</v>
      </c>
      <c r="AC156" s="188"/>
      <c r="AD156" s="882" t="n">
        <f aca="false">IF(Tables!$E$30="Michigan",INDEX('Michigan Curve'!$A$4:$S$256,MATCH('Monthly Table'!B156,'Michigan Curve'!$A$4:$A$256,0),MATCH("Michigan Selected Option Value US$/month",'Michigan Curve'!$A$4:$S$4,0)),INDEX('NY Curve'!$A$4:$T$256,MATCH('Monthly Table'!B156,'NY Curve'!$A$4:$A$256,0),MATCH("New York Selected Option Value US$/month",'NY Curve'!$A$4:$T$4,0)))</f>
        <v>39769.3112615208</v>
      </c>
      <c r="AE156" s="883" t="n">
        <f aca="false">AD156*K156</f>
        <v>51665.8522582529</v>
      </c>
      <c r="AF156" s="188"/>
      <c r="AG156" s="884"/>
      <c r="AH156" s="49"/>
      <c r="AI156" s="885" t="n">
        <f aca="false">Assumptions!$B$50</f>
        <v>65</v>
      </c>
      <c r="AJ156" s="916"/>
      <c r="AK156" s="887" t="n">
        <f aca="false">IF(Tables!$E$30="Custom",'Monthly Table'!AI156,IF(Tables!$E$30="New York",INDEX('NY Curve'!$A$4:$G$256,MATCH('Monthly Table'!B156,'NY Curve'!$A$4:$A$256,0),MATCH("Super Peak Curve",'NY Curve'!$A$4:$G$4,0)),IF(Tables!$E$30="New York Flat",INDEX('NY Curve'!$A$4:$G$256,MATCH('Monthly Table'!B156,'NY Curve'!$A$4:$A$256,0),MATCH("Flat NY West",'NY Curve'!$A$4:$G$4,0)),INDEX('Michigan Curve'!$A$4:$F$256,MATCH('Monthly Table'!B156,'Michigan Curve'!$A$4:$A$256,0),MATCH("Michigan Super Peak Curve US$/MWhr",'Michigan Curve'!$A$4:$F$4,0)))))</f>
        <v>35.3939984436035</v>
      </c>
      <c r="AL156" s="888" t="n">
        <f aca="false">IF(D156&lt;=Tables!$B$21,IF($AL$10=$AI$10,AI156,IF($AL$10=$AJ$10,AJ156,IF($AL$10=$AK$10,AK156,0))),0)</f>
        <v>35.3939984436035</v>
      </c>
      <c r="AM156" s="889" t="n">
        <f aca="false">+AL156*K156</f>
        <v>45.9817139500073</v>
      </c>
      <c r="AN156" s="890" t="n">
        <f aca="false">IF((AL156*K156)&gt;(CP156+$BF$4),1,0)</f>
        <v>0</v>
      </c>
      <c r="AO156" s="891"/>
      <c r="AP156" s="894"/>
      <c r="AQ156" s="892" t="n">
        <f aca="false">IF(Tables!$E$30="New York",INDEX('NY Curve'!$A$4:$L$256,MATCH('Monthly Table'!B156,'NY Curve'!$A$4:$A$256,0),MATCH("New York Shoulder Hour Curve Mon-Fri",'NY Curve'!$A$4:$L$4,0)),IF(Tables!$E$30="Michigan",INDEX('Michigan Curve'!$A$4:$K$256,MATCH('Monthly Table'!B156,'Michigan Curve'!$A$4:$A$256,0),MATCH("Michigan Shoulder Hour Curve Mon-Fri",'Michigan Curve'!$A$4:$K$4,0))))</f>
        <v>34.0059985046387</v>
      </c>
      <c r="AR156" s="889" t="n">
        <f aca="false">AQ156*K156</f>
        <v>44.1785094813795</v>
      </c>
      <c r="AS156" s="893" t="n">
        <f aca="false">IF(AR156&gt;($CP156+$BF$4),1,0)</f>
        <v>0</v>
      </c>
      <c r="AT156" s="188"/>
      <c r="AU156" s="892" t="n">
        <f aca="false">IF(Tables!$E$30="New York",INDEX('NY Curve'!$A$4:$L$256,MATCH('Monthly Table'!$B156,'NY Curve'!$A$4:$A$256,0),MATCH("New York Saturday Super Peak",'NY Curve'!$A$4:$L$4,0)),IF(Tables!$E$30="Michigan",INDEX('Michigan Curve'!$A$4:$K$256,MATCH('Monthly Table'!$B156,'Michigan Curve'!$A$4:$A$256,0),MATCH("Michigan Saturday Super Peak",'Michigan Curve'!$A$4:$K$4,0))))</f>
        <v>22.4359202957153</v>
      </c>
      <c r="AV156" s="894" t="n">
        <f aca="false">AU156*K156</f>
        <v>29.1473728487205</v>
      </c>
      <c r="AW156" s="893" t="n">
        <f aca="false">IF(AV156&gt;($CP156+$BF$4),1,0)</f>
        <v>0</v>
      </c>
      <c r="AX156" s="892" t="n">
        <f aca="false">IF(Tables!$E$30="New York",INDEX('NY Curve'!$A$4:$L$256,MATCH('Monthly Table'!$B156,'NY Curve'!$A$4:$A$256,0),MATCH("New York Saturday Shoulder Peak",'NY Curve'!$A$4:$L$4,0)),IF(Tables!$E$30="Michigan",INDEX('Michigan Curve'!$A$4:$K$256,MATCH('Monthly Table'!$B156,'Michigan Curve'!$A$4:$A$256,0),MATCH("Michigan Saturday Shoulder Peak",'Michigan Curve'!$A$4:$K$4,0))))</f>
        <v>21.5560802841187</v>
      </c>
      <c r="AY156" s="895" t="n">
        <f aca="false">AX156*K156</f>
        <v>28.0043386193589</v>
      </c>
      <c r="AZ156" s="893" t="n">
        <f aca="false">IF(AY156&gt;($CP156+$BF$4),1,0)</f>
        <v>0</v>
      </c>
      <c r="BA156" s="188"/>
      <c r="BB156" s="892" t="n">
        <f aca="false">IF(Tables!$E$30="New York",INDEX('NY Curve'!$A$4:$M$256,MATCH('Monthly Table'!$B156,'NY Curve'!$A$4:$A$256,0),MATCH("NY Sunday Super Peak",'NY Curve'!$A$4:$M$4,0)),IF(Tables!$E$30="Michigan",INDEX('Michigan Curve'!$A$4:$L$256,MATCH('Monthly Table'!$B156,'Michigan Curve'!$A$4:$A$256,0),MATCH("Michigan Sunday Super Peak",'Michigan Curve'!$A$4:$L$4,0))))</f>
        <v>21.4164319610596</v>
      </c>
      <c r="BC156" s="894" t="n">
        <f aca="false">BB156*K156</f>
        <v>27.8229160752309</v>
      </c>
      <c r="BD156" s="893" t="n">
        <f aca="false">IF(BC156&gt;($CP156+$BF$4),1,0)</f>
        <v>0</v>
      </c>
      <c r="BE156" s="188"/>
      <c r="BF156" s="896" t="n">
        <f aca="false">B156</f>
        <v>41306</v>
      </c>
      <c r="BG156" s="897" t="n">
        <f aca="false">IF($AN156=1,$E156*$BF$5,0)</f>
        <v>0</v>
      </c>
      <c r="BH156" s="976" t="n">
        <f aca="false">IF(Tables!$B$36="Combined Cycle",(BF156-BF155)*24*Assumptions!$B$21,0)</f>
        <v>0</v>
      </c>
      <c r="BI156" s="714" t="n">
        <f aca="false">IF($AN156=1,$E156*$BF$5,0)</f>
        <v>0</v>
      </c>
      <c r="BJ156" s="898" t="n">
        <f aca="false">IF('Monthly Table'!D156&lt;=Tables!$B$21,IF($BJ$10=$BG$10,BG156,IF($BJ$10=$BH$10,BH156,IF($BJ$10=$BI$10,BI156,0))),0)</f>
        <v>0</v>
      </c>
      <c r="BK156" s="288"/>
      <c r="BL156" s="898" t="n">
        <f aca="false">IF($AW156=1,$F156*$BF$5,0)</f>
        <v>0</v>
      </c>
      <c r="BM156" s="898" t="n">
        <f aca="false">IF($BD156=1,($G156+H156)*$BF$5,0)</f>
        <v>0</v>
      </c>
      <c r="BO156" s="898" t="n">
        <f aca="false">IF(AS156=1,BJ156,0)</f>
        <v>0</v>
      </c>
      <c r="BP156" s="898" t="n">
        <f aca="false">IF(AZ156=1,F156*$BF$5,0)</f>
        <v>0</v>
      </c>
      <c r="BR156" s="899" t="n">
        <f aca="false">IF(BJ156&gt;0,INDEX(OperationalDetail,MATCH("Capacity Degradation",ODColumn,0),MATCH('Monthly Table'!C156,ODRow,0)),0)</f>
        <v>0</v>
      </c>
      <c r="BS156" s="900" t="n">
        <f aca="false">BJ156*(1-BR156)*Tables!$C$36</f>
        <v>0</v>
      </c>
      <c r="BT156" s="883" t="n">
        <f aca="false">BS156*AL156/1000</f>
        <v>0</v>
      </c>
      <c r="BU156" s="883" t="n">
        <f aca="false">BT156*K156</f>
        <v>0</v>
      </c>
      <c r="BV156" s="188"/>
      <c r="BW156" s="901" t="n">
        <f aca="false">$BO156*(1-$BR156)*Tables!$C$36</f>
        <v>0</v>
      </c>
      <c r="BX156" s="902" t="n">
        <f aca="false">(BW156*AQ156)/1000</f>
        <v>0</v>
      </c>
      <c r="BY156" s="883" t="n">
        <f aca="false">BX156*K156</f>
        <v>0</v>
      </c>
      <c r="BZ156" s="188"/>
      <c r="CA156" s="901" t="n">
        <f aca="false">$BL156*(1-$BR156)*Tables!$C$36</f>
        <v>0</v>
      </c>
      <c r="CB156" s="902" t="n">
        <f aca="false">(CA156*AU156)/1000</f>
        <v>0</v>
      </c>
      <c r="CC156" s="883" t="n">
        <f aca="false">CB156*K156</f>
        <v>0</v>
      </c>
      <c r="CD156" s="901" t="n">
        <f aca="false">$BP156*(1-$BR156)*Tables!$C$36</f>
        <v>0</v>
      </c>
      <c r="CE156" s="902" t="n">
        <f aca="false">(CD156*AX156)/1000</f>
        <v>0</v>
      </c>
      <c r="CF156" s="883" t="n">
        <f aca="false">CE156*K156</f>
        <v>0</v>
      </c>
      <c r="CH156" s="901" t="n">
        <f aca="false">$BM156*(1-$BR156)*Tables!$C$36</f>
        <v>0</v>
      </c>
      <c r="CI156" s="902" t="n">
        <f aca="false">(CH156*BB156)/1000</f>
        <v>0</v>
      </c>
      <c r="CJ156" s="883" t="n">
        <f aca="false">CI156*K156</f>
        <v>0</v>
      </c>
      <c r="CK156" s="292"/>
      <c r="CL156" s="292" t="n">
        <f aca="false">C156-1</f>
        <v>2012</v>
      </c>
      <c r="CM156" s="903" t="n">
        <f aca="false">INDEX(OperationalDetail,MATCH("Degraded Heat Rate",ODColumn,0),MATCH('Monthly Table'!CL156,ODRow,0))/1000</f>
        <v>12.1701372</v>
      </c>
      <c r="CN156" s="904" t="n">
        <f aca="false">S156*CM156</f>
        <v>66.6607929578399</v>
      </c>
      <c r="CO156" s="905" t="n">
        <f aca="false">IF(A156="January",(CO155*(1+Assumptions!$E$32)),CO155)</f>
        <v>8.54240113750035</v>
      </c>
      <c r="CP156" s="906" t="n">
        <f aca="false">CN156+CO156</f>
        <v>75.2031940953403</v>
      </c>
      <c r="CQ156" s="292"/>
      <c r="CR156" s="856" t="str">
        <f aca="false">IF(BJ156=0,"",C156)</f>
        <v/>
      </c>
      <c r="CS156" s="856" t="str">
        <f aca="false">IF(BO156=0,"",$C156)</f>
        <v/>
      </c>
      <c r="CT156" s="856" t="str">
        <f aca="false">IF(BL156=0,"",$C156)</f>
        <v/>
      </c>
      <c r="CU156" s="856" t="str">
        <f aca="false">IF(BP156=0,"",$C156)</f>
        <v/>
      </c>
      <c r="CV156" s="856" t="str">
        <f aca="false">IF(BD156=0,"",$C156)</f>
        <v/>
      </c>
      <c r="CW156" s="907" t="n">
        <f aca="false">YEAR(BF156)</f>
        <v>2013</v>
      </c>
      <c r="CX156" s="908" t="n">
        <f aca="false">INDEX('NY Curve'!$A$4:$G$256,MATCH('Monthly Table'!B156,'NY Curve'!$A$4:$A$256,0),MATCH("New York 5 X 16",'NY Curve'!$A$4:$G$4,0))</f>
        <v>33.35</v>
      </c>
      <c r="CY156" s="909" t="n">
        <f aca="false">K156</f>
        <v>1.29913872328593</v>
      </c>
      <c r="CZ156" s="910" t="n">
        <f aca="false">CX156*CY156</f>
        <v>43.3262764215858</v>
      </c>
      <c r="DB156" s="911"/>
      <c r="DC156" s="911"/>
    </row>
    <row r="157" customFormat="false" ht="18.75" hidden="false" customHeight="true" outlineLevel="0" collapsed="false">
      <c r="A157" s="49" t="s">
        <v>812</v>
      </c>
      <c r="B157" s="863" t="n">
        <v>41334</v>
      </c>
      <c r="C157" s="288" t="n">
        <f aca="false">YEAR(B157)</f>
        <v>2013</v>
      </c>
      <c r="D157" s="864" t="n">
        <f aca="false">IF(A157="January",D156+1,D156)</f>
        <v>13</v>
      </c>
      <c r="E157" s="865" t="n">
        <v>21</v>
      </c>
      <c r="F157" s="866" t="n">
        <v>5</v>
      </c>
      <c r="G157" s="866" t="n">
        <v>5</v>
      </c>
      <c r="H157" s="866" t="n">
        <v>0</v>
      </c>
      <c r="I157" s="867" t="n">
        <f aca="false">SUM(E157:H157)</f>
        <v>31</v>
      </c>
      <c r="J157" s="868"/>
      <c r="K157" s="869" t="n">
        <f aca="false">INDEX(FX!$A$3:$C$362,MATCH(B157,FX!$A$3:$A$362,0),MATCH("Monthly Curve",FX!$A$2:$C$2,0))</f>
        <v>1.29840089246263</v>
      </c>
      <c r="L157" s="869"/>
      <c r="M157" s="987" t="n">
        <v>3.398</v>
      </c>
      <c r="N157" s="988" t="n">
        <v>0.31</v>
      </c>
      <c r="O157" s="986" t="n">
        <v>0.1</v>
      </c>
      <c r="P157" s="872" t="n">
        <f aca="false">N157+O157</f>
        <v>0.41</v>
      </c>
      <c r="Q157" s="873" t="n">
        <f aca="false">SUM(M157:O157)</f>
        <v>3.808</v>
      </c>
      <c r="R157" s="974" t="n">
        <f aca="false">IF(A157="January",(R156+R156*Assumptions!$E$32),R156)</f>
        <v>0.38088564620082</v>
      </c>
      <c r="S157" s="875" t="n">
        <f aca="false">(Q157*K157)+R157</f>
        <v>5.32519624469852</v>
      </c>
      <c r="T157" s="869"/>
      <c r="U157" s="984"/>
      <c r="V157" s="978"/>
      <c r="W157" s="978"/>
      <c r="X157" s="971"/>
      <c r="Y157" s="975" t="n">
        <f aca="false">Tables!$D$36</f>
        <v>312</v>
      </c>
      <c r="Z157" s="879" t="n">
        <f aca="false">IF($Z$10=$V$10,V157,IF($Z$10=$W$10,W157,IF($Z$10=$X$10,X157,0)))</f>
        <v>0</v>
      </c>
      <c r="AA157" s="880" t="n">
        <f aca="false">Y157*Z157</f>
        <v>0</v>
      </c>
      <c r="AB157" s="881" t="n">
        <f aca="false">AA157*K157</f>
        <v>0</v>
      </c>
      <c r="AC157" s="188"/>
      <c r="AD157" s="882" t="n">
        <f aca="false">IF(Tables!$E$30="Michigan",INDEX('Michigan Curve'!$A$4:$S$256,MATCH('Monthly Table'!B157,'Michigan Curve'!$A$4:$A$256,0),MATCH("Michigan Selected Option Value US$/month",'Michigan Curve'!$A$4:$S$4,0)),INDEX('NY Curve'!$A$4:$T$256,MATCH('Monthly Table'!B157,'NY Curve'!$A$4:$A$256,0),MATCH("New York Selected Option Value US$/month",'NY Curve'!$A$4:$T$4,0)))</f>
        <v>10155.8134401894</v>
      </c>
      <c r="AE157" s="883" t="n">
        <f aca="false">AD157*K157</f>
        <v>13186.3172344258</v>
      </c>
      <c r="AF157" s="188"/>
      <c r="AG157" s="884"/>
      <c r="AH157" s="49"/>
      <c r="AI157" s="885" t="n">
        <f aca="false">Assumptions!$B$50</f>
        <v>65</v>
      </c>
      <c r="AJ157" s="916"/>
      <c r="AK157" s="887" t="n">
        <f aca="false">IF(Tables!$E$30="Custom",'Monthly Table'!AI157,IF(Tables!$E$30="New York",INDEX('NY Curve'!$A$4:$G$256,MATCH('Monthly Table'!B157,'NY Curve'!$A$4:$A$256,0),MATCH("Super Peak Curve",'NY Curve'!$A$4:$G$4,0)),IF(Tables!$E$30="New York Flat",INDEX('NY Curve'!$A$4:$G$256,MATCH('Monthly Table'!B157,'NY Curve'!$A$4:$A$256,0),MATCH("Flat NY West",'NY Curve'!$A$4:$G$4,0)),INDEX('Michigan Curve'!$A$4:$F$256,MATCH('Monthly Table'!B157,'Michigan Curve'!$A$4:$A$256,0),MATCH("Michigan Super Peak Curve US$/MWhr",'Michigan Curve'!$A$4:$F$4,0)))))</f>
        <v>30.09</v>
      </c>
      <c r="AL157" s="888" t="n">
        <f aca="false">IF(D157&lt;=Tables!$B$21,IF($AL$10=$AI$10,AI157,IF($AL$10=$AJ$10,AJ157,IF($AL$10=$AK$10,AK157,0))),0)</f>
        <v>30.09</v>
      </c>
      <c r="AM157" s="889" t="n">
        <f aca="false">+AL157*K157</f>
        <v>39.0688828542005</v>
      </c>
      <c r="AN157" s="890" t="n">
        <f aca="false">IF((AL157*K157)&gt;(CP157+$BF$4),1,0)</f>
        <v>0</v>
      </c>
      <c r="AO157" s="891"/>
      <c r="AP157" s="894"/>
      <c r="AQ157" s="892" t="n">
        <f aca="false">IF(Tables!$E$30="New York",INDEX('NY Curve'!$A$4:$L$256,MATCH('Monthly Table'!B157,'NY Curve'!$A$4:$A$256,0),MATCH("New York Shoulder Hour Curve Mon-Fri",'NY Curve'!$A$4:$L$4,0)),IF(Tables!$E$30="Michigan",INDEX('Michigan Curve'!$A$4:$K$256,MATCH('Monthly Table'!B157,'Michigan Curve'!$A$4:$A$256,0),MATCH("Michigan Shoulder Hour Curve Mon-Fri",'Michigan Curve'!$A$4:$K$4,0))))</f>
        <v>28.91</v>
      </c>
      <c r="AR157" s="889" t="n">
        <f aca="false">AQ157*K157</f>
        <v>37.5367698010946</v>
      </c>
      <c r="AS157" s="893" t="n">
        <f aca="false">IF(AR157&gt;($CP157+$BF$4),1,0)</f>
        <v>0</v>
      </c>
      <c r="AT157" s="188"/>
      <c r="AU157" s="892" t="n">
        <f aca="false">IF(Tables!$E$30="New York",INDEX('NY Curve'!$A$4:$L$256,MATCH('Monthly Table'!$B157,'NY Curve'!$A$4:$A$256,0),MATCH("New York Saturday Super Peak",'NY Curve'!$A$4:$L$4,0)),IF(Tables!$E$30="Michigan",INDEX('Michigan Curve'!$A$4:$K$256,MATCH('Monthly Table'!$B157,'Michigan Curve'!$A$4:$A$256,0),MATCH("Michigan Saturday Super Peak",'Michigan Curve'!$A$4:$K$4,0))))</f>
        <v>20.4</v>
      </c>
      <c r="AV157" s="894" t="n">
        <f aca="false">AU157*K157</f>
        <v>26.4873782062377</v>
      </c>
      <c r="AW157" s="893" t="n">
        <f aca="false">IF(AV157&gt;($CP157+$BF$4),1,0)</f>
        <v>0</v>
      </c>
      <c r="AX157" s="892" t="n">
        <f aca="false">IF(Tables!$E$30="New York",INDEX('NY Curve'!$A$4:$L$256,MATCH('Monthly Table'!$B157,'NY Curve'!$A$4:$A$256,0),MATCH("New York Saturday Shoulder Peak",'NY Curve'!$A$4:$L$4,0)),IF(Tables!$E$30="Michigan",INDEX('Michigan Curve'!$A$4:$K$256,MATCH('Monthly Table'!$B157,'Michigan Curve'!$A$4:$A$256,0),MATCH("Michigan Saturday Shoulder Peak",'Michigan Curve'!$A$4:$K$4,0))))</f>
        <v>19.6</v>
      </c>
      <c r="AY157" s="895" t="n">
        <f aca="false">AX157*K157</f>
        <v>25.4486574922676</v>
      </c>
      <c r="AZ157" s="893" t="n">
        <f aca="false">IF(AY157&gt;($CP157+$BF$4),1,0)</f>
        <v>0</v>
      </c>
      <c r="BA157" s="188"/>
      <c r="BB157" s="892" t="n">
        <f aca="false">IF(Tables!$E$30="New York",INDEX('NY Curve'!$A$4:$M$256,MATCH('Monthly Table'!$B157,'NY Curve'!$A$4:$A$256,0),MATCH("NY Sunday Super Peak",'NY Curve'!$A$4:$M$4,0)),IF(Tables!$E$30="Michigan",INDEX('Michigan Curve'!$A$4:$L$256,MATCH('Monthly Table'!$B157,'Michigan Curve'!$A$4:$A$256,0),MATCH("Michigan Sunday Super Peak",'Michigan Curve'!$A$4:$L$4,0))))</f>
        <v>19.38</v>
      </c>
      <c r="BC157" s="894" t="n">
        <f aca="false">BB157*K157</f>
        <v>25.1630092959258</v>
      </c>
      <c r="BD157" s="893" t="n">
        <f aca="false">IF(BC157&gt;($CP157+$BF$4),1,0)</f>
        <v>0</v>
      </c>
      <c r="BE157" s="188"/>
      <c r="BF157" s="896" t="n">
        <f aca="false">B157</f>
        <v>41334</v>
      </c>
      <c r="BG157" s="897" t="n">
        <f aca="false">IF($AN157=1,$E157*$BF$5,0)</f>
        <v>0</v>
      </c>
      <c r="BH157" s="976" t="n">
        <f aca="false">IF(Tables!$B$36="Combined Cycle",(BF157-BF156)*24*Assumptions!$B$21,0)</f>
        <v>0</v>
      </c>
      <c r="BI157" s="714" t="n">
        <f aca="false">IF($AN157=1,$E157*$BF$5,0)</f>
        <v>0</v>
      </c>
      <c r="BJ157" s="898" t="n">
        <f aca="false">IF('Monthly Table'!D157&lt;=Tables!$B$21,IF($BJ$10=$BG$10,BG157,IF($BJ$10=$BH$10,BH157,IF($BJ$10=$BI$10,BI157,0))),0)</f>
        <v>0</v>
      </c>
      <c r="BK157" s="288"/>
      <c r="BL157" s="898" t="n">
        <f aca="false">IF($AW157=1,$F157*$BF$5,0)</f>
        <v>0</v>
      </c>
      <c r="BM157" s="898" t="n">
        <f aca="false">IF($BD157=1,($G157+H157)*$BF$5,0)</f>
        <v>0</v>
      </c>
      <c r="BO157" s="898" t="n">
        <f aca="false">IF(AS157=1,BJ157,0)</f>
        <v>0</v>
      </c>
      <c r="BP157" s="898" t="n">
        <f aca="false">IF(AZ157=1,F157*$BF$5,0)</f>
        <v>0</v>
      </c>
      <c r="BR157" s="899" t="n">
        <f aca="false">IF(BJ157&gt;0,INDEX(OperationalDetail,MATCH("Capacity Degradation",ODColumn,0),MATCH('Monthly Table'!C157,ODRow,0)),0)</f>
        <v>0</v>
      </c>
      <c r="BS157" s="900" t="n">
        <f aca="false">BJ157*(1-BR157)*Tables!$C$36</f>
        <v>0</v>
      </c>
      <c r="BT157" s="883" t="n">
        <f aca="false">BS157*AL157/1000</f>
        <v>0</v>
      </c>
      <c r="BU157" s="883" t="n">
        <f aca="false">BT157*K157</f>
        <v>0</v>
      </c>
      <c r="BV157" s="188"/>
      <c r="BW157" s="901" t="n">
        <f aca="false">$BO157*(1-$BR157)*Tables!$C$36</f>
        <v>0</v>
      </c>
      <c r="BX157" s="902" t="n">
        <f aca="false">(BW157*AQ157)/1000</f>
        <v>0</v>
      </c>
      <c r="BY157" s="883" t="n">
        <f aca="false">BX157*K157</f>
        <v>0</v>
      </c>
      <c r="BZ157" s="188"/>
      <c r="CA157" s="901" t="n">
        <f aca="false">$BL157*(1-$BR157)*Tables!$C$36</f>
        <v>0</v>
      </c>
      <c r="CB157" s="902" t="n">
        <f aca="false">(CA157*AU157)/1000</f>
        <v>0</v>
      </c>
      <c r="CC157" s="883" t="n">
        <f aca="false">CB157*K157</f>
        <v>0</v>
      </c>
      <c r="CD157" s="901" t="n">
        <f aca="false">$BP157*(1-$BR157)*Tables!$C$36</f>
        <v>0</v>
      </c>
      <c r="CE157" s="902" t="n">
        <f aca="false">(CD157*AX157)/1000</f>
        <v>0</v>
      </c>
      <c r="CF157" s="883" t="n">
        <f aca="false">CE157*K157</f>
        <v>0</v>
      </c>
      <c r="CH157" s="901" t="n">
        <f aca="false">$BM157*(1-$BR157)*Tables!$C$36</f>
        <v>0</v>
      </c>
      <c r="CI157" s="902" t="n">
        <f aca="false">(CH157*BB157)/1000</f>
        <v>0</v>
      </c>
      <c r="CJ157" s="883" t="n">
        <f aca="false">CI157*K157</f>
        <v>0</v>
      </c>
      <c r="CK157" s="292"/>
      <c r="CL157" s="292" t="n">
        <f aca="false">C157-1</f>
        <v>2012</v>
      </c>
      <c r="CM157" s="903" t="n">
        <f aca="false">INDEX(OperationalDetail,MATCH("Degraded Heat Rate",ODColumn,0),MATCH('Monthly Table'!CL157,ODRow,0))/1000</f>
        <v>12.1701372</v>
      </c>
      <c r="CN157" s="904" t="n">
        <f aca="false">S157*CM157</f>
        <v>64.8083689149057</v>
      </c>
      <c r="CO157" s="905" t="n">
        <f aca="false">IF(A157="January",(CO156*(1+Assumptions!$E$32)),CO156)</f>
        <v>8.54240113750035</v>
      </c>
      <c r="CP157" s="906" t="n">
        <f aca="false">CN157+CO157</f>
        <v>73.3507700524061</v>
      </c>
      <c r="CQ157" s="292"/>
      <c r="CR157" s="856" t="str">
        <f aca="false">IF(BJ157=0,"",C157)</f>
        <v/>
      </c>
      <c r="CS157" s="856" t="str">
        <f aca="false">IF(BO157=0,"",$C157)</f>
        <v/>
      </c>
      <c r="CT157" s="856" t="str">
        <f aca="false">IF(BL157=0,"",$C157)</f>
        <v/>
      </c>
      <c r="CU157" s="856" t="str">
        <f aca="false">IF(BP157=0,"",$C157)</f>
        <v/>
      </c>
      <c r="CV157" s="856" t="str">
        <f aca="false">IF(BD157=0,"",$C157)</f>
        <v/>
      </c>
      <c r="CW157" s="907" t="n">
        <f aca="false">YEAR(BF157)</f>
        <v>2013</v>
      </c>
      <c r="CX157" s="908" t="n">
        <f aca="false">INDEX('NY Curve'!$A$4:$G$256,MATCH('Monthly Table'!B157,'NY Curve'!$A$4:$A$256,0),MATCH("New York 5 X 16",'NY Curve'!$A$4:$G$4,0))</f>
        <v>28.35</v>
      </c>
      <c r="CY157" s="909" t="n">
        <f aca="false">K157</f>
        <v>1.29840089246263</v>
      </c>
      <c r="CZ157" s="910" t="n">
        <f aca="false">CX157*CY157</f>
        <v>36.8096653013156</v>
      </c>
      <c r="DB157" s="911"/>
      <c r="DC157" s="911"/>
    </row>
    <row r="158" customFormat="false" ht="18.75" hidden="false" customHeight="true" outlineLevel="0" collapsed="false">
      <c r="A158" s="49" t="s">
        <v>813</v>
      </c>
      <c r="B158" s="863" t="n">
        <v>41365</v>
      </c>
      <c r="C158" s="288" t="n">
        <f aca="false">YEAR(B158)</f>
        <v>2013</v>
      </c>
      <c r="D158" s="864" t="n">
        <f aca="false">IF(A158="January",D157+1,D157)</f>
        <v>13</v>
      </c>
      <c r="E158" s="865" t="n">
        <v>22</v>
      </c>
      <c r="F158" s="866" t="n">
        <v>4</v>
      </c>
      <c r="G158" s="866" t="n">
        <v>4</v>
      </c>
      <c r="H158" s="866" t="n">
        <v>0</v>
      </c>
      <c r="I158" s="867" t="n">
        <f aca="false">SUM(E158:H158)</f>
        <v>30</v>
      </c>
      <c r="J158" s="868"/>
      <c r="K158" s="869" t="n">
        <f aca="false">INDEX(FX!$A$3:$C$362,MATCH(B158,FX!$A$3:$A$362,0),MATCH("Monthly Curve",FX!$A$2:$C$2,0))</f>
        <v>1.29758627770811</v>
      </c>
      <c r="L158" s="869"/>
      <c r="M158" s="987" t="n">
        <v>3.3305</v>
      </c>
      <c r="N158" s="988" t="n">
        <v>0.145</v>
      </c>
      <c r="O158" s="986" t="n">
        <v>0.1</v>
      </c>
      <c r="P158" s="872" t="n">
        <f aca="false">N158+O158</f>
        <v>0.245</v>
      </c>
      <c r="Q158" s="873" t="n">
        <f aca="false">SUM(M158:O158)</f>
        <v>3.5755</v>
      </c>
      <c r="R158" s="974" t="n">
        <f aca="false">IF(A158="January",(R157+R157*Assumptions!$E$32),R157)</f>
        <v>0.38088564620082</v>
      </c>
      <c r="S158" s="875" t="n">
        <f aca="false">(Q158*K158)+R158</f>
        <v>5.02040538214617</v>
      </c>
      <c r="T158" s="869"/>
      <c r="U158" s="984"/>
      <c r="V158" s="978"/>
      <c r="W158" s="978"/>
      <c r="X158" s="971"/>
      <c r="Y158" s="975" t="n">
        <f aca="false">Tables!$D$36</f>
        <v>312</v>
      </c>
      <c r="Z158" s="879" t="n">
        <f aca="false">IF($Z$10=$V$10,V158,IF($Z$10=$W$10,W158,IF($Z$10=$X$10,X158,0)))</f>
        <v>0</v>
      </c>
      <c r="AA158" s="880" t="n">
        <f aca="false">Y158*Z158</f>
        <v>0</v>
      </c>
      <c r="AB158" s="881" t="n">
        <f aca="false">AA158*K158</f>
        <v>0</v>
      </c>
      <c r="AC158" s="188"/>
      <c r="AD158" s="882" t="n">
        <f aca="false">IF(Tables!$E$30="Michigan",INDEX('Michigan Curve'!$A$4:$S$256,MATCH('Monthly Table'!B158,'Michigan Curve'!$A$4:$A$256,0),MATCH("Michigan Selected Option Value US$/month",'Michigan Curve'!$A$4:$S$4,0)),INDEX('NY Curve'!$A$4:$T$256,MATCH('Monthly Table'!B158,'NY Curve'!$A$4:$A$256,0),MATCH("New York Selected Option Value US$/month",'NY Curve'!$A$4:$T$4,0)))</f>
        <v>12430.705707553</v>
      </c>
      <c r="AE158" s="883" t="n">
        <f aca="false">AD158*K158</f>
        <v>16129.9131483486</v>
      </c>
      <c r="AF158" s="188"/>
      <c r="AG158" s="884"/>
      <c r="AH158" s="49"/>
      <c r="AI158" s="885" t="n">
        <f aca="false">Assumptions!$B$50</f>
        <v>65</v>
      </c>
      <c r="AJ158" s="916"/>
      <c r="AK158" s="887" t="n">
        <f aca="false">IF(Tables!$E$30="Custom",'Monthly Table'!AI158,IF(Tables!$E$30="New York",INDEX('NY Curve'!$A$4:$G$256,MATCH('Monthly Table'!B158,'NY Curve'!$A$4:$A$256,0),MATCH("Super Peak Curve",'NY Curve'!$A$4:$G$4,0)),IF(Tables!$E$30="New York Flat",INDEX('NY Curve'!$A$4:$G$256,MATCH('Monthly Table'!B158,'NY Curve'!$A$4:$A$256,0),MATCH("Flat NY West",'NY Curve'!$A$4:$G$4,0)),INDEX('Michigan Curve'!$A$4:$F$256,MATCH('Monthly Table'!B158,'Michigan Curve'!$A$4:$A$256,0),MATCH("Michigan Super Peak Curve US$/MWhr",'Michigan Curve'!$A$4:$F$4,0)))))</f>
        <v>29.75</v>
      </c>
      <c r="AL158" s="888" t="n">
        <f aca="false">IF(D158&lt;=Tables!$B$21,IF($AL$10=$AI$10,AI158,IF($AL$10=$AJ$10,AJ158,IF($AL$10=$AK$10,AK158,0))),0)</f>
        <v>29.75</v>
      </c>
      <c r="AM158" s="889" t="n">
        <f aca="false">+AL158*K158</f>
        <v>38.6031917618163</v>
      </c>
      <c r="AN158" s="890" t="n">
        <f aca="false">IF((AL158*K158)&gt;(CP158+$BF$4),1,0)</f>
        <v>0</v>
      </c>
      <c r="AO158" s="891"/>
      <c r="AP158" s="894"/>
      <c r="AQ158" s="892" t="n">
        <f aca="false">IF(Tables!$E$30="New York",INDEX('NY Curve'!$A$4:$L$256,MATCH('Monthly Table'!B158,'NY Curve'!$A$4:$A$256,0),MATCH("New York Shoulder Hour Curve Mon-Fri",'NY Curve'!$A$4:$L$4,0)),IF(Tables!$E$30="Michigan",INDEX('Michigan Curve'!$A$4:$K$256,MATCH('Monthly Table'!B158,'Michigan Curve'!$A$4:$A$256,0),MATCH("Michigan Shoulder Hour Curve Mon-Fri",'Michigan Curve'!$A$4:$K$4,0))))</f>
        <v>29.75</v>
      </c>
      <c r="AR158" s="889" t="n">
        <f aca="false">AQ158*K158</f>
        <v>38.6031917618163</v>
      </c>
      <c r="AS158" s="893" t="n">
        <f aca="false">IF(AR158&gt;($CP158+$BF$4),1,0)</f>
        <v>0</v>
      </c>
      <c r="AT158" s="188"/>
      <c r="AU158" s="892" t="n">
        <f aca="false">IF(Tables!$E$30="New York",INDEX('NY Curve'!$A$4:$L$256,MATCH('Monthly Table'!$B158,'NY Curve'!$A$4:$A$256,0),MATCH("New York Saturday Super Peak",'NY Curve'!$A$4:$L$4,0)),IF(Tables!$E$30="Michigan",INDEX('Michigan Curve'!$A$4:$K$256,MATCH('Monthly Table'!$B158,'Michigan Curve'!$A$4:$A$256,0),MATCH("Michigan Saturday Super Peak",'Michigan Curve'!$A$4:$K$4,0))))</f>
        <v>20</v>
      </c>
      <c r="AV158" s="894" t="n">
        <f aca="false">AU158*K158</f>
        <v>25.9517255541622</v>
      </c>
      <c r="AW158" s="893" t="n">
        <f aca="false">IF(AV158&gt;($CP158+$BF$4),1,0)</f>
        <v>0</v>
      </c>
      <c r="AX158" s="892" t="n">
        <f aca="false">IF(Tables!$E$30="New York",INDEX('NY Curve'!$A$4:$L$256,MATCH('Monthly Table'!$B158,'NY Curve'!$A$4:$A$256,0),MATCH("New York Saturday Shoulder Peak",'NY Curve'!$A$4:$L$4,0)),IF(Tables!$E$30="Michigan",INDEX('Michigan Curve'!$A$4:$K$256,MATCH('Monthly Table'!$B158,'Michigan Curve'!$A$4:$A$256,0),MATCH("Michigan Saturday Shoulder Peak",'Michigan Curve'!$A$4:$K$4,0))))</f>
        <v>20</v>
      </c>
      <c r="AY158" s="895" t="n">
        <f aca="false">AX158*K158</f>
        <v>25.9517255541622</v>
      </c>
      <c r="AZ158" s="893" t="n">
        <f aca="false">IF(AY158&gt;($CP158+$BF$4),1,0)</f>
        <v>0</v>
      </c>
      <c r="BA158" s="188"/>
      <c r="BB158" s="892" t="n">
        <f aca="false">IF(Tables!$E$30="New York",INDEX('NY Curve'!$A$4:$M$256,MATCH('Monthly Table'!$B158,'NY Curve'!$A$4:$A$256,0),MATCH("NY Sunday Super Peak",'NY Curve'!$A$4:$M$4,0)),IF(Tables!$E$30="Michigan",INDEX('Michigan Curve'!$A$4:$L$256,MATCH('Monthly Table'!$B158,'Michigan Curve'!$A$4:$A$256,0),MATCH("Michigan Sunday Super Peak",'Michigan Curve'!$A$4:$L$4,0))))</f>
        <v>18.9950008392334</v>
      </c>
      <c r="BC158" s="894" t="n">
        <f aca="false">BB158*K158</f>
        <v>24.6476524340433</v>
      </c>
      <c r="BD158" s="893" t="n">
        <f aca="false">IF(BC158&gt;($CP158+$BF$4),1,0)</f>
        <v>0</v>
      </c>
      <c r="BE158" s="188"/>
      <c r="BF158" s="896" t="n">
        <f aca="false">B158</f>
        <v>41365</v>
      </c>
      <c r="BG158" s="897" t="n">
        <f aca="false">IF($AN158=1,$E158*$BF$5,0)</f>
        <v>0</v>
      </c>
      <c r="BH158" s="976" t="n">
        <f aca="false">IF(Tables!$B$36="Combined Cycle",(BF158-BF157)*24*Assumptions!$B$21,0)</f>
        <v>0</v>
      </c>
      <c r="BI158" s="714" t="n">
        <f aca="false">IF($AN158=1,$E158*$BF$5,0)</f>
        <v>0</v>
      </c>
      <c r="BJ158" s="898" t="n">
        <f aca="false">IF('Monthly Table'!D158&lt;=Tables!$B$21,IF($BJ$10=$BG$10,BG158,IF($BJ$10=$BH$10,BH158,IF($BJ$10=$BI$10,BI158,0))),0)</f>
        <v>0</v>
      </c>
      <c r="BK158" s="288"/>
      <c r="BL158" s="898" t="n">
        <f aca="false">IF($AW158=1,$F158*$BF$5,0)</f>
        <v>0</v>
      </c>
      <c r="BM158" s="898" t="n">
        <f aca="false">IF($BD158=1,($G158+H158)*$BF$5,0)</f>
        <v>0</v>
      </c>
      <c r="BO158" s="898" t="n">
        <f aca="false">IF(AS158=1,BJ158,0)</f>
        <v>0</v>
      </c>
      <c r="BP158" s="898" t="n">
        <f aca="false">IF(AZ158=1,F158*$BF$5,0)</f>
        <v>0</v>
      </c>
      <c r="BR158" s="899" t="n">
        <f aca="false">IF(BJ158&gt;0,INDEX(OperationalDetail,MATCH("Capacity Degradation",ODColumn,0),MATCH('Monthly Table'!C158,ODRow,0)),0)</f>
        <v>0</v>
      </c>
      <c r="BS158" s="900" t="n">
        <f aca="false">BJ158*(1-BR158)*Tables!$C$36</f>
        <v>0</v>
      </c>
      <c r="BT158" s="883" t="n">
        <f aca="false">BS158*AL158/1000</f>
        <v>0</v>
      </c>
      <c r="BU158" s="883" t="n">
        <f aca="false">BT158*K158</f>
        <v>0</v>
      </c>
      <c r="BV158" s="188"/>
      <c r="BW158" s="901" t="n">
        <f aca="false">$BO158*(1-$BR158)*Tables!$C$36</f>
        <v>0</v>
      </c>
      <c r="BX158" s="902" t="n">
        <f aca="false">(BW158*AQ158)/1000</f>
        <v>0</v>
      </c>
      <c r="BY158" s="883" t="n">
        <f aca="false">BX158*K158</f>
        <v>0</v>
      </c>
      <c r="BZ158" s="188"/>
      <c r="CA158" s="901" t="n">
        <f aca="false">$BL158*(1-$BR158)*Tables!$C$36</f>
        <v>0</v>
      </c>
      <c r="CB158" s="902" t="n">
        <f aca="false">(CA158*AU158)/1000</f>
        <v>0</v>
      </c>
      <c r="CC158" s="883" t="n">
        <f aca="false">CB158*K158</f>
        <v>0</v>
      </c>
      <c r="CD158" s="901" t="n">
        <f aca="false">$BP158*(1-$BR158)*Tables!$C$36</f>
        <v>0</v>
      </c>
      <c r="CE158" s="902" t="n">
        <f aca="false">(CD158*AX158)/1000</f>
        <v>0</v>
      </c>
      <c r="CF158" s="883" t="n">
        <f aca="false">CE158*K158</f>
        <v>0</v>
      </c>
      <c r="CH158" s="901" t="n">
        <f aca="false">$BM158*(1-$BR158)*Tables!$C$36</f>
        <v>0</v>
      </c>
      <c r="CI158" s="902" t="n">
        <f aca="false">(CH158*BB158)/1000</f>
        <v>0</v>
      </c>
      <c r="CJ158" s="883" t="n">
        <f aca="false">CI158*K158</f>
        <v>0</v>
      </c>
      <c r="CK158" s="292"/>
      <c r="CL158" s="292" t="n">
        <f aca="false">C158-1</f>
        <v>2012</v>
      </c>
      <c r="CM158" s="903" t="n">
        <f aca="false">INDEX(OperationalDetail,MATCH("Degraded Heat Rate",ODColumn,0),MATCH('Monthly Table'!CL158,ODRow,0))/1000</f>
        <v>12.1701372</v>
      </c>
      <c r="CN158" s="904" t="n">
        <f aca="false">S158*CM158</f>
        <v>61.0990223003373</v>
      </c>
      <c r="CO158" s="905" t="n">
        <f aca="false">IF(A158="January",(CO157*(1+Assumptions!$E$32)),CO157)</f>
        <v>8.54240113750035</v>
      </c>
      <c r="CP158" s="906" t="n">
        <f aca="false">CN158+CO158</f>
        <v>69.6414234378376</v>
      </c>
      <c r="CQ158" s="292"/>
      <c r="CR158" s="856" t="str">
        <f aca="false">IF(BJ158=0,"",C158)</f>
        <v/>
      </c>
      <c r="CS158" s="856" t="str">
        <f aca="false">IF(BO158=0,"",$C158)</f>
        <v/>
      </c>
      <c r="CT158" s="856" t="str">
        <f aca="false">IF(BL158=0,"",$C158)</f>
        <v/>
      </c>
      <c r="CU158" s="856" t="str">
        <f aca="false">IF(BP158=0,"",$C158)</f>
        <v/>
      </c>
      <c r="CV158" s="856" t="str">
        <f aca="false">IF(BD158=0,"",$C158)</f>
        <v/>
      </c>
      <c r="CW158" s="907" t="n">
        <f aca="false">YEAR(BF158)</f>
        <v>2013</v>
      </c>
      <c r="CX158" s="908" t="n">
        <f aca="false">INDEX('NY Curve'!$A$4:$G$256,MATCH('Monthly Table'!B158,'NY Curve'!$A$4:$A$256,0),MATCH("New York 5 X 16",'NY Curve'!$A$4:$G$4,0))</f>
        <v>27.1</v>
      </c>
      <c r="CY158" s="909" t="n">
        <f aca="false">K158</f>
        <v>1.29758627770811</v>
      </c>
      <c r="CZ158" s="910" t="n">
        <f aca="false">CX158*CY158</f>
        <v>35.1645881258898</v>
      </c>
      <c r="DB158" s="911"/>
      <c r="DC158" s="911"/>
    </row>
    <row r="159" customFormat="false" ht="18.75" hidden="false" customHeight="true" outlineLevel="0" collapsed="false">
      <c r="A159" s="49" t="s">
        <v>814</v>
      </c>
      <c r="B159" s="863" t="n">
        <v>41395</v>
      </c>
      <c r="C159" s="288" t="n">
        <f aca="false">YEAR(B159)</f>
        <v>2013</v>
      </c>
      <c r="D159" s="864" t="n">
        <f aca="false">IF(A159="January",D158+1,D158)</f>
        <v>13</v>
      </c>
      <c r="E159" s="865" t="n">
        <v>22</v>
      </c>
      <c r="F159" s="866" t="n">
        <v>4</v>
      </c>
      <c r="G159" s="866" t="n">
        <v>4</v>
      </c>
      <c r="H159" s="866" t="n">
        <v>1</v>
      </c>
      <c r="I159" s="867" t="n">
        <f aca="false">SUM(E159:H159)</f>
        <v>31</v>
      </c>
      <c r="J159" s="868"/>
      <c r="K159" s="869" t="n">
        <f aca="false">INDEX(FX!$A$3:$C$362,MATCH(B159,FX!$A$3:$A$362,0),MATCH("Monthly Curve",FX!$A$2:$C$2,0))</f>
        <v>1.29680020794808</v>
      </c>
      <c r="L159" s="869"/>
      <c r="M159" s="987" t="n">
        <v>3.3045</v>
      </c>
      <c r="N159" s="988" t="n">
        <v>0.145</v>
      </c>
      <c r="O159" s="986" t="n">
        <v>0.1</v>
      </c>
      <c r="P159" s="872" t="n">
        <f aca="false">N159+O159</f>
        <v>0.245</v>
      </c>
      <c r="Q159" s="873" t="n">
        <f aca="false">SUM(M159:O159)</f>
        <v>3.5495</v>
      </c>
      <c r="R159" s="974" t="n">
        <f aca="false">IF(A159="January",(R158+R158*Assumptions!$E$32),R158)</f>
        <v>0.38088564620082</v>
      </c>
      <c r="S159" s="875" t="n">
        <f aca="false">(Q159*K159)+R159</f>
        <v>4.98387798431253</v>
      </c>
      <c r="T159" s="869"/>
      <c r="U159" s="984"/>
      <c r="V159" s="978"/>
      <c r="W159" s="978"/>
      <c r="X159" s="971"/>
      <c r="Y159" s="975" t="n">
        <f aca="false">Tables!$D$36</f>
        <v>312</v>
      </c>
      <c r="Z159" s="879" t="n">
        <f aca="false">IF($Z$10=$V$10,V159,IF($Z$10=$W$10,W159,IF($Z$10=$X$10,X159,0)))</f>
        <v>0</v>
      </c>
      <c r="AA159" s="880" t="n">
        <f aca="false">Y159*Z159</f>
        <v>0</v>
      </c>
      <c r="AB159" s="881" t="n">
        <f aca="false">AA159*K159</f>
        <v>0</v>
      </c>
      <c r="AC159" s="188"/>
      <c r="AD159" s="882" t="n">
        <f aca="false">IF(Tables!$E$30="Michigan",INDEX('Michigan Curve'!$A$4:$S$256,MATCH('Monthly Table'!B159,'Michigan Curve'!$A$4:$A$256,0),MATCH("Michigan Selected Option Value US$/month",'Michigan Curve'!$A$4:$S$4,0)),INDEX('NY Curve'!$A$4:$T$256,MATCH('Monthly Table'!B159,'NY Curve'!$A$4:$A$256,0),MATCH("New York Selected Option Value US$/month",'NY Curve'!$A$4:$T$4,0)))</f>
        <v>23208.3443058107</v>
      </c>
      <c r="AE159" s="883" t="n">
        <f aca="false">AD159*K159</f>
        <v>30096.5857219059</v>
      </c>
      <c r="AF159" s="188"/>
      <c r="AG159" s="884"/>
      <c r="AH159" s="49"/>
      <c r="AI159" s="885" t="n">
        <f aca="false">Assumptions!$B$50</f>
        <v>65</v>
      </c>
      <c r="AJ159" s="916"/>
      <c r="AK159" s="887" t="n">
        <f aca="false">IF(Tables!$E$30="Custom",'Monthly Table'!AI159,IF(Tables!$E$30="New York",INDEX('NY Curve'!$A$4:$G$256,MATCH('Monthly Table'!B159,'NY Curve'!$A$4:$A$256,0),MATCH("Super Peak Curve",'NY Curve'!$A$4:$G$4,0)),IF(Tables!$E$30="New York Flat",INDEX('NY Curve'!$A$4:$G$256,MATCH('Monthly Table'!B159,'NY Curve'!$A$4:$A$256,0),MATCH("Flat NY West",'NY Curve'!$A$4:$G$4,0)),INDEX('Michigan Curve'!$A$4:$F$256,MATCH('Monthly Table'!B159,'Michigan Curve'!$A$4:$A$256,0),MATCH("Michigan Super Peak Curve US$/MWhr",'Michigan Curve'!$A$4:$F$4,0)))))</f>
        <v>36.0543750599027</v>
      </c>
      <c r="AL159" s="888" t="n">
        <f aca="false">IF(D159&lt;=Tables!$B$21,IF($AL$10=$AI$10,AI159,IF($AL$10=$AJ$10,AJ159,IF($AL$10=$AK$10,AK159,0))),0)</f>
        <v>36.0543750599027</v>
      </c>
      <c r="AM159" s="889" t="n">
        <f aca="false">+AL159*K159</f>
        <v>46.7553210751199</v>
      </c>
      <c r="AN159" s="890" t="n">
        <f aca="false">IF((AL159*K159)&gt;(CP159+$BF$4),1,0)</f>
        <v>0</v>
      </c>
      <c r="AO159" s="891"/>
      <c r="AP159" s="894"/>
      <c r="AQ159" s="892" t="n">
        <f aca="false">IF(Tables!$E$30="New York",INDEX('NY Curve'!$A$4:$L$256,MATCH('Monthly Table'!B159,'NY Curve'!$A$4:$A$256,0),MATCH("New York Shoulder Hour Curve Mon-Fri",'NY Curve'!$A$4:$L$4,0)),IF(Tables!$E$30="Michigan",INDEX('Michigan Curve'!$A$4:$K$256,MATCH('Monthly Table'!B159,'Michigan Curve'!$A$4:$A$256,0),MATCH("Michigan Shoulder Hour Curve Mon-Fri",'Michigan Curve'!$A$4:$K$4,0))))</f>
        <v>30.9456249400973</v>
      </c>
      <c r="AR159" s="889" t="n">
        <f aca="false">AQ159*K159</f>
        <v>40.1302928574015</v>
      </c>
      <c r="AS159" s="893" t="n">
        <f aca="false">IF(AR159&gt;($CP159+$BF$4),1,0)</f>
        <v>0</v>
      </c>
      <c r="AT159" s="188"/>
      <c r="AU159" s="892" t="n">
        <f aca="false">IF(Tables!$E$30="New York",INDEX('NY Curve'!$A$4:$L$256,MATCH('Monthly Table'!$B159,'NY Curve'!$A$4:$A$256,0),MATCH("New York Saturday Super Peak",'NY Curve'!$A$4:$L$4,0)),IF(Tables!$E$30="Michigan",INDEX('Michigan Curve'!$A$4:$K$256,MATCH('Monthly Table'!$B159,'Michigan Curve'!$A$4:$A$256,0),MATCH("Michigan Saturday Super Peak",'Michigan Curve'!$A$4:$K$4,0))))</f>
        <v>22.6012500375509</v>
      </c>
      <c r="AV159" s="894" t="n">
        <f aca="false">AU159*K159</f>
        <v>29.3093057485826</v>
      </c>
      <c r="AW159" s="893" t="n">
        <f aca="false">IF(AV159&gt;($CP159+$BF$4),1,0)</f>
        <v>0</v>
      </c>
      <c r="AX159" s="892" t="n">
        <f aca="false">IF(Tables!$E$30="New York",INDEX('NY Curve'!$A$4:$L$256,MATCH('Monthly Table'!$B159,'NY Curve'!$A$4:$A$256,0),MATCH("New York Saturday Shoulder Peak",'NY Curve'!$A$4:$L$4,0)),IF(Tables!$E$30="Michigan",INDEX('Michigan Curve'!$A$4:$K$256,MATCH('Monthly Table'!$B159,'Michigan Curve'!$A$4:$A$256,0),MATCH("Michigan Saturday Shoulder Peak",'Michigan Curve'!$A$4:$K$4,0))))</f>
        <v>19.3987499624491</v>
      </c>
      <c r="AY159" s="895" t="n">
        <f aca="false">AX159*K159</f>
        <v>25.1563029852368</v>
      </c>
      <c r="AZ159" s="893" t="n">
        <f aca="false">IF(AY159&gt;($CP159+$BF$4),1,0)</f>
        <v>0</v>
      </c>
      <c r="BA159" s="188"/>
      <c r="BB159" s="892" t="n">
        <f aca="false">IF(Tables!$E$30="New York",INDEX('NY Curve'!$A$4:$M$256,MATCH('Monthly Table'!$B159,'NY Curve'!$A$4:$A$256,0),MATCH("NY Sunday Super Peak",'NY Curve'!$A$4:$M$4,0)),IF(Tables!$E$30="Michigan",INDEX('Michigan Curve'!$A$4:$L$256,MATCH('Monthly Table'!$B159,'Michigan Curve'!$A$4:$A$256,0),MATCH("Michigan Sunday Super Peak",'Michigan Curve'!$A$4:$L$4,0))))</f>
        <v>21.5303803825468</v>
      </c>
      <c r="BC159" s="894" t="n">
        <f aca="false">BB159*K159</f>
        <v>27.9206017572879</v>
      </c>
      <c r="BD159" s="893" t="n">
        <f aca="false">IF(BC159&gt;($CP159+$BF$4),1,0)</f>
        <v>0</v>
      </c>
      <c r="BE159" s="188"/>
      <c r="BF159" s="896" t="n">
        <f aca="false">B159</f>
        <v>41395</v>
      </c>
      <c r="BG159" s="897" t="n">
        <f aca="false">IF($AN159=1,$E159*$BF$5,0)</f>
        <v>0</v>
      </c>
      <c r="BH159" s="976" t="n">
        <f aca="false">IF(Tables!$B$36="Combined Cycle",(BF159-BF158)*24*Assumptions!$B$21,0)</f>
        <v>0</v>
      </c>
      <c r="BI159" s="714" t="n">
        <f aca="false">IF($AN159=1,$E159*$BF$5,0)</f>
        <v>0</v>
      </c>
      <c r="BJ159" s="898" t="n">
        <f aca="false">IF('Monthly Table'!D159&lt;=Tables!$B$21,IF($BJ$10=$BG$10,BG159,IF($BJ$10=$BH$10,BH159,IF($BJ$10=$BI$10,BI159,0))),0)</f>
        <v>0</v>
      </c>
      <c r="BK159" s="288"/>
      <c r="BL159" s="898" t="n">
        <f aca="false">IF($AW159=1,$F159*$BF$5,0)</f>
        <v>0</v>
      </c>
      <c r="BM159" s="898" t="n">
        <f aca="false">IF($BD159=1,($G159+H159)*$BF$5,0)</f>
        <v>0</v>
      </c>
      <c r="BO159" s="898" t="n">
        <f aca="false">IF(AS159=1,BJ159,0)</f>
        <v>0</v>
      </c>
      <c r="BP159" s="898" t="n">
        <f aca="false">IF(AZ159=1,F159*$BF$5,0)</f>
        <v>0</v>
      </c>
      <c r="BR159" s="899" t="n">
        <f aca="false">IF(BJ159&gt;0,INDEX(OperationalDetail,MATCH("Capacity Degradation",ODColumn,0),MATCH('Monthly Table'!C159,ODRow,0)),0)</f>
        <v>0</v>
      </c>
      <c r="BS159" s="900" t="n">
        <f aca="false">BJ159*(1-BR159)*Tables!$C$36</f>
        <v>0</v>
      </c>
      <c r="BT159" s="883" t="n">
        <f aca="false">BS159*AL159/1000</f>
        <v>0</v>
      </c>
      <c r="BU159" s="883" t="n">
        <f aca="false">BT159*K159</f>
        <v>0</v>
      </c>
      <c r="BV159" s="188"/>
      <c r="BW159" s="901" t="n">
        <f aca="false">$BO159*(1-$BR159)*Tables!$C$36</f>
        <v>0</v>
      </c>
      <c r="BX159" s="902" t="n">
        <f aca="false">(BW159*AQ159)/1000</f>
        <v>0</v>
      </c>
      <c r="BY159" s="883" t="n">
        <f aca="false">BX159*K159</f>
        <v>0</v>
      </c>
      <c r="BZ159" s="188"/>
      <c r="CA159" s="901" t="n">
        <f aca="false">$BL159*(1-$BR159)*Tables!$C$36</f>
        <v>0</v>
      </c>
      <c r="CB159" s="902" t="n">
        <f aca="false">(CA159*AU159)/1000</f>
        <v>0</v>
      </c>
      <c r="CC159" s="883" t="n">
        <f aca="false">CB159*K159</f>
        <v>0</v>
      </c>
      <c r="CD159" s="901" t="n">
        <f aca="false">$BP159*(1-$BR159)*Tables!$C$36</f>
        <v>0</v>
      </c>
      <c r="CE159" s="902" t="n">
        <f aca="false">(CD159*AX159)/1000</f>
        <v>0</v>
      </c>
      <c r="CF159" s="883" t="n">
        <f aca="false">CE159*K159</f>
        <v>0</v>
      </c>
      <c r="CH159" s="901" t="n">
        <f aca="false">$BM159*(1-$BR159)*Tables!$C$36</f>
        <v>0</v>
      </c>
      <c r="CI159" s="902" t="n">
        <f aca="false">(CH159*BB159)/1000</f>
        <v>0</v>
      </c>
      <c r="CJ159" s="883" t="n">
        <f aca="false">CI159*K159</f>
        <v>0</v>
      </c>
      <c r="CK159" s="292"/>
      <c r="CL159" s="292" t="n">
        <f aca="false">C159-1</f>
        <v>2012</v>
      </c>
      <c r="CM159" s="903" t="n">
        <f aca="false">INDEX(OperationalDetail,MATCH("Degraded Heat Rate",ODColumn,0),MATCH('Monthly Table'!CL159,ODRow,0))/1000</f>
        <v>12.1701372</v>
      </c>
      <c r="CN159" s="904" t="n">
        <f aca="false">S159*CM159</f>
        <v>60.654478857143</v>
      </c>
      <c r="CO159" s="905" t="n">
        <f aca="false">IF(A159="January",(CO158*(1+Assumptions!$E$32)),CO158)</f>
        <v>8.54240113750035</v>
      </c>
      <c r="CP159" s="906" t="n">
        <f aca="false">CN159+CO159</f>
        <v>69.1968799946433</v>
      </c>
      <c r="CQ159" s="292"/>
      <c r="CR159" s="856" t="str">
        <f aca="false">IF(BJ159=0,"",C159)</f>
        <v/>
      </c>
      <c r="CS159" s="856" t="str">
        <f aca="false">IF(BO159=0,"",$C159)</f>
        <v/>
      </c>
      <c r="CT159" s="856" t="str">
        <f aca="false">IF(BL159=0,"",$C159)</f>
        <v/>
      </c>
      <c r="CU159" s="856" t="str">
        <f aca="false">IF(BP159=0,"",$C159)</f>
        <v/>
      </c>
      <c r="CV159" s="856" t="str">
        <f aca="false">IF(BD159=0,"",$C159)</f>
        <v/>
      </c>
      <c r="CW159" s="907" t="n">
        <f aca="false">YEAR(BF159)</f>
        <v>2013</v>
      </c>
      <c r="CX159" s="908" t="n">
        <f aca="false">INDEX('NY Curve'!$A$4:$G$256,MATCH('Monthly Table'!B159,'NY Curve'!$A$4:$A$256,0),MATCH("New York 5 X 16",'NY Curve'!$A$4:$G$4,0))</f>
        <v>32.15</v>
      </c>
      <c r="CY159" s="909" t="n">
        <f aca="false">K159</f>
        <v>1.29680020794808</v>
      </c>
      <c r="CZ159" s="910" t="n">
        <f aca="false">CX159*CY159</f>
        <v>41.6921266855308</v>
      </c>
      <c r="DB159" s="911"/>
      <c r="DC159" s="911"/>
    </row>
    <row r="160" customFormat="false" ht="18.75" hidden="false" customHeight="true" outlineLevel="0" collapsed="false">
      <c r="A160" s="49" t="s">
        <v>815</v>
      </c>
      <c r="B160" s="863" t="n">
        <v>41426</v>
      </c>
      <c r="C160" s="288" t="n">
        <f aca="false">YEAR(B160)</f>
        <v>2013</v>
      </c>
      <c r="D160" s="864" t="n">
        <f aca="false">IF(A160="January",D159+1,D159)</f>
        <v>13</v>
      </c>
      <c r="E160" s="865" t="n">
        <v>20</v>
      </c>
      <c r="F160" s="866" t="n">
        <v>5</v>
      </c>
      <c r="G160" s="866" t="n">
        <v>5</v>
      </c>
      <c r="H160" s="866" t="n">
        <v>0</v>
      </c>
      <c r="I160" s="867" t="n">
        <f aca="false">SUM(E160:H160)</f>
        <v>30</v>
      </c>
      <c r="J160" s="868"/>
      <c r="K160" s="869" t="n">
        <f aca="false">INDEX(FX!$A$3:$C$362,MATCH(B160,FX!$A$3:$A$362,0),MATCH("Monthly Curve",FX!$A$2:$C$2,0))</f>
        <v>1.2959902747915</v>
      </c>
      <c r="L160" s="869"/>
      <c r="M160" s="987" t="n">
        <v>3.3135</v>
      </c>
      <c r="N160" s="988" t="n">
        <v>0.145</v>
      </c>
      <c r="O160" s="986" t="n">
        <v>0.1</v>
      </c>
      <c r="P160" s="872" t="n">
        <f aca="false">N160+O160</f>
        <v>0.245</v>
      </c>
      <c r="Q160" s="873" t="n">
        <f aca="false">SUM(M160:O160)</f>
        <v>3.5585</v>
      </c>
      <c r="R160" s="974" t="n">
        <f aca="false">IF(A160="January",(R159+R159*Assumptions!$E$32),R159)</f>
        <v>0.38088564620082</v>
      </c>
      <c r="S160" s="875" t="n">
        <f aca="false">(Q160*K160)+R160</f>
        <v>4.99266703904637</v>
      </c>
      <c r="T160" s="869"/>
      <c r="U160" s="984"/>
      <c r="V160" s="978"/>
      <c r="W160" s="978"/>
      <c r="X160" s="971"/>
      <c r="Y160" s="975" t="n">
        <f aca="false">Tables!$D$36</f>
        <v>312</v>
      </c>
      <c r="Z160" s="879" t="n">
        <f aca="false">IF($Z$10=$V$10,V160,IF($Z$10=$W$10,W160,IF($Z$10=$X$10,X160,0)))</f>
        <v>0</v>
      </c>
      <c r="AA160" s="880" t="n">
        <f aca="false">Y160*Z160</f>
        <v>0</v>
      </c>
      <c r="AB160" s="881" t="n">
        <f aca="false">AA160*K160</f>
        <v>0</v>
      </c>
      <c r="AC160" s="188"/>
      <c r="AD160" s="882" t="n">
        <f aca="false">IF(Tables!$E$30="Michigan",INDEX('Michigan Curve'!$A$4:$S$256,MATCH('Monthly Table'!B160,'Michigan Curve'!$A$4:$A$256,0),MATCH("Michigan Selected Option Value US$/month",'Michigan Curve'!$A$4:$S$4,0)),INDEX('NY Curve'!$A$4:$T$256,MATCH('Monthly Table'!B160,'NY Curve'!$A$4:$A$256,0),MATCH("New York Selected Option Value US$/month",'NY Curve'!$A$4:$T$4,0)))</f>
        <v>98274.8064026923</v>
      </c>
      <c r="AE160" s="883" t="n">
        <f aca="false">AD160*K160</f>
        <v>127363.193354907</v>
      </c>
      <c r="AF160" s="188"/>
      <c r="AG160" s="884"/>
      <c r="AH160" s="49"/>
      <c r="AI160" s="885" t="n">
        <f aca="false">Assumptions!$B$50</f>
        <v>65</v>
      </c>
      <c r="AJ160" s="916"/>
      <c r="AK160" s="887" t="n">
        <f aca="false">IF(Tables!$E$30="Custom",'Monthly Table'!AI160,IF(Tables!$E$30="New York",INDEX('NY Curve'!$A$4:$G$256,MATCH('Monthly Table'!B160,'NY Curve'!$A$4:$A$256,0),MATCH("Super Peak Curve",'NY Curve'!$A$4:$G$4,0)),IF(Tables!$E$30="New York Flat",INDEX('NY Curve'!$A$4:$G$256,MATCH('Monthly Table'!B160,'NY Curve'!$A$4:$A$256,0),MATCH("Flat NY West",'NY Curve'!$A$4:$G$4,0)),INDEX('Michigan Curve'!$A$4:$F$256,MATCH('Monthly Table'!B160,'Michigan Curve'!$A$4:$A$256,0),MATCH("Michigan Super Peak Curve US$/MWhr",'Michigan Curve'!$A$4:$F$4,0)))))</f>
        <v>85.2285627910069</v>
      </c>
      <c r="AL160" s="888" t="n">
        <f aca="false">IF(D160&lt;=Tables!$B$21,IF($AL$10=$AI$10,AI160,IF($AL$10=$AJ$10,AJ160,IF($AL$10=$AK$10,AK160,0))),0)</f>
        <v>85.2285627910069</v>
      </c>
      <c r="AM160" s="889" t="n">
        <f aca="false">+AL160*K160</f>
        <v>110.455388511602</v>
      </c>
      <c r="AN160" s="890" t="n">
        <f aca="false">IF((AL160*K160)&gt;(CP160+$BF$4),1,0)</f>
        <v>1</v>
      </c>
      <c r="AO160" s="891"/>
      <c r="AP160" s="894"/>
      <c r="AQ160" s="892" t="n">
        <f aca="false">IF(Tables!$E$30="New York",INDEX('NY Curve'!$A$4:$L$256,MATCH('Monthly Table'!B160,'NY Curve'!$A$4:$A$256,0),MATCH("New York Shoulder Hour Curve Mon-Fri",'NY Curve'!$A$4:$L$4,0)),IF(Tables!$E$30="Michigan",INDEX('Michigan Curve'!$A$4:$K$256,MATCH('Monthly Table'!B160,'Michigan Curve'!$A$4:$A$256,0),MATCH("Michigan Shoulder Hour Curve Mon-Fri",'Michigan Curve'!$A$4:$K$4,0))))</f>
        <v>23.2714372089931</v>
      </c>
      <c r="AR160" s="889" t="n">
        <f aca="false">AQ160*K160</f>
        <v>30.1595563032761</v>
      </c>
      <c r="AS160" s="893" t="n">
        <f aca="false">IF(AR160&gt;($CP160+$BF$4),1,0)</f>
        <v>0</v>
      </c>
      <c r="AT160" s="188"/>
      <c r="AU160" s="892" t="n">
        <f aca="false">IF(Tables!$E$30="New York",INDEX('NY Curve'!$A$4:$L$256,MATCH('Monthly Table'!$B160,'NY Curve'!$A$4:$A$256,0),MATCH("New York Saturday Super Peak",'NY Curve'!$A$4:$L$4,0)),IF(Tables!$E$30="Michigan",INDEX('Michigan Curve'!$A$4:$K$256,MATCH('Monthly Table'!$B160,'Michigan Curve'!$A$4:$A$256,0),MATCH("Michigan Saturday Super Peak",'Michigan Curve'!$A$4:$K$4,0))))</f>
        <v>40.8468688030632</v>
      </c>
      <c r="AV160" s="894" t="n">
        <f aca="false">AU160*K160</f>
        <v>52.9371447244542</v>
      </c>
      <c r="AW160" s="893" t="n">
        <f aca="false">IF(AV160&gt;($CP160+$BF$4),1,0)</f>
        <v>0</v>
      </c>
      <c r="AX160" s="892" t="n">
        <f aca="false">IF(Tables!$E$30="New York",INDEX('NY Curve'!$A$4:$L$256,MATCH('Monthly Table'!$B160,'NY Curve'!$A$4:$A$256,0),MATCH("New York Saturday Shoulder Peak",'NY Curve'!$A$4:$L$4,0)),IF(Tables!$E$30="Michigan",INDEX('Michigan Curve'!$A$4:$K$256,MATCH('Monthly Table'!$B160,'Michigan Curve'!$A$4:$A$256,0),MATCH("Michigan Saturday Shoulder Peak",'Michigan Curve'!$A$4:$K$4,0))))</f>
        <v>11.1531311969368</v>
      </c>
      <c r="AY160" s="895" t="n">
        <f aca="false">AX160*K160</f>
        <v>14.4543495647038</v>
      </c>
      <c r="AZ160" s="893" t="n">
        <f aca="false">IF(AY160&gt;($CP160+$BF$4),1,0)</f>
        <v>0</v>
      </c>
      <c r="BA160" s="188"/>
      <c r="BB160" s="892" t="n">
        <f aca="false">IF(Tables!$E$30="New York",INDEX('NY Curve'!$A$4:$M$256,MATCH('Monthly Table'!$B160,'NY Curve'!$A$4:$A$256,0),MATCH("NY Sunday Super Peak",'NY Curve'!$A$4:$M$4,0)),IF(Tables!$E$30="Michigan",INDEX('Michigan Curve'!$A$4:$L$256,MATCH('Monthly Table'!$B160,'Michigan Curve'!$A$4:$A$256,0),MATCH("Michigan Sunday Super Peak",'Michigan Curve'!$A$4:$L$4,0))))</f>
        <v>37.7048019720583</v>
      </c>
      <c r="BC160" s="894" t="n">
        <f aca="false">BB160*K160</f>
        <v>48.865056668727</v>
      </c>
      <c r="BD160" s="893" t="n">
        <f aca="false">IF(BC160&gt;($CP160+$BF$4),1,0)</f>
        <v>0</v>
      </c>
      <c r="BE160" s="188"/>
      <c r="BF160" s="896" t="n">
        <f aca="false">B160</f>
        <v>41426</v>
      </c>
      <c r="BG160" s="897" t="n">
        <f aca="false">IF($AN160=1,$E160*$BF$5,0)</f>
        <v>160</v>
      </c>
      <c r="BH160" s="976" t="n">
        <f aca="false">IF(Tables!$B$36="Combined Cycle",(BF160-BF159)*24*Assumptions!$B$21,0)</f>
        <v>0</v>
      </c>
      <c r="BI160" s="714" t="n">
        <f aca="false">IF($AN160=1,$E160*$BF$5,0)</f>
        <v>160</v>
      </c>
      <c r="BJ160" s="898" t="n">
        <f aca="false">IF('Monthly Table'!D160&lt;=Tables!$B$21,IF($BJ$10=$BG$10,BG160,IF($BJ$10=$BH$10,BH160,IF($BJ$10=$BI$10,BI160,0))),0)</f>
        <v>160</v>
      </c>
      <c r="BK160" s="288"/>
      <c r="BL160" s="898" t="n">
        <f aca="false">IF($AW160=1,$F160*$BF$5,0)</f>
        <v>0</v>
      </c>
      <c r="BM160" s="898" t="n">
        <f aca="false">IF($BD160=1,($G160+H160)*$BF$5,0)</f>
        <v>0</v>
      </c>
      <c r="BO160" s="898" t="n">
        <f aca="false">IF(AS160=1,BJ160,0)</f>
        <v>0</v>
      </c>
      <c r="BP160" s="898" t="n">
        <f aca="false">IF(AZ160=1,F160*$BF$5,0)</f>
        <v>0</v>
      </c>
      <c r="BR160" s="899" t="n">
        <f aca="false">IF(BJ160&gt;0,INDEX(OperationalDetail,MATCH("Capacity Degradation",ODColumn,0),MATCH('Monthly Table'!C160,ODRow,0)),0)</f>
        <v>5E-005</v>
      </c>
      <c r="BS160" s="900" t="n">
        <f aca="false">BJ160*(1-BR160)*Tables!$C$36</f>
        <v>51837.408</v>
      </c>
      <c r="BT160" s="883" t="n">
        <f aca="false">BS160*AL160/1000</f>
        <v>4418.02778265104</v>
      </c>
      <c r="BU160" s="883" t="n">
        <f aca="false">BT160*K160</f>
        <v>5725.72104007441</v>
      </c>
      <c r="BV160" s="188"/>
      <c r="BW160" s="901" t="n">
        <f aca="false">$BO160*(1-$BR160)*Tables!$C$36</f>
        <v>0</v>
      </c>
      <c r="BX160" s="902" t="n">
        <f aca="false">(BW160*AQ160)/1000</f>
        <v>0</v>
      </c>
      <c r="BY160" s="883" t="n">
        <f aca="false">BX160*K160</f>
        <v>0</v>
      </c>
      <c r="BZ160" s="188"/>
      <c r="CA160" s="901" t="n">
        <f aca="false">$BL160*(1-$BR160)*Tables!$C$36</f>
        <v>0</v>
      </c>
      <c r="CB160" s="902" t="n">
        <f aca="false">(CA160*AU160)/1000</f>
        <v>0</v>
      </c>
      <c r="CC160" s="883" t="n">
        <f aca="false">CB160*K160</f>
        <v>0</v>
      </c>
      <c r="CD160" s="901" t="n">
        <f aca="false">$BP160*(1-$BR160)*Tables!$C$36</f>
        <v>0</v>
      </c>
      <c r="CE160" s="902" t="n">
        <f aca="false">(CD160*AX160)/1000</f>
        <v>0</v>
      </c>
      <c r="CF160" s="883" t="n">
        <f aca="false">CE160*K160</f>
        <v>0</v>
      </c>
      <c r="CH160" s="901" t="n">
        <f aca="false">$BM160*(1-$BR160)*Tables!$C$36</f>
        <v>0</v>
      </c>
      <c r="CI160" s="902" t="n">
        <f aca="false">(CH160*BB160)/1000</f>
        <v>0</v>
      </c>
      <c r="CJ160" s="883" t="n">
        <f aca="false">CI160*K160</f>
        <v>0</v>
      </c>
      <c r="CK160" s="292"/>
      <c r="CL160" s="292" t="n">
        <f aca="false">C160-1</f>
        <v>2012</v>
      </c>
      <c r="CM160" s="903" t="n">
        <f aca="false">INDEX(OperationalDetail,MATCH("Degraded Heat Rate",ODColumn,0),MATCH('Monthly Table'!CL160,ODRow,0))/1000</f>
        <v>12.1701372</v>
      </c>
      <c r="CN160" s="904" t="n">
        <f aca="false">S160*CM160</f>
        <v>60.7614428591121</v>
      </c>
      <c r="CO160" s="905" t="n">
        <f aca="false">IF(A160="January",(CO159*(1+Assumptions!$E$32)),CO159)</f>
        <v>8.54240113750035</v>
      </c>
      <c r="CP160" s="906" t="n">
        <f aca="false">CN160+CO160</f>
        <v>69.3038439966125</v>
      </c>
      <c r="CQ160" s="292"/>
      <c r="CR160" s="856" t="n">
        <f aca="false">IF(BJ160=0,"",C160)</f>
        <v>2013</v>
      </c>
      <c r="CS160" s="856" t="str">
        <f aca="false">IF(BO160=0,"",$C160)</f>
        <v/>
      </c>
      <c r="CT160" s="856" t="str">
        <f aca="false">IF(BL160=0,"",$C160)</f>
        <v/>
      </c>
      <c r="CU160" s="856" t="str">
        <f aca="false">IF(BP160=0,"",$C160)</f>
        <v/>
      </c>
      <c r="CV160" s="856" t="str">
        <f aca="false">IF(BD160=0,"",$C160)</f>
        <v/>
      </c>
      <c r="CW160" s="907" t="n">
        <f aca="false">YEAR(BF160)</f>
        <v>2013</v>
      </c>
      <c r="CX160" s="908" t="n">
        <f aca="false">INDEX('NY Curve'!$A$4:$G$256,MATCH('Monthly Table'!B160,'NY Curve'!$A$4:$A$256,0),MATCH("New York 5 X 16",'NY Curve'!$A$4:$G$4,0))</f>
        <v>54.25</v>
      </c>
      <c r="CY160" s="909" t="n">
        <f aca="false">K160</f>
        <v>1.2959902747915</v>
      </c>
      <c r="CZ160" s="910" t="n">
        <f aca="false">CX160*CY160</f>
        <v>70.3074724074389</v>
      </c>
      <c r="DB160" s="911"/>
      <c r="DC160" s="911"/>
    </row>
    <row r="161" customFormat="false" ht="18.75" hidden="false" customHeight="true" outlineLevel="0" collapsed="false">
      <c r="A161" s="49" t="s">
        <v>816</v>
      </c>
      <c r="B161" s="863" t="n">
        <v>41456</v>
      </c>
      <c r="C161" s="288" t="n">
        <f aca="false">YEAR(B161)</f>
        <v>2013</v>
      </c>
      <c r="D161" s="864" t="n">
        <f aca="false">IF(A161="January",D160+1,D160)</f>
        <v>13</v>
      </c>
      <c r="E161" s="865" t="n">
        <v>22</v>
      </c>
      <c r="F161" s="866" t="n">
        <v>4</v>
      </c>
      <c r="G161" s="866" t="n">
        <v>4</v>
      </c>
      <c r="H161" s="866" t="n">
        <v>1</v>
      </c>
      <c r="I161" s="867" t="n">
        <f aca="false">SUM(E161:H161)</f>
        <v>31</v>
      </c>
      <c r="J161" s="868"/>
      <c r="K161" s="869" t="n">
        <f aca="false">INDEX(FX!$A$3:$C$362,MATCH(B161,FX!$A$3:$A$362,0),MATCH("Monthly Curve",FX!$A$2:$C$2,0))</f>
        <v>1.29520872842168</v>
      </c>
      <c r="L161" s="869"/>
      <c r="M161" s="987" t="n">
        <v>3.3225</v>
      </c>
      <c r="N161" s="988" t="n">
        <v>0.145</v>
      </c>
      <c r="O161" s="986" t="n">
        <v>0.1</v>
      </c>
      <c r="P161" s="872" t="n">
        <f aca="false">N161+O161</f>
        <v>0.245</v>
      </c>
      <c r="Q161" s="873" t="n">
        <f aca="false">SUM(M161:O161)</f>
        <v>3.5675</v>
      </c>
      <c r="R161" s="974" t="n">
        <f aca="false">IF(A161="January",(R160+R160*Assumptions!$E$32),R160)</f>
        <v>0.38088564620082</v>
      </c>
      <c r="S161" s="875" t="n">
        <f aca="false">(Q161*K161)+R161</f>
        <v>5.00154278484516</v>
      </c>
      <c r="T161" s="869"/>
      <c r="U161" s="984"/>
      <c r="V161" s="978"/>
      <c r="W161" s="978"/>
      <c r="X161" s="971"/>
      <c r="Y161" s="975" t="n">
        <f aca="false">Tables!$D$36</f>
        <v>312</v>
      </c>
      <c r="Z161" s="879" t="n">
        <f aca="false">IF($Z$10=$V$10,V161,IF($Z$10=$W$10,W161,IF($Z$10=$X$10,X161,0)))</f>
        <v>0</v>
      </c>
      <c r="AA161" s="880" t="n">
        <f aca="false">Y161*Z161</f>
        <v>0</v>
      </c>
      <c r="AB161" s="881" t="n">
        <f aca="false">AA161*K161</f>
        <v>0</v>
      </c>
      <c r="AC161" s="188"/>
      <c r="AD161" s="882" t="n">
        <f aca="false">IF(Tables!$E$30="Michigan",INDEX('Michigan Curve'!$A$4:$S$256,MATCH('Monthly Table'!B161,'Michigan Curve'!$A$4:$A$256,0),MATCH("Michigan Selected Option Value US$/month",'Michigan Curve'!$A$4:$S$4,0)),INDEX('NY Curve'!$A$4:$T$256,MATCH('Monthly Table'!B161,'NY Curve'!$A$4:$A$256,0),MATCH("New York Selected Option Value US$/month",'NY Curve'!$A$4:$T$4,0)))</f>
        <v>291367.583863832</v>
      </c>
      <c r="AE161" s="883" t="n">
        <f aca="false">AD161*K161</f>
        <v>377381.837799571</v>
      </c>
      <c r="AF161" s="188"/>
      <c r="AG161" s="884"/>
      <c r="AH161" s="49"/>
      <c r="AI161" s="885" t="n">
        <f aca="false">Assumptions!$B$50</f>
        <v>65</v>
      </c>
      <c r="AJ161" s="916"/>
      <c r="AK161" s="887" t="n">
        <f aca="false">IF(Tables!$E$30="Custom",'Monthly Table'!AI161,IF(Tables!$E$30="New York",INDEX('NY Curve'!$A$4:$G$256,MATCH('Monthly Table'!B161,'NY Curve'!$A$4:$A$256,0),MATCH("Super Peak Curve",'NY Curve'!$A$4:$G$4,0)),IF(Tables!$E$30="New York Flat",INDEX('NY Curve'!$A$4:$G$256,MATCH('Monthly Table'!B161,'NY Curve'!$A$4:$A$256,0),MATCH("Flat NY West",'NY Curve'!$A$4:$G$4,0)),INDEX('Michigan Curve'!$A$4:$F$256,MATCH('Monthly Table'!B161,'Michigan Curve'!$A$4:$A$256,0),MATCH("Michigan Super Peak Curve US$/MWhr",'Michigan Curve'!$A$4:$F$4,0)))))</f>
        <v>160.492497454525</v>
      </c>
      <c r="AL161" s="888" t="n">
        <f aca="false">IF(D161&lt;=Tables!$B$21,IF($AL$10=$AI$10,AI161,IF($AL$10=$AJ$10,AJ161,IF($AL$10=$AK$10,AK161,0))),0)</f>
        <v>160.492497454525</v>
      </c>
      <c r="AM161" s="889" t="n">
        <f aca="false">+AL161*K161</f>
        <v>207.871283549295</v>
      </c>
      <c r="AN161" s="890" t="n">
        <f aca="false">IF((AL161*K161)&gt;(CP161+$BF$4),1,0)</f>
        <v>1</v>
      </c>
      <c r="AO161" s="891"/>
      <c r="AP161" s="894"/>
      <c r="AQ161" s="892" t="n">
        <f aca="false">IF(Tables!$E$30="New York",INDEX('NY Curve'!$A$4:$L$256,MATCH('Monthly Table'!B161,'NY Curve'!$A$4:$A$256,0),MATCH("New York Shoulder Hour Curve Mon-Fri",'NY Curve'!$A$4:$L$4,0)),IF(Tables!$E$30="Michigan",INDEX('Michigan Curve'!$A$4:$K$256,MATCH('Monthly Table'!B161,'Michigan Curve'!$A$4:$A$256,0),MATCH("Michigan Shoulder Hour Curve Mon-Fri",'Michigan Curve'!$A$4:$K$4,0))))</f>
        <v>29.5075025454751</v>
      </c>
      <c r="AR161" s="889" t="n">
        <f aca="false">AQ161*K161</f>
        <v>38.2183748508243</v>
      </c>
      <c r="AS161" s="893" t="n">
        <f aca="false">IF(AR161&gt;($CP161+$BF$4),1,0)</f>
        <v>0</v>
      </c>
      <c r="AT161" s="188"/>
      <c r="AU161" s="892" t="n">
        <f aca="false">IF(Tables!$E$30="New York",INDEX('NY Curve'!$A$4:$L$256,MATCH('Monthly Table'!$B161,'NY Curve'!$A$4:$A$256,0),MATCH("New York Saturday Super Peak",'NY Curve'!$A$4:$L$4,0)),IF(Tables!$E$30="Michigan",INDEX('Michigan Curve'!$A$4:$K$256,MATCH('Monthly Table'!$B161,'Michigan Curve'!$A$4:$A$256,0),MATCH("Michigan Saturday Super Peak",'Michigan Curve'!$A$4:$K$4,0))))</f>
        <v>59.1288148516671</v>
      </c>
      <c r="AV161" s="894" t="n">
        <f aca="false">AU161*K161</f>
        <v>76.5841570971086</v>
      </c>
      <c r="AW161" s="893" t="n">
        <f aca="false">IF(AV161&gt;($CP161+$BF$4),1,0)</f>
        <v>1</v>
      </c>
      <c r="AX161" s="892" t="n">
        <f aca="false">IF(Tables!$E$30="New York",INDEX('NY Curve'!$A$4:$L$256,MATCH('Monthly Table'!$B161,'NY Curve'!$A$4:$A$256,0),MATCH("New York Saturday Shoulder Peak",'NY Curve'!$A$4:$L$4,0)),IF(Tables!$E$30="Michigan",INDEX('Michigan Curve'!$A$4:$K$256,MATCH('Monthly Table'!$B161,'Michigan Curve'!$A$4:$A$256,0),MATCH("Michigan Saturday Shoulder Peak",'Michigan Curve'!$A$4:$K$4,0))))</f>
        <v>10.8711851483329</v>
      </c>
      <c r="AY161" s="895" t="n">
        <f aca="false">AX161*K161</f>
        <v>14.080453892409</v>
      </c>
      <c r="AZ161" s="893" t="n">
        <f aca="false">IF(AY161&gt;($CP161+$BF$4),1,0)</f>
        <v>0</v>
      </c>
      <c r="BA161" s="188"/>
      <c r="BB161" s="892" t="n">
        <f aca="false">IF(Tables!$E$30="New York",INDEX('NY Curve'!$A$4:$M$256,MATCH('Monthly Table'!$B161,'NY Curve'!$A$4:$A$256,0),MATCH("NY Sunday Super Peak",'NY Curve'!$A$4:$M$4,0)),IF(Tables!$E$30="Michigan",INDEX('Michigan Curve'!$A$4:$L$256,MATCH('Monthly Table'!$B161,'Michigan Curve'!$A$4:$A$256,0),MATCH("Michigan Sunday Super Peak",'Michigan Curve'!$A$4:$L$4,0))))</f>
        <v>52.3712327892119</v>
      </c>
      <c r="BC161" s="894" t="n">
        <f aca="false">BB161*K161</f>
        <v>67.8316778267909</v>
      </c>
      <c r="BD161" s="893" t="n">
        <f aca="false">IF(BC161&gt;($CP161+$BF$4),1,0)</f>
        <v>0</v>
      </c>
      <c r="BE161" s="188"/>
      <c r="BF161" s="896" t="n">
        <f aca="false">B161</f>
        <v>41456</v>
      </c>
      <c r="BG161" s="897" t="n">
        <f aca="false">IF($AN161=1,$E161*$BF$5,0)</f>
        <v>176</v>
      </c>
      <c r="BH161" s="976" t="n">
        <f aca="false">IF(Tables!$B$36="Combined Cycle",(BF161-BF160)*24*Assumptions!$B$21,0)</f>
        <v>0</v>
      </c>
      <c r="BI161" s="714" t="n">
        <f aca="false">IF($AN161=1,$E161*$BF$5,0)</f>
        <v>176</v>
      </c>
      <c r="BJ161" s="898" t="n">
        <f aca="false">IF('Monthly Table'!D161&lt;=Tables!$B$21,IF($BJ$10=$BG$10,BG161,IF($BJ$10=$BH$10,BH161,IF($BJ$10=$BI$10,BI161,0))),0)</f>
        <v>176</v>
      </c>
      <c r="BK161" s="288"/>
      <c r="BL161" s="898" t="n">
        <f aca="false">IF($AW161=1,$F161*$BF$5,0)</f>
        <v>32</v>
      </c>
      <c r="BM161" s="898" t="n">
        <f aca="false">IF($BD161=1,($G161+H161)*$BF$5,0)</f>
        <v>0</v>
      </c>
      <c r="BO161" s="898" t="n">
        <f aca="false">IF(AS161=1,BJ161,0)</f>
        <v>0</v>
      </c>
      <c r="BP161" s="898" t="n">
        <f aca="false">IF(AZ161=1,F161*$BF$5,0)</f>
        <v>0</v>
      </c>
      <c r="BR161" s="899" t="n">
        <f aca="false">IF(BJ161&gt;0,INDEX(OperationalDetail,MATCH("Capacity Degradation",ODColumn,0),MATCH('Monthly Table'!C161,ODRow,0)),0)</f>
        <v>5E-005</v>
      </c>
      <c r="BS161" s="900" t="n">
        <f aca="false">BJ161*(1-BR161)*Tables!$C$36</f>
        <v>57021.1488</v>
      </c>
      <c r="BT161" s="883" t="n">
        <f aca="false">BS161*AL161/1000</f>
        <v>9151.46657863809</v>
      </c>
      <c r="BU161" s="883" t="n">
        <f aca="false">BT161*K161</f>
        <v>11853.0593905113</v>
      </c>
      <c r="BV161" s="188"/>
      <c r="BW161" s="901" t="n">
        <f aca="false">$BO161*(1-$BR161)*Tables!$C$36</f>
        <v>0</v>
      </c>
      <c r="BX161" s="902" t="n">
        <f aca="false">(BW161*AQ161)/1000</f>
        <v>0</v>
      </c>
      <c r="BY161" s="883" t="n">
        <f aca="false">BX161*K161</f>
        <v>0</v>
      </c>
      <c r="BZ161" s="188"/>
      <c r="CA161" s="901" t="n">
        <f aca="false">$BL161*(1-$BR161)*Tables!$C$36</f>
        <v>10367.4816</v>
      </c>
      <c r="CB161" s="902" t="n">
        <f aca="false">(CA161*AU161)/1000</f>
        <v>613.016900004465</v>
      </c>
      <c r="CC161" s="883" t="n">
        <f aca="false">CB161*K161</f>
        <v>793.984839555783</v>
      </c>
      <c r="CD161" s="901" t="n">
        <f aca="false">$BP161*(1-$BR161)*Tables!$C$36</f>
        <v>0</v>
      </c>
      <c r="CE161" s="902" t="n">
        <f aca="false">(CD161*AX161)/1000</f>
        <v>0</v>
      </c>
      <c r="CF161" s="883" t="n">
        <f aca="false">CE161*K161</f>
        <v>0</v>
      </c>
      <c r="CH161" s="901" t="n">
        <f aca="false">$BM161*(1-$BR161)*Tables!$C$36</f>
        <v>0</v>
      </c>
      <c r="CI161" s="902" t="n">
        <f aca="false">(CH161*BB161)/1000</f>
        <v>0</v>
      </c>
      <c r="CJ161" s="883" t="n">
        <f aca="false">CI161*K161</f>
        <v>0</v>
      </c>
      <c r="CK161" s="292"/>
      <c r="CL161" s="292" t="n">
        <f aca="false">C161-1</f>
        <v>2012</v>
      </c>
      <c r="CM161" s="903" t="n">
        <f aca="false">INDEX(OperationalDetail,MATCH("Degraded Heat Rate",ODColumn,0),MATCH('Monthly Table'!CL161,ODRow,0))/1000</f>
        <v>12.1701372</v>
      </c>
      <c r="CN161" s="904" t="n">
        <f aca="false">S161*CM161</f>
        <v>60.8694619032357</v>
      </c>
      <c r="CO161" s="905" t="n">
        <f aca="false">IF(A161="January",(CO160*(1+Assumptions!$E$32)),CO160)</f>
        <v>8.54240113750035</v>
      </c>
      <c r="CP161" s="906" t="n">
        <f aca="false">CN161+CO161</f>
        <v>69.4118630407361</v>
      </c>
      <c r="CQ161" s="292"/>
      <c r="CR161" s="856" t="n">
        <f aca="false">IF(BJ161=0,"",C161)</f>
        <v>2013</v>
      </c>
      <c r="CS161" s="856" t="str">
        <f aca="false">IF(BO161=0,"",$C161)</f>
        <v/>
      </c>
      <c r="CT161" s="856" t="n">
        <f aca="false">IF(BL161=0,"",$C161)</f>
        <v>2013</v>
      </c>
      <c r="CU161" s="856" t="str">
        <f aca="false">IF(BP161=0,"",$C161)</f>
        <v/>
      </c>
      <c r="CV161" s="856" t="str">
        <f aca="false">IF(BD161=0,"",$C161)</f>
        <v/>
      </c>
      <c r="CW161" s="907" t="n">
        <f aca="false">YEAR(BF161)</f>
        <v>2013</v>
      </c>
      <c r="CX161" s="908" t="n">
        <f aca="false">INDEX('NY Curve'!$A$4:$G$256,MATCH('Monthly Table'!B161,'NY Curve'!$A$4:$A$256,0),MATCH("New York 5 X 16",'NY Curve'!$A$4:$G$4,0))</f>
        <v>84</v>
      </c>
      <c r="CY161" s="909" t="n">
        <f aca="false">K161</f>
        <v>1.29520872842168</v>
      </c>
      <c r="CZ161" s="910" t="n">
        <f aca="false">CX161*CY161</f>
        <v>108.797533187421</v>
      </c>
      <c r="DB161" s="911"/>
      <c r="DC161" s="911"/>
    </row>
    <row r="162" customFormat="false" ht="18.75" hidden="false" customHeight="true" outlineLevel="0" collapsed="false">
      <c r="A162" s="49" t="s">
        <v>817</v>
      </c>
      <c r="B162" s="863" t="n">
        <v>41487</v>
      </c>
      <c r="C162" s="288" t="n">
        <f aca="false">YEAR(B162)</f>
        <v>2013</v>
      </c>
      <c r="D162" s="864" t="n">
        <f aca="false">IF(A162="January",D161+1,D161)</f>
        <v>13</v>
      </c>
      <c r="E162" s="865" t="n">
        <v>22</v>
      </c>
      <c r="F162" s="866" t="n">
        <v>5</v>
      </c>
      <c r="G162" s="866" t="n">
        <v>4</v>
      </c>
      <c r="H162" s="866" t="n">
        <v>0</v>
      </c>
      <c r="I162" s="867" t="n">
        <f aca="false">SUM(E162:H162)</f>
        <v>31</v>
      </c>
      <c r="J162" s="868"/>
      <c r="K162" s="869" t="n">
        <f aca="false">INDEX(FX!$A$3:$C$362,MATCH(B162,FX!$A$3:$A$362,0),MATCH("Monthly Curve",FX!$A$2:$C$2,0))</f>
        <v>1.29440346203129</v>
      </c>
      <c r="L162" s="869"/>
      <c r="M162" s="987" t="n">
        <v>3.3295</v>
      </c>
      <c r="N162" s="988" t="n">
        <v>0.145</v>
      </c>
      <c r="O162" s="986" t="n">
        <v>0.1</v>
      </c>
      <c r="P162" s="872" t="n">
        <f aca="false">N162+O162</f>
        <v>0.245</v>
      </c>
      <c r="Q162" s="873" t="n">
        <f aca="false">SUM(M162:O162)</f>
        <v>3.5745</v>
      </c>
      <c r="R162" s="974" t="n">
        <f aca="false">IF(A162="January",(R161+R161*Assumptions!$E$32),R161)</f>
        <v>0.38088564620082</v>
      </c>
      <c r="S162" s="875" t="n">
        <f aca="false">(Q162*K162)+R162</f>
        <v>5.00773082123167</v>
      </c>
      <c r="T162" s="869"/>
      <c r="U162" s="984"/>
      <c r="V162" s="978"/>
      <c r="W162" s="978"/>
      <c r="X162" s="971"/>
      <c r="Y162" s="975" t="n">
        <f aca="false">Tables!$D$36</f>
        <v>312</v>
      </c>
      <c r="Z162" s="879" t="n">
        <f aca="false">IF($Z$10=$V$10,V162,IF($Z$10=$W$10,W162,IF($Z$10=$X$10,X162,0)))</f>
        <v>0</v>
      </c>
      <c r="AA162" s="880" t="n">
        <f aca="false">Y162*Z162</f>
        <v>0</v>
      </c>
      <c r="AB162" s="881" t="n">
        <f aca="false">AA162*K162</f>
        <v>0</v>
      </c>
      <c r="AC162" s="188"/>
      <c r="AD162" s="882" t="n">
        <f aca="false">IF(Tables!$E$30="Michigan",INDEX('Michigan Curve'!$A$4:$S$256,MATCH('Monthly Table'!B162,'Michigan Curve'!$A$4:$A$256,0),MATCH("Michigan Selected Option Value US$/month",'Michigan Curve'!$A$4:$S$4,0)),INDEX('NY Curve'!$A$4:$T$256,MATCH('Monthly Table'!B162,'NY Curve'!$A$4:$A$256,0),MATCH("New York Selected Option Value US$/month",'NY Curve'!$A$4:$T$4,0)))</f>
        <v>292554.224392762</v>
      </c>
      <c r="AE162" s="883" t="n">
        <f aca="false">AD162*K162</f>
        <v>378683.200885869</v>
      </c>
      <c r="AF162" s="188"/>
      <c r="AG162" s="884"/>
      <c r="AH162" s="49"/>
      <c r="AI162" s="885" t="n">
        <f aca="false">Assumptions!$B$50</f>
        <v>65</v>
      </c>
      <c r="AJ162" s="916"/>
      <c r="AK162" s="887" t="n">
        <f aca="false">IF(Tables!$E$30="Custom",'Monthly Table'!AI162,IF(Tables!$E$30="New York",INDEX('NY Curve'!$A$4:$G$256,MATCH('Monthly Table'!B162,'NY Curve'!$A$4:$A$256,0),MATCH("Super Peak Curve",'NY Curve'!$A$4:$G$4,0)),IF(Tables!$E$30="New York Flat",INDEX('NY Curve'!$A$4:$G$256,MATCH('Monthly Table'!B162,'NY Curve'!$A$4:$A$256,0),MATCH("Flat NY West",'NY Curve'!$A$4:$G$4,0)),INDEX('Michigan Curve'!$A$4:$F$256,MATCH('Monthly Table'!B162,'Michigan Curve'!$A$4:$A$256,0),MATCH("Michigan Super Peak Curve US$/MWhr",'Michigan Curve'!$A$4:$F$4,0)))))</f>
        <v>160.492497454525</v>
      </c>
      <c r="AL162" s="888" t="n">
        <f aca="false">IF(D162&lt;=Tables!$B$21,IF($AL$10=$AI$10,AI162,IF($AL$10=$AJ$10,AJ162,IF($AL$10=$AK$10,AK162,0))),0)</f>
        <v>160.492497454525</v>
      </c>
      <c r="AM162" s="889" t="n">
        <f aca="false">+AL162*K162</f>
        <v>207.742044335185</v>
      </c>
      <c r="AN162" s="890" t="n">
        <f aca="false">IF((AL162*K162)&gt;(CP162+$BF$4),1,0)</f>
        <v>1</v>
      </c>
      <c r="AO162" s="891"/>
      <c r="AP162" s="894"/>
      <c r="AQ162" s="892" t="n">
        <f aca="false">IF(Tables!$E$30="New York",INDEX('NY Curve'!$A$4:$L$256,MATCH('Monthly Table'!B162,'NY Curve'!$A$4:$A$256,0),MATCH("New York Shoulder Hour Curve Mon-Fri",'NY Curve'!$A$4:$L$4,0)),IF(Tables!$E$30="Michigan",INDEX('Michigan Curve'!$A$4:$K$256,MATCH('Monthly Table'!B162,'Michigan Curve'!$A$4:$A$256,0),MATCH("Michigan Shoulder Hour Curve Mon-Fri",'Michigan Curve'!$A$4:$K$4,0))))</f>
        <v>29.5075025454751</v>
      </c>
      <c r="AR162" s="889" t="n">
        <f aca="false">AQ162*K162</f>
        <v>38.1946134507601</v>
      </c>
      <c r="AS162" s="893" t="n">
        <f aca="false">IF(AR162&gt;($CP162+$BF$4),1,0)</f>
        <v>0</v>
      </c>
      <c r="AT162" s="188"/>
      <c r="AU162" s="892" t="n">
        <f aca="false">IF(Tables!$E$30="New York",INDEX('NY Curve'!$A$4:$L$256,MATCH('Monthly Table'!$B162,'NY Curve'!$A$4:$A$256,0),MATCH("New York Saturday Super Peak",'NY Curve'!$A$4:$L$4,0)),IF(Tables!$E$30="Michigan",INDEX('Michigan Curve'!$A$4:$K$256,MATCH('Monthly Table'!$B162,'Michigan Curve'!$A$4:$A$256,0),MATCH("Michigan Saturday Super Peak",'Michigan Curve'!$A$4:$K$4,0))))</f>
        <v>59.1288212961964</v>
      </c>
      <c r="AV162" s="894" t="n">
        <f aca="false">AU162*K162</f>
        <v>76.5365509916261</v>
      </c>
      <c r="AW162" s="893" t="n">
        <f aca="false">IF(AV162&gt;($CP162+$BF$4),1,0)</f>
        <v>1</v>
      </c>
      <c r="AX162" s="892" t="n">
        <f aca="false">IF(Tables!$E$30="New York",INDEX('NY Curve'!$A$4:$L$256,MATCH('Monthly Table'!$B162,'NY Curve'!$A$4:$A$256,0),MATCH("New York Saturday Shoulder Peak",'NY Curve'!$A$4:$L$4,0)),IF(Tables!$E$30="Michigan",INDEX('Michigan Curve'!$A$4:$K$256,MATCH('Monthly Table'!$B162,'Michigan Curve'!$A$4:$A$256,0),MATCH("Michigan Saturday Shoulder Peak",'Michigan Curve'!$A$4:$K$4,0))))</f>
        <v>10.8711863331981</v>
      </c>
      <c r="AY162" s="895" t="n">
        <f aca="false">AX162*K162</f>
        <v>14.0717012260789</v>
      </c>
      <c r="AZ162" s="893" t="n">
        <f aca="false">IF(AY162&gt;($CP162+$BF$4),1,0)</f>
        <v>0</v>
      </c>
      <c r="BA162" s="188"/>
      <c r="BB162" s="892" t="n">
        <f aca="false">IF(Tables!$E$30="New York",INDEX('NY Curve'!$A$4:$M$256,MATCH('Monthly Table'!$B162,'NY Curve'!$A$4:$A$256,0),MATCH("NY Sunday Super Peak",'NY Curve'!$A$4:$M$4,0)),IF(Tables!$E$30="Michigan",INDEX('Michigan Curve'!$A$4:$L$256,MATCH('Monthly Table'!$B162,'Michigan Curve'!$A$4:$A$256,0),MATCH("Michigan Sunday Super Peak",'Michigan Curve'!$A$4:$L$4,0))))</f>
        <v>52.3712360114765</v>
      </c>
      <c r="BC162" s="894" t="n">
        <f aca="false">BB162*K162</f>
        <v>67.789509204113</v>
      </c>
      <c r="BD162" s="893" t="n">
        <f aca="false">IF(BC162&gt;($CP162+$BF$4),1,0)</f>
        <v>0</v>
      </c>
      <c r="BE162" s="188"/>
      <c r="BF162" s="896" t="n">
        <f aca="false">B162</f>
        <v>41487</v>
      </c>
      <c r="BG162" s="897" t="n">
        <f aca="false">IF($AN162=1,$E162*$BF$5,0)</f>
        <v>176</v>
      </c>
      <c r="BH162" s="976" t="n">
        <f aca="false">IF(Tables!$B$36="Combined Cycle",(BF162-BF161)*24*Assumptions!$B$21,0)</f>
        <v>0</v>
      </c>
      <c r="BI162" s="714" t="n">
        <f aca="false">IF($AN162=1,$E162*$BF$5,0)</f>
        <v>176</v>
      </c>
      <c r="BJ162" s="898" t="n">
        <f aca="false">IF('Monthly Table'!D162&lt;=Tables!$B$21,IF($BJ$10=$BG$10,BG162,IF($BJ$10=$BH$10,BH162,IF($BJ$10=$BI$10,BI162,0))),0)</f>
        <v>176</v>
      </c>
      <c r="BK162" s="288"/>
      <c r="BL162" s="898" t="n">
        <f aca="false">IF($AW162=1,$F162*$BF$5,0)</f>
        <v>40</v>
      </c>
      <c r="BM162" s="898" t="n">
        <f aca="false">IF($BD162=1,($G162+H162)*$BF$5,0)</f>
        <v>0</v>
      </c>
      <c r="BO162" s="898" t="n">
        <f aca="false">IF(AS162=1,BJ162,0)</f>
        <v>0</v>
      </c>
      <c r="BP162" s="898" t="n">
        <f aca="false">IF(AZ162=1,F162*$BF$5,0)</f>
        <v>0</v>
      </c>
      <c r="BR162" s="899" t="n">
        <f aca="false">IF(BJ162&gt;0,INDEX(OperationalDetail,MATCH("Capacity Degradation",ODColumn,0),MATCH('Monthly Table'!C162,ODRow,0)),0)</f>
        <v>5E-005</v>
      </c>
      <c r="BS162" s="900" t="n">
        <f aca="false">BJ162*(1-BR162)*Tables!$C$36</f>
        <v>57021.1488</v>
      </c>
      <c r="BT162" s="883" t="n">
        <f aca="false">BS162*AL162/1000</f>
        <v>9151.46657863809</v>
      </c>
      <c r="BU162" s="883" t="n">
        <f aca="false">BT162*K162</f>
        <v>11845.6900220528</v>
      </c>
      <c r="BV162" s="188"/>
      <c r="BW162" s="901" t="n">
        <f aca="false">$BO162*(1-$BR162)*Tables!$C$36</f>
        <v>0</v>
      </c>
      <c r="BX162" s="902" t="n">
        <f aca="false">(BW162*AQ162)/1000</f>
        <v>0</v>
      </c>
      <c r="BY162" s="883" t="n">
        <f aca="false">BX162*K162</f>
        <v>0</v>
      </c>
      <c r="BZ162" s="188"/>
      <c r="CA162" s="901" t="n">
        <f aca="false">$BL162*(1-$BR162)*Tables!$C$36</f>
        <v>12959.352</v>
      </c>
      <c r="CB162" s="902" t="n">
        <f aca="false">(CA162*AU162)/1000</f>
        <v>766.271208522506</v>
      </c>
      <c r="CC162" s="883" t="n">
        <f aca="false">CB162*K162</f>
        <v>991.864105166432</v>
      </c>
      <c r="CD162" s="901" t="n">
        <f aca="false">$BP162*(1-$BR162)*Tables!$C$36</f>
        <v>0</v>
      </c>
      <c r="CE162" s="902" t="n">
        <f aca="false">(CD162*AX162)/1000</f>
        <v>0</v>
      </c>
      <c r="CF162" s="883" t="n">
        <f aca="false">CE162*K162</f>
        <v>0</v>
      </c>
      <c r="CH162" s="901" t="n">
        <f aca="false">$BM162*(1-$BR162)*Tables!$C$36</f>
        <v>0</v>
      </c>
      <c r="CI162" s="902" t="n">
        <f aca="false">(CH162*BB162)/1000</f>
        <v>0</v>
      </c>
      <c r="CJ162" s="883" t="n">
        <f aca="false">CI162*K162</f>
        <v>0</v>
      </c>
      <c r="CK162" s="292"/>
      <c r="CL162" s="292" t="n">
        <f aca="false">C162-1</f>
        <v>2012</v>
      </c>
      <c r="CM162" s="903" t="n">
        <f aca="false">INDEX(OperationalDetail,MATCH("Degraded Heat Rate",ODColumn,0),MATCH('Monthly Table'!CL162,ODRow,0))/1000</f>
        <v>12.1701372</v>
      </c>
      <c r="CN162" s="904" t="n">
        <f aca="false">S162*CM162</f>
        <v>60.9447711550581</v>
      </c>
      <c r="CO162" s="905" t="n">
        <f aca="false">IF(A162="January",(CO161*(1+Assumptions!$E$32)),CO161)</f>
        <v>8.54240113750035</v>
      </c>
      <c r="CP162" s="906" t="n">
        <f aca="false">CN162+CO162</f>
        <v>69.4871722925584</v>
      </c>
      <c r="CQ162" s="292"/>
      <c r="CR162" s="856" t="n">
        <f aca="false">IF(BJ162=0,"",C162)</f>
        <v>2013</v>
      </c>
      <c r="CS162" s="856" t="str">
        <f aca="false">IF(BO162=0,"",$C162)</f>
        <v/>
      </c>
      <c r="CT162" s="856" t="n">
        <f aca="false">IF(BL162=0,"",$C162)</f>
        <v>2013</v>
      </c>
      <c r="CU162" s="856" t="str">
        <f aca="false">IF(BP162=0,"",$C162)</f>
        <v/>
      </c>
      <c r="CV162" s="856" t="str">
        <f aca="false">IF(BD162=0,"",$C162)</f>
        <v/>
      </c>
      <c r="CW162" s="907" t="n">
        <f aca="false">YEAR(BF162)</f>
        <v>2013</v>
      </c>
      <c r="CX162" s="908" t="n">
        <f aca="false">INDEX('NY Curve'!$A$4:$G$256,MATCH('Monthly Table'!B162,'NY Curve'!$A$4:$A$256,0),MATCH("New York 5 X 16",'NY Curve'!$A$4:$G$4,0))</f>
        <v>76.5</v>
      </c>
      <c r="CY162" s="909" t="n">
        <f aca="false">K162</f>
        <v>1.29440346203129</v>
      </c>
      <c r="CZ162" s="910" t="n">
        <f aca="false">CX162*CY162</f>
        <v>99.0218648453937</v>
      </c>
      <c r="DB162" s="911"/>
      <c r="DC162" s="911"/>
    </row>
    <row r="163" customFormat="false" ht="18.75" hidden="false" customHeight="true" outlineLevel="0" collapsed="false">
      <c r="A163" s="49" t="s">
        <v>818</v>
      </c>
      <c r="B163" s="863" t="n">
        <v>41518</v>
      </c>
      <c r="C163" s="288" t="n">
        <f aca="false">YEAR(B163)</f>
        <v>2013</v>
      </c>
      <c r="D163" s="864" t="n">
        <f aca="false">IF(A163="January",D162+1,D162)</f>
        <v>13</v>
      </c>
      <c r="E163" s="865" t="n">
        <v>20</v>
      </c>
      <c r="F163" s="866" t="n">
        <v>4</v>
      </c>
      <c r="G163" s="866" t="n">
        <v>5</v>
      </c>
      <c r="H163" s="866" t="n">
        <v>1</v>
      </c>
      <c r="I163" s="867" t="n">
        <f aca="false">SUM(E163:H163)</f>
        <v>30</v>
      </c>
      <c r="J163" s="868"/>
      <c r="K163" s="869" t="n">
        <f aca="false">INDEX(FX!$A$3:$C$362,MATCH(B163,FX!$A$3:$A$362,0),MATCH("Monthly Curve",FX!$A$2:$C$2,0))</f>
        <v>1.2936005616231</v>
      </c>
      <c r="L163" s="869"/>
      <c r="M163" s="987" t="n">
        <v>3.3365</v>
      </c>
      <c r="N163" s="988" t="n">
        <v>0.145</v>
      </c>
      <c r="O163" s="986" t="n">
        <v>0.1</v>
      </c>
      <c r="P163" s="872" t="n">
        <f aca="false">N163+O163</f>
        <v>0.245</v>
      </c>
      <c r="Q163" s="873" t="n">
        <f aca="false">SUM(M163:O163)</f>
        <v>3.5815</v>
      </c>
      <c r="R163" s="974" t="n">
        <f aca="false">IF(A163="January",(R162+R162*Assumptions!$E$32),R162)</f>
        <v>0.38088564620082</v>
      </c>
      <c r="S163" s="875" t="n">
        <f aca="false">(Q163*K163)+R163</f>
        <v>5.01391605765395</v>
      </c>
      <c r="T163" s="869"/>
      <c r="U163" s="984"/>
      <c r="V163" s="978"/>
      <c r="W163" s="978"/>
      <c r="X163" s="971"/>
      <c r="Y163" s="975" t="n">
        <f aca="false">Tables!$D$36</f>
        <v>312</v>
      </c>
      <c r="Z163" s="879" t="n">
        <f aca="false">IF($Z$10=$V$10,V163,IF($Z$10=$W$10,W163,IF($Z$10=$X$10,X163,0)))</f>
        <v>0</v>
      </c>
      <c r="AA163" s="880" t="n">
        <f aca="false">Y163*Z163</f>
        <v>0</v>
      </c>
      <c r="AB163" s="881" t="n">
        <f aca="false">AA163*K163</f>
        <v>0</v>
      </c>
      <c r="AC163" s="188"/>
      <c r="AD163" s="882" t="n">
        <f aca="false">IF(Tables!$E$30="Michigan",INDEX('Michigan Curve'!$A$4:$S$256,MATCH('Monthly Table'!B163,'Michigan Curve'!$A$4:$A$256,0),MATCH("Michigan Selected Option Value US$/month",'Michigan Curve'!$A$4:$S$4,0)),INDEX('NY Curve'!$A$4:$T$256,MATCH('Monthly Table'!B163,'NY Curve'!$A$4:$A$256,0),MATCH("New York Selected Option Value US$/month",'NY Curve'!$A$4:$T$4,0)))</f>
        <v>147756.746813379</v>
      </c>
      <c r="AE163" s="883" t="n">
        <f aca="false">AD163*K163</f>
        <v>191138.210661389</v>
      </c>
      <c r="AF163" s="188"/>
      <c r="AG163" s="884"/>
      <c r="AH163" s="49"/>
      <c r="AI163" s="885" t="n">
        <f aca="false">Assumptions!$B$50</f>
        <v>65</v>
      </c>
      <c r="AJ163" s="916"/>
      <c r="AK163" s="887" t="n">
        <f aca="false">IF(Tables!$E$30="Custom",'Monthly Table'!AI163,IF(Tables!$E$30="New York",INDEX('NY Curve'!$A$4:$G$256,MATCH('Monthly Table'!B163,'NY Curve'!$A$4:$A$256,0),MATCH("Super Peak Curve",'NY Curve'!$A$4:$G$4,0)),IF(Tables!$E$30="New York Flat",INDEX('NY Curve'!$A$4:$G$256,MATCH('Monthly Table'!B163,'NY Curve'!$A$4:$A$256,0),MATCH("Flat NY West",'NY Curve'!$A$4:$G$4,0)),INDEX('Michigan Curve'!$A$4:$F$256,MATCH('Monthly Table'!B163,'Michigan Curve'!$A$4:$A$256,0),MATCH("Michigan Super Peak Curve US$/MWhr",'Michigan Curve'!$A$4:$F$4,0)))))</f>
        <v>48.9828122407198</v>
      </c>
      <c r="AL163" s="888" t="n">
        <f aca="false">IF(D163&lt;=Tables!$B$21,IF($AL$10=$AI$10,AI163,IF($AL$10=$AJ$10,AJ163,IF($AL$10=$AK$10,AK163,0))),0)</f>
        <v>48.9828122407198</v>
      </c>
      <c r="AM163" s="889" t="n">
        <f aca="false">+AL163*K163</f>
        <v>63.364193424474</v>
      </c>
      <c r="AN163" s="890" t="n">
        <f aca="false">IF((AL163*K163)&gt;(CP163+$BF$4),1,0)</f>
        <v>0</v>
      </c>
      <c r="AO163" s="891"/>
      <c r="AP163" s="894"/>
      <c r="AQ163" s="892" t="n">
        <f aca="false">IF(Tables!$E$30="New York",INDEX('NY Curve'!$A$4:$L$256,MATCH('Monthly Table'!B163,'NY Curve'!$A$4:$A$256,0),MATCH("New York Shoulder Hour Curve Mon-Fri",'NY Curve'!$A$4:$L$4,0)),IF(Tables!$E$30="Michigan",INDEX('Michigan Curve'!$A$4:$K$256,MATCH('Monthly Table'!B163,'Michigan Curve'!$A$4:$A$256,0),MATCH("Michigan Shoulder Hour Curve Mon-Fri",'Michigan Curve'!$A$4:$K$4,0))))</f>
        <v>23.5171877592802</v>
      </c>
      <c r="AR163" s="889" t="n">
        <f aca="false">AQ163*K163</f>
        <v>30.4218472932008</v>
      </c>
      <c r="AS163" s="893" t="n">
        <f aca="false">IF(AR163&gt;($CP163+$BF$4),1,0)</f>
        <v>0</v>
      </c>
      <c r="AT163" s="188"/>
      <c r="AU163" s="892" t="n">
        <f aca="false">IF(Tables!$E$30="New York",INDEX('NY Curve'!$A$4:$L$256,MATCH('Monthly Table'!$B163,'NY Curve'!$A$4:$A$256,0),MATCH("New York Saturday Super Peak",'NY Curve'!$A$4:$L$4,0)),IF(Tables!$E$30="Michigan",INDEX('Michigan Curve'!$A$4:$K$256,MATCH('Monthly Table'!$B163,'Michigan Curve'!$A$4:$A$256,0),MATCH("Michigan Saturday Super Peak",'Michigan Curve'!$A$4:$K$4,0))))</f>
        <v>33.7812498211861</v>
      </c>
      <c r="AV163" s="894" t="n">
        <f aca="false">AU163*K163</f>
        <v>43.6994437410165</v>
      </c>
      <c r="AW163" s="893" t="n">
        <f aca="false">IF(AV163&gt;($CP163+$BF$4),1,0)</f>
        <v>0</v>
      </c>
      <c r="AX163" s="892" t="n">
        <f aca="false">IF(Tables!$E$30="New York",INDEX('NY Curve'!$A$4:$L$256,MATCH('Monthly Table'!$B163,'NY Curve'!$A$4:$A$256,0),MATCH("New York Saturday Shoulder Peak",'NY Curve'!$A$4:$L$4,0)),IF(Tables!$E$30="Michigan",INDEX('Michigan Curve'!$A$4:$K$256,MATCH('Monthly Table'!$B163,'Michigan Curve'!$A$4:$A$256,0),MATCH("Michigan Saturday Shoulder Peak",'Michigan Curve'!$A$4:$K$4,0))))</f>
        <v>16.2187501788139</v>
      </c>
      <c r="AY163" s="895" t="n">
        <f aca="false">AX163*K163</f>
        <v>20.9805843401385</v>
      </c>
      <c r="AZ163" s="893" t="n">
        <f aca="false">IF(AY163&gt;($CP163+$BF$4),1,0)</f>
        <v>0</v>
      </c>
      <c r="BA163" s="188"/>
      <c r="BB163" s="892" t="n">
        <f aca="false">IF(Tables!$E$30="New York",INDEX('NY Curve'!$A$4:$M$256,MATCH('Monthly Table'!$B163,'NY Curve'!$A$4:$A$256,0),MATCH("NY Sunday Super Peak",'NY Curve'!$A$4:$M$4,0)),IF(Tables!$E$30="Michigan",INDEX('Michigan Curve'!$A$4:$L$256,MATCH('Monthly Table'!$B163,'Michigan Curve'!$A$4:$A$256,0),MATCH("Michigan Sunday Super Peak",'Michigan Curve'!$A$4:$L$4,0))))</f>
        <v>32.4299998283386</v>
      </c>
      <c r="BC163" s="894" t="n">
        <f aca="false">BB163*K163</f>
        <v>41.9514659913759</v>
      </c>
      <c r="BD163" s="893" t="n">
        <f aca="false">IF(BC163&gt;($CP163+$BF$4),1,0)</f>
        <v>0</v>
      </c>
      <c r="BE163" s="188"/>
      <c r="BF163" s="896" t="n">
        <f aca="false">B163</f>
        <v>41518</v>
      </c>
      <c r="BG163" s="897" t="n">
        <f aca="false">IF($AN163=1,$E163*$BF$5,0)</f>
        <v>0</v>
      </c>
      <c r="BH163" s="976" t="n">
        <f aca="false">IF(Tables!$B$36="Combined Cycle",(BF163-BF162)*24*Assumptions!$B$21,0)</f>
        <v>0</v>
      </c>
      <c r="BI163" s="714" t="n">
        <f aca="false">IF($AN163=1,$E163*$BF$5,0)</f>
        <v>0</v>
      </c>
      <c r="BJ163" s="898" t="n">
        <f aca="false">IF('Monthly Table'!D163&lt;=Tables!$B$21,IF($BJ$10=$BG$10,BG163,IF($BJ$10=$BH$10,BH163,IF($BJ$10=$BI$10,BI163,0))),0)</f>
        <v>0</v>
      </c>
      <c r="BK163" s="288"/>
      <c r="BL163" s="898" t="n">
        <f aca="false">IF($AW163=1,$F163*$BF$5,0)</f>
        <v>0</v>
      </c>
      <c r="BM163" s="898" t="n">
        <f aca="false">IF($BD163=1,($G163+H163)*$BF$5,0)</f>
        <v>0</v>
      </c>
      <c r="BO163" s="898" t="n">
        <f aca="false">IF(AS163=1,BJ163,0)</f>
        <v>0</v>
      </c>
      <c r="BP163" s="898" t="n">
        <f aca="false">IF(AZ163=1,F163*$BF$5,0)</f>
        <v>0</v>
      </c>
      <c r="BR163" s="899" t="n">
        <f aca="false">IF(BJ163&gt;0,INDEX(OperationalDetail,MATCH("Capacity Degradation",ODColumn,0),MATCH('Monthly Table'!C163,ODRow,0)),0)</f>
        <v>0</v>
      </c>
      <c r="BS163" s="900" t="n">
        <f aca="false">BJ163*(1-BR163)*Tables!$C$36</f>
        <v>0</v>
      </c>
      <c r="BT163" s="883" t="n">
        <f aca="false">BS163*AL163/1000</f>
        <v>0</v>
      </c>
      <c r="BU163" s="883" t="n">
        <f aca="false">BT163*K163</f>
        <v>0</v>
      </c>
      <c r="BV163" s="188"/>
      <c r="BW163" s="901" t="n">
        <f aca="false">$BO163*(1-$BR163)*Tables!$C$36</f>
        <v>0</v>
      </c>
      <c r="BX163" s="902" t="n">
        <f aca="false">(BW163*AQ163)/1000</f>
        <v>0</v>
      </c>
      <c r="BY163" s="883" t="n">
        <f aca="false">BX163*K163</f>
        <v>0</v>
      </c>
      <c r="BZ163" s="188"/>
      <c r="CA163" s="901" t="n">
        <f aca="false">$BL163*(1-$BR163)*Tables!$C$36</f>
        <v>0</v>
      </c>
      <c r="CB163" s="902" t="n">
        <f aca="false">(CA163*AU163)/1000</f>
        <v>0</v>
      </c>
      <c r="CC163" s="883" t="n">
        <f aca="false">CB163*K163</f>
        <v>0</v>
      </c>
      <c r="CD163" s="901" t="n">
        <f aca="false">$BP163*(1-$BR163)*Tables!$C$36</f>
        <v>0</v>
      </c>
      <c r="CE163" s="902" t="n">
        <f aca="false">(CD163*AX163)/1000</f>
        <v>0</v>
      </c>
      <c r="CF163" s="883" t="n">
        <f aca="false">CE163*K163</f>
        <v>0</v>
      </c>
      <c r="CH163" s="901" t="n">
        <f aca="false">$BM163*(1-$BR163)*Tables!$C$36</f>
        <v>0</v>
      </c>
      <c r="CI163" s="902" t="n">
        <f aca="false">(CH163*BB163)/1000</f>
        <v>0</v>
      </c>
      <c r="CJ163" s="883" t="n">
        <f aca="false">CI163*K163</f>
        <v>0</v>
      </c>
      <c r="CK163" s="292"/>
      <c r="CL163" s="292" t="n">
        <f aca="false">C163-1</f>
        <v>2012</v>
      </c>
      <c r="CM163" s="903" t="n">
        <f aca="false">INDEX(OperationalDetail,MATCH("Degraded Heat Rate",ODColumn,0),MATCH('Monthly Table'!CL163,ODRow,0))/1000</f>
        <v>12.1701372</v>
      </c>
      <c r="CN163" s="904" t="n">
        <f aca="false">S163*CM163</f>
        <v>61.0200463309317</v>
      </c>
      <c r="CO163" s="905" t="n">
        <f aca="false">IF(A163="January",(CO162*(1+Assumptions!$E$32)),CO162)</f>
        <v>8.54240113750035</v>
      </c>
      <c r="CP163" s="906" t="n">
        <f aca="false">CN163+CO163</f>
        <v>69.5624474684321</v>
      </c>
      <c r="CQ163" s="292"/>
      <c r="CR163" s="856" t="str">
        <f aca="false">IF(BJ163=0,"",C163)</f>
        <v/>
      </c>
      <c r="CS163" s="856" t="str">
        <f aca="false">IF(BO163=0,"",$C163)</f>
        <v/>
      </c>
      <c r="CT163" s="856" t="str">
        <f aca="false">IF(BL163=0,"",$C163)</f>
        <v/>
      </c>
      <c r="CU163" s="856" t="str">
        <f aca="false">IF(BP163=0,"",$C163)</f>
        <v/>
      </c>
      <c r="CV163" s="856" t="str">
        <f aca="false">IF(BD163=0,"",$C163)</f>
        <v/>
      </c>
      <c r="CW163" s="907" t="n">
        <f aca="false">YEAR(BF163)</f>
        <v>2013</v>
      </c>
      <c r="CX163" s="908" t="n">
        <f aca="false">INDEX('NY Curve'!$A$4:$G$256,MATCH('Monthly Table'!B163,'NY Curve'!$A$4:$A$256,0),MATCH("New York 5 X 16",'NY Curve'!$A$4:$G$4,0))</f>
        <v>31.35</v>
      </c>
      <c r="CY163" s="909" t="n">
        <f aca="false">K163</f>
        <v>1.2936005616231</v>
      </c>
      <c r="CZ163" s="910" t="n">
        <f aca="false">CX163*CY163</f>
        <v>40.5543776068842</v>
      </c>
      <c r="DB163" s="911"/>
      <c r="DC163" s="911"/>
    </row>
    <row r="164" customFormat="false" ht="18.75" hidden="false" customHeight="true" outlineLevel="0" collapsed="false">
      <c r="A164" s="49" t="s">
        <v>819</v>
      </c>
      <c r="B164" s="863" t="n">
        <v>41548</v>
      </c>
      <c r="C164" s="288" t="n">
        <f aca="false">YEAR(B164)</f>
        <v>2013</v>
      </c>
      <c r="D164" s="864" t="n">
        <f aca="false">IF(A164="January",D163+1,D163)</f>
        <v>13</v>
      </c>
      <c r="E164" s="865" t="n">
        <v>23</v>
      </c>
      <c r="F164" s="866" t="n">
        <v>4</v>
      </c>
      <c r="G164" s="866" t="n">
        <v>4</v>
      </c>
      <c r="H164" s="866" t="n">
        <v>0</v>
      </c>
      <c r="I164" s="867" t="n">
        <f aca="false">SUM(E164:H164)</f>
        <v>31</v>
      </c>
      <c r="J164" s="868"/>
      <c r="K164" s="869" t="n">
        <f aca="false">INDEX(FX!$A$3:$C$362,MATCH(B164,FX!$A$3:$A$362,0),MATCH("Monthly Curve",FX!$A$2:$C$2,0))</f>
        <v>1.29282581038563</v>
      </c>
      <c r="L164" s="869"/>
      <c r="M164" s="987" t="n">
        <v>3.3635</v>
      </c>
      <c r="N164" s="988" t="n">
        <v>0.145</v>
      </c>
      <c r="O164" s="986" t="n">
        <v>0.1</v>
      </c>
      <c r="P164" s="872" t="n">
        <f aca="false">N164+O164</f>
        <v>0.245</v>
      </c>
      <c r="Q164" s="873" t="n">
        <f aca="false">SUM(M164:O164)</f>
        <v>3.6085</v>
      </c>
      <c r="R164" s="974" t="n">
        <f aca="false">IF(A164="January",(R163+R163*Assumptions!$E$32),R163)</f>
        <v>0.38088564620082</v>
      </c>
      <c r="S164" s="875" t="n">
        <f aca="false">(Q164*K164)+R164</f>
        <v>5.04604758297737</v>
      </c>
      <c r="T164" s="869"/>
      <c r="U164" s="984"/>
      <c r="V164" s="978"/>
      <c r="W164" s="978"/>
      <c r="X164" s="971"/>
      <c r="Y164" s="975" t="n">
        <f aca="false">Tables!$D$36</f>
        <v>312</v>
      </c>
      <c r="Z164" s="879" t="n">
        <f aca="false">IF($Z$10=$V$10,V164,IF($Z$10=$W$10,W164,IF($Z$10=$X$10,X164,0)))</f>
        <v>0</v>
      </c>
      <c r="AA164" s="880" t="n">
        <f aca="false">Y164*Z164</f>
        <v>0</v>
      </c>
      <c r="AB164" s="881" t="n">
        <f aca="false">AA164*K164</f>
        <v>0</v>
      </c>
      <c r="AC164" s="188"/>
      <c r="AD164" s="882" t="n">
        <f aca="false">IF(Tables!$E$30="Michigan",INDEX('Michigan Curve'!$A$4:$S$256,MATCH('Monthly Table'!B164,'Michigan Curve'!$A$4:$A$256,0),MATCH("Michigan Selected Option Value US$/month",'Michigan Curve'!$A$4:$S$4,0)),INDEX('NY Curve'!$A$4:$T$256,MATCH('Monthly Table'!B164,'NY Curve'!$A$4:$A$256,0),MATCH("New York Selected Option Value US$/month",'NY Curve'!$A$4:$T$4,0)))</f>
        <v>2808.77864511269</v>
      </c>
      <c r="AE164" s="883" t="n">
        <f aca="false">AD164*K164</f>
        <v>3631.26152806166</v>
      </c>
      <c r="AF164" s="188"/>
      <c r="AG164" s="884"/>
      <c r="AH164" s="49"/>
      <c r="AI164" s="885" t="n">
        <f aca="false">Assumptions!$B$50</f>
        <v>65</v>
      </c>
      <c r="AJ164" s="916"/>
      <c r="AK164" s="887" t="n">
        <f aca="false">IF(Tables!$E$30="Custom",'Monthly Table'!AI164,IF(Tables!$E$30="New York",INDEX('NY Curve'!$A$4:$G$256,MATCH('Monthly Table'!B164,'NY Curve'!$A$4:$A$256,0),MATCH("Super Peak Curve",'NY Curve'!$A$4:$G$4,0)),IF(Tables!$E$30="New York Flat",INDEX('NY Curve'!$A$4:$G$256,MATCH('Monthly Table'!B164,'NY Curve'!$A$4:$A$256,0),MATCH("Flat NY West",'NY Curve'!$A$4:$G$4,0)),INDEX('Michigan Curve'!$A$4:$F$256,MATCH('Monthly Table'!B164,'Michigan Curve'!$A$4:$A$256,0),MATCH("Michigan Super Peak Curve US$/MWhr",'Michigan Curve'!$A$4:$F$4,0)))))</f>
        <v>29.3499946594238</v>
      </c>
      <c r="AL164" s="888" t="n">
        <f aca="false">IF(D164&lt;=Tables!$B$21,IF($AL$10=$AI$10,AI164,IF($AL$10=$AJ$10,AJ164,IF($AL$10=$AK$10,AK164,0))),0)</f>
        <v>29.3499946594238</v>
      </c>
      <c r="AM164" s="889" t="n">
        <f aca="false">+AL164*K164</f>
        <v>37.9444306303835</v>
      </c>
      <c r="AN164" s="890" t="n">
        <f aca="false">IF((AL164*K164)&gt;(CP164+$BF$4),1,0)</f>
        <v>0</v>
      </c>
      <c r="AO164" s="891"/>
      <c r="AP164" s="894"/>
      <c r="AQ164" s="892" t="n">
        <f aca="false">IF(Tables!$E$30="New York",INDEX('NY Curve'!$A$4:$L$256,MATCH('Monthly Table'!B164,'NY Curve'!$A$4:$A$256,0),MATCH("New York Shoulder Hour Curve Mon-Fri",'NY Curve'!$A$4:$L$4,0)),IF(Tables!$E$30="Michigan",INDEX('Michigan Curve'!$A$4:$K$256,MATCH('Monthly Table'!B164,'Michigan Curve'!$A$4:$A$256,0),MATCH("Michigan Shoulder Hour Curve Mon-Fri",'Michigan Curve'!$A$4:$K$4,0))))</f>
        <v>29.3499946594238</v>
      </c>
      <c r="AR164" s="889" t="n">
        <f aca="false">AQ164*K164</f>
        <v>37.9444306303835</v>
      </c>
      <c r="AS164" s="893" t="n">
        <f aca="false">IF(AR164&gt;($CP164+$BF$4),1,0)</f>
        <v>0</v>
      </c>
      <c r="AT164" s="188"/>
      <c r="AU164" s="892" t="n">
        <f aca="false">IF(Tables!$E$30="New York",INDEX('NY Curve'!$A$4:$L$256,MATCH('Monthly Table'!$B164,'NY Curve'!$A$4:$A$256,0),MATCH("New York Saturday Super Peak",'NY Curve'!$A$4:$L$4,0)),IF(Tables!$E$30="Michigan",INDEX('Michigan Curve'!$A$4:$K$256,MATCH('Monthly Table'!$B164,'Michigan Curve'!$A$4:$A$256,0),MATCH("Michigan Saturday Super Peak",'Michigan Curve'!$A$4:$K$4,0))))</f>
        <v>19.996000289917</v>
      </c>
      <c r="AV164" s="894" t="n">
        <f aca="false">AU164*K164</f>
        <v>25.8513452792832</v>
      </c>
      <c r="AW164" s="893" t="n">
        <f aca="false">IF(AV164&gt;($CP164+$BF$4),1,0)</f>
        <v>0</v>
      </c>
      <c r="AX164" s="892" t="n">
        <f aca="false">IF(Tables!$E$30="New York",INDEX('NY Curve'!$A$4:$L$256,MATCH('Monthly Table'!$B164,'NY Curve'!$A$4:$A$256,0),MATCH("New York Saturday Shoulder Peak",'NY Curve'!$A$4:$L$4,0)),IF(Tables!$E$30="Michigan",INDEX('Michigan Curve'!$A$4:$K$256,MATCH('Monthly Table'!$B164,'Michigan Curve'!$A$4:$A$256,0),MATCH("Michigan Saturday Shoulder Peak",'Michigan Curve'!$A$4:$K$4,0))))</f>
        <v>19.996000289917</v>
      </c>
      <c r="AY164" s="895" t="n">
        <f aca="false">AX164*K164</f>
        <v>25.8513452792832</v>
      </c>
      <c r="AZ164" s="893" t="n">
        <f aca="false">IF(AY164&gt;($CP164+$BF$4),1,0)</f>
        <v>0</v>
      </c>
      <c r="BA164" s="188"/>
      <c r="BB164" s="892" t="n">
        <f aca="false">IF(Tables!$E$30="New York",INDEX('NY Curve'!$A$4:$M$256,MATCH('Monthly Table'!$B164,'NY Curve'!$A$4:$A$256,0),MATCH("NY Sunday Super Peak",'NY Curve'!$A$4:$M$4,0)),IF(Tables!$E$30="Michigan",INDEX('Michigan Curve'!$A$4:$L$256,MATCH('Monthly Table'!$B164,'Michigan Curve'!$A$4:$A$256,0),MATCH("Michigan Sunday Super Peak",'Michigan Curve'!$A$4:$L$4,0))))</f>
        <v>18.9965000152588</v>
      </c>
      <c r="BC164" s="894" t="n">
        <f aca="false">BB164*K164</f>
        <v>24.5591655267176</v>
      </c>
      <c r="BD164" s="893" t="n">
        <f aca="false">IF(BC164&gt;($CP164+$BF$4),1,0)</f>
        <v>0</v>
      </c>
      <c r="BE164" s="188"/>
      <c r="BF164" s="896" t="n">
        <f aca="false">B164</f>
        <v>41548</v>
      </c>
      <c r="BG164" s="897" t="n">
        <f aca="false">IF($AN164=1,$E164*$BF$5,0)</f>
        <v>0</v>
      </c>
      <c r="BH164" s="976" t="n">
        <f aca="false">IF(Tables!$B$36="Combined Cycle",(BF164-BF163)*24*Assumptions!$B$21,0)</f>
        <v>0</v>
      </c>
      <c r="BI164" s="714" t="n">
        <f aca="false">IF($AN164=1,$E164*$BF$5,0)</f>
        <v>0</v>
      </c>
      <c r="BJ164" s="898" t="n">
        <f aca="false">IF('Monthly Table'!D164&lt;=Tables!$B$21,IF($BJ$10=$BG$10,BG164,IF($BJ$10=$BH$10,BH164,IF($BJ$10=$BI$10,BI164,0))),0)</f>
        <v>0</v>
      </c>
      <c r="BK164" s="288"/>
      <c r="BL164" s="898" t="n">
        <f aca="false">IF($AW164=1,$F164*$BF$5,0)</f>
        <v>0</v>
      </c>
      <c r="BM164" s="898" t="n">
        <f aca="false">IF($BD164=1,($G164+H164)*$BF$5,0)</f>
        <v>0</v>
      </c>
      <c r="BO164" s="898" t="n">
        <f aca="false">IF(AS164=1,BJ164,0)</f>
        <v>0</v>
      </c>
      <c r="BP164" s="898" t="n">
        <f aca="false">IF(AZ164=1,F164*$BF$5,0)</f>
        <v>0</v>
      </c>
      <c r="BR164" s="899" t="n">
        <f aca="false">IF(BJ164&gt;0,INDEX(OperationalDetail,MATCH("Capacity Degradation",ODColumn,0),MATCH('Monthly Table'!C164,ODRow,0)),0)</f>
        <v>0</v>
      </c>
      <c r="BS164" s="900" t="n">
        <f aca="false">BJ164*(1-BR164)*Tables!$C$36</f>
        <v>0</v>
      </c>
      <c r="BT164" s="883" t="n">
        <f aca="false">BS164*AL164/1000</f>
        <v>0</v>
      </c>
      <c r="BU164" s="883" t="n">
        <f aca="false">BT164*K164</f>
        <v>0</v>
      </c>
      <c r="BV164" s="188"/>
      <c r="BW164" s="901" t="n">
        <f aca="false">$BO164*(1-$BR164)*Tables!$C$36</f>
        <v>0</v>
      </c>
      <c r="BX164" s="902" t="n">
        <f aca="false">(BW164*AQ164)/1000</f>
        <v>0</v>
      </c>
      <c r="BY164" s="883" t="n">
        <f aca="false">BX164*K164</f>
        <v>0</v>
      </c>
      <c r="BZ164" s="188"/>
      <c r="CA164" s="901" t="n">
        <f aca="false">$BL164*(1-$BR164)*Tables!$C$36</f>
        <v>0</v>
      </c>
      <c r="CB164" s="902" t="n">
        <f aca="false">(CA164*AU164)/1000</f>
        <v>0</v>
      </c>
      <c r="CC164" s="883" t="n">
        <f aca="false">CB164*K164</f>
        <v>0</v>
      </c>
      <c r="CD164" s="901" t="n">
        <f aca="false">$BP164*(1-$BR164)*Tables!$C$36</f>
        <v>0</v>
      </c>
      <c r="CE164" s="902" t="n">
        <f aca="false">(CD164*AX164)/1000</f>
        <v>0</v>
      </c>
      <c r="CF164" s="883" t="n">
        <f aca="false">CE164*K164</f>
        <v>0</v>
      </c>
      <c r="CH164" s="901" t="n">
        <f aca="false">$BM164*(1-$BR164)*Tables!$C$36</f>
        <v>0</v>
      </c>
      <c r="CI164" s="902" t="n">
        <f aca="false">(CH164*BB164)/1000</f>
        <v>0</v>
      </c>
      <c r="CJ164" s="883" t="n">
        <f aca="false">CI164*K164</f>
        <v>0</v>
      </c>
      <c r="CK164" s="292"/>
      <c r="CL164" s="292" t="n">
        <f aca="false">C164-1</f>
        <v>2012</v>
      </c>
      <c r="CM164" s="903" t="n">
        <f aca="false">INDEX(OperationalDetail,MATCH("Degraded Heat Rate",ODColumn,0),MATCH('Monthly Table'!CL164,ODRow,0))/1000</f>
        <v>12.1701372</v>
      </c>
      <c r="CN164" s="904" t="n">
        <f aca="false">S164*CM164</f>
        <v>61.4110914025629</v>
      </c>
      <c r="CO164" s="905" t="n">
        <f aca="false">IF(A164="January",(CO163*(1+Assumptions!$E$32)),CO163)</f>
        <v>8.54240113750035</v>
      </c>
      <c r="CP164" s="906" t="n">
        <f aca="false">CN164+CO164</f>
        <v>69.9534925400633</v>
      </c>
      <c r="CQ164" s="292"/>
      <c r="CR164" s="856" t="str">
        <f aca="false">IF(BJ164=0,"",C164)</f>
        <v/>
      </c>
      <c r="CS164" s="856" t="str">
        <f aca="false">IF(BO164=0,"",$C164)</f>
        <v/>
      </c>
      <c r="CT164" s="856" t="str">
        <f aca="false">IF(BL164=0,"",$C164)</f>
        <v/>
      </c>
      <c r="CU164" s="856" t="str">
        <f aca="false">IF(BP164=0,"",$C164)</f>
        <v/>
      </c>
      <c r="CV164" s="856" t="str">
        <f aca="false">IF(BD164=0,"",$C164)</f>
        <v/>
      </c>
      <c r="CW164" s="907" t="n">
        <f aca="false">YEAR(BF164)</f>
        <v>2013</v>
      </c>
      <c r="CX164" s="908" t="n">
        <f aca="false">INDEX('NY Curve'!$A$4:$G$256,MATCH('Monthly Table'!B164,'NY Curve'!$A$4:$A$256,0),MATCH("New York 5 X 16",'NY Curve'!$A$4:$G$4,0))</f>
        <v>27.1</v>
      </c>
      <c r="CY164" s="909" t="n">
        <f aca="false">K164</f>
        <v>1.29282581038563</v>
      </c>
      <c r="CZ164" s="910" t="n">
        <f aca="false">CX164*CY164</f>
        <v>35.0355794614506</v>
      </c>
      <c r="DB164" s="911"/>
      <c r="DC164" s="911"/>
    </row>
    <row r="165" customFormat="false" ht="18.75" hidden="false" customHeight="true" outlineLevel="0" collapsed="false">
      <c r="A165" s="49" t="s">
        <v>820</v>
      </c>
      <c r="B165" s="863" t="n">
        <v>41579</v>
      </c>
      <c r="C165" s="288" t="n">
        <f aca="false">YEAR(B165)</f>
        <v>2013</v>
      </c>
      <c r="D165" s="864" t="n">
        <f aca="false">IF(A165="January",D164+1,D164)</f>
        <v>13</v>
      </c>
      <c r="E165" s="865" t="n">
        <v>20</v>
      </c>
      <c r="F165" s="866" t="n">
        <v>5</v>
      </c>
      <c r="G165" s="866" t="n">
        <v>4</v>
      </c>
      <c r="H165" s="866" t="n">
        <v>1</v>
      </c>
      <c r="I165" s="867" t="n">
        <f aca="false">SUM(E165:H165)</f>
        <v>30</v>
      </c>
      <c r="J165" s="868"/>
      <c r="K165" s="869" t="n">
        <f aca="false">INDEX(FX!$A$3:$C$362,MATCH(B165,FX!$A$3:$A$362,0),MATCH("Monthly Curve",FX!$A$2:$C$2,0))</f>
        <v>1.29202755455673</v>
      </c>
      <c r="L165" s="869"/>
      <c r="M165" s="987" t="n">
        <v>3.4995</v>
      </c>
      <c r="N165" s="988" t="n">
        <v>0.23</v>
      </c>
      <c r="O165" s="986" t="n">
        <v>0.1</v>
      </c>
      <c r="P165" s="872" t="n">
        <f aca="false">N165+O165</f>
        <v>0.33</v>
      </c>
      <c r="Q165" s="873" t="n">
        <f aca="false">SUM(M165:O165)</f>
        <v>3.8295</v>
      </c>
      <c r="R165" s="974" t="n">
        <f aca="false">IF(A165="January",(R164+R164*Assumptions!$E$32),R164)</f>
        <v>0.38088564620082</v>
      </c>
      <c r="S165" s="875" t="n">
        <f aca="false">(Q165*K165)+R165</f>
        <v>5.32870516637582</v>
      </c>
      <c r="T165" s="869"/>
      <c r="U165" s="187"/>
      <c r="V165" s="897"/>
      <c r="W165" s="897"/>
      <c r="X165" s="31"/>
      <c r="Y165" s="975" t="n">
        <f aca="false">Tables!$D$36</f>
        <v>312</v>
      </c>
      <c r="Z165" s="879" t="n">
        <f aca="false">IF($Z$10=$V$10,V165,IF($Z$10=$W$10,W165,IF($Z$10=$X$10,X165,0)))</f>
        <v>0</v>
      </c>
      <c r="AA165" s="880" t="n">
        <f aca="false">Y165*Z165</f>
        <v>0</v>
      </c>
      <c r="AB165" s="881" t="n">
        <f aca="false">AA165*K165</f>
        <v>0</v>
      </c>
      <c r="AC165" s="188"/>
      <c r="AD165" s="882" t="n">
        <f aca="false">IF(Tables!$E$30="Michigan",INDEX('Michigan Curve'!$A$4:$S$256,MATCH('Monthly Table'!B165,'Michigan Curve'!$A$4:$A$256,0),MATCH("Michigan Selected Option Value US$/month",'Michigan Curve'!$A$4:$S$4,0)),INDEX('NY Curve'!$A$4:$T$256,MATCH('Monthly Table'!B165,'NY Curve'!$A$4:$A$256,0),MATCH("New York Selected Option Value US$/month",'NY Curve'!$A$4:$T$4,0)))</f>
        <v>15996.6719383809</v>
      </c>
      <c r="AE165" s="883" t="n">
        <f aca="false">AD165*K165</f>
        <v>20668.1409255925</v>
      </c>
      <c r="AF165" s="188"/>
      <c r="AG165" s="884"/>
      <c r="AH165" s="49"/>
      <c r="AI165" s="885" t="n">
        <f aca="false">Assumptions!$B$50</f>
        <v>65</v>
      </c>
      <c r="AJ165" s="916"/>
      <c r="AK165" s="887" t="n">
        <f aca="false">IF(Tables!$E$30="Custom",'Monthly Table'!AI165,IF(Tables!$E$30="New York",INDEX('NY Curve'!$A$4:$G$256,MATCH('Monthly Table'!B165,'NY Curve'!$A$4:$A$256,0),MATCH("Super Peak Curve",'NY Curve'!$A$4:$G$4,0)),IF(Tables!$E$30="New York Flat",INDEX('NY Curve'!$A$4:$G$256,MATCH('Monthly Table'!B165,'NY Curve'!$A$4:$A$256,0),MATCH("Flat NY West",'NY Curve'!$A$4:$G$4,0)),INDEX('Michigan Curve'!$A$4:$F$256,MATCH('Monthly Table'!B165,'Michigan Curve'!$A$4:$A$256,0),MATCH("Michigan Super Peak Curve US$/MWhr",'Michigan Curve'!$A$4:$F$4,0)))))</f>
        <v>31.5683953857422</v>
      </c>
      <c r="AL165" s="888" t="n">
        <f aca="false">IF(D165&lt;=Tables!$B$21,IF($AL$10=$AI$10,AI165,IF($AL$10=$AJ$10,AJ165,IF($AL$10=$AK$10,AK165,0))),0)</f>
        <v>31.5683953857422</v>
      </c>
      <c r="AM165" s="889" t="n">
        <f aca="false">+AL165*K165</f>
        <v>40.7872366915204</v>
      </c>
      <c r="AN165" s="890" t="n">
        <f aca="false">IF((AL165*K165)&gt;(CP165+$BF$4),1,0)</f>
        <v>0</v>
      </c>
      <c r="AO165" s="891"/>
      <c r="AP165" s="894"/>
      <c r="AQ165" s="892" t="n">
        <f aca="false">IF(Tables!$E$30="New York",INDEX('NY Curve'!$A$4:$L$256,MATCH('Monthly Table'!B165,'NY Curve'!$A$4:$A$256,0),MATCH("New York Shoulder Hour Curve Mon-Fri",'NY Curve'!$A$4:$L$4,0)),IF(Tables!$E$30="Michigan",INDEX('Michigan Curve'!$A$4:$K$256,MATCH('Monthly Table'!B165,'Michigan Curve'!$A$4:$A$256,0),MATCH("Michigan Shoulder Hour Curve Mon-Fri",'Michigan Curve'!$A$4:$K$4,0))))</f>
        <v>26.8915960693359</v>
      </c>
      <c r="AR165" s="889" t="n">
        <f aca="false">AQ165*K165</f>
        <v>34.7446831075915</v>
      </c>
      <c r="AS165" s="893" t="n">
        <f aca="false">IF(AR165&gt;($CP165+$BF$4),1,0)</f>
        <v>0</v>
      </c>
      <c r="AU165" s="892" t="n">
        <f aca="false">IF(Tables!$E$30="New York",INDEX('NY Curve'!$A$4:$L$256,MATCH('Monthly Table'!$B165,'NY Curve'!$A$4:$A$256,0),MATCH("New York Saturday Super Peak",'NY Curve'!$A$4:$L$4,0)),IF(Tables!$E$30="Michigan",INDEX('Michigan Curve'!$A$4:$K$256,MATCH('Monthly Table'!$B165,'Michigan Curve'!$A$4:$A$256,0),MATCH("Michigan Saturday Super Peak",'Michigan Curve'!$A$4:$K$4,0))))</f>
        <v>21.6</v>
      </c>
      <c r="AV165" s="894" t="n">
        <f aca="false">AU165*K165</f>
        <v>27.9077951784254</v>
      </c>
      <c r="AW165" s="893" t="n">
        <f aca="false">IF(AV165&gt;($CP165+$BF$4),1,0)</f>
        <v>0</v>
      </c>
      <c r="AX165" s="892" t="n">
        <f aca="false">IF(Tables!$E$30="New York",INDEX('NY Curve'!$A$4:$L$256,MATCH('Monthly Table'!$B165,'NY Curve'!$A$4:$A$256,0),MATCH("New York Saturday Shoulder Peak",'NY Curve'!$A$4:$L$4,0)),IF(Tables!$E$30="Michigan",INDEX('Michigan Curve'!$A$4:$K$256,MATCH('Monthly Table'!$B165,'Michigan Curve'!$A$4:$A$256,0),MATCH("Michigan Saturday Shoulder Peak",'Michigan Curve'!$A$4:$K$4,0))))</f>
        <v>18.4</v>
      </c>
      <c r="AY165" s="895" t="n">
        <f aca="false">AX165*K165</f>
        <v>23.7733070038438</v>
      </c>
      <c r="AZ165" s="893" t="n">
        <f aca="false">IF(AY165&gt;($CP165+$BF$4),1,0)</f>
        <v>0</v>
      </c>
      <c r="BB165" s="892" t="n">
        <f aca="false">IF(Tables!$E$30="New York",INDEX('NY Curve'!$A$4:$M$256,MATCH('Monthly Table'!$B165,'NY Curve'!$A$4:$A$256,0),MATCH("NY Sunday Super Peak",'NY Curve'!$A$4:$M$4,0)),IF(Tables!$E$30="Michigan",INDEX('Michigan Curve'!$A$4:$L$256,MATCH('Monthly Table'!$B165,'Michigan Curve'!$A$4:$A$256,0),MATCH("Michigan Sunday Super Peak",'Michigan Curve'!$A$4:$L$4,0))))</f>
        <v>20.52</v>
      </c>
      <c r="BC165" s="894" t="n">
        <f aca="false">BB165*K165</f>
        <v>26.5124054195041</v>
      </c>
      <c r="BD165" s="893" t="n">
        <f aca="false">IF(BC165&gt;($CP165+$BF$4),1,0)</f>
        <v>0</v>
      </c>
      <c r="BF165" s="896" t="n">
        <f aca="false">B165</f>
        <v>41579</v>
      </c>
      <c r="BG165" s="897" t="n">
        <f aca="false">IF($AN165=1,$E165*$BF$5,0)</f>
        <v>0</v>
      </c>
      <c r="BH165" s="976" t="n">
        <f aca="false">IF(Tables!$B$36="Combined Cycle",(BF165-BF164)*24*Assumptions!$B$21,0)</f>
        <v>0</v>
      </c>
      <c r="BI165" s="714" t="n">
        <f aca="false">IF($AN165=1,$E165*$BF$5,0)</f>
        <v>0</v>
      </c>
      <c r="BJ165" s="898" t="n">
        <f aca="false">IF('Monthly Table'!D165&lt;=Tables!$B$21,IF($BJ$10=$BG$10,BG165,IF($BJ$10=$BH$10,BH165,IF($BJ$10=$BI$10,BI165,0))),0)</f>
        <v>0</v>
      </c>
      <c r="BK165" s="288"/>
      <c r="BL165" s="898" t="n">
        <f aca="false">IF($AW165=1,$F165*$BF$5,0)</f>
        <v>0</v>
      </c>
      <c r="BM165" s="898" t="n">
        <f aca="false">IF($BD165=1,($G165+H165)*$BF$5,0)</f>
        <v>0</v>
      </c>
      <c r="BO165" s="898" t="n">
        <f aca="false">IF(AS165=1,BJ165,0)</f>
        <v>0</v>
      </c>
      <c r="BP165" s="898" t="n">
        <f aca="false">IF(AZ165=1,F165*$BF$5,0)</f>
        <v>0</v>
      </c>
      <c r="BR165" s="899" t="n">
        <f aca="false">IF(BJ165&gt;0,INDEX(OperationalDetail,MATCH("Capacity Degradation",ODColumn,0),MATCH('Monthly Table'!C165,ODRow,0)),0)</f>
        <v>0</v>
      </c>
      <c r="BS165" s="900" t="n">
        <f aca="false">BJ165*(1-BR165)*Tables!$C$36</f>
        <v>0</v>
      </c>
      <c r="BT165" s="883" t="n">
        <f aca="false">BS165*AL165/1000</f>
        <v>0</v>
      </c>
      <c r="BU165" s="883" t="n">
        <f aca="false">BT165*K165</f>
        <v>0</v>
      </c>
      <c r="BV165" s="188"/>
      <c r="BW165" s="901" t="n">
        <f aca="false">$BO165*(1-$BR165)*Tables!$C$36</f>
        <v>0</v>
      </c>
      <c r="BX165" s="902" t="n">
        <f aca="false">(BW165*AQ165)/1000</f>
        <v>0</v>
      </c>
      <c r="BY165" s="883" t="n">
        <f aca="false">BX165*K165</f>
        <v>0</v>
      </c>
      <c r="BZ165" s="188"/>
      <c r="CA165" s="901" t="n">
        <f aca="false">$BL165*(1-$BR165)*Tables!$C$36</f>
        <v>0</v>
      </c>
      <c r="CB165" s="902" t="n">
        <f aca="false">(CA165*AU165)/1000</f>
        <v>0</v>
      </c>
      <c r="CC165" s="883" t="n">
        <f aca="false">CB165*K165</f>
        <v>0</v>
      </c>
      <c r="CD165" s="901" t="n">
        <f aca="false">$BP165*(1-$BR165)*Tables!$C$36</f>
        <v>0</v>
      </c>
      <c r="CE165" s="902" t="n">
        <f aca="false">(CD165*AX165)/1000</f>
        <v>0</v>
      </c>
      <c r="CF165" s="883" t="n">
        <f aca="false">CE165*K165</f>
        <v>0</v>
      </c>
      <c r="CH165" s="901" t="n">
        <f aca="false">$BM165*(1-$BR165)*Tables!$C$36</f>
        <v>0</v>
      </c>
      <c r="CI165" s="902" t="n">
        <f aca="false">(CH165*BB165)/1000</f>
        <v>0</v>
      </c>
      <c r="CJ165" s="883" t="n">
        <f aca="false">CI165*K165</f>
        <v>0</v>
      </c>
      <c r="CK165" s="292"/>
      <c r="CL165" s="292" t="n">
        <f aca="false">C165-1</f>
        <v>2012</v>
      </c>
      <c r="CM165" s="903" t="n">
        <f aca="false">INDEX(OperationalDetail,MATCH("Degraded Heat Rate",ODColumn,0),MATCH('Monthly Table'!CL165,ODRow,0))/1000</f>
        <v>12.1701372</v>
      </c>
      <c r="CN165" s="904" t="n">
        <f aca="false">S165*CM165</f>
        <v>64.8510729731425</v>
      </c>
      <c r="CO165" s="905" t="n">
        <f aca="false">IF(A165="January",(CO164*(1+Assumptions!$E$32)),CO164)</f>
        <v>8.54240113750035</v>
      </c>
      <c r="CP165" s="906" t="n">
        <f aca="false">CN165+CO165</f>
        <v>73.3934741106429</v>
      </c>
      <c r="CQ165" s="292"/>
      <c r="CR165" s="856" t="str">
        <f aca="false">IF(BJ165=0,"",C165)</f>
        <v/>
      </c>
      <c r="CS165" s="856" t="str">
        <f aca="false">IF(BO165=0,"",$C165)</f>
        <v/>
      </c>
      <c r="CT165" s="856" t="str">
        <f aca="false">IF(BL165=0,"",$C165)</f>
        <v/>
      </c>
      <c r="CU165" s="856" t="str">
        <f aca="false">IF(BP165=0,"",$C165)</f>
        <v/>
      </c>
      <c r="CV165" s="856" t="str">
        <f aca="false">IF(BD165=0,"",$C165)</f>
        <v/>
      </c>
      <c r="CW165" s="907" t="n">
        <f aca="false">YEAR(BF165)</f>
        <v>2013</v>
      </c>
      <c r="CX165" s="908" t="n">
        <f aca="false">INDEX('NY Curve'!$A$4:$G$256,MATCH('Monthly Table'!B165,'NY Curve'!$A$4:$A$256,0),MATCH("New York 5 X 16",'NY Curve'!$A$4:$G$4,0))</f>
        <v>27.6</v>
      </c>
      <c r="CY165" s="909" t="n">
        <f aca="false">K165</f>
        <v>1.29202755455673</v>
      </c>
      <c r="CZ165" s="910" t="n">
        <f aca="false">CX165*CY165</f>
        <v>35.6599605057657</v>
      </c>
      <c r="DB165" s="911"/>
      <c r="DC165" s="911"/>
    </row>
    <row r="166" customFormat="false" ht="18.75" hidden="false" customHeight="true" outlineLevel="0" collapsed="false">
      <c r="A166" s="110" t="s">
        <v>821</v>
      </c>
      <c r="B166" s="918" t="n">
        <v>41609</v>
      </c>
      <c r="C166" s="917" t="n">
        <f aca="false">YEAR(B166)</f>
        <v>2013</v>
      </c>
      <c r="D166" s="919" t="n">
        <f aca="false">IF(A166="January",D165+1,D165)</f>
        <v>13</v>
      </c>
      <c r="E166" s="865" t="n">
        <v>21</v>
      </c>
      <c r="F166" s="866" t="n">
        <v>4</v>
      </c>
      <c r="G166" s="866" t="n">
        <v>5</v>
      </c>
      <c r="H166" s="866" t="n">
        <v>1</v>
      </c>
      <c r="I166" s="867" t="n">
        <f aca="false">SUM(E166:H166)</f>
        <v>31</v>
      </c>
      <c r="J166" s="923"/>
      <c r="K166" s="924" t="n">
        <f aca="false">INDEX(FX!$A$3:$C$362,MATCH(B166,FX!$A$3:$A$362,0),MATCH("Monthly Curve",FX!$A$2:$C$2,0))</f>
        <v>1.29125729100178</v>
      </c>
      <c r="L166" s="924"/>
      <c r="M166" s="987" t="n">
        <v>3.6255</v>
      </c>
      <c r="N166" s="988" t="n">
        <v>0.27</v>
      </c>
      <c r="O166" s="991" t="n">
        <v>0.1</v>
      </c>
      <c r="P166" s="928" t="n">
        <f aca="false">N166+O166</f>
        <v>0.37</v>
      </c>
      <c r="Q166" s="929" t="n">
        <f aca="false">SUM(M166:O166)</f>
        <v>3.9955</v>
      </c>
      <c r="R166" s="979" t="n">
        <f aca="false">IF(A166="January",(R165+R165*Assumptions!$E$32),R165)</f>
        <v>0.38088564620082</v>
      </c>
      <c r="S166" s="931" t="n">
        <f aca="false">(Q166*K166)+R166</f>
        <v>5.54010415239843</v>
      </c>
      <c r="T166" s="924"/>
      <c r="U166" s="938"/>
      <c r="V166" s="949"/>
      <c r="W166" s="949"/>
      <c r="X166" s="992"/>
      <c r="Y166" s="981" t="n">
        <f aca="false">Tables!$D$36</f>
        <v>312</v>
      </c>
      <c r="Z166" s="935" t="n">
        <f aca="false">IF($Z$10=$V$10,V166,IF($Z$10=$W$10,W166,IF($Z$10=$X$10,X166,0)))</f>
        <v>0</v>
      </c>
      <c r="AA166" s="936" t="n">
        <f aca="false">Y166*Z166</f>
        <v>0</v>
      </c>
      <c r="AB166" s="937" t="n">
        <f aca="false">AA166*K166</f>
        <v>0</v>
      </c>
      <c r="AC166" s="938"/>
      <c r="AD166" s="882" t="n">
        <f aca="false">IF(Tables!$E$30="Michigan",INDEX('Michigan Curve'!$A$4:$S$256,MATCH('Monthly Table'!B166,'Michigan Curve'!$A$4:$A$256,0),MATCH("Michigan Selected Option Value US$/month",'Michigan Curve'!$A$4:$S$4,0)),INDEX('NY Curve'!$A$4:$T$256,MATCH('Monthly Table'!B166,'NY Curve'!$A$4:$A$256,0),MATCH("New York Selected Option Value US$/month",'NY Curve'!$A$4:$T$4,0)))</f>
        <v>9703.09500719753</v>
      </c>
      <c r="AE166" s="883" t="n">
        <f aca="false">AD166*K166</f>
        <v>12529.1921733268</v>
      </c>
      <c r="AF166" s="938"/>
      <c r="AG166" s="939"/>
      <c r="AH166" s="110"/>
      <c r="AI166" s="885" t="n">
        <f aca="false">Assumptions!$B$50</f>
        <v>65</v>
      </c>
      <c r="AJ166" s="940"/>
      <c r="AK166" s="887" t="n">
        <f aca="false">IF(Tables!$E$30="Custom",'Monthly Table'!AI166,IF(Tables!$E$30="New York",INDEX('NY Curve'!$A$4:$G$256,MATCH('Monthly Table'!B166,'NY Curve'!$A$4:$A$256,0),MATCH("Super Peak Curve",'NY Curve'!$A$4:$G$4,0)),IF(Tables!$E$30="New York Flat",INDEX('NY Curve'!$A$4:$G$256,MATCH('Monthly Table'!B166,'NY Curve'!$A$4:$A$256,0),MATCH("Flat NY West",'NY Curve'!$A$4:$G$4,0)),INDEX('Michigan Curve'!$A$4:$F$256,MATCH('Monthly Table'!B166,'Michigan Curve'!$A$4:$A$256,0),MATCH("Michigan Super Peak Curve US$/MWhr",'Michigan Curve'!$A$4:$F$4,0)))))</f>
        <v>30.2939949417114</v>
      </c>
      <c r="AL166" s="941" t="n">
        <f aca="false">IF(D166&lt;=Tables!$B$21,IF($AL$10=$AI$10,AI166,IF($AL$10=$AJ$10,AJ166,IF($AL$10=$AK$10,AK166,0))),0)</f>
        <v>30.2939949417114</v>
      </c>
      <c r="AM166" s="889" t="n">
        <f aca="false">+AL166*K166</f>
        <v>39.1173418420559</v>
      </c>
      <c r="AN166" s="943" t="n">
        <f aca="false">IF((AL166*K166)&gt;(CP166+$BF$4),1,0)</f>
        <v>0</v>
      </c>
      <c r="AO166" s="944"/>
      <c r="AP166" s="894"/>
      <c r="AQ166" s="892" t="n">
        <f aca="false">IF(Tables!$E$30="New York",INDEX('NY Curve'!$A$4:$L$256,MATCH('Monthly Table'!B166,'NY Curve'!$A$4:$A$256,0),MATCH("New York Shoulder Hour Curve Mon-Fri",'NY Curve'!$A$4:$L$4,0)),IF(Tables!$E$30="Michigan",INDEX('Michigan Curve'!$A$4:$K$256,MATCH('Monthly Table'!B166,'Michigan Curve'!$A$4:$A$256,0),MATCH("Michigan Shoulder Hour Curve Mon-Fri",'Michigan Curve'!$A$4:$K$4,0))))</f>
        <v>29.1059951400757</v>
      </c>
      <c r="AR166" s="889" t="n">
        <f aca="false">AQ166*K166</f>
        <v>37.5833284364851</v>
      </c>
      <c r="AS166" s="893" t="n">
        <f aca="false">IF(AR166&gt;($CP166+$BF$4),1,0)</f>
        <v>0</v>
      </c>
      <c r="AT166" s="917"/>
      <c r="AU166" s="892" t="n">
        <f aca="false">IF(Tables!$E$30="New York",INDEX('NY Curve'!$A$4:$L$256,MATCH('Monthly Table'!$B166,'NY Curve'!$A$4:$A$256,0),MATCH("New York Saturday Super Peak",'NY Curve'!$A$4:$L$4,0)),IF(Tables!$E$30="Michigan",INDEX('Michigan Curve'!$A$4:$K$256,MATCH('Monthly Table'!$B166,'Michigan Curve'!$A$4:$A$256,0),MATCH("Michigan Saturday Super Peak",'Michigan Curve'!$A$4:$K$4,0))))</f>
        <v>20.4</v>
      </c>
      <c r="AV166" s="894" t="n">
        <f aca="false">AU166*K166</f>
        <v>26.3416487364363</v>
      </c>
      <c r="AW166" s="893" t="n">
        <f aca="false">IF(AV166&gt;($CP166+$BF$4),1,0)</f>
        <v>0</v>
      </c>
      <c r="AX166" s="892" t="n">
        <f aca="false">IF(Tables!$E$30="New York",INDEX('NY Curve'!$A$4:$L$256,MATCH('Monthly Table'!$B166,'NY Curve'!$A$4:$A$256,0),MATCH("New York Saturday Shoulder Peak",'NY Curve'!$A$4:$L$4,0)),IF(Tables!$E$30="Michigan",INDEX('Michigan Curve'!$A$4:$K$256,MATCH('Monthly Table'!$B166,'Michigan Curve'!$A$4:$A$256,0),MATCH("Michigan Saturday Shoulder Peak",'Michigan Curve'!$A$4:$K$4,0))))</f>
        <v>19.6</v>
      </c>
      <c r="AY166" s="895" t="n">
        <f aca="false">AX166*K166</f>
        <v>25.3086429036349</v>
      </c>
      <c r="AZ166" s="893" t="n">
        <f aca="false">IF(AY166&gt;($CP166+$BF$4),1,0)</f>
        <v>0</v>
      </c>
      <c r="BA166" s="917"/>
      <c r="BB166" s="892" t="n">
        <f aca="false">IF(Tables!$E$30="New York",INDEX('NY Curve'!$A$4:$M$256,MATCH('Monthly Table'!$B166,'NY Curve'!$A$4:$A$256,0),MATCH("NY Sunday Super Peak",'NY Curve'!$A$4:$M$4,0)),IF(Tables!$E$30="Michigan",INDEX('Michigan Curve'!$A$4:$L$256,MATCH('Monthly Table'!$B166,'Michigan Curve'!$A$4:$A$256,0),MATCH("Michigan Sunday Super Peak",'Michigan Curve'!$A$4:$L$4,0))))</f>
        <v>19.38</v>
      </c>
      <c r="BC166" s="894" t="n">
        <f aca="false">BB166*K166</f>
        <v>25.0245662996145</v>
      </c>
      <c r="BD166" s="893" t="n">
        <f aca="false">IF(BC166&gt;($CP166+$BF$4),1,0)</f>
        <v>0</v>
      </c>
      <c r="BE166" s="917"/>
      <c r="BF166" s="948" t="n">
        <f aca="false">B166</f>
        <v>41609</v>
      </c>
      <c r="BG166" s="897" t="n">
        <f aca="false">IF($AN166=1,$E166*$BF$5,0)</f>
        <v>0</v>
      </c>
      <c r="BH166" s="982" t="n">
        <f aca="false">IF(Tables!$B$36="Combined Cycle",(BF166-BF165)*24*Assumptions!$B$21,0)</f>
        <v>0</v>
      </c>
      <c r="BI166" s="714" t="n">
        <f aca="false">IF($AN166=1,$E166*$BF$5,0)</f>
        <v>0</v>
      </c>
      <c r="BJ166" s="950" t="n">
        <f aca="false">IF('Monthly Table'!D166&lt;=Tables!$B$21,IF($BJ$10=$BG$10,BG166,IF($BJ$10=$BH$10,BH166,IF($BJ$10=$BI$10,BI166,0))),0)</f>
        <v>0</v>
      </c>
      <c r="BK166" s="288"/>
      <c r="BL166" s="898" t="n">
        <f aca="false">IF($AW166=1,$F166*$BF$5,0)</f>
        <v>0</v>
      </c>
      <c r="BM166" s="898" t="n">
        <f aca="false">IF($BD166=1,($G166+H166)*$BF$5,0)</f>
        <v>0</v>
      </c>
      <c r="BO166" s="898" t="n">
        <f aca="false">IF(AS166=1,BJ166,0)</f>
        <v>0</v>
      </c>
      <c r="BP166" s="898" t="n">
        <f aca="false">IF(AZ166=1,F166*$BF$5,0)</f>
        <v>0</v>
      </c>
      <c r="BR166" s="951" t="n">
        <f aca="false">IF(BJ166&gt;0,INDEX(OperationalDetail,MATCH("Capacity Degradation",ODColumn,0),MATCH('Monthly Table'!C166,ODRow,0)),0)</f>
        <v>0</v>
      </c>
      <c r="BS166" s="900" t="n">
        <f aca="false">BJ166*(1-BR166)*Tables!$C$36</f>
        <v>0</v>
      </c>
      <c r="BT166" s="953" t="n">
        <f aca="false">BS166*AL166/1000</f>
        <v>0</v>
      </c>
      <c r="BU166" s="953" t="n">
        <f aca="false">BT166*K166</f>
        <v>0</v>
      </c>
      <c r="BV166" s="188"/>
      <c r="BW166" s="901" t="n">
        <f aca="false">$BO166*(1-$BR166)*Tables!$C$36</f>
        <v>0</v>
      </c>
      <c r="BX166" s="902" t="n">
        <f aca="false">(BW166*AQ166)/1000</f>
        <v>0</v>
      </c>
      <c r="BY166" s="883" t="n">
        <f aca="false">BX166*K166</f>
        <v>0</v>
      </c>
      <c r="BZ166" s="938"/>
      <c r="CA166" s="901" t="n">
        <f aca="false">$BL166*(1-$BR166)*Tables!$C$36</f>
        <v>0</v>
      </c>
      <c r="CB166" s="902" t="n">
        <f aca="false">(CA166*AU166)/1000</f>
        <v>0</v>
      </c>
      <c r="CC166" s="883" t="n">
        <f aca="false">CB166*K166</f>
        <v>0</v>
      </c>
      <c r="CD166" s="901" t="n">
        <f aca="false">$BP166*(1-$BR166)*Tables!$C$36</f>
        <v>0</v>
      </c>
      <c r="CE166" s="902" t="n">
        <f aca="false">(CD166*AX166)/1000</f>
        <v>0</v>
      </c>
      <c r="CF166" s="883" t="n">
        <f aca="false">CE166*K166</f>
        <v>0</v>
      </c>
      <c r="CG166" s="110"/>
      <c r="CH166" s="901" t="n">
        <f aca="false">$BM166*(1-$BR166)*Tables!$C$36</f>
        <v>0</v>
      </c>
      <c r="CI166" s="902" t="n">
        <f aca="false">(CH166*BB166)/1000</f>
        <v>0</v>
      </c>
      <c r="CJ166" s="883" t="n">
        <f aca="false">CI166*K166</f>
        <v>0</v>
      </c>
      <c r="CK166" s="292"/>
      <c r="CL166" s="292" t="n">
        <f aca="false">C166-1</f>
        <v>2012</v>
      </c>
      <c r="CM166" s="903" t="n">
        <f aca="false">INDEX(OperationalDetail,MATCH("Degraded Heat Rate",ODColumn,0),MATCH('Monthly Table'!CL166,ODRow,0))/1000</f>
        <v>12.1701372</v>
      </c>
      <c r="CN166" s="958" t="n">
        <f aca="false">S166*CM166</f>
        <v>67.4238276369786</v>
      </c>
      <c r="CO166" s="959" t="n">
        <f aca="false">IF(A166="January",(CO165*(1+Assumptions!$E$32)),CO165)</f>
        <v>8.54240113750035</v>
      </c>
      <c r="CP166" s="960" t="n">
        <f aca="false">CN166+CO166</f>
        <v>75.966228774479</v>
      </c>
      <c r="CQ166" s="292"/>
      <c r="CR166" s="961" t="str">
        <f aca="false">IF(BJ166=0,"",C166)</f>
        <v/>
      </c>
      <c r="CS166" s="856" t="str">
        <f aca="false">IF(BO166=0,"",$C166)</f>
        <v/>
      </c>
      <c r="CT166" s="856" t="str">
        <f aca="false">IF(BL166=0,"",$C166)</f>
        <v/>
      </c>
      <c r="CU166" s="856" t="str">
        <f aca="false">IF(BP166=0,"",$C166)</f>
        <v/>
      </c>
      <c r="CV166" s="856" t="str">
        <f aca="false">IF(BD166=0,"",$C166)</f>
        <v/>
      </c>
      <c r="CW166" s="962" t="n">
        <f aca="false">YEAR(BF166)</f>
        <v>2013</v>
      </c>
      <c r="CX166" s="963" t="n">
        <f aca="false">INDEX('NY Curve'!$A$4:$G$256,MATCH('Monthly Table'!B166,'NY Curve'!$A$4:$A$256,0),MATCH("New York 5 X 16",'NY Curve'!$A$4:$G$4,0))</f>
        <v>28.1</v>
      </c>
      <c r="CY166" s="964" t="n">
        <f aca="false">K166</f>
        <v>1.29125729100178</v>
      </c>
      <c r="CZ166" s="965" t="n">
        <f aca="false">CX166*CY166</f>
        <v>36.28432987715</v>
      </c>
      <c r="DA166" s="110"/>
      <c r="DB166" s="911"/>
      <c r="DC166" s="911"/>
      <c r="DD166" s="110"/>
      <c r="DE166" s="110"/>
      <c r="DF166" s="110"/>
      <c r="DG166" s="110"/>
      <c r="DH166" s="110"/>
    </row>
    <row r="167" customFormat="false" ht="18.75" hidden="false" customHeight="true" outlineLevel="0" collapsed="false">
      <c r="A167" s="49" t="s">
        <v>810</v>
      </c>
      <c r="B167" s="863" t="n">
        <v>41640</v>
      </c>
      <c r="C167" s="288" t="n">
        <f aca="false">YEAR(B167)</f>
        <v>2014</v>
      </c>
      <c r="D167" s="864" t="n">
        <f aca="false">IF(A167="January",D166+1,D166)</f>
        <v>14</v>
      </c>
      <c r="E167" s="865" t="n">
        <v>22</v>
      </c>
      <c r="F167" s="866" t="n">
        <v>4</v>
      </c>
      <c r="G167" s="866" t="n">
        <v>4</v>
      </c>
      <c r="H167" s="866" t="n">
        <v>1</v>
      </c>
      <c r="I167" s="867" t="n">
        <f aca="false">SUM(E167:H167)</f>
        <v>31</v>
      </c>
      <c r="J167" s="868"/>
      <c r="K167" s="869" t="n">
        <f aca="false">INDEX(FX!$A$3:$C$362,MATCH(B167,FX!$A$3:$A$362,0),MATCH("Monthly Curve",FX!$A$2:$C$2,0))</f>
        <v>1.29046366516151</v>
      </c>
      <c r="L167" s="869"/>
      <c r="M167" s="987" t="n">
        <v>3.721</v>
      </c>
      <c r="N167" s="988" t="n">
        <v>0.28</v>
      </c>
      <c r="O167" s="986" t="n">
        <v>0.1</v>
      </c>
      <c r="P167" s="872" t="n">
        <f aca="false">N167+O167</f>
        <v>0.38</v>
      </c>
      <c r="Q167" s="873" t="n">
        <f aca="false">SUM(M167:O167)</f>
        <v>4.101</v>
      </c>
      <c r="R167" s="974" t="n">
        <f aca="false">IF(A167="January",(R166+R166*Assumptions!$E$32),R166)</f>
        <v>0.388503359124836</v>
      </c>
      <c r="S167" s="875" t="n">
        <f aca="false">(Q167*K167)+R167</f>
        <v>5.68069484995219</v>
      </c>
      <c r="T167" s="869"/>
      <c r="U167" s="187"/>
      <c r="V167" s="897"/>
      <c r="W167" s="897"/>
      <c r="X167" s="31"/>
      <c r="Y167" s="975" t="n">
        <f aca="false">Tables!$D$36</f>
        <v>312</v>
      </c>
      <c r="Z167" s="879" t="n">
        <f aca="false">IF($Z$10=$V$10,V167,IF($Z$10=$W$10,W167,IF($Z$10=$X$10,X167,0)))</f>
        <v>0</v>
      </c>
      <c r="AA167" s="880" t="n">
        <f aca="false">Y167*Z167</f>
        <v>0</v>
      </c>
      <c r="AB167" s="881" t="n">
        <f aca="false">AA167*K167</f>
        <v>0</v>
      </c>
      <c r="AC167" s="188"/>
      <c r="AD167" s="882" t="n">
        <f aca="false">IF(Tables!$E$30="Michigan",INDEX('Michigan Curve'!$A$4:$S$256,MATCH('Monthly Table'!B167,'Michigan Curve'!$A$4:$A$256,0),MATCH("Michigan Selected Option Value US$/month",'Michigan Curve'!$A$4:$S$4,0)),INDEX('NY Curve'!$A$4:$T$256,MATCH('Monthly Table'!B167,'NY Curve'!$A$4:$A$256,0),MATCH("New York Selected Option Value US$/month",'NY Curve'!$A$4:$T$4,0)))</f>
        <v>50427.8441385469</v>
      </c>
      <c r="AE167" s="883" t="n">
        <f aca="false">AD167*K167</f>
        <v>65075.3005732226</v>
      </c>
      <c r="AF167" s="188"/>
      <c r="AG167" s="884"/>
      <c r="AH167" s="49"/>
      <c r="AI167" s="885" t="n">
        <f aca="false">Assumptions!$B$50</f>
        <v>65</v>
      </c>
      <c r="AJ167" s="916"/>
      <c r="AK167" s="887" t="n">
        <f aca="false">IF(Tables!$E$30="Custom",'Monthly Table'!AI167,IF(Tables!$E$30="New York",INDEX('NY Curve'!$A$4:$G$256,MATCH('Monthly Table'!B167,'NY Curve'!$A$4:$A$256,0),MATCH("Super Peak Curve",'NY Curve'!$A$4:$G$4,0)),IF(Tables!$E$30="New York Flat",INDEX('NY Curve'!$A$4:$G$256,MATCH('Monthly Table'!B167,'NY Curve'!$A$4:$A$256,0),MATCH("Flat NY West",'NY Curve'!$A$4:$G$4,0)),INDEX('Michigan Curve'!$A$4:$F$256,MATCH('Monthly Table'!B167,'Michigan Curve'!$A$4:$A$256,0),MATCH("Michigan Super Peak Curve US$/MWhr",'Michigan Curve'!$A$4:$F$4,0)))))</f>
        <v>35.9040003890991</v>
      </c>
      <c r="AL167" s="888" t="n">
        <f aca="false">IF(D167&lt;=Tables!$B$21,IF($AL$10=$AI$10,AI167,IF($AL$10=$AJ$10,AJ167,IF($AL$10=$AK$10,AK167,0))),0)</f>
        <v>35.9040003890991</v>
      </c>
      <c r="AM167" s="889" t="n">
        <f aca="false">+AL167*K167</f>
        <v>46.3328079360771</v>
      </c>
      <c r="AN167" s="890" t="n">
        <f aca="false">IF((AL167*K167)&gt;(CP167+$BF$4),1,0)</f>
        <v>0</v>
      </c>
      <c r="AO167" s="891"/>
      <c r="AP167" s="894"/>
      <c r="AQ167" s="892" t="n">
        <f aca="false">IF(Tables!$E$30="New York",INDEX('NY Curve'!$A$4:$L$256,MATCH('Monthly Table'!B167,'NY Curve'!$A$4:$A$256,0),MATCH("New York Shoulder Hour Curve Mon-Fri",'NY Curve'!$A$4:$L$4,0)),IF(Tables!$E$30="Michigan",INDEX('Michigan Curve'!$A$4:$K$256,MATCH('Monthly Table'!B167,'Michigan Curve'!$A$4:$A$256,0),MATCH("Michigan Shoulder Hour Curve Mon-Fri",'Michigan Curve'!$A$4:$K$4,0))))</f>
        <v>34.4960003738403</v>
      </c>
      <c r="AR167" s="889" t="n">
        <f aca="false">AQ167*K167</f>
        <v>44.5158350758388</v>
      </c>
      <c r="AS167" s="893" t="n">
        <f aca="false">IF(AR167&gt;($CP167+$BF$4),1,0)</f>
        <v>0</v>
      </c>
      <c r="AU167" s="892" t="n">
        <f aca="false">IF(Tables!$E$30="New York",INDEX('NY Curve'!$A$4:$L$256,MATCH('Monthly Table'!$B167,'NY Curve'!$A$4:$A$256,0),MATCH("New York Saturday Super Peak",'NY Curve'!$A$4:$L$4,0)),IF(Tables!$E$30="Michigan",INDEX('Michigan Curve'!$A$4:$K$256,MATCH('Monthly Table'!$B167,'Michigan Curve'!$A$4:$A$256,0),MATCH("Michigan Saturday Super Peak",'Michigan Curve'!$A$4:$K$4,0))))</f>
        <v>22.44</v>
      </c>
      <c r="AV167" s="894" t="n">
        <f aca="false">AU167*K167</f>
        <v>28.9580046462243</v>
      </c>
      <c r="AW167" s="893" t="n">
        <f aca="false">IF(AV167&gt;($CP167+$BF$4),1,0)</f>
        <v>0</v>
      </c>
      <c r="AX167" s="892" t="n">
        <f aca="false">IF(Tables!$E$30="New York",INDEX('NY Curve'!$A$4:$L$256,MATCH('Monthly Table'!$B167,'NY Curve'!$A$4:$A$256,0),MATCH("New York Saturday Shoulder Peak",'NY Curve'!$A$4:$L$4,0)),IF(Tables!$E$30="Michigan",INDEX('Michigan Curve'!$A$4:$K$256,MATCH('Monthly Table'!$B167,'Michigan Curve'!$A$4:$A$256,0),MATCH("Michigan Saturday Shoulder Peak",'Michigan Curve'!$A$4:$K$4,0))))</f>
        <v>21.56</v>
      </c>
      <c r="AY167" s="895" t="n">
        <f aca="false">AX167*K167</f>
        <v>27.8223966208822</v>
      </c>
      <c r="AZ167" s="893" t="n">
        <f aca="false">IF(AY167&gt;($CP167+$BF$4),1,0)</f>
        <v>0</v>
      </c>
      <c r="BB167" s="892" t="n">
        <f aca="false">IF(Tables!$E$30="New York",INDEX('NY Curve'!$A$4:$M$256,MATCH('Monthly Table'!$B167,'NY Curve'!$A$4:$A$256,0),MATCH("NY Sunday Super Peak",'NY Curve'!$A$4:$M$4,0)),IF(Tables!$E$30="Michigan",INDEX('Michigan Curve'!$A$4:$L$256,MATCH('Monthly Table'!$B167,'Michigan Curve'!$A$4:$A$256,0),MATCH("Michigan Sunday Super Peak",'Michigan Curve'!$A$4:$L$4,0))))</f>
        <v>21.42</v>
      </c>
      <c r="BC167" s="894" t="n">
        <f aca="false">BB167*K167</f>
        <v>27.6417317077595</v>
      </c>
      <c r="BD167" s="893" t="n">
        <f aca="false">IF(BC167&gt;($CP167+$BF$4),1,0)</f>
        <v>0</v>
      </c>
      <c r="BF167" s="896" t="n">
        <f aca="false">B167</f>
        <v>41640</v>
      </c>
      <c r="BG167" s="897" t="n">
        <f aca="false">IF($AN167=1,$E167*$BF$5,0)</f>
        <v>0</v>
      </c>
      <c r="BH167" s="976" t="n">
        <f aca="false">IF(Tables!$B$36="Combined Cycle",(BF167-BF166)*24*Assumptions!$B$21,0)</f>
        <v>0</v>
      </c>
      <c r="BI167" s="714" t="n">
        <f aca="false">IF($AN167=1,$E167*$BF$5,0)</f>
        <v>0</v>
      </c>
      <c r="BJ167" s="898" t="n">
        <f aca="false">IF('Monthly Table'!D167&lt;=Tables!$B$21,IF($BJ$10=$BG$10,BG167,IF($BJ$10=$BH$10,BH167,IF($BJ$10=$BI$10,BI167,0))),0)</f>
        <v>0</v>
      </c>
      <c r="BK167" s="288"/>
      <c r="BL167" s="898" t="n">
        <f aca="false">IF($AW167=1,$F167*$BF$5,0)</f>
        <v>0</v>
      </c>
      <c r="BM167" s="898" t="n">
        <f aca="false">IF($BD167=1,($G167+H167)*$BF$5,0)</f>
        <v>0</v>
      </c>
      <c r="BO167" s="898" t="n">
        <f aca="false">IF(AS167=1,BJ167,0)</f>
        <v>0</v>
      </c>
      <c r="BP167" s="898" t="n">
        <f aca="false">IF(AZ167=1,F167*$BF$5,0)</f>
        <v>0</v>
      </c>
      <c r="BR167" s="899" t="n">
        <f aca="false">IF(BJ167&gt;0,INDEX(OperationalDetail,MATCH("Capacity Degradation",ODColumn,0),MATCH('Monthly Table'!C167,ODRow,0)),0)</f>
        <v>0</v>
      </c>
      <c r="BS167" s="900" t="n">
        <f aca="false">BJ167*(1-BR167)*Tables!$C$36</f>
        <v>0</v>
      </c>
      <c r="BT167" s="883" t="n">
        <f aca="false">BS167*AL167/1000</f>
        <v>0</v>
      </c>
      <c r="BU167" s="883" t="n">
        <f aca="false">BT167*K167</f>
        <v>0</v>
      </c>
      <c r="BV167" s="188"/>
      <c r="BW167" s="901" t="n">
        <f aca="false">$BO167*(1-$BR167)*Tables!$C$36</f>
        <v>0</v>
      </c>
      <c r="BX167" s="902" t="n">
        <f aca="false">(BW167*AQ167)/1000</f>
        <v>0</v>
      </c>
      <c r="BY167" s="883" t="n">
        <f aca="false">BX167*K167</f>
        <v>0</v>
      </c>
      <c r="BZ167" s="188"/>
      <c r="CA167" s="901" t="n">
        <f aca="false">$BL167*(1-$BR167)*Tables!$C$36</f>
        <v>0</v>
      </c>
      <c r="CB167" s="902" t="n">
        <f aca="false">(CA167*AU167)/1000</f>
        <v>0</v>
      </c>
      <c r="CC167" s="883" t="n">
        <f aca="false">CB167*K167</f>
        <v>0</v>
      </c>
      <c r="CD167" s="901" t="n">
        <f aca="false">$BP167*(1-$BR167)*Tables!$C$36</f>
        <v>0</v>
      </c>
      <c r="CE167" s="902" t="n">
        <f aca="false">(CD167*AX167)/1000</f>
        <v>0</v>
      </c>
      <c r="CF167" s="883" t="n">
        <f aca="false">CE167*K167</f>
        <v>0</v>
      </c>
      <c r="CH167" s="901" t="n">
        <f aca="false">$BM167*(1-$BR167)*Tables!$C$36</f>
        <v>0</v>
      </c>
      <c r="CI167" s="902" t="n">
        <f aca="false">(CH167*BB167)/1000</f>
        <v>0</v>
      </c>
      <c r="CJ167" s="883" t="n">
        <f aca="false">CI167*K167</f>
        <v>0</v>
      </c>
      <c r="CK167" s="292"/>
      <c r="CL167" s="292" t="n">
        <f aca="false">C167-1</f>
        <v>2013</v>
      </c>
      <c r="CM167" s="903" t="n">
        <f aca="false">INDEX(OperationalDetail,MATCH("Degraded Heat Rate",ODColumn,0),MATCH('Monthly Table'!CL167,ODRow,0))/1000</f>
        <v>11.960598</v>
      </c>
      <c r="CN167" s="904" t="n">
        <f aca="false">S167*CM167</f>
        <v>67.9445074609485</v>
      </c>
      <c r="CO167" s="905" t="n">
        <f aca="false">IF(A167="January",(CO166*(1+Assumptions!$E$32)),CO166)</f>
        <v>8.71324916025036</v>
      </c>
      <c r="CP167" s="906" t="n">
        <f aca="false">CN167+CO167</f>
        <v>76.6577566211988</v>
      </c>
      <c r="CQ167" s="292"/>
      <c r="CR167" s="856" t="str">
        <f aca="false">IF(BJ167=0,"",C167)</f>
        <v/>
      </c>
      <c r="CS167" s="856" t="str">
        <f aca="false">IF(BO167=0,"",$C167)</f>
        <v/>
      </c>
      <c r="CT167" s="856" t="str">
        <f aca="false">IF(BL167=0,"",$C167)</f>
        <v/>
      </c>
      <c r="CU167" s="856" t="str">
        <f aca="false">IF(BP167=0,"",$C167)</f>
        <v/>
      </c>
      <c r="CV167" s="856" t="str">
        <f aca="false">IF(BD167=0,"",$C167)</f>
        <v/>
      </c>
      <c r="CW167" s="907" t="n">
        <f aca="false">YEAR(BF167)</f>
        <v>2014</v>
      </c>
      <c r="CX167" s="908" t="n">
        <f aca="false">INDEX('NY Curve'!$A$4:$G$256,MATCH('Monthly Table'!B167,'NY Curve'!$A$4:$A$256,0),MATCH("New York 5 X 16",'NY Curve'!$A$4:$G$4,0))</f>
        <v>33.65</v>
      </c>
      <c r="CY167" s="909" t="n">
        <f aca="false">K167</f>
        <v>1.29046366516151</v>
      </c>
      <c r="CZ167" s="910" t="n">
        <f aca="false">CX167*CY167</f>
        <v>43.4241023326848</v>
      </c>
      <c r="DB167" s="911"/>
      <c r="DC167" s="911"/>
    </row>
    <row r="168" customFormat="false" ht="18.75" hidden="false" customHeight="true" outlineLevel="0" collapsed="false">
      <c r="A168" s="49" t="s">
        <v>811</v>
      </c>
      <c r="B168" s="863" t="n">
        <v>41671</v>
      </c>
      <c r="C168" s="288" t="n">
        <f aca="false">YEAR(B168)</f>
        <v>2014</v>
      </c>
      <c r="D168" s="864" t="n">
        <f aca="false">IF(A168="January",D167+1,D167)</f>
        <v>14</v>
      </c>
      <c r="E168" s="865" t="n">
        <v>20</v>
      </c>
      <c r="F168" s="866" t="n">
        <v>4</v>
      </c>
      <c r="G168" s="866" t="n">
        <v>4</v>
      </c>
      <c r="H168" s="866" t="n">
        <v>0</v>
      </c>
      <c r="I168" s="867" t="n">
        <f aca="false">SUM(E168:H168)</f>
        <v>28</v>
      </c>
      <c r="J168" s="868"/>
      <c r="K168" s="869" t="n">
        <f aca="false">INDEX(FX!$A$3:$C$362,MATCH(B168,FX!$A$3:$A$362,0),MATCH("Monthly Curve",FX!$A$2:$C$2,0))</f>
        <v>1.28967238670525</v>
      </c>
      <c r="L168" s="869"/>
      <c r="M168" s="987" t="n">
        <v>3.608</v>
      </c>
      <c r="N168" s="988" t="n">
        <v>0.31</v>
      </c>
      <c r="O168" s="986" t="n">
        <v>0.1</v>
      </c>
      <c r="P168" s="872" t="n">
        <f aca="false">N168+O168</f>
        <v>0.41</v>
      </c>
      <c r="Q168" s="873" t="n">
        <f aca="false">SUM(M168:O168)</f>
        <v>4.018</v>
      </c>
      <c r="R168" s="974" t="n">
        <f aca="false">IF(A168="January",(R167+R167*Assumptions!$E$32),R167)</f>
        <v>0.388503359124836</v>
      </c>
      <c r="S168" s="875" t="n">
        <f aca="false">(Q168*K168)+R168</f>
        <v>5.57040700890653</v>
      </c>
      <c r="T168" s="869"/>
      <c r="U168" s="187"/>
      <c r="V168" s="897"/>
      <c r="W168" s="897"/>
      <c r="X168" s="31"/>
      <c r="Y168" s="975" t="n">
        <f aca="false">Tables!$D$36</f>
        <v>312</v>
      </c>
      <c r="Z168" s="879" t="n">
        <f aca="false">IF($Z$10=$V$10,V168,IF($Z$10=$W$10,W168,IF($Z$10=$X$10,X168,0)))</f>
        <v>0</v>
      </c>
      <c r="AA168" s="880" t="n">
        <f aca="false">Y168*Z168</f>
        <v>0</v>
      </c>
      <c r="AB168" s="881" t="n">
        <f aca="false">AA168*K168</f>
        <v>0</v>
      </c>
      <c r="AC168" s="188"/>
      <c r="AD168" s="882" t="n">
        <f aca="false">IF(Tables!$E$30="Michigan",INDEX('Michigan Curve'!$A$4:$S$256,MATCH('Monthly Table'!B168,'Michigan Curve'!$A$4:$A$256,0),MATCH("Michigan Selected Option Value US$/month",'Michigan Curve'!$A$4:$S$4,0)),INDEX('NY Curve'!$A$4:$T$256,MATCH('Monthly Table'!B168,'NY Curve'!$A$4:$A$256,0),MATCH("New York Selected Option Value US$/month",'NY Curve'!$A$4:$T$4,0)))</f>
        <v>45841.5694549464</v>
      </c>
      <c r="AE168" s="883" t="n">
        <f aca="false">AD168*K168</f>
        <v>59120.6062892752</v>
      </c>
      <c r="AF168" s="188"/>
      <c r="AG168" s="884"/>
      <c r="AH168" s="49"/>
      <c r="AI168" s="885" t="n">
        <f aca="false">Assumptions!$B$50</f>
        <v>65</v>
      </c>
      <c r="AJ168" s="916"/>
      <c r="AK168" s="887" t="n">
        <f aca="false">IF(Tables!$E$30="Custom",'Monthly Table'!AI168,IF(Tables!$E$30="New York",INDEX('NY Curve'!$A$4:$G$256,MATCH('Monthly Table'!B168,'NY Curve'!$A$4:$A$256,0),MATCH("Super Peak Curve",'NY Curve'!$A$4:$G$4,0)),IF(Tables!$E$30="New York Flat",INDEX('NY Curve'!$A$4:$G$256,MATCH('Monthly Table'!B168,'NY Curve'!$A$4:$A$256,0),MATCH("Flat NY West",'NY Curve'!$A$4:$G$4,0)),INDEX('Michigan Curve'!$A$4:$F$256,MATCH('Monthly Table'!B168,'Michigan Curve'!$A$4:$A$256,0),MATCH("Michigan Super Peak Curve US$/MWhr",'Michigan Curve'!$A$4:$F$4,0)))))</f>
        <v>35.9039984436035</v>
      </c>
      <c r="AL168" s="888" t="n">
        <f aca="false">IF(D168&lt;=Tables!$B$21,IF($AL$10=$AI$10,AI168,IF($AL$10=$AJ$10,AJ168,IF($AL$10=$AK$10,AK168,0))),0)</f>
        <v>35.9039984436035</v>
      </c>
      <c r="AM168" s="889" t="n">
        <f aca="false">+AL168*K168</f>
        <v>46.3043953650237</v>
      </c>
      <c r="AN168" s="890" t="n">
        <f aca="false">IF((AL168*K168)&gt;(CP168+$BF$4),1,0)</f>
        <v>0</v>
      </c>
      <c r="AO168" s="891"/>
      <c r="AP168" s="894"/>
      <c r="AQ168" s="892" t="n">
        <f aca="false">IF(Tables!$E$30="New York",INDEX('NY Curve'!$A$4:$L$256,MATCH('Monthly Table'!B168,'NY Curve'!$A$4:$A$256,0),MATCH("New York Shoulder Hour Curve Mon-Fri",'NY Curve'!$A$4:$L$4,0)),IF(Tables!$E$30="Michigan",INDEX('Michigan Curve'!$A$4:$K$256,MATCH('Monthly Table'!B168,'Michigan Curve'!$A$4:$A$256,0),MATCH("Michigan Shoulder Hour Curve Mon-Fri",'Michigan Curve'!$A$4:$K$4,0))))</f>
        <v>34.4959985046387</v>
      </c>
      <c r="AR168" s="889" t="n">
        <f aca="false">AQ168*K168</f>
        <v>44.4885367232581</v>
      </c>
      <c r="AS168" s="893" t="n">
        <f aca="false">IF(AR168&gt;($CP168+$BF$4),1,0)</f>
        <v>0</v>
      </c>
      <c r="AU168" s="892" t="n">
        <f aca="false">IF(Tables!$E$30="New York",INDEX('NY Curve'!$A$4:$L$256,MATCH('Monthly Table'!$B168,'NY Curve'!$A$4:$A$256,0),MATCH("New York Saturday Super Peak",'NY Curve'!$A$4:$L$4,0)),IF(Tables!$E$30="Michigan",INDEX('Michigan Curve'!$A$4:$K$256,MATCH('Monthly Table'!$B168,'Michigan Curve'!$A$4:$A$256,0),MATCH("Michigan Saturday Super Peak",'Michigan Curve'!$A$4:$K$4,0))))</f>
        <v>22.4359202957153</v>
      </c>
      <c r="AV168" s="894" t="n">
        <f aca="false">AU168*K168</f>
        <v>28.934986875704</v>
      </c>
      <c r="AW168" s="893" t="n">
        <f aca="false">IF(AV168&gt;($CP168+$BF$4),1,0)</f>
        <v>0</v>
      </c>
      <c r="AX168" s="892" t="n">
        <f aca="false">IF(Tables!$E$30="New York",INDEX('NY Curve'!$A$4:$L$256,MATCH('Monthly Table'!$B168,'NY Curve'!$A$4:$A$256,0),MATCH("New York Saturday Shoulder Peak",'NY Curve'!$A$4:$L$4,0)),IF(Tables!$E$30="Michigan",INDEX('Michigan Curve'!$A$4:$K$256,MATCH('Monthly Table'!$B168,'Michigan Curve'!$A$4:$A$256,0),MATCH("Michigan Saturday Shoulder Peak",'Michigan Curve'!$A$4:$K$4,0))))</f>
        <v>21.5560802841187</v>
      </c>
      <c r="AY168" s="895" t="n">
        <f aca="false">AX168*K168</f>
        <v>27.8002815080293</v>
      </c>
      <c r="AZ168" s="893" t="n">
        <f aca="false">IF(AY168&gt;($CP168+$BF$4),1,0)</f>
        <v>0</v>
      </c>
      <c r="BB168" s="892" t="n">
        <f aca="false">IF(Tables!$E$30="New York",INDEX('NY Curve'!$A$4:$M$256,MATCH('Monthly Table'!$B168,'NY Curve'!$A$4:$A$256,0),MATCH("NY Sunday Super Peak",'NY Curve'!$A$4:$M$4,0)),IF(Tables!$E$30="Michigan",INDEX('Michigan Curve'!$A$4:$L$256,MATCH('Monthly Table'!$B168,'Michigan Curve'!$A$4:$A$256,0),MATCH("Michigan Sunday Super Peak",'Michigan Curve'!$A$4:$L$4,0))))</f>
        <v>21.4164319610596</v>
      </c>
      <c r="BC168" s="894" t="n">
        <f aca="false">BB168*K168</f>
        <v>27.6201809219303</v>
      </c>
      <c r="BD168" s="893" t="n">
        <f aca="false">IF(BC168&gt;($CP168+$BF$4),1,0)</f>
        <v>0</v>
      </c>
      <c r="BF168" s="896" t="n">
        <f aca="false">B168</f>
        <v>41671</v>
      </c>
      <c r="BG168" s="897" t="n">
        <f aca="false">IF($AN168=1,$E168*$BF$5,0)</f>
        <v>0</v>
      </c>
      <c r="BH168" s="976" t="n">
        <f aca="false">IF(Tables!$B$36="Combined Cycle",(BF168-BF167)*24*Assumptions!$B$21,0)</f>
        <v>0</v>
      </c>
      <c r="BI168" s="714" t="n">
        <f aca="false">IF($AN168=1,$E168*$BF$5,0)</f>
        <v>0</v>
      </c>
      <c r="BJ168" s="898" t="n">
        <f aca="false">IF('Monthly Table'!D168&lt;=Tables!$B$21,IF($BJ$10=$BG$10,BG168,IF($BJ$10=$BH$10,BH168,IF($BJ$10=$BI$10,BI168,0))),0)</f>
        <v>0</v>
      </c>
      <c r="BK168" s="288"/>
      <c r="BL168" s="898" t="n">
        <f aca="false">IF($AW168=1,$F168*$BF$5,0)</f>
        <v>0</v>
      </c>
      <c r="BM168" s="898" t="n">
        <f aca="false">IF($BD168=1,($G168+H168)*$BF$5,0)</f>
        <v>0</v>
      </c>
      <c r="BO168" s="898" t="n">
        <f aca="false">IF(AS168=1,BJ168,0)</f>
        <v>0</v>
      </c>
      <c r="BP168" s="898" t="n">
        <f aca="false">IF(AZ168=1,F168*$BF$5,0)</f>
        <v>0</v>
      </c>
      <c r="BR168" s="899" t="n">
        <f aca="false">IF(BJ168&gt;0,INDEX(OperationalDetail,MATCH("Capacity Degradation",ODColumn,0),MATCH('Monthly Table'!C168,ODRow,0)),0)</f>
        <v>0</v>
      </c>
      <c r="BS168" s="900" t="n">
        <f aca="false">BJ168*(1-BR168)*Tables!$C$36</f>
        <v>0</v>
      </c>
      <c r="BT168" s="883" t="n">
        <f aca="false">BS168*AL168/1000</f>
        <v>0</v>
      </c>
      <c r="BU168" s="883" t="n">
        <f aca="false">BT168*K168</f>
        <v>0</v>
      </c>
      <c r="BV168" s="188"/>
      <c r="BW168" s="901" t="n">
        <f aca="false">$BO168*(1-$BR168)*Tables!$C$36</f>
        <v>0</v>
      </c>
      <c r="BX168" s="902" t="n">
        <f aca="false">(BW168*AQ168)/1000</f>
        <v>0</v>
      </c>
      <c r="BY168" s="883" t="n">
        <f aca="false">BX168*K168</f>
        <v>0</v>
      </c>
      <c r="BZ168" s="188"/>
      <c r="CA168" s="901" t="n">
        <f aca="false">$BL168*(1-$BR168)*Tables!$C$36</f>
        <v>0</v>
      </c>
      <c r="CB168" s="902" t="n">
        <f aca="false">(CA168*AU168)/1000</f>
        <v>0</v>
      </c>
      <c r="CC168" s="883" t="n">
        <f aca="false">CB168*K168</f>
        <v>0</v>
      </c>
      <c r="CD168" s="901" t="n">
        <f aca="false">$BP168*(1-$BR168)*Tables!$C$36</f>
        <v>0</v>
      </c>
      <c r="CE168" s="902" t="n">
        <f aca="false">(CD168*AX168)/1000</f>
        <v>0</v>
      </c>
      <c r="CF168" s="883" t="n">
        <f aca="false">CE168*K168</f>
        <v>0</v>
      </c>
      <c r="CH168" s="901" t="n">
        <f aca="false">$BM168*(1-$BR168)*Tables!$C$36</f>
        <v>0</v>
      </c>
      <c r="CI168" s="902" t="n">
        <f aca="false">(CH168*BB168)/1000</f>
        <v>0</v>
      </c>
      <c r="CJ168" s="883" t="n">
        <f aca="false">CI168*K168</f>
        <v>0</v>
      </c>
      <c r="CK168" s="292"/>
      <c r="CL168" s="292" t="n">
        <f aca="false">C168-1</f>
        <v>2013</v>
      </c>
      <c r="CM168" s="903" t="n">
        <f aca="false">INDEX(OperationalDetail,MATCH("Degraded Heat Rate",ODColumn,0),MATCH('Monthly Table'!CL168,ODRow,0))/1000</f>
        <v>11.960598</v>
      </c>
      <c r="CN168" s="904" t="n">
        <f aca="false">S168*CM168</f>
        <v>66.6253989299134</v>
      </c>
      <c r="CO168" s="905" t="n">
        <f aca="false">IF(A168="January",(CO167*(1+Assumptions!$E$32)),CO167)</f>
        <v>8.71324916025036</v>
      </c>
      <c r="CP168" s="906" t="n">
        <f aca="false">CN168+CO168</f>
        <v>75.3386480901638</v>
      </c>
      <c r="CQ168" s="292"/>
      <c r="CR168" s="856" t="str">
        <f aca="false">IF(BJ168=0,"",C168)</f>
        <v/>
      </c>
      <c r="CS168" s="856" t="str">
        <f aca="false">IF(BO168=0,"",$C168)</f>
        <v/>
      </c>
      <c r="CT168" s="856" t="str">
        <f aca="false">IF(BL168=0,"",$C168)</f>
        <v/>
      </c>
      <c r="CU168" s="856" t="str">
        <f aca="false">IF(BP168=0,"",$C168)</f>
        <v/>
      </c>
      <c r="CV168" s="856" t="str">
        <f aca="false">IF(BD168=0,"",$C168)</f>
        <v/>
      </c>
      <c r="CW168" s="907" t="n">
        <f aca="false">YEAR(BF168)</f>
        <v>2014</v>
      </c>
      <c r="CX168" s="908" t="n">
        <f aca="false">INDEX('NY Curve'!$A$4:$G$256,MATCH('Monthly Table'!B168,'NY Curve'!$A$4:$A$256,0),MATCH("New York 5 X 16",'NY Curve'!$A$4:$G$4,0))</f>
        <v>33.65</v>
      </c>
      <c r="CY168" s="909" t="n">
        <f aca="false">K168</f>
        <v>1.28967238670525</v>
      </c>
      <c r="CZ168" s="910" t="n">
        <f aca="false">CX168*CY168</f>
        <v>43.3974758126317</v>
      </c>
      <c r="DB168" s="911"/>
      <c r="DC168" s="911"/>
    </row>
    <row r="169" customFormat="false" ht="18.75" hidden="false" customHeight="true" outlineLevel="0" collapsed="false">
      <c r="A169" s="49" t="s">
        <v>812</v>
      </c>
      <c r="B169" s="863" t="n">
        <v>41699</v>
      </c>
      <c r="C169" s="288" t="n">
        <f aca="false">YEAR(B169)</f>
        <v>2014</v>
      </c>
      <c r="D169" s="864" t="n">
        <f aca="false">IF(A169="January",D168+1,D168)</f>
        <v>14</v>
      </c>
      <c r="E169" s="865" t="n">
        <v>21</v>
      </c>
      <c r="F169" s="866" t="n">
        <v>5</v>
      </c>
      <c r="G169" s="866" t="n">
        <v>5</v>
      </c>
      <c r="H169" s="866" t="n">
        <v>0</v>
      </c>
      <c r="I169" s="867" t="n">
        <f aca="false">SUM(E169:H169)</f>
        <v>31</v>
      </c>
      <c r="J169" s="868"/>
      <c r="K169" s="869" t="n">
        <f aca="false">INDEX(FX!$A$3:$C$362,MATCH(B169,FX!$A$3:$A$362,0),MATCH("Monthly Curve",FX!$A$2:$C$2,0))</f>
        <v>1.2889596981063</v>
      </c>
      <c r="L169" s="869"/>
      <c r="M169" s="987" t="n">
        <v>3.493</v>
      </c>
      <c r="N169" s="988" t="n">
        <v>0.31</v>
      </c>
      <c r="O169" s="986" t="n">
        <v>0.1</v>
      </c>
      <c r="P169" s="872" t="n">
        <f aca="false">N169+O169</f>
        <v>0.41</v>
      </c>
      <c r="Q169" s="873" t="n">
        <f aca="false">SUM(M169:O169)</f>
        <v>3.903</v>
      </c>
      <c r="R169" s="974" t="n">
        <f aca="false">IF(A169="January",(R168+R168*Assumptions!$E$32),R168)</f>
        <v>0.388503359124836</v>
      </c>
      <c r="S169" s="875" t="n">
        <f aca="false">(Q169*K169)+R169</f>
        <v>5.41931306083373</v>
      </c>
      <c r="T169" s="869"/>
      <c r="U169" s="187"/>
      <c r="V169" s="897"/>
      <c r="W169" s="897"/>
      <c r="X169" s="31"/>
      <c r="Y169" s="975" t="n">
        <f aca="false">Tables!$D$36</f>
        <v>312</v>
      </c>
      <c r="Z169" s="879" t="n">
        <f aca="false">IF($Z$10=$V$10,V169,IF($Z$10=$W$10,W169,IF($Z$10=$X$10,X169,0)))</f>
        <v>0</v>
      </c>
      <c r="AA169" s="880" t="n">
        <f aca="false">Y169*Z169</f>
        <v>0</v>
      </c>
      <c r="AB169" s="881" t="n">
        <f aca="false">AA169*K169</f>
        <v>0</v>
      </c>
      <c r="AC169" s="188"/>
      <c r="AD169" s="882" t="n">
        <f aca="false">IF(Tables!$E$30="Michigan",INDEX('Michigan Curve'!$A$4:$S$256,MATCH('Monthly Table'!B169,'Michigan Curve'!$A$4:$A$256,0),MATCH("Michigan Selected Option Value US$/month",'Michigan Curve'!$A$4:$S$4,0)),INDEX('NY Curve'!$A$4:$T$256,MATCH('Monthly Table'!B169,'NY Curve'!$A$4:$A$256,0),MATCH("New York Selected Option Value US$/month",'NY Curve'!$A$4:$T$4,0)))</f>
        <v>12616.3876947942</v>
      </c>
      <c r="AE169" s="883" t="n">
        <f aca="false">AD169*K169</f>
        <v>16262.015274274</v>
      </c>
      <c r="AF169" s="188"/>
      <c r="AG169" s="884"/>
      <c r="AH169" s="49"/>
      <c r="AI169" s="885" t="n">
        <f aca="false">Assumptions!$B$50</f>
        <v>65</v>
      </c>
      <c r="AJ169" s="916"/>
      <c r="AK169" s="887" t="n">
        <f aca="false">IF(Tables!$E$30="Custom",'Monthly Table'!AI169,IF(Tables!$E$30="New York",INDEX('NY Curve'!$A$4:$G$256,MATCH('Monthly Table'!B169,'NY Curve'!$A$4:$A$256,0),MATCH("Super Peak Curve",'NY Curve'!$A$4:$G$4,0)),IF(Tables!$E$30="New York Flat",INDEX('NY Curve'!$A$4:$G$256,MATCH('Monthly Table'!B169,'NY Curve'!$A$4:$A$256,0),MATCH("Flat NY West",'NY Curve'!$A$4:$G$4,0)),INDEX('Michigan Curve'!$A$4:$F$256,MATCH('Monthly Table'!B169,'Michigan Curve'!$A$4:$A$256,0),MATCH("Michigan Super Peak Curve US$/MWhr",'Michigan Curve'!$A$4:$F$4,0)))))</f>
        <v>30.6</v>
      </c>
      <c r="AL169" s="888" t="n">
        <f aca="false">IF(D169&lt;=Tables!$B$21,IF($AL$10=$AI$10,AI169,IF($AL$10=$AJ$10,AJ169,IF($AL$10=$AK$10,AK169,0))),0)</f>
        <v>30.6</v>
      </c>
      <c r="AM169" s="889" t="n">
        <f aca="false">+AL169*K169</f>
        <v>39.4421667620528</v>
      </c>
      <c r="AN169" s="890" t="n">
        <f aca="false">IF((AL169*K169)&gt;(CP169+$BF$4),1,0)</f>
        <v>0</v>
      </c>
      <c r="AO169" s="891"/>
      <c r="AP169" s="894"/>
      <c r="AQ169" s="892" t="n">
        <f aca="false">IF(Tables!$E$30="New York",INDEX('NY Curve'!$A$4:$L$256,MATCH('Monthly Table'!B169,'NY Curve'!$A$4:$A$256,0),MATCH("New York Shoulder Hour Curve Mon-Fri",'NY Curve'!$A$4:$L$4,0)),IF(Tables!$E$30="Michigan",INDEX('Michigan Curve'!$A$4:$K$256,MATCH('Monthly Table'!B169,'Michigan Curve'!$A$4:$A$256,0),MATCH("Michigan Shoulder Hour Curve Mon-Fri",'Michigan Curve'!$A$4:$K$4,0))))</f>
        <v>29.4</v>
      </c>
      <c r="AR169" s="889" t="n">
        <f aca="false">AQ169*K169</f>
        <v>37.8954151243252</v>
      </c>
      <c r="AS169" s="893" t="n">
        <f aca="false">IF(AR169&gt;($CP169+$BF$4),1,0)</f>
        <v>0</v>
      </c>
      <c r="AU169" s="892" t="n">
        <f aca="false">IF(Tables!$E$30="New York",INDEX('NY Curve'!$A$4:$L$256,MATCH('Monthly Table'!$B169,'NY Curve'!$A$4:$A$256,0),MATCH("New York Saturday Super Peak",'NY Curve'!$A$4:$L$4,0)),IF(Tables!$E$30="Michigan",INDEX('Michigan Curve'!$A$4:$K$256,MATCH('Monthly Table'!$B169,'Michigan Curve'!$A$4:$A$256,0),MATCH("Michigan Saturday Super Peak",'Michigan Curve'!$A$4:$K$4,0))))</f>
        <v>20.4</v>
      </c>
      <c r="AV169" s="894" t="n">
        <f aca="false">AU169*K169</f>
        <v>26.2947778413685</v>
      </c>
      <c r="AW169" s="893" t="n">
        <f aca="false">IF(AV169&gt;($CP169+$BF$4),1,0)</f>
        <v>0</v>
      </c>
      <c r="AX169" s="892" t="n">
        <f aca="false">IF(Tables!$E$30="New York",INDEX('NY Curve'!$A$4:$L$256,MATCH('Monthly Table'!$B169,'NY Curve'!$A$4:$A$256,0),MATCH("New York Saturday Shoulder Peak",'NY Curve'!$A$4:$L$4,0)),IF(Tables!$E$30="Michigan",INDEX('Michigan Curve'!$A$4:$K$256,MATCH('Monthly Table'!$B169,'Michigan Curve'!$A$4:$A$256,0),MATCH("Michigan Saturday Shoulder Peak",'Michigan Curve'!$A$4:$K$4,0))))</f>
        <v>19.6</v>
      </c>
      <c r="AY169" s="895" t="n">
        <f aca="false">AX169*K169</f>
        <v>25.2636100828835</v>
      </c>
      <c r="AZ169" s="893" t="n">
        <f aca="false">IF(AY169&gt;($CP169+$BF$4),1,0)</f>
        <v>0</v>
      </c>
      <c r="BB169" s="892" t="n">
        <f aca="false">IF(Tables!$E$30="New York",INDEX('NY Curve'!$A$4:$M$256,MATCH('Monthly Table'!$B169,'NY Curve'!$A$4:$A$256,0),MATCH("NY Sunday Super Peak",'NY Curve'!$A$4:$M$4,0)),IF(Tables!$E$30="Michigan",INDEX('Michigan Curve'!$A$4:$L$256,MATCH('Monthly Table'!$B169,'Michigan Curve'!$A$4:$A$256,0),MATCH("Michigan Sunday Super Peak",'Michigan Curve'!$A$4:$L$4,0))))</f>
        <v>19.38</v>
      </c>
      <c r="BC169" s="894" t="n">
        <f aca="false">BB169*K169</f>
        <v>24.9800389493001</v>
      </c>
      <c r="BD169" s="893" t="n">
        <f aca="false">IF(BC169&gt;($CP169+$BF$4),1,0)</f>
        <v>0</v>
      </c>
      <c r="BF169" s="896" t="n">
        <f aca="false">B169</f>
        <v>41699</v>
      </c>
      <c r="BG169" s="897" t="n">
        <f aca="false">IF($AN169=1,$E169*$BF$5,0)</f>
        <v>0</v>
      </c>
      <c r="BH169" s="976" t="n">
        <f aca="false">IF(Tables!$B$36="Combined Cycle",(BF169-BF168)*24*Assumptions!$B$21,0)</f>
        <v>0</v>
      </c>
      <c r="BI169" s="714" t="n">
        <f aca="false">IF($AN169=1,$E169*$BF$5,0)</f>
        <v>0</v>
      </c>
      <c r="BJ169" s="898" t="n">
        <f aca="false">IF('Monthly Table'!D169&lt;=Tables!$B$21,IF($BJ$10=$BG$10,BG169,IF($BJ$10=$BH$10,BH169,IF($BJ$10=$BI$10,BI169,0))),0)</f>
        <v>0</v>
      </c>
      <c r="BK169" s="288"/>
      <c r="BL169" s="898" t="n">
        <f aca="false">IF($AW169=1,$F169*$BF$5,0)</f>
        <v>0</v>
      </c>
      <c r="BM169" s="898" t="n">
        <f aca="false">IF($BD169=1,($G169+H169)*$BF$5,0)</f>
        <v>0</v>
      </c>
      <c r="BO169" s="898" t="n">
        <f aca="false">IF(AS169=1,BJ169,0)</f>
        <v>0</v>
      </c>
      <c r="BP169" s="898" t="n">
        <f aca="false">IF(AZ169=1,F169*$BF$5,0)</f>
        <v>0</v>
      </c>
      <c r="BR169" s="899" t="n">
        <f aca="false">IF(BJ169&gt;0,INDEX(OperationalDetail,MATCH("Capacity Degradation",ODColumn,0),MATCH('Monthly Table'!C169,ODRow,0)),0)</f>
        <v>0</v>
      </c>
      <c r="BS169" s="900" t="n">
        <f aca="false">BJ169*(1-BR169)*Tables!$C$36</f>
        <v>0</v>
      </c>
      <c r="BT169" s="883" t="n">
        <f aca="false">BS169*AL169/1000</f>
        <v>0</v>
      </c>
      <c r="BU169" s="883" t="n">
        <f aca="false">BT169*K169</f>
        <v>0</v>
      </c>
      <c r="BV169" s="188"/>
      <c r="BW169" s="901" t="n">
        <f aca="false">$BO169*(1-$BR169)*Tables!$C$36</f>
        <v>0</v>
      </c>
      <c r="BX169" s="902" t="n">
        <f aca="false">(BW169*AQ169)/1000</f>
        <v>0</v>
      </c>
      <c r="BY169" s="883" t="n">
        <f aca="false">BX169*K169</f>
        <v>0</v>
      </c>
      <c r="BZ169" s="188"/>
      <c r="CA169" s="901" t="n">
        <f aca="false">$BL169*(1-$BR169)*Tables!$C$36</f>
        <v>0</v>
      </c>
      <c r="CB169" s="902" t="n">
        <f aca="false">(CA169*AU169)/1000</f>
        <v>0</v>
      </c>
      <c r="CC169" s="883" t="n">
        <f aca="false">CB169*K169</f>
        <v>0</v>
      </c>
      <c r="CD169" s="901" t="n">
        <f aca="false">$BP169*(1-$BR169)*Tables!$C$36</f>
        <v>0</v>
      </c>
      <c r="CE169" s="902" t="n">
        <f aca="false">(CD169*AX169)/1000</f>
        <v>0</v>
      </c>
      <c r="CF169" s="883" t="n">
        <f aca="false">CE169*K169</f>
        <v>0</v>
      </c>
      <c r="CH169" s="901" t="n">
        <f aca="false">$BM169*(1-$BR169)*Tables!$C$36</f>
        <v>0</v>
      </c>
      <c r="CI169" s="902" t="n">
        <f aca="false">(CH169*BB169)/1000</f>
        <v>0</v>
      </c>
      <c r="CJ169" s="883" t="n">
        <f aca="false">CI169*K169</f>
        <v>0</v>
      </c>
      <c r="CK169" s="292"/>
      <c r="CL169" s="292" t="n">
        <f aca="false">C169-1</f>
        <v>2013</v>
      </c>
      <c r="CM169" s="903" t="n">
        <f aca="false">INDEX(OperationalDetail,MATCH("Degraded Heat Rate",ODColumn,0),MATCH('Monthly Table'!CL169,ODRow,0))/1000</f>
        <v>11.960598</v>
      </c>
      <c r="CN169" s="904" t="n">
        <f aca="false">S169*CM169</f>
        <v>64.8182249567818</v>
      </c>
      <c r="CO169" s="905" t="n">
        <f aca="false">IF(A169="January",(CO168*(1+Assumptions!$E$32)),CO168)</f>
        <v>8.71324916025036</v>
      </c>
      <c r="CP169" s="906" t="n">
        <f aca="false">CN169+CO169</f>
        <v>73.5314741170321</v>
      </c>
      <c r="CQ169" s="292"/>
      <c r="CR169" s="856" t="str">
        <f aca="false">IF(BJ169=0,"",C169)</f>
        <v/>
      </c>
      <c r="CS169" s="856" t="str">
        <f aca="false">IF(BO169=0,"",$C169)</f>
        <v/>
      </c>
      <c r="CT169" s="856" t="str">
        <f aca="false">IF(BL169=0,"",$C169)</f>
        <v/>
      </c>
      <c r="CU169" s="856" t="str">
        <f aca="false">IF(BP169=0,"",$C169)</f>
        <v/>
      </c>
      <c r="CV169" s="856" t="str">
        <f aca="false">IF(BD169=0,"",$C169)</f>
        <v/>
      </c>
      <c r="CW169" s="907" t="n">
        <f aca="false">YEAR(BF169)</f>
        <v>2014</v>
      </c>
      <c r="CX169" s="908" t="n">
        <f aca="false">INDEX('NY Curve'!$A$4:$G$256,MATCH('Monthly Table'!B169,'NY Curve'!$A$4:$A$256,0),MATCH("New York 5 X 16",'NY Curve'!$A$4:$G$4,0))</f>
        <v>28.65</v>
      </c>
      <c r="CY169" s="909" t="n">
        <f aca="false">K169</f>
        <v>1.2889596981063</v>
      </c>
      <c r="CZ169" s="910" t="n">
        <f aca="false">CX169*CY169</f>
        <v>36.9286953507455</v>
      </c>
      <c r="DB169" s="911"/>
      <c r="DC169" s="911"/>
    </row>
    <row r="170" customFormat="false" ht="18.75" hidden="false" customHeight="true" outlineLevel="0" collapsed="false">
      <c r="A170" s="49" t="s">
        <v>813</v>
      </c>
      <c r="B170" s="863" t="n">
        <v>41730</v>
      </c>
      <c r="C170" s="288" t="n">
        <f aca="false">YEAR(B170)</f>
        <v>2014</v>
      </c>
      <c r="D170" s="864" t="n">
        <f aca="false">IF(A170="January",D169+1,D169)</f>
        <v>14</v>
      </c>
      <c r="E170" s="865" t="n">
        <v>22</v>
      </c>
      <c r="F170" s="866" t="n">
        <v>4</v>
      </c>
      <c r="G170" s="866" t="n">
        <v>4</v>
      </c>
      <c r="H170" s="866" t="n">
        <v>0</v>
      </c>
      <c r="I170" s="867" t="n">
        <f aca="false">SUM(E170:H170)</f>
        <v>30</v>
      </c>
      <c r="J170" s="868"/>
      <c r="K170" s="869" t="n">
        <f aca="false">INDEX(FX!$A$3:$C$362,MATCH(B170,FX!$A$3:$A$362,0),MATCH("Monthly Curve",FX!$A$2:$C$2,0))</f>
        <v>1.28817287695402</v>
      </c>
      <c r="L170" s="869"/>
      <c r="M170" s="987" t="n">
        <v>3.4255</v>
      </c>
      <c r="N170" s="988" t="n">
        <v>0.145</v>
      </c>
      <c r="O170" s="986" t="n">
        <v>0.1</v>
      </c>
      <c r="P170" s="872" t="n">
        <f aca="false">N170+O170</f>
        <v>0.245</v>
      </c>
      <c r="Q170" s="873" t="n">
        <f aca="false">SUM(M170:O170)</f>
        <v>3.6705</v>
      </c>
      <c r="R170" s="974" t="n">
        <f aca="false">IF(A170="January",(R169+R169*Assumptions!$E$32),R169)</f>
        <v>0.388503359124836</v>
      </c>
      <c r="S170" s="875" t="n">
        <f aca="false">(Q170*K170)+R170</f>
        <v>5.11674190398457</v>
      </c>
      <c r="T170" s="869"/>
      <c r="U170" s="187"/>
      <c r="V170" s="897"/>
      <c r="W170" s="897"/>
      <c r="X170" s="31"/>
      <c r="Y170" s="975" t="n">
        <f aca="false">Tables!$D$36</f>
        <v>312</v>
      </c>
      <c r="Z170" s="879" t="n">
        <f aca="false">IF($Z$10=$V$10,V170,IF($Z$10=$W$10,W170,IF($Z$10=$X$10,X170,0)))</f>
        <v>0</v>
      </c>
      <c r="AA170" s="880" t="n">
        <f aca="false">Y170*Z170</f>
        <v>0</v>
      </c>
      <c r="AB170" s="881" t="n">
        <f aca="false">AA170*K170</f>
        <v>0</v>
      </c>
      <c r="AC170" s="188"/>
      <c r="AD170" s="882" t="n">
        <f aca="false">IF(Tables!$E$30="Michigan",INDEX('Michigan Curve'!$A$4:$S$256,MATCH('Monthly Table'!B170,'Michigan Curve'!$A$4:$A$256,0),MATCH("Michigan Selected Option Value US$/month",'Michigan Curve'!$A$4:$S$4,0)),INDEX('NY Curve'!$A$4:$T$256,MATCH('Monthly Table'!B170,'NY Curve'!$A$4:$A$256,0),MATCH("New York Selected Option Value US$/month",'NY Curve'!$A$4:$T$4,0)))</f>
        <v>15160.4055902716</v>
      </c>
      <c r="AE170" s="883" t="n">
        <f aca="false">AD170*K170</f>
        <v>19529.22328501</v>
      </c>
      <c r="AF170" s="188"/>
      <c r="AG170" s="884"/>
      <c r="AH170" s="49"/>
      <c r="AI170" s="885" t="n">
        <f aca="false">Assumptions!$B$50</f>
        <v>65</v>
      </c>
      <c r="AJ170" s="916"/>
      <c r="AK170" s="887" t="n">
        <f aca="false">IF(Tables!$E$30="Custom",'Monthly Table'!AI170,IF(Tables!$E$30="New York",INDEX('NY Curve'!$A$4:$G$256,MATCH('Monthly Table'!B170,'NY Curve'!$A$4:$A$256,0),MATCH("Super Peak Curve",'NY Curve'!$A$4:$G$4,0)),IF(Tables!$E$30="New York Flat",INDEX('NY Curve'!$A$4:$G$256,MATCH('Monthly Table'!B170,'NY Curve'!$A$4:$A$256,0),MATCH("Flat NY West",'NY Curve'!$A$4:$G$4,0)),INDEX('Michigan Curve'!$A$4:$F$256,MATCH('Monthly Table'!B170,'Michigan Curve'!$A$4:$A$256,0),MATCH("Michigan Super Peak Curve US$/MWhr",'Michigan Curve'!$A$4:$F$4,0)))))</f>
        <v>30.25</v>
      </c>
      <c r="AL170" s="888" t="n">
        <f aca="false">IF(D170&lt;=Tables!$B$21,IF($AL$10=$AI$10,AI170,IF($AL$10=$AJ$10,AJ170,IF($AL$10=$AK$10,AK170,0))),0)</f>
        <v>30.25</v>
      </c>
      <c r="AM170" s="889" t="n">
        <f aca="false">+AL170*K170</f>
        <v>38.9672295278591</v>
      </c>
      <c r="AN170" s="890" t="n">
        <f aca="false">IF((AL170*K170)&gt;(CP170+$BF$4),1,0)</f>
        <v>0</v>
      </c>
      <c r="AO170" s="891"/>
      <c r="AP170" s="894"/>
      <c r="AQ170" s="892" t="n">
        <f aca="false">IF(Tables!$E$30="New York",INDEX('NY Curve'!$A$4:$L$256,MATCH('Monthly Table'!B170,'NY Curve'!$A$4:$A$256,0),MATCH("New York Shoulder Hour Curve Mon-Fri",'NY Curve'!$A$4:$L$4,0)),IF(Tables!$E$30="Michigan",INDEX('Michigan Curve'!$A$4:$K$256,MATCH('Monthly Table'!B170,'Michigan Curve'!$A$4:$A$256,0),MATCH("Michigan Shoulder Hour Curve Mon-Fri",'Michigan Curve'!$A$4:$K$4,0))))</f>
        <v>30.25</v>
      </c>
      <c r="AR170" s="889" t="n">
        <f aca="false">AQ170*K170</f>
        <v>38.9672295278591</v>
      </c>
      <c r="AS170" s="893" t="n">
        <f aca="false">IF(AR170&gt;($CP170+$BF$4),1,0)</f>
        <v>0</v>
      </c>
      <c r="AU170" s="892" t="n">
        <f aca="false">IF(Tables!$E$30="New York",INDEX('NY Curve'!$A$4:$L$256,MATCH('Monthly Table'!$B170,'NY Curve'!$A$4:$A$256,0),MATCH("New York Saturday Super Peak",'NY Curve'!$A$4:$L$4,0)),IF(Tables!$E$30="Michigan",INDEX('Michigan Curve'!$A$4:$K$256,MATCH('Monthly Table'!$B170,'Michigan Curve'!$A$4:$A$256,0),MATCH("Michigan Saturday Super Peak",'Michigan Curve'!$A$4:$K$4,0))))</f>
        <v>20</v>
      </c>
      <c r="AV170" s="894" t="n">
        <f aca="false">AU170*K170</f>
        <v>25.7634575390804</v>
      </c>
      <c r="AW170" s="893" t="n">
        <f aca="false">IF(AV170&gt;($CP170+$BF$4),1,0)</f>
        <v>0</v>
      </c>
      <c r="AX170" s="892" t="n">
        <f aca="false">IF(Tables!$E$30="New York",INDEX('NY Curve'!$A$4:$L$256,MATCH('Monthly Table'!$B170,'NY Curve'!$A$4:$A$256,0),MATCH("New York Saturday Shoulder Peak",'NY Curve'!$A$4:$L$4,0)),IF(Tables!$E$30="Michigan",INDEX('Michigan Curve'!$A$4:$K$256,MATCH('Monthly Table'!$B170,'Michigan Curve'!$A$4:$A$256,0),MATCH("Michigan Saturday Shoulder Peak",'Michigan Curve'!$A$4:$K$4,0))))</f>
        <v>20</v>
      </c>
      <c r="AY170" s="895" t="n">
        <f aca="false">AX170*K170</f>
        <v>25.7634575390804</v>
      </c>
      <c r="AZ170" s="893" t="n">
        <f aca="false">IF(AY170&gt;($CP170+$BF$4),1,0)</f>
        <v>0</v>
      </c>
      <c r="BB170" s="892" t="n">
        <f aca="false">IF(Tables!$E$30="New York",INDEX('NY Curve'!$A$4:$M$256,MATCH('Monthly Table'!$B170,'NY Curve'!$A$4:$A$256,0),MATCH("NY Sunday Super Peak",'NY Curve'!$A$4:$M$4,0)),IF(Tables!$E$30="Michigan",INDEX('Michigan Curve'!$A$4:$L$256,MATCH('Monthly Table'!$B170,'Michigan Curve'!$A$4:$A$256,0),MATCH("Michigan Sunday Super Peak",'Michigan Curve'!$A$4:$L$4,0))))</f>
        <v>18.9950008392334</v>
      </c>
      <c r="BC170" s="894" t="n">
        <f aca="false">BB170*K170</f>
        <v>24.4688448788193</v>
      </c>
      <c r="BD170" s="893" t="n">
        <f aca="false">IF(BC170&gt;($CP170+$BF$4),1,0)</f>
        <v>0</v>
      </c>
      <c r="BF170" s="896" t="n">
        <f aca="false">B170</f>
        <v>41730</v>
      </c>
      <c r="BG170" s="897" t="n">
        <f aca="false">IF($AN170=1,$E170*$BF$5,0)</f>
        <v>0</v>
      </c>
      <c r="BH170" s="976" t="n">
        <f aca="false">IF(Tables!$B$36="Combined Cycle",(BF170-BF169)*24*Assumptions!$B$21,0)</f>
        <v>0</v>
      </c>
      <c r="BI170" s="714" t="n">
        <f aca="false">IF($AN170=1,$E170*$BF$5,0)</f>
        <v>0</v>
      </c>
      <c r="BJ170" s="898" t="n">
        <f aca="false">IF('Monthly Table'!D170&lt;=Tables!$B$21,IF($BJ$10=$BG$10,BG170,IF($BJ$10=$BH$10,BH170,IF($BJ$10=$BI$10,BI170,0))),0)</f>
        <v>0</v>
      </c>
      <c r="BK170" s="288"/>
      <c r="BL170" s="898" t="n">
        <f aca="false">IF($AW170=1,$F170*$BF$5,0)</f>
        <v>0</v>
      </c>
      <c r="BM170" s="898" t="n">
        <f aca="false">IF($BD170=1,($G170+H170)*$BF$5,0)</f>
        <v>0</v>
      </c>
      <c r="BO170" s="898" t="n">
        <f aca="false">IF(AS170=1,BJ170,0)</f>
        <v>0</v>
      </c>
      <c r="BP170" s="898" t="n">
        <f aca="false">IF(AZ170=1,F170*$BF$5,0)</f>
        <v>0</v>
      </c>
      <c r="BR170" s="899" t="n">
        <f aca="false">IF(BJ170&gt;0,INDEX(OperationalDetail,MATCH("Capacity Degradation",ODColumn,0),MATCH('Monthly Table'!C170,ODRow,0)),0)</f>
        <v>0</v>
      </c>
      <c r="BS170" s="900" t="n">
        <f aca="false">BJ170*(1-BR170)*Tables!$C$36</f>
        <v>0</v>
      </c>
      <c r="BT170" s="883" t="n">
        <f aca="false">BS170*AL170/1000</f>
        <v>0</v>
      </c>
      <c r="BU170" s="883" t="n">
        <f aca="false">BT170*K170</f>
        <v>0</v>
      </c>
      <c r="BV170" s="188"/>
      <c r="BW170" s="901" t="n">
        <f aca="false">$BO170*(1-$BR170)*Tables!$C$36</f>
        <v>0</v>
      </c>
      <c r="BX170" s="902" t="n">
        <f aca="false">(BW170*AQ170)/1000</f>
        <v>0</v>
      </c>
      <c r="BY170" s="883" t="n">
        <f aca="false">BX170*K170</f>
        <v>0</v>
      </c>
      <c r="BZ170" s="188"/>
      <c r="CA170" s="901" t="n">
        <f aca="false">$BL170*(1-$BR170)*Tables!$C$36</f>
        <v>0</v>
      </c>
      <c r="CB170" s="902" t="n">
        <f aca="false">(CA170*AU170)/1000</f>
        <v>0</v>
      </c>
      <c r="CC170" s="883" t="n">
        <f aca="false">CB170*K170</f>
        <v>0</v>
      </c>
      <c r="CD170" s="901" t="n">
        <f aca="false">$BP170*(1-$BR170)*Tables!$C$36</f>
        <v>0</v>
      </c>
      <c r="CE170" s="902" t="n">
        <f aca="false">(CD170*AX170)/1000</f>
        <v>0</v>
      </c>
      <c r="CF170" s="883" t="n">
        <f aca="false">CE170*K170</f>
        <v>0</v>
      </c>
      <c r="CH170" s="901" t="n">
        <f aca="false">$BM170*(1-$BR170)*Tables!$C$36</f>
        <v>0</v>
      </c>
      <c r="CI170" s="902" t="n">
        <f aca="false">(CH170*BB170)/1000</f>
        <v>0</v>
      </c>
      <c r="CJ170" s="883" t="n">
        <f aca="false">CI170*K170</f>
        <v>0</v>
      </c>
      <c r="CK170" s="292"/>
      <c r="CL170" s="292" t="n">
        <f aca="false">C170-1</f>
        <v>2013</v>
      </c>
      <c r="CM170" s="903" t="n">
        <f aca="false">INDEX(OperationalDetail,MATCH("Degraded Heat Rate",ODColumn,0),MATCH('Monthly Table'!CL170,ODRow,0))/1000</f>
        <v>11.960598</v>
      </c>
      <c r="CN170" s="904" t="n">
        <f aca="false">S170*CM170</f>
        <v>61.199292983314</v>
      </c>
      <c r="CO170" s="905" t="n">
        <f aca="false">IF(A170="January",(CO169*(1+Assumptions!$E$32)),CO169)</f>
        <v>8.71324916025036</v>
      </c>
      <c r="CP170" s="906" t="n">
        <f aca="false">CN170+CO170</f>
        <v>69.9125421435644</v>
      </c>
      <c r="CQ170" s="292"/>
      <c r="CR170" s="856" t="str">
        <f aca="false">IF(BJ170=0,"",C170)</f>
        <v/>
      </c>
      <c r="CS170" s="856" t="str">
        <f aca="false">IF(BO170=0,"",$C170)</f>
        <v/>
      </c>
      <c r="CT170" s="856" t="str">
        <f aca="false">IF(BL170=0,"",$C170)</f>
        <v/>
      </c>
      <c r="CU170" s="856" t="str">
        <f aca="false">IF(BP170=0,"",$C170)</f>
        <v/>
      </c>
      <c r="CV170" s="856" t="str">
        <f aca="false">IF(BD170=0,"",$C170)</f>
        <v/>
      </c>
      <c r="CW170" s="907" t="n">
        <f aca="false">YEAR(BF170)</f>
        <v>2014</v>
      </c>
      <c r="CX170" s="908" t="n">
        <f aca="false">INDEX('NY Curve'!$A$4:$G$256,MATCH('Monthly Table'!B170,'NY Curve'!$A$4:$A$256,0),MATCH("New York 5 X 16",'NY Curve'!$A$4:$G$4,0))</f>
        <v>27.4</v>
      </c>
      <c r="CY170" s="909" t="n">
        <f aca="false">K170</f>
        <v>1.28817287695402</v>
      </c>
      <c r="CZ170" s="910" t="n">
        <f aca="false">CX170*CY170</f>
        <v>35.2959368285401</v>
      </c>
      <c r="DB170" s="911"/>
      <c r="DC170" s="911"/>
    </row>
    <row r="171" customFormat="false" ht="18.75" hidden="false" customHeight="true" outlineLevel="0" collapsed="false">
      <c r="A171" s="49" t="s">
        <v>814</v>
      </c>
      <c r="B171" s="863" t="n">
        <v>41760</v>
      </c>
      <c r="C171" s="288" t="n">
        <f aca="false">YEAR(B171)</f>
        <v>2014</v>
      </c>
      <c r="D171" s="864" t="n">
        <f aca="false">IF(A171="January",D170+1,D170)</f>
        <v>14</v>
      </c>
      <c r="E171" s="865" t="n">
        <v>21</v>
      </c>
      <c r="F171" s="866" t="n">
        <v>5</v>
      </c>
      <c r="G171" s="866" t="n">
        <v>4</v>
      </c>
      <c r="H171" s="866" t="n">
        <v>1</v>
      </c>
      <c r="I171" s="867" t="n">
        <f aca="false">SUM(E171:H171)</f>
        <v>31</v>
      </c>
      <c r="J171" s="868"/>
      <c r="K171" s="869" t="n">
        <f aca="false">INDEX(FX!$A$3:$C$362,MATCH(B171,FX!$A$3:$A$362,0),MATCH("Monthly Curve",FX!$A$2:$C$2,0))</f>
        <v>1.28741366190819</v>
      </c>
      <c r="L171" s="869"/>
      <c r="M171" s="987" t="n">
        <v>3.3995</v>
      </c>
      <c r="N171" s="988" t="n">
        <v>0.145</v>
      </c>
      <c r="O171" s="986" t="n">
        <v>0.1</v>
      </c>
      <c r="P171" s="872" t="n">
        <f aca="false">N171+O171</f>
        <v>0.245</v>
      </c>
      <c r="Q171" s="873" t="n">
        <f aca="false">SUM(M171:O171)</f>
        <v>3.6445</v>
      </c>
      <c r="R171" s="974" t="n">
        <f aca="false">IF(A171="January",(R170+R170*Assumptions!$E$32),R170)</f>
        <v>0.388503359124836</v>
      </c>
      <c r="S171" s="875" t="n">
        <f aca="false">(Q171*K171)+R171</f>
        <v>5.08048244994923</v>
      </c>
      <c r="T171" s="869"/>
      <c r="U171" s="187"/>
      <c r="V171" s="897"/>
      <c r="W171" s="897"/>
      <c r="X171" s="31"/>
      <c r="Y171" s="975" t="n">
        <f aca="false">Tables!$D$36</f>
        <v>312</v>
      </c>
      <c r="Z171" s="879" t="n">
        <f aca="false">IF($Z$10=$V$10,V171,IF($Z$10=$W$10,W171,IF($Z$10=$X$10,X171,0)))</f>
        <v>0</v>
      </c>
      <c r="AA171" s="880" t="n">
        <f aca="false">Y171*Z171</f>
        <v>0</v>
      </c>
      <c r="AB171" s="881" t="n">
        <f aca="false">AA171*K171</f>
        <v>0</v>
      </c>
      <c r="AC171" s="188"/>
      <c r="AD171" s="882" t="n">
        <f aca="false">IF(Tables!$E$30="Michigan",INDEX('Michigan Curve'!$A$4:$S$256,MATCH('Monthly Table'!B171,'Michigan Curve'!$A$4:$A$256,0),MATCH("Michigan Selected Option Value US$/month",'Michigan Curve'!$A$4:$S$4,0)),INDEX('NY Curve'!$A$4:$T$256,MATCH('Monthly Table'!B171,'NY Curve'!$A$4:$A$256,0),MATCH("New York Selected Option Value US$/month",'NY Curve'!$A$4:$T$4,0)))</f>
        <v>25642.7981172433</v>
      </c>
      <c r="AE171" s="883" t="n">
        <f aca="false">AD171*K171</f>
        <v>33012.8886256926</v>
      </c>
      <c r="AF171" s="188"/>
      <c r="AG171" s="884"/>
      <c r="AH171" s="49"/>
      <c r="AI171" s="885" t="n">
        <f aca="false">Assumptions!$B$50</f>
        <v>65</v>
      </c>
      <c r="AJ171" s="916"/>
      <c r="AK171" s="887" t="n">
        <f aca="false">IF(Tables!$E$30="Custom",'Monthly Table'!AI171,IF(Tables!$E$30="New York",INDEX('NY Curve'!$A$4:$G$256,MATCH('Monthly Table'!B171,'NY Curve'!$A$4:$A$256,0),MATCH("Super Peak Curve",'NY Curve'!$A$4:$G$4,0)),IF(Tables!$E$30="New York Flat",INDEX('NY Curve'!$A$4:$G$256,MATCH('Monthly Table'!B171,'NY Curve'!$A$4:$A$256,0),MATCH("Flat NY West",'NY Curve'!$A$4:$G$4,0)),INDEX('Michigan Curve'!$A$4:$F$256,MATCH('Monthly Table'!B171,'Michigan Curve'!$A$4:$A$256,0),MATCH("Michigan Super Peak Curve US$/MWhr",'Michigan Curve'!$A$4:$F$4,0)))))</f>
        <v>36.5925000607967</v>
      </c>
      <c r="AL171" s="888" t="n">
        <f aca="false">IF(D171&lt;=Tables!$B$21,IF($AL$10=$AI$10,AI171,IF($AL$10=$AJ$10,AJ171,IF($AL$10=$AK$10,AK171,0))),0)</f>
        <v>36.5925000607967</v>
      </c>
      <c r="AM171" s="889" t="n">
        <f aca="false">+AL171*K171</f>
        <v>47.109684501646</v>
      </c>
      <c r="AN171" s="890" t="n">
        <f aca="false">IF((AL171*K171)&gt;(CP171+$BF$4),1,0)</f>
        <v>0</v>
      </c>
      <c r="AO171" s="891"/>
      <c r="AP171" s="894"/>
      <c r="AQ171" s="892" t="n">
        <f aca="false">IF(Tables!$E$30="New York",INDEX('NY Curve'!$A$4:$L$256,MATCH('Monthly Table'!B171,'NY Curve'!$A$4:$A$256,0),MATCH("New York Shoulder Hour Curve Mon-Fri",'NY Curve'!$A$4:$L$4,0)),IF(Tables!$E$30="Michigan",INDEX('Michigan Curve'!$A$4:$K$256,MATCH('Monthly Table'!B171,'Michigan Curve'!$A$4:$A$256,0),MATCH("Michigan Shoulder Hour Curve Mon-Fri",'Michigan Curve'!$A$4:$K$4,0))))</f>
        <v>31.4074999392033</v>
      </c>
      <c r="AR171" s="889" t="n">
        <f aca="false">AQ171*K171</f>
        <v>40.4344445081109</v>
      </c>
      <c r="AS171" s="893" t="n">
        <f aca="false">IF(AR171&gt;($CP171+$BF$4),1,0)</f>
        <v>0</v>
      </c>
      <c r="AU171" s="892" t="n">
        <f aca="false">IF(Tables!$E$30="New York",INDEX('NY Curve'!$A$4:$L$256,MATCH('Monthly Table'!$B171,'NY Curve'!$A$4:$A$256,0),MATCH("New York Saturday Super Peak",'NY Curve'!$A$4:$L$4,0)),IF(Tables!$E$30="Michigan",INDEX('Michigan Curve'!$A$4:$K$256,MATCH('Monthly Table'!$B171,'Michigan Curve'!$A$4:$A$256,0),MATCH("Michigan Saturday Super Peak",'Michigan Curve'!$A$4:$K$4,0))))</f>
        <v>22.6012500375509</v>
      </c>
      <c r="AV171" s="894" t="n">
        <f aca="false">AU171*K171</f>
        <v>29.0971580745461</v>
      </c>
      <c r="AW171" s="893" t="n">
        <f aca="false">IF(AV171&gt;($CP171+$BF$4),1,0)</f>
        <v>0</v>
      </c>
      <c r="AX171" s="892" t="n">
        <f aca="false">IF(Tables!$E$30="New York",INDEX('NY Curve'!$A$4:$L$256,MATCH('Monthly Table'!$B171,'NY Curve'!$A$4:$A$256,0),MATCH("New York Saturday Shoulder Peak",'NY Curve'!$A$4:$L$4,0)),IF(Tables!$E$30="Michigan",INDEX('Michigan Curve'!$A$4:$K$256,MATCH('Monthly Table'!$B171,'Michigan Curve'!$A$4:$A$256,0),MATCH("Michigan Saturday Shoulder Peak",'Michigan Curve'!$A$4:$K$4,0))))</f>
        <v>19.3987499624491</v>
      </c>
      <c r="AY171" s="895" t="n">
        <f aca="false">AX171*K171</f>
        <v>24.9742157255979</v>
      </c>
      <c r="AZ171" s="893" t="n">
        <f aca="false">IF(AY171&gt;($CP171+$BF$4),1,0)</f>
        <v>0</v>
      </c>
      <c r="BB171" s="892" t="n">
        <f aca="false">IF(Tables!$E$30="New York",INDEX('NY Curve'!$A$4:$M$256,MATCH('Monthly Table'!$B171,'NY Curve'!$A$4:$A$256,0),MATCH("NY Sunday Super Peak",'NY Curve'!$A$4:$M$4,0)),IF(Tables!$E$30="Michigan",INDEX('Michigan Curve'!$A$4:$L$256,MATCH('Monthly Table'!$B171,'Michigan Curve'!$A$4:$A$256,0),MATCH("Michigan Sunday Super Peak",'Michigan Curve'!$A$4:$L$4,0))))</f>
        <v>21.5303803825468</v>
      </c>
      <c r="BC171" s="894" t="n">
        <f aca="false">BB171*K171</f>
        <v>27.7185058505708</v>
      </c>
      <c r="BD171" s="893" t="n">
        <f aca="false">IF(BC171&gt;($CP171+$BF$4),1,0)</f>
        <v>0</v>
      </c>
      <c r="BF171" s="896" t="n">
        <f aca="false">B171</f>
        <v>41760</v>
      </c>
      <c r="BG171" s="897" t="n">
        <f aca="false">IF($AN171=1,$E171*$BF$5,0)</f>
        <v>0</v>
      </c>
      <c r="BH171" s="976" t="n">
        <f aca="false">IF(Tables!$B$36="Combined Cycle",(BF171-BF170)*24*Assumptions!$B$21,0)</f>
        <v>0</v>
      </c>
      <c r="BI171" s="714" t="n">
        <f aca="false">IF($AN171=1,$E171*$BF$5,0)</f>
        <v>0</v>
      </c>
      <c r="BJ171" s="898" t="n">
        <f aca="false">IF('Monthly Table'!D171&lt;=Tables!$B$21,IF($BJ$10=$BG$10,BG171,IF($BJ$10=$BH$10,BH171,IF($BJ$10=$BI$10,BI171,0))),0)</f>
        <v>0</v>
      </c>
      <c r="BK171" s="288"/>
      <c r="BL171" s="898" t="n">
        <f aca="false">IF($AW171=1,$F171*$BF$5,0)</f>
        <v>0</v>
      </c>
      <c r="BM171" s="898" t="n">
        <f aca="false">IF($BD171=1,($G171+H171)*$BF$5,0)</f>
        <v>0</v>
      </c>
      <c r="BO171" s="898" t="n">
        <f aca="false">IF(AS171=1,BJ171,0)</f>
        <v>0</v>
      </c>
      <c r="BP171" s="898" t="n">
        <f aca="false">IF(AZ171=1,F171*$BF$5,0)</f>
        <v>0</v>
      </c>
      <c r="BR171" s="899" t="n">
        <f aca="false">IF(BJ171&gt;0,INDEX(OperationalDetail,MATCH("Capacity Degradation",ODColumn,0),MATCH('Monthly Table'!C171,ODRow,0)),0)</f>
        <v>0</v>
      </c>
      <c r="BS171" s="900" t="n">
        <f aca="false">BJ171*(1-BR171)*Tables!$C$36</f>
        <v>0</v>
      </c>
      <c r="BT171" s="883" t="n">
        <f aca="false">BS171*AL171/1000</f>
        <v>0</v>
      </c>
      <c r="BU171" s="883" t="n">
        <f aca="false">BT171*K171</f>
        <v>0</v>
      </c>
      <c r="BV171" s="188"/>
      <c r="BW171" s="901" t="n">
        <f aca="false">$BO171*(1-$BR171)*Tables!$C$36</f>
        <v>0</v>
      </c>
      <c r="BX171" s="902" t="n">
        <f aca="false">(BW171*AQ171)/1000</f>
        <v>0</v>
      </c>
      <c r="BY171" s="883" t="n">
        <f aca="false">BX171*K171</f>
        <v>0</v>
      </c>
      <c r="BZ171" s="188"/>
      <c r="CA171" s="901" t="n">
        <f aca="false">$BL171*(1-$BR171)*Tables!$C$36</f>
        <v>0</v>
      </c>
      <c r="CB171" s="902" t="n">
        <f aca="false">(CA171*AU171)/1000</f>
        <v>0</v>
      </c>
      <c r="CC171" s="883" t="n">
        <f aca="false">CB171*K171</f>
        <v>0</v>
      </c>
      <c r="CD171" s="901" t="n">
        <f aca="false">$BP171*(1-$BR171)*Tables!$C$36</f>
        <v>0</v>
      </c>
      <c r="CE171" s="902" t="n">
        <f aca="false">(CD171*AX171)/1000</f>
        <v>0</v>
      </c>
      <c r="CF171" s="883" t="n">
        <f aca="false">CE171*K171</f>
        <v>0</v>
      </c>
      <c r="CH171" s="901" t="n">
        <f aca="false">$BM171*(1-$BR171)*Tables!$C$36</f>
        <v>0</v>
      </c>
      <c r="CI171" s="902" t="n">
        <f aca="false">(CH171*BB171)/1000</f>
        <v>0</v>
      </c>
      <c r="CJ171" s="883" t="n">
        <f aca="false">CI171*K171</f>
        <v>0</v>
      </c>
      <c r="CK171" s="292"/>
      <c r="CL171" s="292" t="n">
        <f aca="false">C171-1</f>
        <v>2013</v>
      </c>
      <c r="CM171" s="903" t="n">
        <f aca="false">INDEX(OperationalDetail,MATCH("Degraded Heat Rate",ODColumn,0),MATCH('Monthly Table'!CL171,ODRow,0))/1000</f>
        <v>11.960598</v>
      </c>
      <c r="CN171" s="904" t="n">
        <f aca="false">S171*CM171</f>
        <v>60.7656082298979</v>
      </c>
      <c r="CO171" s="905" t="n">
        <f aca="false">IF(A171="January",(CO170*(1+Assumptions!$E$32)),CO170)</f>
        <v>8.71324916025036</v>
      </c>
      <c r="CP171" s="906" t="n">
        <f aca="false">CN171+CO171</f>
        <v>69.4788573901483</v>
      </c>
      <c r="CQ171" s="292"/>
      <c r="CR171" s="856" t="str">
        <f aca="false">IF(BJ171=0,"",C171)</f>
        <v/>
      </c>
      <c r="CS171" s="856" t="str">
        <f aca="false">IF(BO171=0,"",$C171)</f>
        <v/>
      </c>
      <c r="CT171" s="856" t="str">
        <f aca="false">IF(BL171=0,"",$C171)</f>
        <v/>
      </c>
      <c r="CU171" s="856" t="str">
        <f aca="false">IF(BP171=0,"",$C171)</f>
        <v/>
      </c>
      <c r="CV171" s="856" t="str">
        <f aca="false">IF(BD171=0,"",$C171)</f>
        <v/>
      </c>
      <c r="CW171" s="907" t="n">
        <f aca="false">YEAR(BF171)</f>
        <v>2014</v>
      </c>
      <c r="CX171" s="908" t="n">
        <f aca="false">INDEX('NY Curve'!$A$4:$G$256,MATCH('Monthly Table'!B171,'NY Curve'!$A$4:$A$256,0),MATCH("New York 5 X 16",'NY Curve'!$A$4:$G$4,0))</f>
        <v>32.65</v>
      </c>
      <c r="CY171" s="909" t="n">
        <f aca="false">K171</f>
        <v>1.28741366190819</v>
      </c>
      <c r="CZ171" s="910" t="n">
        <f aca="false">CX171*CY171</f>
        <v>42.0340560613024</v>
      </c>
      <c r="DB171" s="911"/>
      <c r="DC171" s="911"/>
    </row>
    <row r="172" customFormat="false" ht="18.75" hidden="false" customHeight="true" outlineLevel="0" collapsed="false">
      <c r="A172" s="49" t="s">
        <v>815</v>
      </c>
      <c r="B172" s="863" t="n">
        <v>41791</v>
      </c>
      <c r="C172" s="288" t="n">
        <f aca="false">YEAR(B172)</f>
        <v>2014</v>
      </c>
      <c r="D172" s="864" t="n">
        <f aca="false">IF(A172="January",D171+1,D171)</f>
        <v>14</v>
      </c>
      <c r="E172" s="865" t="n">
        <v>21</v>
      </c>
      <c r="F172" s="866" t="n">
        <v>4</v>
      </c>
      <c r="G172" s="866" t="n">
        <v>5</v>
      </c>
      <c r="H172" s="866" t="n">
        <v>0</v>
      </c>
      <c r="I172" s="867" t="n">
        <f aca="false">SUM(E172:H172)</f>
        <v>30</v>
      </c>
      <c r="J172" s="868"/>
      <c r="K172" s="869" t="n">
        <f aca="false">INDEX(FX!$A$3:$C$362,MATCH(B172,FX!$A$3:$A$362,0),MATCH("Monthly Curve",FX!$A$2:$C$2,0))</f>
        <v>1.28663143503581</v>
      </c>
      <c r="L172" s="869"/>
      <c r="M172" s="987" t="n">
        <v>3.4085</v>
      </c>
      <c r="N172" s="988" t="n">
        <v>0.145</v>
      </c>
      <c r="O172" s="986" t="n">
        <v>0.1</v>
      </c>
      <c r="P172" s="872" t="n">
        <f aca="false">N172+O172</f>
        <v>0.245</v>
      </c>
      <c r="Q172" s="873" t="n">
        <f aca="false">SUM(M172:O172)</f>
        <v>3.6535</v>
      </c>
      <c r="R172" s="974" t="n">
        <f aca="false">IF(A172="January",(R171+R171*Assumptions!$E$32),R171)</f>
        <v>0.388503359124836</v>
      </c>
      <c r="S172" s="875" t="n">
        <f aca="false">(Q172*K172)+R172</f>
        <v>5.08921130702817</v>
      </c>
      <c r="T172" s="869"/>
      <c r="U172" s="187"/>
      <c r="V172" s="897"/>
      <c r="W172" s="897"/>
      <c r="X172" s="31"/>
      <c r="Y172" s="975" t="n">
        <f aca="false">Tables!$D$36</f>
        <v>312</v>
      </c>
      <c r="Z172" s="879" t="n">
        <f aca="false">IF($Z$10=$V$10,V172,IF($Z$10=$W$10,W172,IF($Z$10=$X$10,X172,0)))</f>
        <v>0</v>
      </c>
      <c r="AA172" s="880" t="n">
        <f aca="false">Y172*Z172</f>
        <v>0</v>
      </c>
      <c r="AB172" s="881" t="n">
        <f aca="false">AA172*K172</f>
        <v>0</v>
      </c>
      <c r="AC172" s="188"/>
      <c r="AD172" s="882" t="n">
        <f aca="false">IF(Tables!$E$30="Michigan",INDEX('Michigan Curve'!$A$4:$S$256,MATCH('Monthly Table'!B172,'Michigan Curve'!$A$4:$A$256,0),MATCH("Michigan Selected Option Value US$/month",'Michigan Curve'!$A$4:$S$4,0)),INDEX('NY Curve'!$A$4:$T$256,MATCH('Monthly Table'!B172,'NY Curve'!$A$4:$A$256,0),MATCH("New York Selected Option Value US$/month",'NY Curve'!$A$4:$T$4,0)))</f>
        <v>97609.2581810111</v>
      </c>
      <c r="AE172" s="883" t="n">
        <f aca="false">AD172*K172</f>
        <v>125587.139926215</v>
      </c>
      <c r="AF172" s="188"/>
      <c r="AG172" s="884"/>
      <c r="AH172" s="49"/>
      <c r="AI172" s="885" t="n">
        <f aca="false">Assumptions!$B$50</f>
        <v>65</v>
      </c>
      <c r="AJ172" s="916"/>
      <c r="AK172" s="887" t="n">
        <f aca="false">IF(Tables!$E$30="Custom",'Monthly Table'!AI172,IF(Tables!$E$30="New York",INDEX('NY Curve'!$A$4:$G$256,MATCH('Monthly Table'!B172,'NY Curve'!$A$4:$A$256,0),MATCH("Super Peak Curve",'NY Curve'!$A$4:$G$4,0)),IF(Tables!$E$30="New York Flat",INDEX('NY Curve'!$A$4:$G$256,MATCH('Monthly Table'!B172,'NY Curve'!$A$4:$A$256,0),MATCH("Flat NY West",'NY Curve'!$A$4:$G$4,0)),INDEX('Michigan Curve'!$A$4:$F$256,MATCH('Monthly Table'!B172,'Michigan Curve'!$A$4:$A$256,0),MATCH("Michigan Super Peak Curve US$/MWhr",'Michigan Curve'!$A$4:$F$4,0)))))</f>
        <v>87.0300291897301</v>
      </c>
      <c r="AL172" s="888" t="n">
        <f aca="false">IF(D172&lt;=Tables!$B$21,IF($AL$10=$AI$10,AI172,IF($AL$10=$AJ$10,AJ172,IF($AL$10=$AK$10,AK172,0))),0)</f>
        <v>87.0300291897301</v>
      </c>
      <c r="AM172" s="889" t="n">
        <f aca="false">+AL172*K172</f>
        <v>111.975571347591</v>
      </c>
      <c r="AN172" s="890" t="n">
        <f aca="false">IF((AL172*K172)&gt;(CP172+$BF$4),1,0)</f>
        <v>1</v>
      </c>
      <c r="AO172" s="891"/>
      <c r="AP172" s="894"/>
      <c r="AQ172" s="892" t="n">
        <f aca="false">IF(Tables!$E$30="New York",INDEX('NY Curve'!$A$4:$L$256,MATCH('Monthly Table'!B172,'NY Curve'!$A$4:$A$256,0),MATCH("New York Shoulder Hour Curve Mon-Fri",'NY Curve'!$A$4:$L$4,0)),IF(Tables!$E$30="Michigan",INDEX('Michigan Curve'!$A$4:$K$256,MATCH('Monthly Table'!B172,'Michigan Curve'!$A$4:$A$256,0),MATCH("Michigan Shoulder Hour Curve Mon-Fri",'Michigan Curve'!$A$4:$K$4,0))))</f>
        <v>23.4699708102699</v>
      </c>
      <c r="AR172" s="889" t="n">
        <f aca="false">AQ172*K172</f>
        <v>30.1972022238662</v>
      </c>
      <c r="AS172" s="893" t="n">
        <f aca="false">IF(AR172&gt;($CP172+$BF$4),1,0)</f>
        <v>0</v>
      </c>
      <c r="AU172" s="892" t="n">
        <f aca="false">IF(Tables!$E$30="New York",INDEX('NY Curve'!$A$4:$L$256,MATCH('Monthly Table'!$B172,'NY Curve'!$A$4:$A$256,0),MATCH("New York Saturday Super Peak",'NY Curve'!$A$4:$L$4,0)),IF(Tables!$E$30="Michigan",INDEX('Michigan Curve'!$A$4:$K$256,MATCH('Monthly Table'!$B172,'Michigan Curve'!$A$4:$A$256,0),MATCH("Michigan Saturday Super Peak",'Michigan Curve'!$A$4:$K$4,0))))</f>
        <v>40.9553078539906</v>
      </c>
      <c r="AV172" s="894" t="n">
        <f aca="false">AU172*K172</f>
        <v>52.6943865165133</v>
      </c>
      <c r="AW172" s="893" t="n">
        <f aca="false">IF(AV172&gt;($CP172+$BF$4),1,0)</f>
        <v>0</v>
      </c>
      <c r="AX172" s="892" t="n">
        <f aca="false">IF(Tables!$E$30="New York",INDEX('NY Curve'!$A$4:$L$256,MATCH('Monthly Table'!$B172,'NY Curve'!$A$4:$A$256,0),MATCH("New York Saturday Shoulder Peak",'NY Curve'!$A$4:$L$4,0)),IF(Tables!$E$30="Michigan",INDEX('Michigan Curve'!$A$4:$K$256,MATCH('Monthly Table'!$B172,'Michigan Curve'!$A$4:$A$256,0),MATCH("Michigan Saturday Shoulder Peak",'Michigan Curve'!$A$4:$K$4,0))))</f>
        <v>11.0446921460094</v>
      </c>
      <c r="AY172" s="895" t="n">
        <f aca="false">AX172*K172</f>
        <v>14.2104481053488</v>
      </c>
      <c r="AZ172" s="893" t="n">
        <f aca="false">IF(AY172&gt;($CP172+$BF$4),1,0)</f>
        <v>0</v>
      </c>
      <c r="BB172" s="892" t="n">
        <f aca="false">IF(Tables!$E$30="New York",INDEX('NY Curve'!$A$4:$M$256,MATCH('Monthly Table'!$B172,'NY Curve'!$A$4:$A$256,0),MATCH("NY Sunday Super Peak",'NY Curve'!$A$4:$M$4,0)),IF(Tables!$E$30="Michigan",INDEX('Michigan Curve'!$A$4:$L$256,MATCH('Monthly Table'!$B172,'Michigan Curve'!$A$4:$A$256,0),MATCH("Michigan Sunday Super Peak",'Michigan Curve'!$A$4:$L$4,0))))</f>
        <v>37.8048995575298</v>
      </c>
      <c r="BC172" s="894" t="n">
        <f aca="false">BB172*K172</f>
        <v>48.6409721690892</v>
      </c>
      <c r="BD172" s="893" t="n">
        <f aca="false">IF(BC172&gt;($CP172+$BF$4),1,0)</f>
        <v>0</v>
      </c>
      <c r="BF172" s="896" t="n">
        <f aca="false">B172</f>
        <v>41791</v>
      </c>
      <c r="BG172" s="897" t="n">
        <f aca="false">IF($AN172=1,$E172*$BF$5,0)</f>
        <v>168</v>
      </c>
      <c r="BH172" s="976" t="n">
        <f aca="false">IF(Tables!$B$36="Combined Cycle",(BF172-BF171)*24*Assumptions!$B$21,0)</f>
        <v>0</v>
      </c>
      <c r="BI172" s="714" t="n">
        <f aca="false">IF($AN172=1,$E172*$BF$5,0)</f>
        <v>168</v>
      </c>
      <c r="BJ172" s="898" t="n">
        <f aca="false">IF('Monthly Table'!D172&lt;=Tables!$B$21,IF($BJ$10=$BG$10,BG172,IF($BJ$10=$BH$10,BH172,IF($BJ$10=$BI$10,BI172,0))),0)</f>
        <v>168</v>
      </c>
      <c r="BK172" s="288"/>
      <c r="BL172" s="898" t="n">
        <f aca="false">IF($AW172=1,$F172*$BF$5,0)</f>
        <v>0</v>
      </c>
      <c r="BM172" s="898" t="n">
        <f aca="false">IF($BD172=1,($G172+H172)*$BF$5,0)</f>
        <v>0</v>
      </c>
      <c r="BO172" s="898" t="n">
        <f aca="false">IF(AS172=1,BJ172,0)</f>
        <v>0</v>
      </c>
      <c r="BP172" s="898" t="n">
        <f aca="false">IF(AZ172=1,F172*$BF$5,0)</f>
        <v>0</v>
      </c>
      <c r="BR172" s="899" t="n">
        <f aca="false">IF(BJ172&gt;0,INDEX(OperationalDetail,MATCH("Capacity Degradation",ODColumn,0),MATCH('Monthly Table'!C172,ODRow,0)),0)</f>
        <v>0.00253</v>
      </c>
      <c r="BS172" s="900" t="n">
        <f aca="false">BJ172*(1-BR172)*Tables!$C$36</f>
        <v>54294.28704</v>
      </c>
      <c r="BT172" s="883" t="n">
        <f aca="false">BS172*AL172/1000</f>
        <v>4725.23338592678</v>
      </c>
      <c r="BU172" s="883" t="n">
        <f aca="false">BT172*K172</f>
        <v>6079.6338122141</v>
      </c>
      <c r="BV172" s="188"/>
      <c r="BW172" s="901" t="n">
        <f aca="false">$BO172*(1-$BR172)*Tables!$C$36</f>
        <v>0</v>
      </c>
      <c r="BX172" s="902" t="n">
        <f aca="false">(BW172*AQ172)/1000</f>
        <v>0</v>
      </c>
      <c r="BY172" s="883" t="n">
        <f aca="false">BX172*K172</f>
        <v>0</v>
      </c>
      <c r="BZ172" s="188"/>
      <c r="CA172" s="901" t="n">
        <f aca="false">$BL172*(1-$BR172)*Tables!$C$36</f>
        <v>0</v>
      </c>
      <c r="CB172" s="902" t="n">
        <f aca="false">(CA172*AU172)/1000</f>
        <v>0</v>
      </c>
      <c r="CC172" s="883" t="n">
        <f aca="false">CB172*K172</f>
        <v>0</v>
      </c>
      <c r="CD172" s="901" t="n">
        <f aca="false">$BP172*(1-$BR172)*Tables!$C$36</f>
        <v>0</v>
      </c>
      <c r="CE172" s="902" t="n">
        <f aca="false">(CD172*AX172)/1000</f>
        <v>0</v>
      </c>
      <c r="CF172" s="883" t="n">
        <f aca="false">CE172*K172</f>
        <v>0</v>
      </c>
      <c r="CH172" s="901" t="n">
        <f aca="false">$BM172*(1-$BR172)*Tables!$C$36</f>
        <v>0</v>
      </c>
      <c r="CI172" s="902" t="n">
        <f aca="false">(CH172*BB172)/1000</f>
        <v>0</v>
      </c>
      <c r="CJ172" s="883" t="n">
        <f aca="false">CI172*K172</f>
        <v>0</v>
      </c>
      <c r="CK172" s="292"/>
      <c r="CL172" s="292" t="n">
        <f aca="false">C172-1</f>
        <v>2013</v>
      </c>
      <c r="CM172" s="903" t="n">
        <f aca="false">INDEX(OperationalDetail,MATCH("Degraded Heat Rate",ODColumn,0),MATCH('Monthly Table'!CL172,ODRow,0))/1000</f>
        <v>11.960598</v>
      </c>
      <c r="CN172" s="904" t="n">
        <f aca="false">S172*CM172</f>
        <v>60.8700105804185</v>
      </c>
      <c r="CO172" s="905" t="n">
        <f aca="false">IF(A172="January",(CO171*(1+Assumptions!$E$32)),CO171)</f>
        <v>8.71324916025036</v>
      </c>
      <c r="CP172" s="906" t="n">
        <f aca="false">CN172+CO172</f>
        <v>69.5832597406688</v>
      </c>
      <c r="CQ172" s="292"/>
      <c r="CR172" s="856" t="n">
        <f aca="false">IF(BJ172=0,"",C172)</f>
        <v>2014</v>
      </c>
      <c r="CS172" s="856" t="str">
        <f aca="false">IF(BO172=0,"",$C172)</f>
        <v/>
      </c>
      <c r="CT172" s="856" t="str">
        <f aca="false">IF(BL172=0,"",$C172)</f>
        <v/>
      </c>
      <c r="CU172" s="856" t="str">
        <f aca="false">IF(BP172=0,"",$C172)</f>
        <v/>
      </c>
      <c r="CV172" s="856" t="str">
        <f aca="false">IF(BD172=0,"",$C172)</f>
        <v/>
      </c>
      <c r="CW172" s="907" t="n">
        <f aca="false">YEAR(BF172)</f>
        <v>2014</v>
      </c>
      <c r="CX172" s="908" t="n">
        <f aca="false">INDEX('NY Curve'!$A$4:$G$256,MATCH('Monthly Table'!B172,'NY Curve'!$A$4:$A$256,0),MATCH("New York 5 X 16",'NY Curve'!$A$4:$G$4,0))</f>
        <v>55.25</v>
      </c>
      <c r="CY172" s="909" t="n">
        <f aca="false">K172</f>
        <v>1.28663143503581</v>
      </c>
      <c r="CZ172" s="910" t="n">
        <f aca="false">CX172*CY172</f>
        <v>71.0863867857285</v>
      </c>
      <c r="DB172" s="911"/>
      <c r="DC172" s="911"/>
    </row>
    <row r="173" customFormat="false" ht="18.75" hidden="false" customHeight="true" outlineLevel="0" collapsed="false">
      <c r="A173" s="49" t="s">
        <v>816</v>
      </c>
      <c r="B173" s="863" t="n">
        <v>41821</v>
      </c>
      <c r="C173" s="288" t="n">
        <f aca="false">YEAR(B173)</f>
        <v>2014</v>
      </c>
      <c r="D173" s="864" t="n">
        <f aca="false">IF(A173="January",D172+1,D172)</f>
        <v>14</v>
      </c>
      <c r="E173" s="865" t="n">
        <v>22</v>
      </c>
      <c r="F173" s="866" t="n">
        <v>4</v>
      </c>
      <c r="G173" s="866" t="n">
        <v>4</v>
      </c>
      <c r="H173" s="866" t="n">
        <v>1</v>
      </c>
      <c r="I173" s="867" t="n">
        <f aca="false">SUM(E173:H173)</f>
        <v>31</v>
      </c>
      <c r="J173" s="868"/>
      <c r="K173" s="869" t="n">
        <f aca="false">INDEX(FX!$A$3:$C$362,MATCH(B173,FX!$A$3:$A$362,0),MATCH("Monthly Curve",FX!$A$2:$C$2,0))</f>
        <v>1.28587665915526</v>
      </c>
      <c r="L173" s="869"/>
      <c r="M173" s="987" t="n">
        <v>3.4175</v>
      </c>
      <c r="N173" s="988" t="n">
        <v>0.145</v>
      </c>
      <c r="O173" s="986" t="n">
        <v>0.1</v>
      </c>
      <c r="P173" s="872" t="n">
        <f aca="false">N173+O173</f>
        <v>0.245</v>
      </c>
      <c r="Q173" s="873" t="n">
        <f aca="false">SUM(M173:O173)</f>
        <v>3.6625</v>
      </c>
      <c r="R173" s="974" t="n">
        <f aca="false">IF(A173="January",(R172+R172*Assumptions!$E$32),R172)</f>
        <v>0.388503359124836</v>
      </c>
      <c r="S173" s="875" t="n">
        <f aca="false">(Q173*K173)+R173</f>
        <v>5.09802662328098</v>
      </c>
      <c r="T173" s="869"/>
      <c r="U173" s="187"/>
      <c r="V173" s="897"/>
      <c r="W173" s="897"/>
      <c r="X173" s="31"/>
      <c r="Y173" s="975" t="n">
        <f aca="false">Tables!$D$36</f>
        <v>312</v>
      </c>
      <c r="Z173" s="879" t="n">
        <f aca="false">IF($Z$10=$V$10,V173,IF($Z$10=$W$10,W173,IF($Z$10=$X$10,X173,0)))</f>
        <v>0</v>
      </c>
      <c r="AA173" s="880" t="n">
        <f aca="false">Y173*Z173</f>
        <v>0</v>
      </c>
      <c r="AB173" s="881" t="n">
        <f aca="false">AA173*K173</f>
        <v>0</v>
      </c>
      <c r="AC173" s="188"/>
      <c r="AD173" s="882" t="n">
        <f aca="false">IF(Tables!$E$30="Michigan",INDEX('Michigan Curve'!$A$4:$S$256,MATCH('Monthly Table'!B173,'Michigan Curve'!$A$4:$A$256,0),MATCH("Michigan Selected Option Value US$/month",'Michigan Curve'!$A$4:$S$4,0)),INDEX('NY Curve'!$A$4:$T$256,MATCH('Monthly Table'!B173,'NY Curve'!$A$4:$A$256,0),MATCH("New York Selected Option Value US$/month",'NY Curve'!$A$4:$T$4,0)))</f>
        <v>295105.111870083</v>
      </c>
      <c r="AE173" s="883" t="n">
        <f aca="false">AD173*K173</f>
        <v>379468.775351142</v>
      </c>
      <c r="AF173" s="188"/>
      <c r="AG173" s="884"/>
      <c r="AH173" s="49"/>
      <c r="AI173" s="885" t="n">
        <f aca="false">Assumptions!$B$50</f>
        <v>65</v>
      </c>
      <c r="AJ173" s="916"/>
      <c r="AK173" s="887" t="n">
        <f aca="false">IF(Tables!$E$30="Custom",'Monthly Table'!AI173,IF(Tables!$E$30="New York",INDEX('NY Curve'!$A$4:$G$256,MATCH('Monthly Table'!B173,'NY Curve'!$A$4:$A$256,0),MATCH("Super Peak Curve",'NY Curve'!$A$4:$G$4,0)),IF(Tables!$E$30="New York Flat",INDEX('NY Curve'!$A$4:$G$256,MATCH('Monthly Table'!B173,'NY Curve'!$A$4:$A$256,0),MATCH("Flat NY West",'NY Curve'!$A$4:$G$4,0)),INDEX('Michigan Curve'!$A$4:$F$256,MATCH('Monthly Table'!B173,'Michigan Curve'!$A$4:$A$256,0),MATCH("Michigan Super Peak Curve US$/MWhr",'Michigan Curve'!$A$4:$F$4,0)))))</f>
        <v>166.14601052224</v>
      </c>
      <c r="AL173" s="888" t="n">
        <f aca="false">IF(D173&lt;=Tables!$B$21,IF($AL$10=$AI$10,AI173,IF($AL$10=$AJ$10,AJ173,IF($AL$10=$AK$10,AK173,0))),0)</f>
        <v>166.14601052224</v>
      </c>
      <c r="AM173" s="889" t="n">
        <f aca="false">+AL173*K173</f>
        <v>213.643276942312</v>
      </c>
      <c r="AN173" s="890" t="n">
        <f aca="false">IF((AL173*K173)&gt;(CP173+$BF$4),1,0)</f>
        <v>1</v>
      </c>
      <c r="AO173" s="891"/>
      <c r="AP173" s="894"/>
      <c r="AQ173" s="892" t="n">
        <f aca="false">IF(Tables!$E$30="New York",INDEX('NY Curve'!$A$4:$L$256,MATCH('Monthly Table'!B173,'NY Curve'!$A$4:$A$256,0),MATCH("New York Shoulder Hour Curve Mon-Fri",'NY Curve'!$A$4:$L$4,0)),IF(Tables!$E$30="Michigan",INDEX('Michigan Curve'!$A$4:$K$256,MATCH('Monthly Table'!B173,'Michigan Curve'!$A$4:$A$256,0),MATCH("Michigan Shoulder Hour Curve Mon-Fri",'Michigan Curve'!$A$4:$K$4,0))))</f>
        <v>29.8539894777603</v>
      </c>
      <c r="AR173" s="889" t="n">
        <f aca="false">AQ173*K173</f>
        <v>38.3885482521187</v>
      </c>
      <c r="AS173" s="893" t="n">
        <f aca="false">IF(AR173&gt;($CP173+$BF$4),1,0)</f>
        <v>0</v>
      </c>
      <c r="AU173" s="892" t="n">
        <f aca="false">IF(Tables!$E$30="New York",INDEX('NY Curve'!$A$4:$L$256,MATCH('Monthly Table'!$B173,'NY Curve'!$A$4:$A$256,0),MATCH("New York Saturday Super Peak",'NY Curve'!$A$4:$L$4,0)),IF(Tables!$E$30="Michigan",INDEX('Michigan Curve'!$A$4:$K$256,MATCH('Monthly Table'!$B173,'Michigan Curve'!$A$4:$A$256,0),MATCH("Michigan Saturday Super Peak",'Michigan Curve'!$A$4:$K$4,0))))</f>
        <v>59.3378609007999</v>
      </c>
      <c r="AV173" s="894" t="n">
        <f aca="false">AU173*K173</f>
        <v>76.3011703365401</v>
      </c>
      <c r="AW173" s="893" t="n">
        <f aca="false">IF(AV173&gt;($CP173+$BF$4),1,0)</f>
        <v>1</v>
      </c>
      <c r="AX173" s="892" t="n">
        <f aca="false">IF(Tables!$E$30="New York",INDEX('NY Curve'!$A$4:$L$256,MATCH('Monthly Table'!$B173,'NY Curve'!$A$4:$A$256,0),MATCH("New York Saturday Shoulder Peak",'NY Curve'!$A$4:$L$4,0)),IF(Tables!$E$30="Michigan",INDEX('Michigan Curve'!$A$4:$K$256,MATCH('Monthly Table'!$B173,'Michigan Curve'!$A$4:$A$256,0),MATCH("Michigan Saturday Shoulder Peak",'Michigan Curve'!$A$4:$K$4,0))))</f>
        <v>10.6621390992001</v>
      </c>
      <c r="AY173" s="895" t="n">
        <f aca="false">AX173*K173</f>
        <v>13.7101958043281</v>
      </c>
      <c r="AZ173" s="893" t="n">
        <f aca="false">IF(AY173&gt;($CP173+$BF$4),1,0)</f>
        <v>0</v>
      </c>
      <c r="BB173" s="892" t="n">
        <f aca="false">IF(Tables!$E$30="New York",INDEX('NY Curve'!$A$4:$M$256,MATCH('Monthly Table'!$B173,'NY Curve'!$A$4:$A$256,0),MATCH("NY Sunday Super Peak",'NY Curve'!$A$4:$M$4,0)),IF(Tables!$E$30="Michigan",INDEX('Michigan Curve'!$A$4:$L$256,MATCH('Monthly Table'!$B173,'Michigan Curve'!$A$4:$A$256,0),MATCH("Michigan Sunday Super Peak",'Michigan Curve'!$A$4:$L$4,0))))</f>
        <v>52.5563878499088</v>
      </c>
      <c r="BC173" s="894" t="n">
        <f aca="false">BB173*K173</f>
        <v>67.5810324257089</v>
      </c>
      <c r="BD173" s="893" t="n">
        <f aca="false">IF(BC173&gt;($CP173+$BF$4),1,0)</f>
        <v>0</v>
      </c>
      <c r="BF173" s="896" t="n">
        <f aca="false">B173</f>
        <v>41821</v>
      </c>
      <c r="BG173" s="897" t="n">
        <f aca="false">IF($AN173=1,$E173*$BF$5,0)</f>
        <v>176</v>
      </c>
      <c r="BH173" s="976" t="n">
        <f aca="false">IF(Tables!$B$36="Combined Cycle",(BF173-BF172)*24*Assumptions!$B$21,0)</f>
        <v>0</v>
      </c>
      <c r="BI173" s="714" t="n">
        <f aca="false">IF($AN173=1,$E173*$BF$5,0)</f>
        <v>176</v>
      </c>
      <c r="BJ173" s="898" t="n">
        <f aca="false">IF('Monthly Table'!D173&lt;=Tables!$B$21,IF($BJ$10=$BG$10,BG173,IF($BJ$10=$BH$10,BH173,IF($BJ$10=$BI$10,BI173,0))),0)</f>
        <v>176</v>
      </c>
      <c r="BK173" s="288"/>
      <c r="BL173" s="898" t="n">
        <f aca="false">IF($AW173=1,$F173*$BF$5,0)</f>
        <v>32</v>
      </c>
      <c r="BM173" s="898" t="n">
        <f aca="false">IF($BD173=1,($G173+H173)*$BF$5,0)</f>
        <v>0</v>
      </c>
      <c r="BO173" s="898" t="n">
        <f aca="false">IF(AS173=1,BJ173,0)</f>
        <v>0</v>
      </c>
      <c r="BP173" s="898" t="n">
        <f aca="false">IF(AZ173=1,F173*$BF$5,0)</f>
        <v>0</v>
      </c>
      <c r="BR173" s="899" t="n">
        <f aca="false">IF(BJ173&gt;0,INDEX(OperationalDetail,MATCH("Capacity Degradation",ODColumn,0),MATCH('Monthly Table'!C173,ODRow,0)),0)</f>
        <v>0.00253</v>
      </c>
      <c r="BS173" s="900" t="n">
        <f aca="false">BJ173*(1-BR173)*Tables!$C$36</f>
        <v>56879.72928</v>
      </c>
      <c r="BT173" s="883" t="n">
        <f aca="false">BS173*AL173/1000</f>
        <v>9450.34009945703</v>
      </c>
      <c r="BU173" s="883" t="n">
        <f aca="false">BT173*K173</f>
        <v>12151.9717549708</v>
      </c>
      <c r="BV173" s="188"/>
      <c r="BW173" s="901" t="n">
        <f aca="false">$BO173*(1-$BR173)*Tables!$C$36</f>
        <v>0</v>
      </c>
      <c r="BX173" s="902" t="n">
        <f aca="false">(BW173*AQ173)/1000</f>
        <v>0</v>
      </c>
      <c r="BY173" s="883" t="n">
        <f aca="false">BX173*K173</f>
        <v>0</v>
      </c>
      <c r="BZ173" s="188"/>
      <c r="CA173" s="901" t="n">
        <f aca="false">$BL173*(1-$BR173)*Tables!$C$36</f>
        <v>10341.76896</v>
      </c>
      <c r="CB173" s="902" t="n">
        <f aca="false">(CA173*AU173)/1000</f>
        <v>613.65844801669</v>
      </c>
      <c r="CC173" s="883" t="n">
        <f aca="false">CB173*K173</f>
        <v>789.089074998103</v>
      </c>
      <c r="CD173" s="901" t="n">
        <f aca="false">$BP173*(1-$BR173)*Tables!$C$36</f>
        <v>0</v>
      </c>
      <c r="CE173" s="902" t="n">
        <f aca="false">(CD173*AX173)/1000</f>
        <v>0</v>
      </c>
      <c r="CF173" s="883" t="n">
        <f aca="false">CE173*K173</f>
        <v>0</v>
      </c>
      <c r="CH173" s="901" t="n">
        <f aca="false">$BM173*(1-$BR173)*Tables!$C$36</f>
        <v>0</v>
      </c>
      <c r="CI173" s="902" t="n">
        <f aca="false">(CH173*BB173)/1000</f>
        <v>0</v>
      </c>
      <c r="CJ173" s="883" t="n">
        <f aca="false">CI173*K173</f>
        <v>0</v>
      </c>
      <c r="CK173" s="292"/>
      <c r="CL173" s="292" t="n">
        <f aca="false">C173-1</f>
        <v>2013</v>
      </c>
      <c r="CM173" s="903" t="n">
        <f aca="false">INDEX(OperationalDetail,MATCH("Degraded Heat Rate",ODColumn,0),MATCH('Monthly Table'!CL173,ODRow,0))/1000</f>
        <v>11.960598</v>
      </c>
      <c r="CN173" s="904" t="n">
        <f aca="false">S173*CM173</f>
        <v>60.9754470343612</v>
      </c>
      <c r="CO173" s="905" t="n">
        <f aca="false">IF(A173="January",(CO172*(1+Assumptions!$E$32)),CO172)</f>
        <v>8.71324916025036</v>
      </c>
      <c r="CP173" s="906" t="n">
        <f aca="false">CN173+CO173</f>
        <v>69.6886961946116</v>
      </c>
      <c r="CQ173" s="292"/>
      <c r="CR173" s="856" t="n">
        <f aca="false">IF(BJ173=0,"",C173)</f>
        <v>2014</v>
      </c>
      <c r="CS173" s="856" t="str">
        <f aca="false">IF(BO173=0,"",$C173)</f>
        <v/>
      </c>
      <c r="CT173" s="856" t="n">
        <f aca="false">IF(BL173=0,"",$C173)</f>
        <v>2014</v>
      </c>
      <c r="CU173" s="856" t="str">
        <f aca="false">IF(BP173=0,"",$C173)</f>
        <v/>
      </c>
      <c r="CV173" s="856" t="str">
        <f aca="false">IF(BD173=0,"",$C173)</f>
        <v/>
      </c>
      <c r="CW173" s="907" t="n">
        <f aca="false">YEAR(BF173)</f>
        <v>2014</v>
      </c>
      <c r="CX173" s="908" t="n">
        <f aca="false">INDEX('NY Curve'!$A$4:$G$256,MATCH('Monthly Table'!B173,'NY Curve'!$A$4:$A$256,0),MATCH("New York 5 X 16",'NY Curve'!$A$4:$G$4,0))</f>
        <v>86</v>
      </c>
      <c r="CY173" s="909" t="n">
        <f aca="false">K173</f>
        <v>1.28587665915526</v>
      </c>
      <c r="CZ173" s="910" t="n">
        <f aca="false">CX173*CY173</f>
        <v>110.585392687352</v>
      </c>
      <c r="DB173" s="911"/>
      <c r="DC173" s="911"/>
    </row>
    <row r="174" customFormat="false" ht="18.75" hidden="false" customHeight="true" outlineLevel="0" collapsed="false">
      <c r="A174" s="49" t="s">
        <v>817</v>
      </c>
      <c r="B174" s="863" t="n">
        <v>41852</v>
      </c>
      <c r="C174" s="288" t="n">
        <f aca="false">YEAR(B174)</f>
        <v>2014</v>
      </c>
      <c r="D174" s="864" t="n">
        <f aca="false">IF(A174="January",D173+1,D173)</f>
        <v>14</v>
      </c>
      <c r="E174" s="865" t="n">
        <v>21</v>
      </c>
      <c r="F174" s="866" t="n">
        <v>5</v>
      </c>
      <c r="G174" s="866" t="n">
        <v>5</v>
      </c>
      <c r="H174" s="866" t="n">
        <v>0</v>
      </c>
      <c r="I174" s="867" t="n">
        <f aca="false">SUM(E174:H174)</f>
        <v>31</v>
      </c>
      <c r="J174" s="868"/>
      <c r="K174" s="869" t="n">
        <f aca="false">INDEX(FX!$A$3:$C$362,MATCH(B174,FX!$A$3:$A$362,0),MATCH("Monthly Curve",FX!$A$2:$C$2,0))</f>
        <v>1.28509901230155</v>
      </c>
      <c r="L174" s="869"/>
      <c r="M174" s="987" t="n">
        <v>3.4245</v>
      </c>
      <c r="N174" s="988" t="n">
        <v>0.145</v>
      </c>
      <c r="O174" s="986" t="n">
        <v>0.1</v>
      </c>
      <c r="P174" s="872" t="n">
        <f aca="false">N174+O174</f>
        <v>0.245</v>
      </c>
      <c r="Q174" s="873" t="n">
        <f aca="false">SUM(M174:O174)</f>
        <v>3.6695</v>
      </c>
      <c r="R174" s="974" t="n">
        <f aca="false">IF(A174="January",(R173+R173*Assumptions!$E$32),R173)</f>
        <v>0.388503359124836</v>
      </c>
      <c r="S174" s="875" t="n">
        <f aca="false">(Q174*K174)+R174</f>
        <v>5.10417418476537</v>
      </c>
      <c r="T174" s="869"/>
      <c r="U174" s="187"/>
      <c r="V174" s="897"/>
      <c r="W174" s="897"/>
      <c r="X174" s="31"/>
      <c r="Y174" s="975" t="n">
        <f aca="false">Tables!$D$36</f>
        <v>312</v>
      </c>
      <c r="Z174" s="879" t="n">
        <f aca="false">IF($Z$10=$V$10,V174,IF($Z$10=$W$10,W174,IF($Z$10=$X$10,X174,0)))</f>
        <v>0</v>
      </c>
      <c r="AA174" s="880" t="n">
        <f aca="false">Y174*Z174</f>
        <v>0</v>
      </c>
      <c r="AB174" s="881" t="n">
        <f aca="false">AA174*K174</f>
        <v>0</v>
      </c>
      <c r="AC174" s="188"/>
      <c r="AD174" s="882" t="n">
        <f aca="false">IF(Tables!$E$30="Michigan",INDEX('Michigan Curve'!$A$4:$S$256,MATCH('Monthly Table'!B174,'Michigan Curve'!$A$4:$A$256,0),MATCH("Michigan Selected Option Value US$/month",'Michigan Curve'!$A$4:$S$4,0)),INDEX('NY Curve'!$A$4:$T$256,MATCH('Monthly Table'!B174,'NY Curve'!$A$4:$A$256,0),MATCH("New York Selected Option Value US$/month",'NY Curve'!$A$4:$T$4,0)))</f>
        <v>315125.797003647</v>
      </c>
      <c r="AE174" s="883" t="n">
        <f aca="false">AD174*K174</f>
        <v>404967.850480126</v>
      </c>
      <c r="AF174" s="188"/>
      <c r="AG174" s="884"/>
      <c r="AH174" s="49"/>
      <c r="AI174" s="885" t="n">
        <f aca="false">Assumptions!$B$50</f>
        <v>65</v>
      </c>
      <c r="AJ174" s="916"/>
      <c r="AK174" s="887" t="n">
        <f aca="false">IF(Tables!$E$30="Custom",'Monthly Table'!AI174,IF(Tables!$E$30="New York",INDEX('NY Curve'!$A$4:$G$256,MATCH('Monthly Table'!B174,'NY Curve'!$A$4:$A$256,0),MATCH("Super Peak Curve",'NY Curve'!$A$4:$G$4,0)),IF(Tables!$E$30="New York Flat",INDEX('NY Curve'!$A$4:$G$256,MATCH('Monthly Table'!B174,'NY Curve'!$A$4:$A$256,0),MATCH("Flat NY West",'NY Curve'!$A$4:$G$4,0)),INDEX('Michigan Curve'!$A$4:$F$256,MATCH('Monthly Table'!B174,'Michigan Curve'!$A$4:$A$256,0),MATCH("Michigan Super Peak Curve US$/MWhr",'Michigan Curve'!$A$4:$F$4,0)))))</f>
        <v>166.14601052224</v>
      </c>
      <c r="AL174" s="888" t="n">
        <f aca="false">IF(D174&lt;=Tables!$B$21,IF($AL$10=$AI$10,AI174,IF($AL$10=$AJ$10,AJ174,IF($AL$10=$AK$10,AK174,0))),0)</f>
        <v>166.14601052224</v>
      </c>
      <c r="AM174" s="889" t="n">
        <f aca="false">+AL174*K174</f>
        <v>213.514074019973</v>
      </c>
      <c r="AN174" s="890" t="n">
        <f aca="false">IF((AL174*K174)&gt;(CP174+$BF$4),1,0)</f>
        <v>1</v>
      </c>
      <c r="AO174" s="891"/>
      <c r="AP174" s="894"/>
      <c r="AQ174" s="892" t="n">
        <f aca="false">IF(Tables!$E$30="New York",INDEX('NY Curve'!$A$4:$L$256,MATCH('Monthly Table'!B174,'NY Curve'!$A$4:$A$256,0),MATCH("New York Shoulder Hour Curve Mon-Fri",'NY Curve'!$A$4:$L$4,0)),IF(Tables!$E$30="Michigan",INDEX('Michigan Curve'!$A$4:$K$256,MATCH('Monthly Table'!B174,'Michigan Curve'!$A$4:$A$256,0),MATCH("Michigan Shoulder Hour Curve Mon-Fri",'Michigan Curve'!$A$4:$K$4,0))))</f>
        <v>29.8539894777603</v>
      </c>
      <c r="AR174" s="889" t="n">
        <f aca="false">AQ174*K174</f>
        <v>38.3653323911306</v>
      </c>
      <c r="AS174" s="893" t="n">
        <f aca="false">IF(AR174&gt;($CP174+$BF$4),1,0)</f>
        <v>0</v>
      </c>
      <c r="AU174" s="892" t="n">
        <f aca="false">IF(Tables!$E$30="New York",INDEX('NY Curve'!$A$4:$L$256,MATCH('Monthly Table'!$B174,'NY Curve'!$A$4:$A$256,0),MATCH("New York Saturday Super Peak",'NY Curve'!$A$4:$L$4,0)),IF(Tables!$E$30="Michigan",INDEX('Michigan Curve'!$A$4:$K$256,MATCH('Monthly Table'!$B174,'Michigan Curve'!$A$4:$A$256,0),MATCH("Michigan Saturday Super Peak",'Michigan Curve'!$A$4:$K$4,0))))</f>
        <v>59.3378673681135</v>
      </c>
      <c r="AV174" s="894" t="n">
        <f aca="false">AU174*K174</f>
        <v>76.255034746843</v>
      </c>
      <c r="AW174" s="893" t="n">
        <f aca="false">IF(AV174&gt;($CP174+$BF$4),1,0)</f>
        <v>1</v>
      </c>
      <c r="AX174" s="892" t="n">
        <f aca="false">IF(Tables!$E$30="New York",INDEX('NY Curve'!$A$4:$L$256,MATCH('Monthly Table'!$B174,'NY Curve'!$A$4:$A$256,0),MATCH("New York Saturday Shoulder Peak",'NY Curve'!$A$4:$L$4,0)),IF(Tables!$E$30="Michigan",INDEX('Michigan Curve'!$A$4:$K$256,MATCH('Monthly Table'!$B174,'Michigan Curve'!$A$4:$A$256,0),MATCH("Michigan Saturday Shoulder Peak",'Michigan Curve'!$A$4:$K$4,0))))</f>
        <v>10.662140261281</v>
      </c>
      <c r="AY174" s="895" t="n">
        <f aca="false">AX174*K174</f>
        <v>13.7019059187929</v>
      </c>
      <c r="AZ174" s="893" t="n">
        <f aca="false">IF(AY174&gt;($CP174+$BF$4),1,0)</f>
        <v>0</v>
      </c>
      <c r="BB174" s="892" t="n">
        <f aca="false">IF(Tables!$E$30="New York",INDEX('NY Curve'!$A$4:$M$256,MATCH('Monthly Table'!$B174,'NY Curve'!$A$4:$A$256,0),MATCH("NY Sunday Super Peak",'NY Curve'!$A$4:$M$4,0)),IF(Tables!$E$30="Michigan",INDEX('Michigan Curve'!$A$4:$L$256,MATCH('Monthly Table'!$B174,'Michigan Curve'!$A$4:$A$256,0),MATCH("Michigan Sunday Super Peak",'Michigan Curve'!$A$4:$L$4,0))))</f>
        <v>52.5563910835656</v>
      </c>
      <c r="BC174" s="894" t="n">
        <f aca="false">BB174*K174</f>
        <v>67.5401662716242</v>
      </c>
      <c r="BD174" s="893" t="n">
        <f aca="false">IF(BC174&gt;($CP174+$BF$4),1,0)</f>
        <v>0</v>
      </c>
      <c r="BF174" s="896" t="n">
        <f aca="false">B174</f>
        <v>41852</v>
      </c>
      <c r="BG174" s="897" t="n">
        <f aca="false">IF($AN174=1,$E174*$BF$5,0)</f>
        <v>168</v>
      </c>
      <c r="BH174" s="976" t="n">
        <f aca="false">IF(Tables!$B$36="Combined Cycle",(BF174-BF173)*24*Assumptions!$B$21,0)</f>
        <v>0</v>
      </c>
      <c r="BI174" s="714" t="n">
        <f aca="false">IF($AN174=1,$E174*$BF$5,0)</f>
        <v>168</v>
      </c>
      <c r="BJ174" s="898" t="n">
        <f aca="false">IF('Monthly Table'!D174&lt;=Tables!$B$21,IF($BJ$10=$BG$10,BG174,IF($BJ$10=$BH$10,BH174,IF($BJ$10=$BI$10,BI174,0))),0)</f>
        <v>168</v>
      </c>
      <c r="BK174" s="288"/>
      <c r="BL174" s="898" t="n">
        <f aca="false">IF($AW174=1,$F174*$BF$5,0)</f>
        <v>40</v>
      </c>
      <c r="BM174" s="898" t="n">
        <f aca="false">IF($BD174=1,($G174+H174)*$BF$5,0)</f>
        <v>0</v>
      </c>
      <c r="BO174" s="898" t="n">
        <f aca="false">IF(AS174=1,BJ174,0)</f>
        <v>0</v>
      </c>
      <c r="BP174" s="898" t="n">
        <f aca="false">IF(AZ174=1,F174*$BF$5,0)</f>
        <v>0</v>
      </c>
      <c r="BR174" s="899" t="n">
        <f aca="false">IF(BJ174&gt;0,INDEX(OperationalDetail,MATCH("Capacity Degradation",ODColumn,0),MATCH('Monthly Table'!C174,ODRow,0)),0)</f>
        <v>0.00253</v>
      </c>
      <c r="BS174" s="900" t="n">
        <f aca="false">BJ174*(1-BR174)*Tables!$C$36</f>
        <v>54294.28704</v>
      </c>
      <c r="BT174" s="883" t="n">
        <f aca="false">BS174*AL174/1000</f>
        <v>9020.77918584534</v>
      </c>
      <c r="BU174" s="883" t="n">
        <f aca="false">BT174*K174</f>
        <v>11592.5944219202</v>
      </c>
      <c r="BV174" s="188"/>
      <c r="BW174" s="901" t="n">
        <f aca="false">$BO174*(1-$BR174)*Tables!$C$36</f>
        <v>0</v>
      </c>
      <c r="BX174" s="902" t="n">
        <f aca="false">(BW174*AQ174)/1000</f>
        <v>0</v>
      </c>
      <c r="BY174" s="883" t="n">
        <f aca="false">BX174*K174</f>
        <v>0</v>
      </c>
      <c r="BZ174" s="188"/>
      <c r="CA174" s="901" t="n">
        <f aca="false">$BL174*(1-$BR174)*Tables!$C$36</f>
        <v>12927.2112</v>
      </c>
      <c r="CB174" s="902" t="n">
        <f aca="false">(CA174*AU174)/1000</f>
        <v>767.073143625191</v>
      </c>
      <c r="CC174" s="883" t="n">
        <f aca="false">CB174*K174</f>
        <v>985.764939235778</v>
      </c>
      <c r="CD174" s="901" t="n">
        <f aca="false">$BP174*(1-$BR174)*Tables!$C$36</f>
        <v>0</v>
      </c>
      <c r="CE174" s="902" t="n">
        <f aca="false">(CD174*AX174)/1000</f>
        <v>0</v>
      </c>
      <c r="CF174" s="883" t="n">
        <f aca="false">CE174*K174</f>
        <v>0</v>
      </c>
      <c r="CH174" s="901" t="n">
        <f aca="false">$BM174*(1-$BR174)*Tables!$C$36</f>
        <v>0</v>
      </c>
      <c r="CI174" s="902" t="n">
        <f aca="false">(CH174*BB174)/1000</f>
        <v>0</v>
      </c>
      <c r="CJ174" s="883" t="n">
        <f aca="false">CI174*K174</f>
        <v>0</v>
      </c>
      <c r="CK174" s="292"/>
      <c r="CL174" s="292" t="n">
        <f aca="false">C174-1</f>
        <v>2013</v>
      </c>
      <c r="CM174" s="903" t="n">
        <f aca="false">INDEX(OperationalDetail,MATCH("Degraded Heat Rate",ODColumn,0),MATCH('Monthly Table'!CL174,ODRow,0))/1000</f>
        <v>11.960598</v>
      </c>
      <c r="CN174" s="904" t="n">
        <f aca="false">S174*CM174</f>
        <v>61.0489755459564</v>
      </c>
      <c r="CO174" s="905" t="n">
        <f aca="false">IF(A174="January",(CO173*(1+Assumptions!$E$32)),CO173)</f>
        <v>8.71324916025036</v>
      </c>
      <c r="CP174" s="906" t="n">
        <f aca="false">CN174+CO174</f>
        <v>69.7622247062067</v>
      </c>
      <c r="CQ174" s="292"/>
      <c r="CR174" s="856" t="n">
        <f aca="false">IF(BJ174=0,"",C174)</f>
        <v>2014</v>
      </c>
      <c r="CS174" s="856" t="str">
        <f aca="false">IF(BO174=0,"",$C174)</f>
        <v/>
      </c>
      <c r="CT174" s="856" t="n">
        <f aca="false">IF(BL174=0,"",$C174)</f>
        <v>2014</v>
      </c>
      <c r="CU174" s="856" t="str">
        <f aca="false">IF(BP174=0,"",$C174)</f>
        <v/>
      </c>
      <c r="CV174" s="856" t="str">
        <f aca="false">IF(BD174=0,"",$C174)</f>
        <v/>
      </c>
      <c r="CW174" s="907" t="n">
        <f aca="false">YEAR(BF174)</f>
        <v>2014</v>
      </c>
      <c r="CX174" s="908" t="n">
        <f aca="false">INDEX('NY Curve'!$A$4:$G$256,MATCH('Monthly Table'!B174,'NY Curve'!$A$4:$A$256,0),MATCH("New York 5 X 16",'NY Curve'!$A$4:$G$4,0))</f>
        <v>78.5</v>
      </c>
      <c r="CY174" s="909" t="n">
        <f aca="false">K174</f>
        <v>1.28509901230155</v>
      </c>
      <c r="CZ174" s="910" t="n">
        <f aca="false">CX174*CY174</f>
        <v>100.880272465672</v>
      </c>
      <c r="DB174" s="911"/>
      <c r="DC174" s="911"/>
    </row>
    <row r="175" customFormat="false" ht="18.75" hidden="false" customHeight="true" outlineLevel="0" collapsed="false">
      <c r="A175" s="49" t="s">
        <v>818</v>
      </c>
      <c r="B175" s="863" t="n">
        <v>41883</v>
      </c>
      <c r="C175" s="288" t="n">
        <f aca="false">YEAR(B175)</f>
        <v>2014</v>
      </c>
      <c r="D175" s="864" t="n">
        <f aca="false">IF(A175="January",D174+1,D174)</f>
        <v>14</v>
      </c>
      <c r="E175" s="865" t="n">
        <v>21</v>
      </c>
      <c r="F175" s="866" t="n">
        <v>4</v>
      </c>
      <c r="G175" s="866" t="n">
        <v>4</v>
      </c>
      <c r="H175" s="866" t="n">
        <v>1</v>
      </c>
      <c r="I175" s="867" t="n">
        <f aca="false">SUM(E175:H175)</f>
        <v>30</v>
      </c>
      <c r="J175" s="868"/>
      <c r="K175" s="869" t="n">
        <f aca="false">INDEX(FX!$A$3:$C$362,MATCH(B175,FX!$A$3:$A$362,0),MATCH("Monthly Curve",FX!$A$2:$C$2,0))</f>
        <v>1.28432368756305</v>
      </c>
      <c r="L175" s="869"/>
      <c r="M175" s="987" t="n">
        <v>3.4315</v>
      </c>
      <c r="N175" s="988" t="n">
        <v>0.145</v>
      </c>
      <c r="O175" s="986" t="n">
        <v>0.1</v>
      </c>
      <c r="P175" s="872" t="n">
        <f aca="false">N175+O175</f>
        <v>0.245</v>
      </c>
      <c r="Q175" s="873" t="n">
        <f aca="false">SUM(M175:O175)</f>
        <v>3.6765</v>
      </c>
      <c r="R175" s="974" t="n">
        <f aca="false">IF(A175="January",(R174+R174*Assumptions!$E$32),R174)</f>
        <v>0.388503359124836</v>
      </c>
      <c r="S175" s="875" t="n">
        <f aca="false">(Q175*K175)+R175</f>
        <v>5.11031939645039</v>
      </c>
      <c r="T175" s="869"/>
      <c r="U175" s="187"/>
      <c r="V175" s="897"/>
      <c r="W175" s="897"/>
      <c r="X175" s="31"/>
      <c r="Y175" s="975" t="n">
        <f aca="false">Tables!$D$36</f>
        <v>312</v>
      </c>
      <c r="Z175" s="879" t="n">
        <f aca="false">IF($Z$10=$V$10,V175,IF($Z$10=$W$10,W175,IF($Z$10=$X$10,X175,0)))</f>
        <v>0</v>
      </c>
      <c r="AA175" s="880" t="n">
        <f aca="false">Y175*Z175</f>
        <v>0</v>
      </c>
      <c r="AB175" s="881" t="n">
        <f aca="false">AA175*K175</f>
        <v>0</v>
      </c>
      <c r="AC175" s="188"/>
      <c r="AD175" s="882" t="n">
        <f aca="false">IF(Tables!$E$30="Michigan",INDEX('Michigan Curve'!$A$4:$S$256,MATCH('Monthly Table'!B175,'Michigan Curve'!$A$4:$A$256,0),MATCH("Michigan Selected Option Value US$/month",'Michigan Curve'!$A$4:$S$4,0)),INDEX('NY Curve'!$A$4:$T$256,MATCH('Monthly Table'!B175,'NY Curve'!$A$4:$A$256,0),MATCH("New York Selected Option Value US$/month",'NY Curve'!$A$4:$T$4,0)))</f>
        <v>167750.532271965</v>
      </c>
      <c r="AE175" s="883" t="n">
        <f aca="false">AD175*K175</f>
        <v>215445.982198195</v>
      </c>
      <c r="AF175" s="188"/>
      <c r="AG175" s="884"/>
      <c r="AH175" s="49"/>
      <c r="AI175" s="885" t="n">
        <f aca="false">Assumptions!$B$50</f>
        <v>65</v>
      </c>
      <c r="AJ175" s="916"/>
      <c r="AK175" s="887" t="n">
        <f aca="false">IF(Tables!$E$30="Custom",'Monthly Table'!AI175,IF(Tables!$E$30="New York",INDEX('NY Curve'!$A$4:$G$256,MATCH('Monthly Table'!B175,'NY Curve'!$A$4:$A$256,0),MATCH("Super Peak Curve",'NY Curve'!$A$4:$G$4,0)),IF(Tables!$E$30="New York Flat",INDEX('NY Curve'!$A$4:$G$256,MATCH('Monthly Table'!B175,'NY Curve'!$A$4:$A$256,0),MATCH("Flat NY West",'NY Curve'!$A$4:$G$4,0)),INDEX('Michigan Curve'!$A$4:$F$256,MATCH('Monthly Table'!B175,'Michigan Curve'!$A$4:$A$256,0),MATCH("Michigan Super Peak Curve US$/MWhr",'Michigan Curve'!$A$4:$F$4,0)))))</f>
        <v>49.6584372371435</v>
      </c>
      <c r="AL175" s="888" t="n">
        <f aca="false">IF(D175&lt;=Tables!$B$21,IF($AL$10=$AI$10,AI175,IF($AL$10=$AJ$10,AJ175,IF($AL$10=$AK$10,AK175,0))),0)</f>
        <v>49.6584372371435</v>
      </c>
      <c r="AM175" s="889" t="n">
        <f aca="false">+AL175*K175</f>
        <v>63.7775072310264</v>
      </c>
      <c r="AN175" s="890" t="n">
        <f aca="false">IF((AL175*K175)&gt;(CP175+$BF$4),1,0)</f>
        <v>0</v>
      </c>
      <c r="AO175" s="891"/>
      <c r="AP175" s="894"/>
      <c r="AQ175" s="892" t="n">
        <f aca="false">IF(Tables!$E$30="New York",INDEX('NY Curve'!$A$4:$L$256,MATCH('Monthly Table'!B175,'NY Curve'!$A$4:$A$256,0),MATCH("New York Shoulder Hour Curve Mon-Fri",'NY Curve'!$A$4:$L$4,0)),IF(Tables!$E$30="Michigan",INDEX('Michigan Curve'!$A$4:$K$256,MATCH('Monthly Table'!B175,'Michigan Curve'!$A$4:$A$256,0),MATCH("Michigan Shoulder Hour Curve Mon-Fri",'Michigan Curve'!$A$4:$K$4,0))))</f>
        <v>23.8415627628565</v>
      </c>
      <c r="AR175" s="889" t="n">
        <f aca="false">AQ175*K175</f>
        <v>30.6202838048577</v>
      </c>
      <c r="AS175" s="893" t="n">
        <f aca="false">IF(AR175&gt;($CP175+$BF$4),1,0)</f>
        <v>0</v>
      </c>
      <c r="AU175" s="892" t="n">
        <f aca="false">IF(Tables!$E$30="New York",INDEX('NY Curve'!$A$4:$L$256,MATCH('Monthly Table'!$B175,'NY Curve'!$A$4:$A$256,0),MATCH("New York Saturday Super Peak",'NY Curve'!$A$4:$L$4,0)),IF(Tables!$E$30="Michigan",INDEX('Michigan Curve'!$A$4:$K$256,MATCH('Monthly Table'!$B175,'Michigan Curve'!$A$4:$A$256,0),MATCH("Michigan Saturday Super Peak",'Michigan Curve'!$A$4:$K$4,0))))</f>
        <v>33.7812498211861</v>
      </c>
      <c r="AV175" s="894" t="n">
        <f aca="false">AU175*K175</f>
        <v>43.3860593408343</v>
      </c>
      <c r="AW175" s="893" t="n">
        <f aca="false">IF(AV175&gt;($CP175+$BF$4),1,0)</f>
        <v>0</v>
      </c>
      <c r="AX175" s="892" t="n">
        <f aca="false">IF(Tables!$E$30="New York",INDEX('NY Curve'!$A$4:$L$256,MATCH('Monthly Table'!$B175,'NY Curve'!$A$4:$A$256,0),MATCH("New York Saturday Shoulder Peak",'NY Curve'!$A$4:$L$4,0)),IF(Tables!$E$30="Michigan",INDEX('Michigan Curve'!$A$4:$K$256,MATCH('Monthly Table'!$B175,'Michigan Curve'!$A$4:$A$256,0),MATCH("Michigan Saturday Shoulder Peak",'Michigan Curve'!$A$4:$K$4,0))))</f>
        <v>16.2187501788139</v>
      </c>
      <c r="AY175" s="895" t="n">
        <f aca="false">AX175*K175</f>
        <v>20.8301250373182</v>
      </c>
      <c r="AZ175" s="893" t="n">
        <f aca="false">IF(AY175&gt;($CP175+$BF$4),1,0)</f>
        <v>0</v>
      </c>
      <c r="BB175" s="892" t="n">
        <f aca="false">IF(Tables!$E$30="New York",INDEX('NY Curve'!$A$4:$M$256,MATCH('Monthly Table'!$B175,'NY Curve'!$A$4:$A$256,0),MATCH("NY Sunday Super Peak",'NY Curve'!$A$4:$M$4,0)),IF(Tables!$E$30="Michigan",INDEX('Michigan Curve'!$A$4:$L$256,MATCH('Monthly Table'!$B175,'Michigan Curve'!$A$4:$A$256,0),MATCH("Michigan Sunday Super Peak",'Michigan Curve'!$A$4:$L$4,0))))</f>
        <v>32.4299998283386</v>
      </c>
      <c r="BC175" s="894" t="n">
        <f aca="false">BB175*K175</f>
        <v>41.6506169672009</v>
      </c>
      <c r="BD175" s="893" t="n">
        <f aca="false">IF(BC175&gt;($CP175+$BF$4),1,0)</f>
        <v>0</v>
      </c>
      <c r="BF175" s="896" t="n">
        <f aca="false">B175</f>
        <v>41883</v>
      </c>
      <c r="BG175" s="897" t="n">
        <f aca="false">IF($AN175=1,$E175*$BF$5,0)</f>
        <v>0</v>
      </c>
      <c r="BH175" s="976" t="n">
        <f aca="false">IF(Tables!$B$36="Combined Cycle",(BF175-BF174)*24*Assumptions!$B$21,0)</f>
        <v>0</v>
      </c>
      <c r="BI175" s="714" t="n">
        <f aca="false">IF($AN175=1,$E175*$BF$5,0)</f>
        <v>0</v>
      </c>
      <c r="BJ175" s="898" t="n">
        <f aca="false">IF('Monthly Table'!D175&lt;=Tables!$B$21,IF($BJ$10=$BG$10,BG175,IF($BJ$10=$BH$10,BH175,IF($BJ$10=$BI$10,BI175,0))),0)</f>
        <v>0</v>
      </c>
      <c r="BK175" s="288"/>
      <c r="BL175" s="898" t="n">
        <f aca="false">IF($AW175=1,$F175*$BF$5,0)</f>
        <v>0</v>
      </c>
      <c r="BM175" s="898" t="n">
        <f aca="false">IF($BD175=1,($G175+H175)*$BF$5,0)</f>
        <v>0</v>
      </c>
      <c r="BO175" s="898" t="n">
        <f aca="false">IF(AS175=1,BJ175,0)</f>
        <v>0</v>
      </c>
      <c r="BP175" s="898" t="n">
        <f aca="false">IF(AZ175=1,F175*$BF$5,0)</f>
        <v>0</v>
      </c>
      <c r="BR175" s="899" t="n">
        <f aca="false">IF(BJ175&gt;0,INDEX(OperationalDetail,MATCH("Capacity Degradation",ODColumn,0),MATCH('Monthly Table'!C175,ODRow,0)),0)</f>
        <v>0</v>
      </c>
      <c r="BS175" s="900" t="n">
        <f aca="false">BJ175*(1-BR175)*Tables!$C$36</f>
        <v>0</v>
      </c>
      <c r="BT175" s="883" t="n">
        <f aca="false">BS175*AL175/1000</f>
        <v>0</v>
      </c>
      <c r="BU175" s="883" t="n">
        <f aca="false">BT175*K175</f>
        <v>0</v>
      </c>
      <c r="BV175" s="188"/>
      <c r="BW175" s="901" t="n">
        <f aca="false">$BO175*(1-$BR175)*Tables!$C$36</f>
        <v>0</v>
      </c>
      <c r="BX175" s="902" t="n">
        <f aca="false">(BW175*AQ175)/1000</f>
        <v>0</v>
      </c>
      <c r="BY175" s="883" t="n">
        <f aca="false">BX175*K175</f>
        <v>0</v>
      </c>
      <c r="BZ175" s="188"/>
      <c r="CA175" s="901" t="n">
        <f aca="false">$BL175*(1-$BR175)*Tables!$C$36</f>
        <v>0</v>
      </c>
      <c r="CB175" s="902" t="n">
        <f aca="false">(CA175*AU175)/1000</f>
        <v>0</v>
      </c>
      <c r="CC175" s="883" t="n">
        <f aca="false">CB175*K175</f>
        <v>0</v>
      </c>
      <c r="CD175" s="901" t="n">
        <f aca="false">$BP175*(1-$BR175)*Tables!$C$36</f>
        <v>0</v>
      </c>
      <c r="CE175" s="902" t="n">
        <f aca="false">(CD175*AX175)/1000</f>
        <v>0</v>
      </c>
      <c r="CF175" s="883" t="n">
        <f aca="false">CE175*K175</f>
        <v>0</v>
      </c>
      <c r="CH175" s="901" t="n">
        <f aca="false">$BM175*(1-$BR175)*Tables!$C$36</f>
        <v>0</v>
      </c>
      <c r="CI175" s="902" t="n">
        <f aca="false">(CH175*BB175)/1000</f>
        <v>0</v>
      </c>
      <c r="CJ175" s="883" t="n">
        <f aca="false">CI175*K175</f>
        <v>0</v>
      </c>
      <c r="CK175" s="292"/>
      <c r="CL175" s="292" t="n">
        <f aca="false">C175-1</f>
        <v>2013</v>
      </c>
      <c r="CM175" s="903" t="n">
        <f aca="false">INDEX(OperationalDetail,MATCH("Degraded Heat Rate",ODColumn,0),MATCH('Monthly Table'!CL175,ODRow,0))/1000</f>
        <v>11.960598</v>
      </c>
      <c r="CN175" s="904" t="n">
        <f aca="false">S175*CM175</f>
        <v>61.1224759525457</v>
      </c>
      <c r="CO175" s="905" t="n">
        <f aca="false">IF(A175="January",(CO174*(1+Assumptions!$E$32)),CO174)</f>
        <v>8.71324916025036</v>
      </c>
      <c r="CP175" s="906" t="n">
        <f aca="false">CN175+CO175</f>
        <v>69.8357251127961</v>
      </c>
      <c r="CQ175" s="292"/>
      <c r="CR175" s="856" t="str">
        <f aca="false">IF(BJ175=0,"",C175)</f>
        <v/>
      </c>
      <c r="CS175" s="856" t="str">
        <f aca="false">IF(BO175=0,"",$C175)</f>
        <v/>
      </c>
      <c r="CT175" s="856" t="str">
        <f aca="false">IF(BL175=0,"",$C175)</f>
        <v/>
      </c>
      <c r="CU175" s="856" t="str">
        <f aca="false">IF(BP175=0,"",$C175)</f>
        <v/>
      </c>
      <c r="CV175" s="856" t="str">
        <f aca="false">IF(BD175=0,"",$C175)</f>
        <v/>
      </c>
      <c r="CW175" s="907" t="n">
        <f aca="false">YEAR(BF175)</f>
        <v>2014</v>
      </c>
      <c r="CX175" s="908" t="n">
        <f aca="false">INDEX('NY Curve'!$A$4:$G$256,MATCH('Monthly Table'!B175,'NY Curve'!$A$4:$A$256,0),MATCH("New York 5 X 16",'NY Curve'!$A$4:$G$4,0))</f>
        <v>31.65</v>
      </c>
      <c r="CY175" s="909" t="n">
        <f aca="false">K175</f>
        <v>1.28432368756305</v>
      </c>
      <c r="CZ175" s="910" t="n">
        <f aca="false">CX175*CY175</f>
        <v>40.6488447113705</v>
      </c>
      <c r="DB175" s="911"/>
      <c r="DC175" s="911"/>
    </row>
    <row r="176" customFormat="false" ht="18.75" hidden="false" customHeight="true" outlineLevel="0" collapsed="false">
      <c r="A176" s="49" t="s">
        <v>819</v>
      </c>
      <c r="B176" s="863" t="n">
        <v>41913</v>
      </c>
      <c r="C176" s="288" t="n">
        <f aca="false">YEAR(B176)</f>
        <v>2014</v>
      </c>
      <c r="D176" s="864" t="n">
        <f aca="false">IF(A176="January",D175+1,D175)</f>
        <v>14</v>
      </c>
      <c r="E176" s="865" t="n">
        <v>23</v>
      </c>
      <c r="F176" s="866" t="n">
        <v>4</v>
      </c>
      <c r="G176" s="866" t="n">
        <v>4</v>
      </c>
      <c r="H176" s="866" t="n">
        <v>0</v>
      </c>
      <c r="I176" s="867" t="n">
        <f aca="false">SUM(E176:H176)</f>
        <v>31</v>
      </c>
      <c r="J176" s="868"/>
      <c r="K176" s="869" t="n">
        <f aca="false">INDEX(FX!$A$3:$C$362,MATCH(B176,FX!$A$3:$A$362,0),MATCH("Monthly Curve",FX!$A$2:$C$2,0))</f>
        <v>1.2835755808281</v>
      </c>
      <c r="L176" s="869"/>
      <c r="M176" s="987" t="n">
        <v>3.4585</v>
      </c>
      <c r="N176" s="988" t="n">
        <v>0.145</v>
      </c>
      <c r="O176" s="986" t="n">
        <v>0.1</v>
      </c>
      <c r="P176" s="872" t="n">
        <f aca="false">N176+O176</f>
        <v>0.245</v>
      </c>
      <c r="Q176" s="873" t="n">
        <f aca="false">SUM(M176:O176)</f>
        <v>3.7035</v>
      </c>
      <c r="R176" s="974" t="n">
        <f aca="false">IF(A176="January",(R175+R175*Assumptions!$E$32),R175)</f>
        <v>0.388503359124836</v>
      </c>
      <c r="S176" s="875" t="n">
        <f aca="false">(Q176*K176)+R176</f>
        <v>5.14222552272171</v>
      </c>
      <c r="T176" s="869"/>
      <c r="U176" s="187"/>
      <c r="V176" s="897"/>
      <c r="W176" s="897"/>
      <c r="X176" s="31"/>
      <c r="Y176" s="975" t="n">
        <f aca="false">Tables!$D$36</f>
        <v>312</v>
      </c>
      <c r="Z176" s="879" t="n">
        <f aca="false">IF($Z$10=$V$10,V176,IF($Z$10=$W$10,W176,IF($Z$10=$X$10,X176,0)))</f>
        <v>0</v>
      </c>
      <c r="AA176" s="880" t="n">
        <f aca="false">Y176*Z176</f>
        <v>0</v>
      </c>
      <c r="AB176" s="881" t="n">
        <f aca="false">AA176*K176</f>
        <v>0</v>
      </c>
      <c r="AC176" s="188"/>
      <c r="AD176" s="882" t="n">
        <f aca="false">IF(Tables!$E$30="Michigan",INDEX('Michigan Curve'!$A$4:$S$256,MATCH('Monthly Table'!B176,'Michigan Curve'!$A$4:$A$256,0),MATCH("Michigan Selected Option Value US$/month",'Michigan Curve'!$A$4:$S$4,0)),INDEX('NY Curve'!$A$4:$T$256,MATCH('Monthly Table'!B176,'NY Curve'!$A$4:$A$256,0),MATCH("New York Selected Option Value US$/month",'NY Curve'!$A$4:$T$4,0)))</f>
        <v>3625.30024042415</v>
      </c>
      <c r="AE176" s="883" t="n">
        <f aca="false">AD176*K176</f>
        <v>4653.34686177868</v>
      </c>
      <c r="AF176" s="188"/>
      <c r="AG176" s="884"/>
      <c r="AH176" s="49"/>
      <c r="AI176" s="885" t="n">
        <f aca="false">Assumptions!$B$50</f>
        <v>65</v>
      </c>
      <c r="AJ176" s="916"/>
      <c r="AK176" s="887" t="n">
        <f aca="false">IF(Tables!$E$30="Custom",'Monthly Table'!AI176,IF(Tables!$E$30="New York",INDEX('NY Curve'!$A$4:$G$256,MATCH('Monthly Table'!B176,'NY Curve'!$A$4:$A$256,0),MATCH("Super Peak Curve",'NY Curve'!$A$4:$G$4,0)),IF(Tables!$E$30="New York Flat",INDEX('NY Curve'!$A$4:$G$256,MATCH('Monthly Table'!B176,'NY Curve'!$A$4:$A$256,0),MATCH("Flat NY West",'NY Curve'!$A$4:$G$4,0)),INDEX('Michigan Curve'!$A$4:$F$256,MATCH('Monthly Table'!B176,'Michigan Curve'!$A$4:$A$256,0),MATCH("Michigan Super Peak Curve US$/MWhr",'Michigan Curve'!$A$4:$F$4,0)))))</f>
        <v>29.8499946594238</v>
      </c>
      <c r="AL176" s="888" t="n">
        <f aca="false">IF(D176&lt;=Tables!$B$21,IF($AL$10=$AI$10,AI176,IF($AL$10=$AJ$10,AJ176,IF($AL$10=$AK$10,AK176,0))),0)</f>
        <v>29.8499946594238</v>
      </c>
      <c r="AM176" s="889" t="n">
        <f aca="false">+AL176*K176</f>
        <v>38.3147242326856</v>
      </c>
      <c r="AN176" s="890" t="n">
        <f aca="false">IF((AL176*K176)&gt;(CP176+$BF$4),1,0)</f>
        <v>0</v>
      </c>
      <c r="AO176" s="891"/>
      <c r="AP176" s="894"/>
      <c r="AQ176" s="892" t="n">
        <f aca="false">IF(Tables!$E$30="New York",INDEX('NY Curve'!$A$4:$L$256,MATCH('Monthly Table'!B176,'NY Curve'!$A$4:$A$256,0),MATCH("New York Shoulder Hour Curve Mon-Fri",'NY Curve'!$A$4:$L$4,0)),IF(Tables!$E$30="Michigan",INDEX('Michigan Curve'!$A$4:$K$256,MATCH('Monthly Table'!B176,'Michigan Curve'!$A$4:$A$256,0),MATCH("Michigan Shoulder Hour Curve Mon-Fri",'Michigan Curve'!$A$4:$K$4,0))))</f>
        <v>29.8499946594238</v>
      </c>
      <c r="AR176" s="889" t="n">
        <f aca="false">AQ176*K176</f>
        <v>38.3147242326856</v>
      </c>
      <c r="AS176" s="893" t="n">
        <f aca="false">IF(AR176&gt;($CP176+$BF$4),1,0)</f>
        <v>0</v>
      </c>
      <c r="AU176" s="892" t="n">
        <f aca="false">IF(Tables!$E$30="New York",INDEX('NY Curve'!$A$4:$L$256,MATCH('Monthly Table'!$B176,'NY Curve'!$A$4:$A$256,0),MATCH("New York Saturday Super Peak",'NY Curve'!$A$4:$L$4,0)),IF(Tables!$E$30="Michigan",INDEX('Michigan Curve'!$A$4:$K$256,MATCH('Monthly Table'!$B176,'Michigan Curve'!$A$4:$A$256,0),MATCH("Michigan Saturday Super Peak",'Michigan Curve'!$A$4:$K$4,0))))</f>
        <v>19.996000289917</v>
      </c>
      <c r="AV176" s="894" t="n">
        <f aca="false">AU176*K176</f>
        <v>25.6663776863691</v>
      </c>
      <c r="AW176" s="893" t="n">
        <f aca="false">IF(AV176&gt;($CP176+$BF$4),1,0)</f>
        <v>0</v>
      </c>
      <c r="AX176" s="892" t="n">
        <f aca="false">IF(Tables!$E$30="New York",INDEX('NY Curve'!$A$4:$L$256,MATCH('Monthly Table'!$B176,'NY Curve'!$A$4:$A$256,0),MATCH("New York Saturday Shoulder Peak",'NY Curve'!$A$4:$L$4,0)),IF(Tables!$E$30="Michigan",INDEX('Michigan Curve'!$A$4:$K$256,MATCH('Monthly Table'!$B176,'Michigan Curve'!$A$4:$A$256,0),MATCH("Michigan Saturday Shoulder Peak",'Michigan Curve'!$A$4:$K$4,0))))</f>
        <v>19.996000289917</v>
      </c>
      <c r="AY176" s="895" t="n">
        <f aca="false">AX176*K176</f>
        <v>25.6663776863691</v>
      </c>
      <c r="AZ176" s="893" t="n">
        <f aca="false">IF(AY176&gt;($CP176+$BF$4),1,0)</f>
        <v>0</v>
      </c>
      <c r="BB176" s="892" t="n">
        <f aca="false">IF(Tables!$E$30="New York",INDEX('NY Curve'!$A$4:$M$256,MATCH('Monthly Table'!$B176,'NY Curve'!$A$4:$A$256,0),MATCH("NY Sunday Super Peak",'NY Curve'!$A$4:$M$4,0)),IF(Tables!$E$30="Michigan",INDEX('Michigan Curve'!$A$4:$L$256,MATCH('Monthly Table'!$B176,'Michigan Curve'!$A$4:$A$256,0),MATCH("Michigan Sunday Super Peak",'Michigan Curve'!$A$4:$L$4,0))))</f>
        <v>18.9965000152588</v>
      </c>
      <c r="BC176" s="894" t="n">
        <f aca="false">BB176*K176</f>
        <v>24.3834435407868</v>
      </c>
      <c r="BD176" s="893" t="n">
        <f aca="false">IF(BC176&gt;($CP176+$BF$4),1,0)</f>
        <v>0</v>
      </c>
      <c r="BF176" s="896" t="n">
        <f aca="false">B176</f>
        <v>41913</v>
      </c>
      <c r="BG176" s="897" t="n">
        <f aca="false">IF($AN176=1,$E176*$BF$5,0)</f>
        <v>0</v>
      </c>
      <c r="BH176" s="976" t="n">
        <f aca="false">IF(Tables!$B$36="Combined Cycle",(BF176-BF175)*24*Assumptions!$B$21,0)</f>
        <v>0</v>
      </c>
      <c r="BI176" s="714" t="n">
        <f aca="false">IF($AN176=1,$E176*$BF$5,0)</f>
        <v>0</v>
      </c>
      <c r="BJ176" s="898" t="n">
        <f aca="false">IF('Monthly Table'!D176&lt;=Tables!$B$21,IF($BJ$10=$BG$10,BG176,IF($BJ$10=$BH$10,BH176,IF($BJ$10=$BI$10,BI176,0))),0)</f>
        <v>0</v>
      </c>
      <c r="BK176" s="288"/>
      <c r="BL176" s="898" t="n">
        <f aca="false">IF($AW176=1,$F176*$BF$5,0)</f>
        <v>0</v>
      </c>
      <c r="BM176" s="898" t="n">
        <f aca="false">IF($BD176=1,($G176+H176)*$BF$5,0)</f>
        <v>0</v>
      </c>
      <c r="BO176" s="898" t="n">
        <f aca="false">IF(AS176=1,BJ176,0)</f>
        <v>0</v>
      </c>
      <c r="BP176" s="898" t="n">
        <f aca="false">IF(AZ176=1,F176*$BF$5,0)</f>
        <v>0</v>
      </c>
      <c r="BR176" s="899" t="n">
        <f aca="false">IF(BJ176&gt;0,INDEX(OperationalDetail,MATCH("Capacity Degradation",ODColumn,0),MATCH('Monthly Table'!C176,ODRow,0)),0)</f>
        <v>0</v>
      </c>
      <c r="BS176" s="900" t="n">
        <f aca="false">BJ176*(1-BR176)*Tables!$C$36</f>
        <v>0</v>
      </c>
      <c r="BT176" s="883" t="n">
        <f aca="false">BS176*AL176/1000</f>
        <v>0</v>
      </c>
      <c r="BU176" s="883" t="n">
        <f aca="false">BT176*K176</f>
        <v>0</v>
      </c>
      <c r="BV176" s="188"/>
      <c r="BW176" s="901" t="n">
        <f aca="false">$BO176*(1-$BR176)*Tables!$C$36</f>
        <v>0</v>
      </c>
      <c r="BX176" s="902" t="n">
        <f aca="false">(BW176*AQ176)/1000</f>
        <v>0</v>
      </c>
      <c r="BY176" s="883" t="n">
        <f aca="false">BX176*K176</f>
        <v>0</v>
      </c>
      <c r="BZ176" s="188"/>
      <c r="CA176" s="901" t="n">
        <f aca="false">$BL176*(1-$BR176)*Tables!$C$36</f>
        <v>0</v>
      </c>
      <c r="CB176" s="902" t="n">
        <f aca="false">(CA176*AU176)/1000</f>
        <v>0</v>
      </c>
      <c r="CC176" s="883" t="n">
        <f aca="false">CB176*K176</f>
        <v>0</v>
      </c>
      <c r="CD176" s="901" t="n">
        <f aca="false">$BP176*(1-$BR176)*Tables!$C$36</f>
        <v>0</v>
      </c>
      <c r="CE176" s="902" t="n">
        <f aca="false">(CD176*AX176)/1000</f>
        <v>0</v>
      </c>
      <c r="CF176" s="883" t="n">
        <f aca="false">CE176*K176</f>
        <v>0</v>
      </c>
      <c r="CH176" s="901" t="n">
        <f aca="false">$BM176*(1-$BR176)*Tables!$C$36</f>
        <v>0</v>
      </c>
      <c r="CI176" s="902" t="n">
        <f aca="false">(CH176*BB176)/1000</f>
        <v>0</v>
      </c>
      <c r="CJ176" s="883" t="n">
        <f aca="false">CI176*K176</f>
        <v>0</v>
      </c>
      <c r="CK176" s="292"/>
      <c r="CL176" s="292" t="n">
        <f aca="false">C176-1</f>
        <v>2013</v>
      </c>
      <c r="CM176" s="903" t="n">
        <f aca="false">INDEX(OperationalDetail,MATCH("Degraded Heat Rate",ODColumn,0),MATCH('Monthly Table'!CL176,ODRow,0))/1000</f>
        <v>11.960598</v>
      </c>
      <c r="CN176" s="904" t="n">
        <f aca="false">S176*CM176</f>
        <v>61.5040923026142</v>
      </c>
      <c r="CO176" s="905" t="n">
        <f aca="false">IF(A176="January",(CO175*(1+Assumptions!$E$32)),CO175)</f>
        <v>8.71324916025036</v>
      </c>
      <c r="CP176" s="906" t="n">
        <f aca="false">CN176+CO176</f>
        <v>70.2173414628645</v>
      </c>
      <c r="CQ176" s="292"/>
      <c r="CR176" s="856" t="str">
        <f aca="false">IF(BJ176=0,"",C176)</f>
        <v/>
      </c>
      <c r="CS176" s="856" t="str">
        <f aca="false">IF(BO176=0,"",$C176)</f>
        <v/>
      </c>
      <c r="CT176" s="856" t="str">
        <f aca="false">IF(BL176=0,"",$C176)</f>
        <v/>
      </c>
      <c r="CU176" s="856" t="str">
        <f aca="false">IF(BP176=0,"",$C176)</f>
        <v/>
      </c>
      <c r="CV176" s="856" t="str">
        <f aca="false">IF(BD176=0,"",$C176)</f>
        <v/>
      </c>
      <c r="CW176" s="907" t="n">
        <f aca="false">YEAR(BF176)</f>
        <v>2014</v>
      </c>
      <c r="CX176" s="908" t="n">
        <f aca="false">INDEX('NY Curve'!$A$4:$G$256,MATCH('Monthly Table'!B176,'NY Curve'!$A$4:$A$256,0),MATCH("New York 5 X 16",'NY Curve'!$A$4:$G$4,0))</f>
        <v>27.4</v>
      </c>
      <c r="CY176" s="909" t="n">
        <f aca="false">K176</f>
        <v>1.2835755808281</v>
      </c>
      <c r="CZ176" s="910" t="n">
        <f aca="false">CX176*CY176</f>
        <v>35.1699709146899</v>
      </c>
      <c r="DB176" s="911"/>
      <c r="DC176" s="911"/>
    </row>
    <row r="177" customFormat="false" ht="18.75" hidden="false" customHeight="true" outlineLevel="0" collapsed="false">
      <c r="A177" s="49" t="s">
        <v>820</v>
      </c>
      <c r="B177" s="863" t="n">
        <v>41944</v>
      </c>
      <c r="C177" s="288" t="n">
        <f aca="false">YEAR(B177)</f>
        <v>2014</v>
      </c>
      <c r="D177" s="864" t="n">
        <f aca="false">IF(A177="January",D176+1,D176)</f>
        <v>14</v>
      </c>
      <c r="E177" s="865" t="n">
        <v>19</v>
      </c>
      <c r="F177" s="866" t="n">
        <v>5</v>
      </c>
      <c r="G177" s="866" t="n">
        <v>5</v>
      </c>
      <c r="H177" s="866" t="n">
        <v>1</v>
      </c>
      <c r="I177" s="867" t="n">
        <f aca="false">SUM(E177:H177)</f>
        <v>30</v>
      </c>
      <c r="J177" s="868"/>
      <c r="K177" s="869" t="n">
        <f aca="false">INDEX(FX!$A$3:$C$362,MATCH(B177,FX!$A$3:$A$362,0),MATCH("Monthly Curve",FX!$A$2:$C$2,0))</f>
        <v>1.28280481477686</v>
      </c>
      <c r="L177" s="869"/>
      <c r="M177" s="987" t="n">
        <v>3.5945</v>
      </c>
      <c r="N177" s="988" t="n">
        <v>0.23</v>
      </c>
      <c r="O177" s="986" t="n">
        <v>0.1</v>
      </c>
      <c r="P177" s="872" t="n">
        <f aca="false">N177+O177</f>
        <v>0.33</v>
      </c>
      <c r="Q177" s="873" t="n">
        <f aca="false">SUM(M177:O177)</f>
        <v>3.9245</v>
      </c>
      <c r="R177" s="974" t="n">
        <f aca="false">IF(A177="January",(R176+R176*Assumptions!$E$32),R176)</f>
        <v>0.388503359124836</v>
      </c>
      <c r="S177" s="875" t="n">
        <f aca="false">(Q177*K177)+R177</f>
        <v>5.42287085471662</v>
      </c>
      <c r="T177" s="869"/>
      <c r="U177" s="187"/>
      <c r="V177" s="897"/>
      <c r="W177" s="897"/>
      <c r="X177" s="31"/>
      <c r="Y177" s="975" t="n">
        <f aca="false">Tables!$D$36</f>
        <v>312</v>
      </c>
      <c r="Z177" s="879" t="n">
        <f aca="false">IF($Z$10=$V$10,V177,IF($Z$10=$W$10,W177,IF($Z$10=$X$10,X177,0)))</f>
        <v>0</v>
      </c>
      <c r="AA177" s="880" t="n">
        <f aca="false">Y177*Z177</f>
        <v>0</v>
      </c>
      <c r="AB177" s="881" t="n">
        <f aca="false">AA177*K177</f>
        <v>0</v>
      </c>
      <c r="AC177" s="188"/>
      <c r="AD177" s="882" t="n">
        <f aca="false">IF(Tables!$E$30="Michigan",INDEX('Michigan Curve'!$A$4:$S$256,MATCH('Monthly Table'!B177,'Michigan Curve'!$A$4:$A$256,0),MATCH("Michigan Selected Option Value US$/month",'Michigan Curve'!$A$4:$S$4,0)),INDEX('NY Curve'!$A$4:$T$256,MATCH('Monthly Table'!B177,'NY Curve'!$A$4:$A$256,0),MATCH("New York Selected Option Value US$/month",'NY Curve'!$A$4:$T$4,0)))</f>
        <v>16415.0240964738</v>
      </c>
      <c r="AE177" s="883" t="n">
        <f aca="false">AD177*K177</f>
        <v>21057.2719456347</v>
      </c>
      <c r="AF177" s="188"/>
      <c r="AG177" s="884"/>
      <c r="AH177" s="49"/>
      <c r="AI177" s="885" t="n">
        <f aca="false">Assumptions!$B$50</f>
        <v>65</v>
      </c>
      <c r="AJ177" s="916"/>
      <c r="AK177" s="887" t="n">
        <f aca="false">IF(Tables!$E$30="Custom",'Monthly Table'!AI177,IF(Tables!$E$30="New York",INDEX('NY Curve'!$A$4:$G$256,MATCH('Monthly Table'!B177,'NY Curve'!$A$4:$A$256,0),MATCH("Super Peak Curve",'NY Curve'!$A$4:$G$4,0)),IF(Tables!$E$30="New York Flat",INDEX('NY Curve'!$A$4:$G$256,MATCH('Monthly Table'!B177,'NY Curve'!$A$4:$A$256,0),MATCH("Flat NY West",'NY Curve'!$A$4:$G$4,0)),INDEX('Michigan Curve'!$A$4:$F$256,MATCH('Monthly Table'!B177,'Michigan Curve'!$A$4:$A$256,0),MATCH("Michigan Super Peak Curve US$/MWhr",'Michigan Curve'!$A$4:$F$4,0)))))</f>
        <v>32.1083953857422</v>
      </c>
      <c r="AL177" s="888" t="n">
        <f aca="false">IF(D177&lt;=Tables!$B$21,IF($AL$10=$AI$10,AI177,IF($AL$10=$AJ$10,AJ177,IF($AL$10=$AK$10,AK177,0))),0)</f>
        <v>32.1083953857422</v>
      </c>
      <c r="AM177" s="889" t="n">
        <f aca="false">+AL177*K177</f>
        <v>41.1888041955892</v>
      </c>
      <c r="AN177" s="890" t="n">
        <f aca="false">IF((AL177*K177)&gt;(CP177+$BF$4),1,0)</f>
        <v>0</v>
      </c>
      <c r="AO177" s="891"/>
      <c r="AP177" s="894"/>
      <c r="AQ177" s="892" t="n">
        <f aca="false">IF(Tables!$E$30="New York",INDEX('NY Curve'!$A$4:$L$256,MATCH('Monthly Table'!B177,'NY Curve'!$A$4:$A$256,0),MATCH("New York Shoulder Hour Curve Mon-Fri",'NY Curve'!$A$4:$L$4,0)),IF(Tables!$E$30="Michigan",INDEX('Michigan Curve'!$A$4:$K$256,MATCH('Monthly Table'!B177,'Michigan Curve'!$A$4:$A$256,0),MATCH("Michigan Shoulder Hour Curve Mon-Fri",'Michigan Curve'!$A$4:$K$4,0))))</f>
        <v>27.3515960693359</v>
      </c>
      <c r="AR177" s="889" t="n">
        <f aca="false">AQ177*K177</f>
        <v>35.086759129576</v>
      </c>
      <c r="AS177" s="893" t="n">
        <f aca="false">IF(AR177&gt;($CP177+$BF$4),1,0)</f>
        <v>0</v>
      </c>
      <c r="AU177" s="892" t="n">
        <f aca="false">IF(Tables!$E$30="New York",INDEX('NY Curve'!$A$4:$L$256,MATCH('Monthly Table'!$B177,'NY Curve'!$A$4:$A$256,0),MATCH("New York Saturday Super Peak",'NY Curve'!$A$4:$L$4,0)),IF(Tables!$E$30="Michigan",INDEX('Michigan Curve'!$A$4:$K$256,MATCH('Monthly Table'!$B177,'Michigan Curve'!$A$4:$A$256,0),MATCH("Michigan Saturday Super Peak",'Michigan Curve'!$A$4:$K$4,0))))</f>
        <v>21.6</v>
      </c>
      <c r="AV177" s="894" t="n">
        <f aca="false">AU177*K177</f>
        <v>27.7085839991802</v>
      </c>
      <c r="AW177" s="893" t="n">
        <f aca="false">IF(AV177&gt;($CP177+$BF$4),1,0)</f>
        <v>0</v>
      </c>
      <c r="AX177" s="892" t="n">
        <f aca="false">IF(Tables!$E$30="New York",INDEX('NY Curve'!$A$4:$L$256,MATCH('Monthly Table'!$B177,'NY Curve'!$A$4:$A$256,0),MATCH("New York Saturday Shoulder Peak",'NY Curve'!$A$4:$L$4,0)),IF(Tables!$E$30="Michigan",INDEX('Michigan Curve'!$A$4:$K$256,MATCH('Monthly Table'!$B177,'Michigan Curve'!$A$4:$A$256,0),MATCH("Michigan Saturday Shoulder Peak",'Michigan Curve'!$A$4:$K$4,0))))</f>
        <v>18.4</v>
      </c>
      <c r="AY177" s="895" t="n">
        <f aca="false">AX177*K177</f>
        <v>23.6036085918942</v>
      </c>
      <c r="AZ177" s="893" t="n">
        <f aca="false">IF(AY177&gt;($CP177+$BF$4),1,0)</f>
        <v>0</v>
      </c>
      <c r="BB177" s="892" t="n">
        <f aca="false">IF(Tables!$E$30="New York",INDEX('NY Curve'!$A$4:$M$256,MATCH('Monthly Table'!$B177,'NY Curve'!$A$4:$A$256,0),MATCH("NY Sunday Super Peak",'NY Curve'!$A$4:$M$4,0)),IF(Tables!$E$30="Michigan",INDEX('Michigan Curve'!$A$4:$L$256,MATCH('Monthly Table'!$B177,'Michigan Curve'!$A$4:$A$256,0),MATCH("Michigan Sunday Super Peak",'Michigan Curve'!$A$4:$L$4,0))))</f>
        <v>20.52</v>
      </c>
      <c r="BC177" s="894" t="n">
        <f aca="false">BB177*K177</f>
        <v>26.3231547992212</v>
      </c>
      <c r="BD177" s="893" t="n">
        <f aca="false">IF(BC177&gt;($CP177+$BF$4),1,0)</f>
        <v>0</v>
      </c>
      <c r="BF177" s="896" t="n">
        <f aca="false">B177</f>
        <v>41944</v>
      </c>
      <c r="BG177" s="897" t="n">
        <f aca="false">IF($AN177=1,$E177*$BF$5,0)</f>
        <v>0</v>
      </c>
      <c r="BH177" s="976" t="n">
        <f aca="false">IF(Tables!$B$36="Combined Cycle",(BF177-BF176)*24*Assumptions!$B$21,0)</f>
        <v>0</v>
      </c>
      <c r="BI177" s="714" t="n">
        <f aca="false">IF($AN177=1,$E177*$BF$5,0)</f>
        <v>0</v>
      </c>
      <c r="BJ177" s="898" t="n">
        <f aca="false">IF('Monthly Table'!D177&lt;=Tables!$B$21,IF($BJ$10=$BG$10,BG177,IF($BJ$10=$BH$10,BH177,IF($BJ$10=$BI$10,BI177,0))),0)</f>
        <v>0</v>
      </c>
      <c r="BK177" s="288"/>
      <c r="BL177" s="898" t="n">
        <f aca="false">IF($AW177=1,$F177*$BF$5,0)</f>
        <v>0</v>
      </c>
      <c r="BM177" s="898" t="n">
        <f aca="false">IF($BD177=1,($G177+H177)*$BF$5,0)</f>
        <v>0</v>
      </c>
      <c r="BO177" s="898" t="n">
        <f aca="false">IF(AS177=1,BJ177,0)</f>
        <v>0</v>
      </c>
      <c r="BP177" s="898" t="n">
        <f aca="false">IF(AZ177=1,F177*$BF$5,0)</f>
        <v>0</v>
      </c>
      <c r="BR177" s="899" t="n">
        <f aca="false">IF(BJ177&gt;0,INDEX(OperationalDetail,MATCH("Capacity Degradation",ODColumn,0),MATCH('Monthly Table'!C177,ODRow,0)),0)</f>
        <v>0</v>
      </c>
      <c r="BS177" s="900" t="n">
        <f aca="false">BJ177*(1-BR177)*Tables!$C$36</f>
        <v>0</v>
      </c>
      <c r="BT177" s="883" t="n">
        <f aca="false">BS177*AL177/1000</f>
        <v>0</v>
      </c>
      <c r="BU177" s="883" t="n">
        <f aca="false">BT177*K177</f>
        <v>0</v>
      </c>
      <c r="BV177" s="188"/>
      <c r="BW177" s="901" t="n">
        <f aca="false">$BO177*(1-$BR177)*Tables!$C$36</f>
        <v>0</v>
      </c>
      <c r="BX177" s="902" t="n">
        <f aca="false">(BW177*AQ177)/1000</f>
        <v>0</v>
      </c>
      <c r="BY177" s="883" t="n">
        <f aca="false">BX177*K177</f>
        <v>0</v>
      </c>
      <c r="BZ177" s="188"/>
      <c r="CA177" s="901" t="n">
        <f aca="false">$BL177*(1-$BR177)*Tables!$C$36</f>
        <v>0</v>
      </c>
      <c r="CB177" s="902" t="n">
        <f aca="false">(CA177*AU177)/1000</f>
        <v>0</v>
      </c>
      <c r="CC177" s="883" t="n">
        <f aca="false">CB177*K177</f>
        <v>0</v>
      </c>
      <c r="CD177" s="901" t="n">
        <f aca="false">$BP177*(1-$BR177)*Tables!$C$36</f>
        <v>0</v>
      </c>
      <c r="CE177" s="902" t="n">
        <f aca="false">(CD177*AX177)/1000</f>
        <v>0</v>
      </c>
      <c r="CF177" s="883" t="n">
        <f aca="false">CE177*K177</f>
        <v>0</v>
      </c>
      <c r="CH177" s="901" t="n">
        <f aca="false">$BM177*(1-$BR177)*Tables!$C$36</f>
        <v>0</v>
      </c>
      <c r="CI177" s="902" t="n">
        <f aca="false">(CH177*BB177)/1000</f>
        <v>0</v>
      </c>
      <c r="CJ177" s="883" t="n">
        <f aca="false">CI177*K177</f>
        <v>0</v>
      </c>
      <c r="CK177" s="292"/>
      <c r="CL177" s="292" t="n">
        <f aca="false">C177-1</f>
        <v>2013</v>
      </c>
      <c r="CM177" s="903" t="n">
        <f aca="false">INDEX(OperationalDetail,MATCH("Degraded Heat Rate",ODColumn,0),MATCH('Monthly Table'!CL177,ODRow,0))/1000</f>
        <v>11.960598</v>
      </c>
      <c r="CN177" s="904" t="n">
        <f aca="false">S177*CM177</f>
        <v>64.8607782991819</v>
      </c>
      <c r="CO177" s="905" t="n">
        <f aca="false">IF(A177="January",(CO176*(1+Assumptions!$E$32)),CO176)</f>
        <v>8.71324916025036</v>
      </c>
      <c r="CP177" s="906" t="n">
        <f aca="false">CN177+CO177</f>
        <v>73.5740274594323</v>
      </c>
      <c r="CQ177" s="292"/>
      <c r="CR177" s="856" t="str">
        <f aca="false">IF(BJ177=0,"",C177)</f>
        <v/>
      </c>
      <c r="CS177" s="856" t="str">
        <f aca="false">IF(BO177=0,"",$C177)</f>
        <v/>
      </c>
      <c r="CT177" s="856" t="str">
        <f aca="false">IF(BL177=0,"",$C177)</f>
        <v/>
      </c>
      <c r="CU177" s="856" t="str">
        <f aca="false">IF(BP177=0,"",$C177)</f>
        <v/>
      </c>
      <c r="CV177" s="856" t="str">
        <f aca="false">IF(BD177=0,"",$C177)</f>
        <v/>
      </c>
      <c r="CW177" s="907" t="n">
        <f aca="false">YEAR(BF177)</f>
        <v>2014</v>
      </c>
      <c r="CX177" s="908" t="n">
        <f aca="false">INDEX('NY Curve'!$A$4:$G$256,MATCH('Monthly Table'!B177,'NY Curve'!$A$4:$A$256,0),MATCH("New York 5 X 16",'NY Curve'!$A$4:$G$4,0))</f>
        <v>27.9</v>
      </c>
      <c r="CY177" s="909" t="n">
        <f aca="false">K177</f>
        <v>1.28280481477686</v>
      </c>
      <c r="CZ177" s="910" t="n">
        <f aca="false">CX177*CY177</f>
        <v>35.7902543322744</v>
      </c>
      <c r="DB177" s="911"/>
      <c r="DC177" s="911"/>
    </row>
    <row r="178" customFormat="false" ht="18.75" hidden="false" customHeight="true" outlineLevel="0" collapsed="false">
      <c r="A178" s="110" t="s">
        <v>821</v>
      </c>
      <c r="B178" s="918" t="n">
        <v>41974</v>
      </c>
      <c r="C178" s="917" t="n">
        <f aca="false">YEAR(B178)</f>
        <v>2014</v>
      </c>
      <c r="D178" s="919" t="n">
        <f aca="false">IF(A178="January",D177+1,D177)</f>
        <v>14</v>
      </c>
      <c r="E178" s="865" t="n">
        <v>22</v>
      </c>
      <c r="F178" s="866" t="n">
        <v>4</v>
      </c>
      <c r="G178" s="866" t="n">
        <v>4</v>
      </c>
      <c r="H178" s="866" t="n">
        <v>1</v>
      </c>
      <c r="I178" s="867" t="n">
        <f aca="false">SUM(E178:H178)</f>
        <v>31</v>
      </c>
      <c r="J178" s="923"/>
      <c r="K178" s="924" t="n">
        <f aca="false">INDEX(FX!$A$3:$C$362,MATCH(B178,FX!$A$3:$A$362,0),MATCH("Monthly Curve",FX!$A$2:$C$2,0))</f>
        <v>1.28206111287631</v>
      </c>
      <c r="L178" s="924"/>
      <c r="M178" s="987" t="n">
        <v>3.7205</v>
      </c>
      <c r="N178" s="988" t="n">
        <v>0.27</v>
      </c>
      <c r="O178" s="991" t="n">
        <v>0.1</v>
      </c>
      <c r="P178" s="928" t="n">
        <f aca="false">N178+O178</f>
        <v>0.37</v>
      </c>
      <c r="Q178" s="929" t="n">
        <f aca="false">SUM(M178:O178)</f>
        <v>4.0905</v>
      </c>
      <c r="R178" s="979" t="n">
        <f aca="false">IF(A178="January",(R177+R177*Assumptions!$E$32),R177)</f>
        <v>0.388503359124836</v>
      </c>
      <c r="S178" s="931" t="n">
        <f aca="false">(Q178*K178)+R178</f>
        <v>5.63277434134538</v>
      </c>
      <c r="T178" s="924"/>
      <c r="U178" s="938"/>
      <c r="V178" s="949"/>
      <c r="W178" s="949"/>
      <c r="X178" s="992"/>
      <c r="Y178" s="981" t="n">
        <f aca="false">Tables!$D$36</f>
        <v>312</v>
      </c>
      <c r="Z178" s="935" t="n">
        <f aca="false">IF($Z$10=$V$10,V178,IF($Z$10=$W$10,W178,IF($Z$10=$X$10,X178,0)))</f>
        <v>0</v>
      </c>
      <c r="AA178" s="936" t="n">
        <f aca="false">Y178*Z178</f>
        <v>0</v>
      </c>
      <c r="AB178" s="937" t="n">
        <f aca="false">AA178*K178</f>
        <v>0</v>
      </c>
      <c r="AC178" s="938"/>
      <c r="AD178" s="882" t="n">
        <f aca="false">IF(Tables!$E$30="Michigan",INDEX('Michigan Curve'!$A$4:$S$256,MATCH('Monthly Table'!B178,'Michigan Curve'!$A$4:$A$256,0),MATCH("Michigan Selected Option Value US$/month",'Michigan Curve'!$A$4:$S$4,0)),INDEX('NY Curve'!$A$4:$T$256,MATCH('Monthly Table'!B178,'NY Curve'!$A$4:$A$256,0),MATCH("New York Selected Option Value US$/month",'NY Curve'!$A$4:$T$4,0)))</f>
        <v>11356.3953045619</v>
      </c>
      <c r="AE178" s="883" t="n">
        <f aca="false">AD178*K178</f>
        <v>14559.5928024299</v>
      </c>
      <c r="AF178" s="938"/>
      <c r="AG178" s="939"/>
      <c r="AH178" s="110"/>
      <c r="AI178" s="885" t="n">
        <f aca="false">Assumptions!$B$50</f>
        <v>65</v>
      </c>
      <c r="AJ178" s="940"/>
      <c r="AK178" s="887" t="n">
        <f aca="false">IF(Tables!$E$30="Custom",'Monthly Table'!AI178,IF(Tables!$E$30="New York",INDEX('NY Curve'!$A$4:$G$256,MATCH('Monthly Table'!B178,'NY Curve'!$A$4:$A$256,0),MATCH("Super Peak Curve",'NY Curve'!$A$4:$G$4,0)),IF(Tables!$E$30="New York Flat",INDEX('NY Curve'!$A$4:$G$256,MATCH('Monthly Table'!B178,'NY Curve'!$A$4:$A$256,0),MATCH("Flat NY West",'NY Curve'!$A$4:$G$4,0)),INDEX('Michigan Curve'!$A$4:$F$256,MATCH('Monthly Table'!B178,'Michigan Curve'!$A$4:$A$256,0),MATCH("Michigan Super Peak Curve US$/MWhr",'Michigan Curve'!$A$4:$F$4,0)))))</f>
        <v>30.8039949417114</v>
      </c>
      <c r="AL178" s="941" t="n">
        <f aca="false">IF(D178&lt;=Tables!$B$21,IF($AL$10=$AI$10,AI178,IF($AL$10=$AJ$10,AJ178,IF($AL$10=$AK$10,AK178,0))),0)</f>
        <v>30.8039949417114</v>
      </c>
      <c r="AM178" s="889" t="n">
        <f aca="false">+AL178*K178</f>
        <v>39.4926040360068</v>
      </c>
      <c r="AN178" s="943" t="n">
        <f aca="false">IF((AL178*K178)&gt;(CP178+$BF$4),1,0)</f>
        <v>0</v>
      </c>
      <c r="AO178" s="944"/>
      <c r="AP178" s="894"/>
      <c r="AQ178" s="892" t="n">
        <f aca="false">IF(Tables!$E$30="New York",INDEX('NY Curve'!$A$4:$L$256,MATCH('Monthly Table'!B178,'NY Curve'!$A$4:$A$256,0),MATCH("New York Shoulder Hour Curve Mon-Fri",'NY Curve'!$A$4:$L$4,0)),IF(Tables!$E$30="Michigan",INDEX('Michigan Curve'!$A$4:$K$256,MATCH('Monthly Table'!B178,'Michigan Curve'!$A$4:$A$256,0),MATCH("Michigan Shoulder Hour Curve Mon-Fri",'Michigan Curve'!$A$4:$K$4,0))))</f>
        <v>29.5959951400757</v>
      </c>
      <c r="AR178" s="889" t="n">
        <f aca="false">AQ178*K178</f>
        <v>37.9438744659673</v>
      </c>
      <c r="AS178" s="893" t="n">
        <f aca="false">IF(AR178&gt;($CP178+$BF$4),1,0)</f>
        <v>0</v>
      </c>
      <c r="AT178" s="917"/>
      <c r="AU178" s="892" t="n">
        <f aca="false">IF(Tables!$E$30="New York",INDEX('NY Curve'!$A$4:$L$256,MATCH('Monthly Table'!$B178,'NY Curve'!$A$4:$A$256,0),MATCH("New York Saturday Super Peak",'NY Curve'!$A$4:$L$4,0)),IF(Tables!$E$30="Michigan",INDEX('Michigan Curve'!$A$4:$K$256,MATCH('Monthly Table'!$B178,'Michigan Curve'!$A$4:$A$256,0),MATCH("Michigan Saturday Super Peak",'Michigan Curve'!$A$4:$K$4,0))))</f>
        <v>20.4</v>
      </c>
      <c r="AV178" s="894" t="n">
        <f aca="false">AU178*K178</f>
        <v>26.1540467026767</v>
      </c>
      <c r="AW178" s="893" t="n">
        <f aca="false">IF(AV178&gt;($CP178+$BF$4),1,0)</f>
        <v>0</v>
      </c>
      <c r="AX178" s="892" t="n">
        <f aca="false">IF(Tables!$E$30="New York",INDEX('NY Curve'!$A$4:$L$256,MATCH('Monthly Table'!$B178,'NY Curve'!$A$4:$A$256,0),MATCH("New York Saturday Shoulder Peak",'NY Curve'!$A$4:$L$4,0)),IF(Tables!$E$30="Michigan",INDEX('Michigan Curve'!$A$4:$K$256,MATCH('Monthly Table'!$B178,'Michigan Curve'!$A$4:$A$256,0),MATCH("Michigan Saturday Shoulder Peak",'Michigan Curve'!$A$4:$K$4,0))))</f>
        <v>19.6</v>
      </c>
      <c r="AY178" s="895" t="n">
        <f aca="false">AX178*K178</f>
        <v>25.1283978123757</v>
      </c>
      <c r="AZ178" s="893" t="n">
        <f aca="false">IF(AY178&gt;($CP178+$BF$4),1,0)</f>
        <v>0</v>
      </c>
      <c r="BA178" s="917"/>
      <c r="BB178" s="892" t="n">
        <f aca="false">IF(Tables!$E$30="New York",INDEX('NY Curve'!$A$4:$M$256,MATCH('Monthly Table'!$B178,'NY Curve'!$A$4:$A$256,0),MATCH("NY Sunday Super Peak",'NY Curve'!$A$4:$M$4,0)),IF(Tables!$E$30="Michigan",INDEX('Michigan Curve'!$A$4:$L$256,MATCH('Monthly Table'!$B178,'Michigan Curve'!$A$4:$A$256,0),MATCH("Michigan Sunday Super Peak",'Michigan Curve'!$A$4:$L$4,0))))</f>
        <v>19.38</v>
      </c>
      <c r="BC178" s="894" t="n">
        <f aca="false">BB178*K178</f>
        <v>24.8463443675429</v>
      </c>
      <c r="BD178" s="893" t="n">
        <f aca="false">IF(BC178&gt;($CP178+$BF$4),1,0)</f>
        <v>0</v>
      </c>
      <c r="BE178" s="917"/>
      <c r="BF178" s="948" t="n">
        <f aca="false">B178</f>
        <v>41974</v>
      </c>
      <c r="BG178" s="897" t="n">
        <f aca="false">IF($AN178=1,$E178*$BF$5,0)</f>
        <v>0</v>
      </c>
      <c r="BH178" s="982" t="n">
        <f aca="false">IF(Tables!$B$36="Combined Cycle",(BF178-BF177)*24*Assumptions!$B$21,0)</f>
        <v>0</v>
      </c>
      <c r="BI178" s="714" t="n">
        <f aca="false">IF($AN178=1,$E178*$BF$5,0)</f>
        <v>0</v>
      </c>
      <c r="BJ178" s="950" t="n">
        <f aca="false">IF('Monthly Table'!D178&lt;=Tables!$B$21,IF($BJ$10=$BG$10,BG178,IF($BJ$10=$BH$10,BH178,IF($BJ$10=$BI$10,BI178,0))),0)</f>
        <v>0</v>
      </c>
      <c r="BK178" s="288"/>
      <c r="BL178" s="898" t="n">
        <f aca="false">IF($AW178=1,$F178*$BF$5,0)</f>
        <v>0</v>
      </c>
      <c r="BM178" s="898" t="n">
        <f aca="false">IF($BD178=1,($G178+H178)*$BF$5,0)</f>
        <v>0</v>
      </c>
      <c r="BO178" s="898" t="n">
        <f aca="false">IF(AS178=1,BJ178,0)</f>
        <v>0</v>
      </c>
      <c r="BP178" s="898" t="n">
        <f aca="false">IF(AZ178=1,F178*$BF$5,0)</f>
        <v>0</v>
      </c>
      <c r="BR178" s="951" t="n">
        <f aca="false">IF(BJ178&gt;0,INDEX(OperationalDetail,MATCH("Capacity Degradation",ODColumn,0),MATCH('Monthly Table'!C178,ODRow,0)),0)</f>
        <v>0</v>
      </c>
      <c r="BS178" s="900" t="n">
        <f aca="false">BJ178*(1-BR178)*Tables!$C$36</f>
        <v>0</v>
      </c>
      <c r="BT178" s="953" t="n">
        <f aca="false">BS178*AL178/1000</f>
        <v>0</v>
      </c>
      <c r="BU178" s="953" t="n">
        <f aca="false">BT178*K178</f>
        <v>0</v>
      </c>
      <c r="BV178" s="188"/>
      <c r="BW178" s="901" t="n">
        <f aca="false">$BO178*(1-$BR178)*Tables!$C$36</f>
        <v>0</v>
      </c>
      <c r="BX178" s="902" t="n">
        <f aca="false">(BW178*AQ178)/1000</f>
        <v>0</v>
      </c>
      <c r="BY178" s="883" t="n">
        <f aca="false">BX178*K178</f>
        <v>0</v>
      </c>
      <c r="BZ178" s="938"/>
      <c r="CA178" s="901" t="n">
        <f aca="false">$BL178*(1-$BR178)*Tables!$C$36</f>
        <v>0</v>
      </c>
      <c r="CB178" s="902" t="n">
        <f aca="false">(CA178*AU178)/1000</f>
        <v>0</v>
      </c>
      <c r="CC178" s="883" t="n">
        <f aca="false">CB178*K178</f>
        <v>0</v>
      </c>
      <c r="CD178" s="901" t="n">
        <f aca="false">$BP178*(1-$BR178)*Tables!$C$36</f>
        <v>0</v>
      </c>
      <c r="CE178" s="902" t="n">
        <f aca="false">(CD178*AX178)/1000</f>
        <v>0</v>
      </c>
      <c r="CF178" s="883" t="n">
        <f aca="false">CE178*K178</f>
        <v>0</v>
      </c>
      <c r="CG178" s="110"/>
      <c r="CH178" s="901" t="n">
        <f aca="false">$BM178*(1-$BR178)*Tables!$C$36</f>
        <v>0</v>
      </c>
      <c r="CI178" s="902" t="n">
        <f aca="false">(CH178*BB178)/1000</f>
        <v>0</v>
      </c>
      <c r="CJ178" s="883" t="n">
        <f aca="false">CI178*K178</f>
        <v>0</v>
      </c>
      <c r="CK178" s="292"/>
      <c r="CL178" s="292" t="n">
        <f aca="false">C178-1</f>
        <v>2013</v>
      </c>
      <c r="CM178" s="903" t="n">
        <f aca="false">INDEX(OperationalDetail,MATCH("Degraded Heat Rate",ODColumn,0),MATCH('Monthly Table'!CL178,ODRow,0))/1000</f>
        <v>11.960598</v>
      </c>
      <c r="CN178" s="958" t="n">
        <f aca="false">S178*CM178</f>
        <v>67.3713495215469</v>
      </c>
      <c r="CO178" s="959" t="n">
        <f aca="false">IF(A178="January",(CO177*(1+Assumptions!$E$32)),CO177)</f>
        <v>8.71324916025036</v>
      </c>
      <c r="CP178" s="960" t="n">
        <f aca="false">CN178+CO178</f>
        <v>76.0845986817973</v>
      </c>
      <c r="CQ178" s="292"/>
      <c r="CR178" s="961" t="str">
        <f aca="false">IF(BJ178=0,"",C178)</f>
        <v/>
      </c>
      <c r="CS178" s="856" t="str">
        <f aca="false">IF(BO178=0,"",$C178)</f>
        <v/>
      </c>
      <c r="CT178" s="856" t="str">
        <f aca="false">IF(BL178=0,"",$C178)</f>
        <v/>
      </c>
      <c r="CU178" s="856" t="str">
        <f aca="false">IF(BP178=0,"",$C178)</f>
        <v/>
      </c>
      <c r="CV178" s="856" t="str">
        <f aca="false">IF(BD178=0,"",$C178)</f>
        <v/>
      </c>
      <c r="CW178" s="962" t="n">
        <f aca="false">YEAR(BF178)</f>
        <v>2014</v>
      </c>
      <c r="CX178" s="963" t="n">
        <f aca="false">INDEX('NY Curve'!$A$4:$G$256,MATCH('Monthly Table'!B178,'NY Curve'!$A$4:$A$256,0),MATCH("New York 5 X 16",'NY Curve'!$A$4:$G$4,0))</f>
        <v>28.4</v>
      </c>
      <c r="CY178" s="964" t="n">
        <f aca="false">K178</f>
        <v>1.28206111287631</v>
      </c>
      <c r="CZ178" s="965" t="n">
        <f aca="false">CX178*CY178</f>
        <v>36.4105356056872</v>
      </c>
      <c r="DA178" s="110"/>
      <c r="DB178" s="911"/>
      <c r="DC178" s="911"/>
      <c r="DD178" s="110"/>
      <c r="DE178" s="110"/>
      <c r="DF178" s="110"/>
      <c r="DG178" s="110"/>
      <c r="DH178" s="110"/>
    </row>
    <row r="179" customFormat="false" ht="18.75" hidden="false" customHeight="true" outlineLevel="0" collapsed="false">
      <c r="A179" s="49" t="s">
        <v>810</v>
      </c>
      <c r="B179" s="863" t="n">
        <v>42005</v>
      </c>
      <c r="C179" s="288" t="n">
        <f aca="false">YEAR(B179)</f>
        <v>2015</v>
      </c>
      <c r="D179" s="864" t="n">
        <f aca="false">IF(A179="January",D178+1,D178)</f>
        <v>15</v>
      </c>
      <c r="E179" s="865" t="n">
        <v>21</v>
      </c>
      <c r="F179" s="866" t="n">
        <v>5</v>
      </c>
      <c r="G179" s="866" t="n">
        <v>4</v>
      </c>
      <c r="H179" s="866" t="n">
        <v>1</v>
      </c>
      <c r="I179" s="867" t="n">
        <f aca="false">SUM(E179:H179)</f>
        <v>31</v>
      </c>
      <c r="J179" s="868"/>
      <c r="K179" s="869" t="n">
        <f aca="false">INDEX(FX!$A$3:$C$362,MATCH(B179,FX!$A$3:$A$362,0),MATCH("Monthly Curve",FX!$A$2:$C$2,0))</f>
        <v>1.2812948914856</v>
      </c>
      <c r="L179" s="869"/>
      <c r="M179" s="987" t="n">
        <v>3.821</v>
      </c>
      <c r="N179" s="988" t="n">
        <v>0.28</v>
      </c>
      <c r="O179" s="986" t="n">
        <v>0.1</v>
      </c>
      <c r="P179" s="872" t="n">
        <f aca="false">N179+O179</f>
        <v>0.38</v>
      </c>
      <c r="Q179" s="873" t="n">
        <f aca="false">SUM(M179:O179)</f>
        <v>4.201</v>
      </c>
      <c r="R179" s="974" t="n">
        <f aca="false">IF(A179="January",(R178+R178*Assumptions!$E$32),R178)</f>
        <v>0.396273426307333</v>
      </c>
      <c r="S179" s="875" t="n">
        <f aca="false">(Q179*K179)+R179</f>
        <v>5.77899326543834</v>
      </c>
      <c r="T179" s="869"/>
      <c r="U179" s="187"/>
      <c r="V179" s="897"/>
      <c r="W179" s="897"/>
      <c r="X179" s="31"/>
      <c r="Y179" s="975" t="n">
        <f aca="false">Tables!$D$36</f>
        <v>312</v>
      </c>
      <c r="Z179" s="879" t="n">
        <f aca="false">IF($Z$10=$V$10,V179,IF($Z$10=$W$10,W179,IF($Z$10=$X$10,X179,0)))</f>
        <v>0</v>
      </c>
      <c r="AA179" s="880" t="n">
        <f aca="false">Y179*Z179</f>
        <v>0</v>
      </c>
      <c r="AB179" s="881" t="n">
        <f aca="false">AA179*K179</f>
        <v>0</v>
      </c>
      <c r="AC179" s="188"/>
      <c r="AD179" s="882" t="n">
        <f aca="false">IF(Tables!$E$30="Michigan",INDEX('Michigan Curve'!$A$4:$S$256,MATCH('Monthly Table'!B179,'Michigan Curve'!$A$4:$A$256,0),MATCH("Michigan Selected Option Value US$/month",'Michigan Curve'!$A$4:$S$4,0)),INDEX('NY Curve'!$A$4:$T$256,MATCH('Monthly Table'!B179,'NY Curve'!$A$4:$A$256,0),MATCH("New York Selected Option Value US$/month",'NY Curve'!$A$4:$T$4,0)))</f>
        <v>45509.2065754876</v>
      </c>
      <c r="AE179" s="883" t="n">
        <f aca="false">AD179*K179</f>
        <v>58310.7139007351</v>
      </c>
      <c r="AF179" s="188"/>
      <c r="AG179" s="884"/>
      <c r="AH179" s="49"/>
      <c r="AI179" s="885" t="n">
        <f aca="false">Assumptions!$B$50</f>
        <v>65</v>
      </c>
      <c r="AJ179" s="916"/>
      <c r="AK179" s="887" t="n">
        <f aca="false">IF(Tables!$E$30="Custom",'Monthly Table'!AI179,IF(Tables!$E$30="New York",INDEX('NY Curve'!$A$4:$G$256,MATCH('Monthly Table'!B179,'NY Curve'!$A$4:$A$256,0),MATCH("Super Peak Curve",'NY Curve'!$A$4:$G$4,0)),IF(Tables!$E$30="New York Flat",INDEX('NY Curve'!$A$4:$G$256,MATCH('Monthly Table'!B179,'NY Curve'!$A$4:$A$256,0),MATCH("Flat NY West",'NY Curve'!$A$4:$G$4,0)),INDEX('Michigan Curve'!$A$4:$F$256,MATCH('Monthly Table'!B179,'Michigan Curve'!$A$4:$A$256,0),MATCH("Michigan Super Peak Curve US$/MWhr",'Michigan Curve'!$A$4:$F$4,0)))))</f>
        <v>36.4140003890991</v>
      </c>
      <c r="AL179" s="888" t="n">
        <f aca="false">IF(D179&lt;=Tables!$B$21,IF($AL$10=$AI$10,AI179,IF($AL$10=$AJ$10,AJ179,IF($AL$10=$AK$10,AK179,0))),0)</f>
        <v>36.4140003890991</v>
      </c>
      <c r="AM179" s="889" t="n">
        <f aca="false">+AL179*K179</f>
        <v>46.6570726771074</v>
      </c>
      <c r="AN179" s="890" t="n">
        <f aca="false">IF((AL179*K179)&gt;(CP179+$BF$4),1,0)</f>
        <v>0</v>
      </c>
      <c r="AO179" s="891"/>
      <c r="AP179" s="894"/>
      <c r="AQ179" s="892" t="n">
        <f aca="false">IF(Tables!$E$30="New York",INDEX('NY Curve'!$A$4:$L$256,MATCH('Monthly Table'!B179,'NY Curve'!$A$4:$A$256,0),MATCH("New York Shoulder Hour Curve Mon-Fri",'NY Curve'!$A$4:$L$4,0)),IF(Tables!$E$30="Michigan",INDEX('Michigan Curve'!$A$4:$K$256,MATCH('Monthly Table'!B179,'Michigan Curve'!$A$4:$A$256,0),MATCH("Michigan Shoulder Hour Curve Mon-Fri",'Michigan Curve'!$A$4:$K$4,0))))</f>
        <v>34.9860003738403</v>
      </c>
      <c r="AR179" s="889" t="n">
        <f aca="false">AQ179*K179</f>
        <v>44.8273835525149</v>
      </c>
      <c r="AS179" s="893" t="n">
        <f aca="false">IF(AR179&gt;($CP179+$BF$4),1,0)</f>
        <v>0</v>
      </c>
      <c r="AU179" s="892" t="n">
        <f aca="false">IF(Tables!$E$30="New York",INDEX('NY Curve'!$A$4:$L$256,MATCH('Monthly Table'!$B179,'NY Curve'!$A$4:$A$256,0),MATCH("New York Saturday Super Peak",'NY Curve'!$A$4:$L$4,0)),IF(Tables!$E$30="Michigan",INDEX('Michigan Curve'!$A$4:$K$256,MATCH('Monthly Table'!$B179,'Michigan Curve'!$A$4:$A$256,0),MATCH("Michigan Saturday Super Peak",'Michigan Curve'!$A$4:$K$4,0))))</f>
        <v>22.44</v>
      </c>
      <c r="AV179" s="894" t="n">
        <f aca="false">AU179*K179</f>
        <v>28.7522573649369</v>
      </c>
      <c r="AW179" s="893" t="n">
        <f aca="false">IF(AV179&gt;($CP179+$BF$4),1,0)</f>
        <v>0</v>
      </c>
      <c r="AX179" s="892" t="n">
        <f aca="false">IF(Tables!$E$30="New York",INDEX('NY Curve'!$A$4:$L$256,MATCH('Monthly Table'!$B179,'NY Curve'!$A$4:$A$256,0),MATCH("New York Saturday Shoulder Peak",'NY Curve'!$A$4:$L$4,0)),IF(Tables!$E$30="Michigan",INDEX('Michigan Curve'!$A$4:$K$256,MATCH('Monthly Table'!$B179,'Michigan Curve'!$A$4:$A$256,0),MATCH("Michigan Saturday Shoulder Peak",'Michigan Curve'!$A$4:$K$4,0))))</f>
        <v>21.56</v>
      </c>
      <c r="AY179" s="895" t="n">
        <f aca="false">AX179*K179</f>
        <v>27.6247178604295</v>
      </c>
      <c r="AZ179" s="893" t="n">
        <f aca="false">IF(AY179&gt;($CP179+$BF$4),1,0)</f>
        <v>0</v>
      </c>
      <c r="BB179" s="892" t="n">
        <f aca="false">IF(Tables!$E$30="New York",INDEX('NY Curve'!$A$4:$M$256,MATCH('Monthly Table'!$B179,'NY Curve'!$A$4:$A$256,0),MATCH("NY Sunday Super Peak",'NY Curve'!$A$4:$M$4,0)),IF(Tables!$E$30="Michigan",INDEX('Michigan Curve'!$A$4:$L$256,MATCH('Monthly Table'!$B179,'Michigan Curve'!$A$4:$A$256,0),MATCH("Michigan Sunday Super Peak",'Michigan Curve'!$A$4:$L$4,0))))</f>
        <v>21.42</v>
      </c>
      <c r="BC179" s="894" t="n">
        <f aca="false">BB179*K179</f>
        <v>27.4453365756216</v>
      </c>
      <c r="BD179" s="893" t="n">
        <f aca="false">IF(BC179&gt;($CP179+$BF$4),1,0)</f>
        <v>0</v>
      </c>
      <c r="BF179" s="896" t="n">
        <f aca="false">B179</f>
        <v>42005</v>
      </c>
      <c r="BG179" s="897" t="n">
        <f aca="false">IF($AN179=1,$E179*$BF$5,0)</f>
        <v>0</v>
      </c>
      <c r="BH179" s="976" t="n">
        <f aca="false">IF(Tables!$B$36="Combined Cycle",(BF179-BF178)*24*Assumptions!$B$21,0)</f>
        <v>0</v>
      </c>
      <c r="BI179" s="714" t="n">
        <f aca="false">IF($AN179=1,$E179*$BF$5,0)</f>
        <v>0</v>
      </c>
      <c r="BJ179" s="898" t="n">
        <f aca="false">IF('Monthly Table'!D179&lt;=Tables!$B$21,IF($BJ$10=$BG$10,BG179,IF($BJ$10=$BH$10,BH179,IF($BJ$10=$BI$10,BI179,0))),0)</f>
        <v>0</v>
      </c>
      <c r="BK179" s="288"/>
      <c r="BL179" s="898" t="n">
        <f aca="false">IF($AW179=1,$F179*$BF$5,0)</f>
        <v>0</v>
      </c>
      <c r="BM179" s="898" t="n">
        <f aca="false">IF($BD179=1,($G179+H179)*$BF$5,0)</f>
        <v>0</v>
      </c>
      <c r="BO179" s="898" t="n">
        <f aca="false">IF(AS179=1,BJ179,0)</f>
        <v>0</v>
      </c>
      <c r="BP179" s="898" t="n">
        <f aca="false">IF(AZ179=1,F179*$BF$5,0)</f>
        <v>0</v>
      </c>
      <c r="BR179" s="899" t="n">
        <f aca="false">IF(BJ179&gt;0,INDEX(OperationalDetail,MATCH("Capacity Degradation",ODColumn,0),MATCH('Monthly Table'!C179,ODRow,0)),0)</f>
        <v>0</v>
      </c>
      <c r="BS179" s="900" t="n">
        <f aca="false">BJ179*(1-BR179)*Tables!$C$36</f>
        <v>0</v>
      </c>
      <c r="BT179" s="883" t="n">
        <f aca="false">BS179*AL179/1000</f>
        <v>0</v>
      </c>
      <c r="BU179" s="883" t="n">
        <f aca="false">BT179*K179</f>
        <v>0</v>
      </c>
      <c r="BV179" s="188"/>
      <c r="BW179" s="901" t="n">
        <f aca="false">$BO179*(1-$BR179)*Tables!$C$36</f>
        <v>0</v>
      </c>
      <c r="BX179" s="902" t="n">
        <f aca="false">(BW179*AQ179)/1000</f>
        <v>0</v>
      </c>
      <c r="BY179" s="883" t="n">
        <f aca="false">BX179*K179</f>
        <v>0</v>
      </c>
      <c r="BZ179" s="188"/>
      <c r="CA179" s="901" t="n">
        <f aca="false">$BL179*(1-$BR179)*Tables!$C$36</f>
        <v>0</v>
      </c>
      <c r="CB179" s="902" t="n">
        <f aca="false">(CA179*AU179)/1000</f>
        <v>0</v>
      </c>
      <c r="CC179" s="883" t="n">
        <f aca="false">CB179*K179</f>
        <v>0</v>
      </c>
      <c r="CD179" s="901" t="n">
        <f aca="false">$BP179*(1-$BR179)*Tables!$C$36</f>
        <v>0</v>
      </c>
      <c r="CE179" s="902" t="n">
        <f aca="false">(CD179*AX179)/1000</f>
        <v>0</v>
      </c>
      <c r="CF179" s="883" t="n">
        <f aca="false">CE179*K179</f>
        <v>0</v>
      </c>
      <c r="CH179" s="901" t="n">
        <f aca="false">$BM179*(1-$BR179)*Tables!$C$36</f>
        <v>0</v>
      </c>
      <c r="CI179" s="902" t="n">
        <f aca="false">(CH179*BB179)/1000</f>
        <v>0</v>
      </c>
      <c r="CJ179" s="883" t="n">
        <f aca="false">CI179*K179</f>
        <v>0</v>
      </c>
      <c r="CK179" s="292"/>
      <c r="CL179" s="292" t="n">
        <f aca="false">C179-1</f>
        <v>2014</v>
      </c>
      <c r="CM179" s="903" t="n">
        <f aca="false">INDEX(OperationalDetail,MATCH("Degraded Heat Rate",ODColumn,0),MATCH('Monthly Table'!CL179,ODRow,0))/1000</f>
        <v>11.9902588</v>
      </c>
      <c r="CN179" s="904" t="n">
        <f aca="false">S179*CM179</f>
        <v>69.2916248560628</v>
      </c>
      <c r="CO179" s="905" t="n">
        <f aca="false">IF(A179="January",(CO178*(1+Assumptions!$E$32)),CO178)</f>
        <v>8.88751414345536</v>
      </c>
      <c r="CP179" s="906" t="n">
        <f aca="false">CN179+CO179</f>
        <v>78.1791389995181</v>
      </c>
      <c r="CQ179" s="292"/>
      <c r="CR179" s="856" t="str">
        <f aca="false">IF(BJ179=0,"",C179)</f>
        <v/>
      </c>
      <c r="CS179" s="856" t="str">
        <f aca="false">IF(BO179=0,"",$C179)</f>
        <v/>
      </c>
      <c r="CT179" s="856" t="str">
        <f aca="false">IF(BL179=0,"",$C179)</f>
        <v/>
      </c>
      <c r="CU179" s="856" t="str">
        <f aca="false">IF(BP179=0,"",$C179)</f>
        <v/>
      </c>
      <c r="CV179" s="856" t="str">
        <f aca="false">IF(BD179=0,"",$C179)</f>
        <v/>
      </c>
      <c r="CW179" s="907" t="n">
        <f aca="false">YEAR(BF179)</f>
        <v>2015</v>
      </c>
      <c r="CX179" s="908" t="n">
        <f aca="false">INDEX('NY Curve'!$A$4:$G$256,MATCH('Monthly Table'!B179,'NY Curve'!$A$4:$A$256,0),MATCH("New York 5 X 16",'NY Curve'!$A$4:$G$4,0))</f>
        <v>33.95</v>
      </c>
      <c r="CY179" s="909" t="n">
        <f aca="false">K179</f>
        <v>1.2812948914856</v>
      </c>
      <c r="CZ179" s="910" t="n">
        <f aca="false">CX179*CY179</f>
        <v>43.4999615659361</v>
      </c>
      <c r="DB179" s="911"/>
      <c r="DC179" s="911"/>
    </row>
    <row r="180" customFormat="false" ht="18.75" hidden="false" customHeight="true" outlineLevel="0" collapsed="false">
      <c r="A180" s="49" t="s">
        <v>811</v>
      </c>
      <c r="B180" s="863" t="n">
        <v>42036</v>
      </c>
      <c r="C180" s="288" t="n">
        <f aca="false">YEAR(B180)</f>
        <v>2015</v>
      </c>
      <c r="D180" s="864" t="n">
        <f aca="false">IF(A180="January",D179+1,D179)</f>
        <v>15</v>
      </c>
      <c r="E180" s="865" t="n">
        <v>20</v>
      </c>
      <c r="F180" s="866" t="n">
        <v>4</v>
      </c>
      <c r="G180" s="866" t="n">
        <v>4</v>
      </c>
      <c r="H180" s="866" t="n">
        <v>0</v>
      </c>
      <c r="I180" s="867" t="n">
        <f aca="false">SUM(E180:H180)</f>
        <v>28</v>
      </c>
      <c r="J180" s="868"/>
      <c r="K180" s="869" t="n">
        <f aca="false">INDEX(FX!$A$3:$C$362,MATCH(B180,FX!$A$3:$A$362,0),MATCH("Monthly Curve",FX!$A$2:$C$2,0))</f>
        <v>1.28053097433072</v>
      </c>
      <c r="L180" s="869"/>
      <c r="M180" s="987" t="n">
        <v>3.708</v>
      </c>
      <c r="N180" s="988" t="n">
        <v>0.31</v>
      </c>
      <c r="O180" s="986" t="n">
        <v>0.1</v>
      </c>
      <c r="P180" s="872" t="n">
        <f aca="false">N180+O180</f>
        <v>0.41</v>
      </c>
      <c r="Q180" s="873" t="n">
        <f aca="false">SUM(M180:O180)</f>
        <v>4.118</v>
      </c>
      <c r="R180" s="974" t="n">
        <f aca="false">IF(A180="January",(R179+R179*Assumptions!$E$32),R179)</f>
        <v>0.396273426307333</v>
      </c>
      <c r="S180" s="875" t="n">
        <f aca="false">(Q180*K180)+R180</f>
        <v>5.66949997860124</v>
      </c>
      <c r="T180" s="869"/>
      <c r="U180" s="187"/>
      <c r="V180" s="897"/>
      <c r="W180" s="897"/>
      <c r="X180" s="31"/>
      <c r="Y180" s="975" t="n">
        <f aca="false">Tables!$D$36</f>
        <v>312</v>
      </c>
      <c r="Z180" s="879" t="n">
        <f aca="false">IF($Z$10=$V$10,V180,IF($Z$10=$W$10,W180,IF($Z$10=$X$10,X180,0)))</f>
        <v>0</v>
      </c>
      <c r="AA180" s="880" t="n">
        <f aca="false">Y180*Z180</f>
        <v>0</v>
      </c>
      <c r="AB180" s="881" t="n">
        <f aca="false">AA180*K180</f>
        <v>0</v>
      </c>
      <c r="AC180" s="188"/>
      <c r="AD180" s="882" t="n">
        <f aca="false">IF(Tables!$E$30="Michigan",INDEX('Michigan Curve'!$A$4:$S$256,MATCH('Monthly Table'!B180,'Michigan Curve'!$A$4:$A$256,0),MATCH("Michigan Selected Option Value US$/month",'Michigan Curve'!$A$4:$S$4,0)),INDEX('NY Curve'!$A$4:$T$256,MATCH('Monthly Table'!B180,'NY Curve'!$A$4:$A$256,0),MATCH("New York Selected Option Value US$/month",'NY Curve'!$A$4:$T$4,0)))</f>
        <v>43193.6010128397</v>
      </c>
      <c r="AE180" s="883" t="n">
        <f aca="false">AD180*K180</f>
        <v>55310.743989824</v>
      </c>
      <c r="AF180" s="188"/>
      <c r="AG180" s="884"/>
      <c r="AH180" s="49"/>
      <c r="AI180" s="885" t="n">
        <f aca="false">Assumptions!$B$50</f>
        <v>65</v>
      </c>
      <c r="AJ180" s="916"/>
      <c r="AK180" s="887" t="n">
        <f aca="false">IF(Tables!$E$30="Custom",'Monthly Table'!AI180,IF(Tables!$E$30="New York",INDEX('NY Curve'!$A$4:$G$256,MATCH('Monthly Table'!B180,'NY Curve'!$A$4:$A$256,0),MATCH("Super Peak Curve",'NY Curve'!$A$4:$G$4,0)),IF(Tables!$E$30="New York Flat",INDEX('NY Curve'!$A$4:$G$256,MATCH('Monthly Table'!B180,'NY Curve'!$A$4:$A$256,0),MATCH("Flat NY West",'NY Curve'!$A$4:$G$4,0)),INDEX('Michigan Curve'!$A$4:$F$256,MATCH('Monthly Table'!B180,'Michigan Curve'!$A$4:$A$256,0),MATCH("Michigan Super Peak Curve US$/MWhr",'Michigan Curve'!$A$4:$F$4,0)))))</f>
        <v>36.4139984436035</v>
      </c>
      <c r="AL180" s="888" t="n">
        <f aca="false">IF(D180&lt;=Tables!$B$21,IF($AL$10=$AI$10,AI180,IF($AL$10=$AJ$10,AJ180,IF($AL$10=$AK$10,AK180,0))),0)</f>
        <v>36.4139984436035</v>
      </c>
      <c r="AM180" s="889" t="n">
        <f aca="false">+AL180*K180</f>
        <v>46.6292529062649</v>
      </c>
      <c r="AN180" s="890" t="n">
        <f aca="false">IF((AL180*K180)&gt;(CP180+$BF$4),1,0)</f>
        <v>0</v>
      </c>
      <c r="AO180" s="891"/>
      <c r="AP180" s="894"/>
      <c r="AQ180" s="892" t="n">
        <f aca="false">IF(Tables!$E$30="New York",INDEX('NY Curve'!$A$4:$L$256,MATCH('Monthly Table'!B180,'NY Curve'!$A$4:$A$256,0),MATCH("New York Shoulder Hour Curve Mon-Fri",'NY Curve'!$A$4:$L$4,0)),IF(Tables!$E$30="Michigan",INDEX('Michigan Curve'!$A$4:$K$256,MATCH('Monthly Table'!B180,'Michigan Curve'!$A$4:$A$256,0),MATCH("Michigan Shoulder Hour Curve Mon-Fri",'Michigan Curve'!$A$4:$K$4,0))))</f>
        <v>34.9859985046387</v>
      </c>
      <c r="AR180" s="889" t="n">
        <f aca="false">AQ180*K180</f>
        <v>44.8006547530781</v>
      </c>
      <c r="AS180" s="893" t="n">
        <f aca="false">IF(AR180&gt;($CP180+$BF$4),1,0)</f>
        <v>0</v>
      </c>
      <c r="AU180" s="892" t="n">
        <f aca="false">IF(Tables!$E$30="New York",INDEX('NY Curve'!$A$4:$L$256,MATCH('Monthly Table'!$B180,'NY Curve'!$A$4:$A$256,0),MATCH("New York Saturday Super Peak",'NY Curve'!$A$4:$L$4,0)),IF(Tables!$E$30="Michigan",INDEX('Michigan Curve'!$A$4:$K$256,MATCH('Monthly Table'!$B180,'Michigan Curve'!$A$4:$A$256,0),MATCH("Michigan Saturday Super Peak",'Michigan Curve'!$A$4:$K$4,0))))</f>
        <v>22.4359202957153</v>
      </c>
      <c r="AV180" s="894" t="n">
        <f aca="false">AU180*K180</f>
        <v>28.7298908762787</v>
      </c>
      <c r="AW180" s="893" t="n">
        <f aca="false">IF(AV180&gt;($CP180+$BF$4),1,0)</f>
        <v>0</v>
      </c>
      <c r="AX180" s="892" t="n">
        <f aca="false">IF(Tables!$E$30="New York",INDEX('NY Curve'!$A$4:$L$256,MATCH('Monthly Table'!$B180,'NY Curve'!$A$4:$A$256,0),MATCH("New York Saturday Shoulder Peak",'NY Curve'!$A$4:$L$4,0)),IF(Tables!$E$30="Michigan",INDEX('Michigan Curve'!$A$4:$K$256,MATCH('Monthly Table'!$B180,'Michigan Curve'!$A$4:$A$256,0),MATCH("Michigan Saturday Shoulder Peak",'Michigan Curve'!$A$4:$K$4,0))))</f>
        <v>21.5560802841187</v>
      </c>
      <c r="AY180" s="895" t="n">
        <f aca="false">AX180*K180</f>
        <v>27.6032284889737</v>
      </c>
      <c r="AZ180" s="893" t="n">
        <f aca="false">IF(AY180&gt;($CP180+$BF$4),1,0)</f>
        <v>0</v>
      </c>
      <c r="BB180" s="892" t="n">
        <f aca="false">IF(Tables!$E$30="New York",INDEX('NY Curve'!$A$4:$M$256,MATCH('Monthly Table'!$B180,'NY Curve'!$A$4:$A$256,0),MATCH("NY Sunday Super Peak",'NY Curve'!$A$4:$M$4,0)),IF(Tables!$E$30="Michigan",INDEX('Michigan Curve'!$A$4:$L$256,MATCH('Monthly Table'!$B180,'Michigan Curve'!$A$4:$A$256,0),MATCH("Michigan Sunday Super Peak",'Michigan Curve'!$A$4:$L$4,0))))</f>
        <v>21.4164319610596</v>
      </c>
      <c r="BC180" s="894" t="n">
        <f aca="false">BB180*K180</f>
        <v>27.4244044857832</v>
      </c>
      <c r="BD180" s="893" t="n">
        <f aca="false">IF(BC180&gt;($CP180+$BF$4),1,0)</f>
        <v>0</v>
      </c>
      <c r="BF180" s="896" t="n">
        <f aca="false">B180</f>
        <v>42036</v>
      </c>
      <c r="BG180" s="897" t="n">
        <f aca="false">IF($AN180=1,$E180*$BF$5,0)</f>
        <v>0</v>
      </c>
      <c r="BH180" s="976" t="n">
        <f aca="false">IF(Tables!$B$36="Combined Cycle",(BF180-BF179)*24*Assumptions!$B$21,0)</f>
        <v>0</v>
      </c>
      <c r="BI180" s="714" t="n">
        <f aca="false">IF($AN180=1,$E180*$BF$5,0)</f>
        <v>0</v>
      </c>
      <c r="BJ180" s="898" t="n">
        <f aca="false">IF('Monthly Table'!D180&lt;=Tables!$B$21,IF($BJ$10=$BG$10,BG180,IF($BJ$10=$BH$10,BH180,IF($BJ$10=$BI$10,BI180,0))),0)</f>
        <v>0</v>
      </c>
      <c r="BK180" s="288"/>
      <c r="BL180" s="898" t="n">
        <f aca="false">IF($AW180=1,$F180*$BF$5,0)</f>
        <v>0</v>
      </c>
      <c r="BM180" s="898" t="n">
        <f aca="false">IF($BD180=1,($G180+H180)*$BF$5,0)</f>
        <v>0</v>
      </c>
      <c r="BO180" s="898" t="n">
        <f aca="false">IF(AS180=1,BJ180,0)</f>
        <v>0</v>
      </c>
      <c r="BP180" s="898" t="n">
        <f aca="false">IF(AZ180=1,F180*$BF$5,0)</f>
        <v>0</v>
      </c>
      <c r="BR180" s="899" t="n">
        <f aca="false">IF(BJ180&gt;0,INDEX(OperationalDetail,MATCH("Capacity Degradation",ODColumn,0),MATCH('Monthly Table'!C180,ODRow,0)),0)</f>
        <v>0</v>
      </c>
      <c r="BS180" s="900" t="n">
        <f aca="false">BJ180*(1-BR180)*Tables!$C$36</f>
        <v>0</v>
      </c>
      <c r="BT180" s="883" t="n">
        <f aca="false">BS180*AL180/1000</f>
        <v>0</v>
      </c>
      <c r="BU180" s="883" t="n">
        <f aca="false">BT180*K180</f>
        <v>0</v>
      </c>
      <c r="BV180" s="188"/>
      <c r="BW180" s="901" t="n">
        <f aca="false">$BO180*(1-$BR180)*Tables!$C$36</f>
        <v>0</v>
      </c>
      <c r="BX180" s="902" t="n">
        <f aca="false">(BW180*AQ180)/1000</f>
        <v>0</v>
      </c>
      <c r="BY180" s="883" t="n">
        <f aca="false">BX180*K180</f>
        <v>0</v>
      </c>
      <c r="BZ180" s="188"/>
      <c r="CA180" s="901" t="n">
        <f aca="false">$BL180*(1-$BR180)*Tables!$C$36</f>
        <v>0</v>
      </c>
      <c r="CB180" s="902" t="n">
        <f aca="false">(CA180*AU180)/1000</f>
        <v>0</v>
      </c>
      <c r="CC180" s="883" t="n">
        <f aca="false">CB180*K180</f>
        <v>0</v>
      </c>
      <c r="CD180" s="901" t="n">
        <f aca="false">$BP180*(1-$BR180)*Tables!$C$36</f>
        <v>0</v>
      </c>
      <c r="CE180" s="902" t="n">
        <f aca="false">(CD180*AX180)/1000</f>
        <v>0</v>
      </c>
      <c r="CF180" s="883" t="n">
        <f aca="false">CE180*K180</f>
        <v>0</v>
      </c>
      <c r="CH180" s="901" t="n">
        <f aca="false">$BM180*(1-$BR180)*Tables!$C$36</f>
        <v>0</v>
      </c>
      <c r="CI180" s="902" t="n">
        <f aca="false">(CH180*BB180)/1000</f>
        <v>0</v>
      </c>
      <c r="CJ180" s="883" t="n">
        <f aca="false">CI180*K180</f>
        <v>0</v>
      </c>
      <c r="CK180" s="292"/>
      <c r="CL180" s="292" t="n">
        <f aca="false">C180-1</f>
        <v>2014</v>
      </c>
      <c r="CM180" s="903" t="n">
        <f aca="false">INDEX(OperationalDetail,MATCH("Degraded Heat Rate",ODColumn,0),MATCH('Monthly Table'!CL180,ODRow,0))/1000</f>
        <v>11.9902588</v>
      </c>
      <c r="CN180" s="904" t="n">
        <f aca="false">S180*CM180</f>
        <v>67.9787720100233</v>
      </c>
      <c r="CO180" s="905" t="n">
        <f aca="false">IF(A180="January",(CO179*(1+Assumptions!$E$32)),CO179)</f>
        <v>8.88751414345536</v>
      </c>
      <c r="CP180" s="906" t="n">
        <f aca="false">CN180+CO180</f>
        <v>76.8662861534787</v>
      </c>
      <c r="CQ180" s="292"/>
      <c r="CR180" s="856" t="str">
        <f aca="false">IF(BJ180=0,"",C180)</f>
        <v/>
      </c>
      <c r="CS180" s="856" t="str">
        <f aca="false">IF(BO180=0,"",$C180)</f>
        <v/>
      </c>
      <c r="CT180" s="856" t="str">
        <f aca="false">IF(BL180=0,"",$C180)</f>
        <v/>
      </c>
      <c r="CU180" s="856" t="str">
        <f aca="false">IF(BP180=0,"",$C180)</f>
        <v/>
      </c>
      <c r="CV180" s="856" t="str">
        <f aca="false">IF(BD180=0,"",$C180)</f>
        <v/>
      </c>
      <c r="CW180" s="907" t="n">
        <f aca="false">YEAR(BF180)</f>
        <v>2015</v>
      </c>
      <c r="CX180" s="908" t="n">
        <f aca="false">INDEX('NY Curve'!$A$4:$G$256,MATCH('Monthly Table'!B180,'NY Curve'!$A$4:$A$256,0),MATCH("New York 5 X 16",'NY Curve'!$A$4:$G$4,0))</f>
        <v>33.95</v>
      </c>
      <c r="CY180" s="909" t="n">
        <f aca="false">K180</f>
        <v>1.28053097433072</v>
      </c>
      <c r="CZ180" s="910" t="n">
        <f aca="false">CX180*CY180</f>
        <v>43.474026578528</v>
      </c>
      <c r="DB180" s="911"/>
      <c r="DC180" s="911"/>
    </row>
    <row r="181" customFormat="false" ht="18.75" hidden="false" customHeight="true" outlineLevel="0" collapsed="false">
      <c r="A181" s="49" t="s">
        <v>812</v>
      </c>
      <c r="B181" s="863" t="n">
        <v>42064</v>
      </c>
      <c r="C181" s="288" t="n">
        <f aca="false">YEAR(B181)</f>
        <v>2015</v>
      </c>
      <c r="D181" s="864" t="n">
        <f aca="false">IF(A181="January",D180+1,D180)</f>
        <v>15</v>
      </c>
      <c r="E181" s="865" t="n">
        <v>22</v>
      </c>
      <c r="F181" s="866" t="n">
        <v>4</v>
      </c>
      <c r="G181" s="866" t="n">
        <v>5</v>
      </c>
      <c r="H181" s="866" t="n">
        <v>0</v>
      </c>
      <c r="I181" s="867" t="n">
        <f aca="false">SUM(E181:H181)</f>
        <v>31</v>
      </c>
      <c r="J181" s="868"/>
      <c r="K181" s="869" t="n">
        <f aca="false">INDEX(FX!$A$3:$C$362,MATCH(B181,FX!$A$3:$A$362,0),MATCH("Monthly Curve",FX!$A$2:$C$2,0))</f>
        <v>1.27984296219883</v>
      </c>
      <c r="L181" s="869"/>
      <c r="M181" s="987" t="n">
        <v>3.593</v>
      </c>
      <c r="N181" s="988" t="n">
        <v>0.31</v>
      </c>
      <c r="O181" s="986" t="n">
        <v>0.1</v>
      </c>
      <c r="P181" s="872" t="n">
        <f aca="false">N181+O181</f>
        <v>0.41</v>
      </c>
      <c r="Q181" s="873" t="n">
        <f aca="false">SUM(M181:O181)</f>
        <v>4.003</v>
      </c>
      <c r="R181" s="974" t="n">
        <f aca="false">IF(A181="January",(R180+R180*Assumptions!$E$32),R180)</f>
        <v>0.396273426307333</v>
      </c>
      <c r="S181" s="875" t="n">
        <f aca="false">(Q181*K181)+R181</f>
        <v>5.51948480398925</v>
      </c>
      <c r="T181" s="869"/>
      <c r="U181" s="187"/>
      <c r="V181" s="897"/>
      <c r="W181" s="897"/>
      <c r="X181" s="31"/>
      <c r="Y181" s="975" t="n">
        <f aca="false">Tables!$D$36</f>
        <v>312</v>
      </c>
      <c r="Z181" s="879" t="n">
        <f aca="false">IF($Z$10=$V$10,V181,IF($Z$10=$W$10,W181,IF($Z$10=$X$10,X181,0)))</f>
        <v>0</v>
      </c>
      <c r="AA181" s="880" t="n">
        <f aca="false">Y181*Z181</f>
        <v>0</v>
      </c>
      <c r="AB181" s="881" t="n">
        <f aca="false">AA181*K181</f>
        <v>0</v>
      </c>
      <c r="AC181" s="188"/>
      <c r="AD181" s="882" t="n">
        <f aca="false">IF(Tables!$E$30="Michigan",INDEX('Michigan Curve'!$A$4:$S$256,MATCH('Monthly Table'!B181,'Michigan Curve'!$A$4:$A$256,0),MATCH("Michigan Selected Option Value US$/month",'Michigan Curve'!$A$4:$S$4,0)),INDEX('NY Curve'!$A$4:$T$256,MATCH('Monthly Table'!B181,'NY Curve'!$A$4:$A$256,0),MATCH("New York Selected Option Value US$/month",'NY Curve'!$A$4:$T$4,0)))</f>
        <v>12642.5317266963</v>
      </c>
      <c r="AE181" s="883" t="n">
        <f aca="false">AD181*K181</f>
        <v>16180.4552547877</v>
      </c>
      <c r="AF181" s="188"/>
      <c r="AG181" s="884"/>
      <c r="AH181" s="49"/>
      <c r="AI181" s="885" t="n">
        <f aca="false">Assumptions!$B$50</f>
        <v>65</v>
      </c>
      <c r="AJ181" s="916"/>
      <c r="AK181" s="887" t="n">
        <f aca="false">IF(Tables!$E$30="Custom",'Monthly Table'!AI181,IF(Tables!$E$30="New York",INDEX('NY Curve'!$A$4:$G$256,MATCH('Monthly Table'!B181,'NY Curve'!$A$4:$A$256,0),MATCH("Super Peak Curve",'NY Curve'!$A$4:$G$4,0)),IF(Tables!$E$30="New York Flat",INDEX('NY Curve'!$A$4:$G$256,MATCH('Monthly Table'!B181,'NY Curve'!$A$4:$A$256,0),MATCH("Flat NY West",'NY Curve'!$A$4:$G$4,0)),INDEX('Michigan Curve'!$A$4:$F$256,MATCH('Monthly Table'!B181,'Michigan Curve'!$A$4:$A$256,0),MATCH("Michigan Super Peak Curve US$/MWhr",'Michigan Curve'!$A$4:$F$4,0)))))</f>
        <v>31.11</v>
      </c>
      <c r="AL181" s="888" t="n">
        <f aca="false">IF(D181&lt;=Tables!$B$21,IF($AL$10=$AI$10,AI181,IF($AL$10=$AJ$10,AJ181,IF($AL$10=$AK$10,AK181,0))),0)</f>
        <v>31.11</v>
      </c>
      <c r="AM181" s="889" t="n">
        <f aca="false">+AL181*K181</f>
        <v>39.8159145540056</v>
      </c>
      <c r="AN181" s="890" t="n">
        <f aca="false">IF((AL181*K181)&gt;(CP181+$BF$4),1,0)</f>
        <v>0</v>
      </c>
      <c r="AO181" s="891"/>
      <c r="AP181" s="894"/>
      <c r="AQ181" s="892" t="n">
        <f aca="false">IF(Tables!$E$30="New York",INDEX('NY Curve'!$A$4:$L$256,MATCH('Monthly Table'!B181,'NY Curve'!$A$4:$A$256,0),MATCH("New York Shoulder Hour Curve Mon-Fri",'NY Curve'!$A$4:$L$4,0)),IF(Tables!$E$30="Michigan",INDEX('Michigan Curve'!$A$4:$K$256,MATCH('Monthly Table'!B181,'Michigan Curve'!$A$4:$A$256,0),MATCH("Michigan Shoulder Hour Curve Mon-Fri",'Michigan Curve'!$A$4:$K$4,0))))</f>
        <v>29.89</v>
      </c>
      <c r="AR181" s="889" t="n">
        <f aca="false">AQ181*K181</f>
        <v>38.254506140123</v>
      </c>
      <c r="AS181" s="893" t="n">
        <f aca="false">IF(AR181&gt;($CP181+$BF$4),1,0)</f>
        <v>0</v>
      </c>
      <c r="AU181" s="892" t="n">
        <f aca="false">IF(Tables!$E$30="New York",INDEX('NY Curve'!$A$4:$L$256,MATCH('Monthly Table'!$B181,'NY Curve'!$A$4:$A$256,0),MATCH("New York Saturday Super Peak",'NY Curve'!$A$4:$L$4,0)),IF(Tables!$E$30="Michigan",INDEX('Michigan Curve'!$A$4:$K$256,MATCH('Monthly Table'!$B181,'Michigan Curve'!$A$4:$A$256,0),MATCH("Michigan Saturday Super Peak",'Michigan Curve'!$A$4:$K$4,0))))</f>
        <v>20.4</v>
      </c>
      <c r="AV181" s="894" t="n">
        <f aca="false">AU181*K181</f>
        <v>26.1087964288561</v>
      </c>
      <c r="AW181" s="893" t="n">
        <f aca="false">IF(AV181&gt;($CP181+$BF$4),1,0)</f>
        <v>0</v>
      </c>
      <c r="AX181" s="892" t="n">
        <f aca="false">IF(Tables!$E$30="New York",INDEX('NY Curve'!$A$4:$L$256,MATCH('Monthly Table'!$B181,'NY Curve'!$A$4:$A$256,0),MATCH("New York Saturday Shoulder Peak",'NY Curve'!$A$4:$L$4,0)),IF(Tables!$E$30="Michigan",INDEX('Michigan Curve'!$A$4:$K$256,MATCH('Monthly Table'!$B181,'Michigan Curve'!$A$4:$A$256,0),MATCH("Michigan Saturday Shoulder Peak",'Michigan Curve'!$A$4:$K$4,0))))</f>
        <v>19.6</v>
      </c>
      <c r="AY181" s="895" t="n">
        <f aca="false">AX181*K181</f>
        <v>25.0849220590971</v>
      </c>
      <c r="AZ181" s="893" t="n">
        <f aca="false">IF(AY181&gt;($CP181+$BF$4),1,0)</f>
        <v>0</v>
      </c>
      <c r="BB181" s="892" t="n">
        <f aca="false">IF(Tables!$E$30="New York",INDEX('NY Curve'!$A$4:$M$256,MATCH('Monthly Table'!$B181,'NY Curve'!$A$4:$A$256,0),MATCH("NY Sunday Super Peak",'NY Curve'!$A$4:$M$4,0)),IF(Tables!$E$30="Michigan",INDEX('Michigan Curve'!$A$4:$L$256,MATCH('Monthly Table'!$B181,'Michigan Curve'!$A$4:$A$256,0),MATCH("Michigan Sunday Super Peak",'Michigan Curve'!$A$4:$L$4,0))))</f>
        <v>19.38</v>
      </c>
      <c r="BC181" s="894" t="n">
        <f aca="false">BB181*K181</f>
        <v>24.8033566074133</v>
      </c>
      <c r="BD181" s="893" t="n">
        <f aca="false">IF(BC181&gt;($CP181+$BF$4),1,0)</f>
        <v>0</v>
      </c>
      <c r="BF181" s="896" t="n">
        <f aca="false">B181</f>
        <v>42064</v>
      </c>
      <c r="BG181" s="897" t="n">
        <f aca="false">IF($AN181=1,$E181*$BF$5,0)</f>
        <v>0</v>
      </c>
      <c r="BH181" s="976" t="n">
        <f aca="false">IF(Tables!$B$36="Combined Cycle",(BF181-BF180)*24*Assumptions!$B$21,0)</f>
        <v>0</v>
      </c>
      <c r="BI181" s="714" t="n">
        <f aca="false">IF($AN181=1,$E181*$BF$5,0)</f>
        <v>0</v>
      </c>
      <c r="BJ181" s="898" t="n">
        <f aca="false">IF('Monthly Table'!D181&lt;=Tables!$B$21,IF($BJ$10=$BG$10,BG181,IF($BJ$10=$BH$10,BH181,IF($BJ$10=$BI$10,BI181,0))),0)</f>
        <v>0</v>
      </c>
      <c r="BK181" s="288"/>
      <c r="BL181" s="898" t="n">
        <f aca="false">IF($AW181=1,$F181*$BF$5,0)</f>
        <v>0</v>
      </c>
      <c r="BM181" s="898" t="n">
        <f aca="false">IF($BD181=1,($G181+H181)*$BF$5,0)</f>
        <v>0</v>
      </c>
      <c r="BO181" s="898" t="n">
        <f aca="false">IF(AS181=1,BJ181,0)</f>
        <v>0</v>
      </c>
      <c r="BP181" s="898" t="n">
        <f aca="false">IF(AZ181=1,F181*$BF$5,0)</f>
        <v>0</v>
      </c>
      <c r="BR181" s="899" t="n">
        <f aca="false">IF(BJ181&gt;0,INDEX(OperationalDetail,MATCH("Capacity Degradation",ODColumn,0),MATCH('Monthly Table'!C181,ODRow,0)),0)</f>
        <v>0</v>
      </c>
      <c r="BS181" s="900" t="n">
        <f aca="false">BJ181*(1-BR181)*Tables!$C$36</f>
        <v>0</v>
      </c>
      <c r="BT181" s="883" t="n">
        <f aca="false">BS181*AL181/1000</f>
        <v>0</v>
      </c>
      <c r="BU181" s="883" t="n">
        <f aca="false">BT181*K181</f>
        <v>0</v>
      </c>
      <c r="BV181" s="188"/>
      <c r="BW181" s="901" t="n">
        <f aca="false">$BO181*(1-$BR181)*Tables!$C$36</f>
        <v>0</v>
      </c>
      <c r="BX181" s="902" t="n">
        <f aca="false">(BW181*AQ181)/1000</f>
        <v>0</v>
      </c>
      <c r="BY181" s="883" t="n">
        <f aca="false">BX181*K181</f>
        <v>0</v>
      </c>
      <c r="BZ181" s="188"/>
      <c r="CA181" s="901" t="n">
        <f aca="false">$BL181*(1-$BR181)*Tables!$C$36</f>
        <v>0</v>
      </c>
      <c r="CB181" s="902" t="n">
        <f aca="false">(CA181*AU181)/1000</f>
        <v>0</v>
      </c>
      <c r="CC181" s="883" t="n">
        <f aca="false">CB181*K181</f>
        <v>0</v>
      </c>
      <c r="CD181" s="901" t="n">
        <f aca="false">$BP181*(1-$BR181)*Tables!$C$36</f>
        <v>0</v>
      </c>
      <c r="CE181" s="902" t="n">
        <f aca="false">(CD181*AX181)/1000</f>
        <v>0</v>
      </c>
      <c r="CF181" s="883" t="n">
        <f aca="false">CE181*K181</f>
        <v>0</v>
      </c>
      <c r="CH181" s="901" t="n">
        <f aca="false">$BM181*(1-$BR181)*Tables!$C$36</f>
        <v>0</v>
      </c>
      <c r="CI181" s="902" t="n">
        <f aca="false">(CH181*BB181)/1000</f>
        <v>0</v>
      </c>
      <c r="CJ181" s="883" t="n">
        <f aca="false">CI181*K181</f>
        <v>0</v>
      </c>
      <c r="CK181" s="292"/>
      <c r="CL181" s="292" t="n">
        <f aca="false">C181-1</f>
        <v>2014</v>
      </c>
      <c r="CM181" s="903" t="n">
        <f aca="false">INDEX(OperationalDetail,MATCH("Degraded Heat Rate",ODColumn,0),MATCH('Monthly Table'!CL181,ODRow,0))/1000</f>
        <v>11.9902588</v>
      </c>
      <c r="CN181" s="904" t="n">
        <f aca="false">S181*CM181</f>
        <v>66.1800512424984</v>
      </c>
      <c r="CO181" s="905" t="n">
        <f aca="false">IF(A181="January",(CO180*(1+Assumptions!$E$32)),CO180)</f>
        <v>8.88751414345536</v>
      </c>
      <c r="CP181" s="906" t="n">
        <f aca="false">CN181+CO181</f>
        <v>75.0675653859537</v>
      </c>
      <c r="CQ181" s="292"/>
      <c r="CR181" s="856" t="str">
        <f aca="false">IF(BJ181=0,"",C181)</f>
        <v/>
      </c>
      <c r="CS181" s="856" t="str">
        <f aca="false">IF(BO181=0,"",$C181)</f>
        <v/>
      </c>
      <c r="CT181" s="856" t="str">
        <f aca="false">IF(BL181=0,"",$C181)</f>
        <v/>
      </c>
      <c r="CU181" s="856" t="str">
        <f aca="false">IF(BP181=0,"",$C181)</f>
        <v/>
      </c>
      <c r="CV181" s="856" t="str">
        <f aca="false">IF(BD181=0,"",$C181)</f>
        <v/>
      </c>
      <c r="CW181" s="907" t="n">
        <f aca="false">YEAR(BF181)</f>
        <v>2015</v>
      </c>
      <c r="CX181" s="908" t="n">
        <f aca="false">INDEX('NY Curve'!$A$4:$G$256,MATCH('Monthly Table'!B181,'NY Curve'!$A$4:$A$256,0),MATCH("New York 5 X 16",'NY Curve'!$A$4:$G$4,0))</f>
        <v>28.95</v>
      </c>
      <c r="CY181" s="909" t="n">
        <f aca="false">K181</f>
        <v>1.27984296219883</v>
      </c>
      <c r="CZ181" s="910" t="n">
        <f aca="false">CX181*CY181</f>
        <v>37.0514537556561</v>
      </c>
      <c r="DB181" s="911"/>
      <c r="DC181" s="911"/>
    </row>
    <row r="182" customFormat="false" ht="18.75" hidden="false" customHeight="true" outlineLevel="0" collapsed="false">
      <c r="A182" s="49" t="s">
        <v>813</v>
      </c>
      <c r="B182" s="863" t="n">
        <v>42095</v>
      </c>
      <c r="C182" s="288" t="n">
        <f aca="false">YEAR(B182)</f>
        <v>2015</v>
      </c>
      <c r="D182" s="864" t="n">
        <f aca="false">IF(A182="January",D181+1,D181)</f>
        <v>15</v>
      </c>
      <c r="E182" s="865" t="n">
        <v>22</v>
      </c>
      <c r="F182" s="866" t="n">
        <v>4</v>
      </c>
      <c r="G182" s="866" t="n">
        <v>4</v>
      </c>
      <c r="H182" s="866" t="n">
        <v>0</v>
      </c>
      <c r="I182" s="867" t="n">
        <f aca="false">SUM(E182:H182)</f>
        <v>30</v>
      </c>
      <c r="J182" s="868"/>
      <c r="K182" s="869" t="n">
        <f aca="false">INDEX(FX!$A$3:$C$362,MATCH(B182,FX!$A$3:$A$362,0),MATCH("Monthly Curve",FX!$A$2:$C$2,0))</f>
        <v>1.27908342062653</v>
      </c>
      <c r="L182" s="869"/>
      <c r="M182" s="987" t="n">
        <v>3.5255</v>
      </c>
      <c r="N182" s="988" t="n">
        <v>0.145</v>
      </c>
      <c r="O182" s="986" t="n">
        <v>0.1</v>
      </c>
      <c r="P182" s="872" t="n">
        <f aca="false">N182+O182</f>
        <v>0.245</v>
      </c>
      <c r="Q182" s="873" t="n">
        <f aca="false">SUM(M182:O182)</f>
        <v>3.7705</v>
      </c>
      <c r="R182" s="974" t="n">
        <f aca="false">IF(A182="January",(R181+R181*Assumptions!$E$32),R181)</f>
        <v>0.396273426307333</v>
      </c>
      <c r="S182" s="875" t="n">
        <f aca="false">(Q182*K182)+R182</f>
        <v>5.21905746377967</v>
      </c>
      <c r="T182" s="869"/>
      <c r="U182" s="187"/>
      <c r="V182" s="897"/>
      <c r="W182" s="897"/>
      <c r="X182" s="31"/>
      <c r="Y182" s="975" t="n">
        <f aca="false">Tables!$D$36</f>
        <v>312</v>
      </c>
      <c r="Z182" s="879" t="n">
        <f aca="false">IF($Z$10=$V$10,V182,IF($Z$10=$W$10,W182,IF($Z$10=$X$10,X182,0)))</f>
        <v>0</v>
      </c>
      <c r="AA182" s="880" t="n">
        <f aca="false">Y182*Z182</f>
        <v>0</v>
      </c>
      <c r="AB182" s="881" t="n">
        <f aca="false">AA182*K182</f>
        <v>0</v>
      </c>
      <c r="AC182" s="188"/>
      <c r="AD182" s="882" t="n">
        <f aca="false">IF(Tables!$E$30="Michigan",INDEX('Michigan Curve'!$A$4:$S$256,MATCH('Monthly Table'!B182,'Michigan Curve'!$A$4:$A$256,0),MATCH("Michigan Selected Option Value US$/month",'Michigan Curve'!$A$4:$S$4,0)),INDEX('NY Curve'!$A$4:$T$256,MATCH('Monthly Table'!B182,'NY Curve'!$A$4:$A$256,0),MATCH("New York Selected Option Value US$/month",'NY Curve'!$A$4:$T$4,0)))</f>
        <v>14159.8010121482</v>
      </c>
      <c r="AE182" s="883" t="n">
        <f aca="false">AD182*K182</f>
        <v>18111.5667140095</v>
      </c>
      <c r="AF182" s="188"/>
      <c r="AG182" s="884"/>
      <c r="AH182" s="49"/>
      <c r="AI182" s="885" t="n">
        <f aca="false">Assumptions!$B$50</f>
        <v>65</v>
      </c>
      <c r="AJ182" s="916"/>
      <c r="AK182" s="887" t="n">
        <f aca="false">IF(Tables!$E$30="Custom",'Monthly Table'!AI182,IF(Tables!$E$30="New York",INDEX('NY Curve'!$A$4:$G$256,MATCH('Monthly Table'!B182,'NY Curve'!$A$4:$A$256,0),MATCH("Super Peak Curve",'NY Curve'!$A$4:$G$4,0)),IF(Tables!$E$30="New York Flat",INDEX('NY Curve'!$A$4:$G$256,MATCH('Monthly Table'!B182,'NY Curve'!$A$4:$A$256,0),MATCH("Flat NY West",'NY Curve'!$A$4:$G$4,0)),INDEX('Michigan Curve'!$A$4:$F$256,MATCH('Monthly Table'!B182,'Michigan Curve'!$A$4:$A$256,0),MATCH("Michigan Super Peak Curve US$/MWhr",'Michigan Curve'!$A$4:$F$4,0)))))</f>
        <v>30.75</v>
      </c>
      <c r="AL182" s="888" t="n">
        <f aca="false">IF(D182&lt;=Tables!$B$21,IF($AL$10=$AI$10,AI182,IF($AL$10=$AJ$10,AJ182,IF($AL$10=$AK$10,AK182,0))),0)</f>
        <v>30.75</v>
      </c>
      <c r="AM182" s="889" t="n">
        <f aca="false">+AL182*K182</f>
        <v>39.3318151842658</v>
      </c>
      <c r="AN182" s="890" t="n">
        <f aca="false">IF((AL182*K182)&gt;(CP182+$BF$4),1,0)</f>
        <v>0</v>
      </c>
      <c r="AO182" s="891"/>
      <c r="AP182" s="894"/>
      <c r="AQ182" s="892" t="n">
        <f aca="false">IF(Tables!$E$30="New York",INDEX('NY Curve'!$A$4:$L$256,MATCH('Monthly Table'!B182,'NY Curve'!$A$4:$A$256,0),MATCH("New York Shoulder Hour Curve Mon-Fri",'NY Curve'!$A$4:$L$4,0)),IF(Tables!$E$30="Michigan",INDEX('Michigan Curve'!$A$4:$K$256,MATCH('Monthly Table'!B182,'Michigan Curve'!$A$4:$A$256,0),MATCH("Michigan Shoulder Hour Curve Mon-Fri",'Michigan Curve'!$A$4:$K$4,0))))</f>
        <v>30.75</v>
      </c>
      <c r="AR182" s="889" t="n">
        <f aca="false">AQ182*K182</f>
        <v>39.3318151842658</v>
      </c>
      <c r="AS182" s="893" t="n">
        <f aca="false">IF(AR182&gt;($CP182+$BF$4),1,0)</f>
        <v>0</v>
      </c>
      <c r="AU182" s="892" t="n">
        <f aca="false">IF(Tables!$E$30="New York",INDEX('NY Curve'!$A$4:$L$256,MATCH('Monthly Table'!$B182,'NY Curve'!$A$4:$A$256,0),MATCH("New York Saturday Super Peak",'NY Curve'!$A$4:$L$4,0)),IF(Tables!$E$30="Michigan",INDEX('Michigan Curve'!$A$4:$K$256,MATCH('Monthly Table'!$B182,'Michigan Curve'!$A$4:$A$256,0),MATCH("Michigan Saturday Super Peak",'Michigan Curve'!$A$4:$K$4,0))))</f>
        <v>20</v>
      </c>
      <c r="AV182" s="894" t="n">
        <f aca="false">AU182*K182</f>
        <v>25.5816684125306</v>
      </c>
      <c r="AW182" s="893" t="n">
        <f aca="false">IF(AV182&gt;($CP182+$BF$4),1,0)</f>
        <v>0</v>
      </c>
      <c r="AX182" s="892" t="n">
        <f aca="false">IF(Tables!$E$30="New York",INDEX('NY Curve'!$A$4:$L$256,MATCH('Monthly Table'!$B182,'NY Curve'!$A$4:$A$256,0),MATCH("New York Saturday Shoulder Peak",'NY Curve'!$A$4:$L$4,0)),IF(Tables!$E$30="Michigan",INDEX('Michigan Curve'!$A$4:$K$256,MATCH('Monthly Table'!$B182,'Michigan Curve'!$A$4:$A$256,0),MATCH("Michigan Saturday Shoulder Peak",'Michigan Curve'!$A$4:$K$4,0))))</f>
        <v>20</v>
      </c>
      <c r="AY182" s="895" t="n">
        <f aca="false">AX182*K182</f>
        <v>25.5816684125306</v>
      </c>
      <c r="AZ182" s="893" t="n">
        <f aca="false">IF(AY182&gt;($CP182+$BF$4),1,0)</f>
        <v>0</v>
      </c>
      <c r="BB182" s="892" t="n">
        <f aca="false">IF(Tables!$E$30="New York",INDEX('NY Curve'!$A$4:$M$256,MATCH('Monthly Table'!$B182,'NY Curve'!$A$4:$A$256,0),MATCH("NY Sunday Super Peak",'NY Curve'!$A$4:$M$4,0)),IF(Tables!$E$30="Michigan",INDEX('Michigan Curve'!$A$4:$L$256,MATCH('Monthly Table'!$B182,'Michigan Curve'!$A$4:$A$256,0),MATCH("Michigan Sunday Super Peak",'Michigan Curve'!$A$4:$L$4,0))))</f>
        <v>18.9950008392334</v>
      </c>
      <c r="BC182" s="894" t="n">
        <f aca="false">BB182*K182</f>
        <v>24.2961906482505</v>
      </c>
      <c r="BD182" s="893" t="n">
        <f aca="false">IF(BC182&gt;($CP182+$BF$4),1,0)</f>
        <v>0</v>
      </c>
      <c r="BF182" s="896" t="n">
        <f aca="false">B182</f>
        <v>42095</v>
      </c>
      <c r="BG182" s="897" t="n">
        <f aca="false">IF($AN182=1,$E182*$BF$5,0)</f>
        <v>0</v>
      </c>
      <c r="BH182" s="976" t="n">
        <f aca="false">IF(Tables!$B$36="Combined Cycle",(BF182-BF181)*24*Assumptions!$B$21,0)</f>
        <v>0</v>
      </c>
      <c r="BI182" s="714" t="n">
        <f aca="false">IF($AN182=1,$E182*$BF$5,0)</f>
        <v>0</v>
      </c>
      <c r="BJ182" s="898" t="n">
        <f aca="false">IF('Monthly Table'!D182&lt;=Tables!$B$21,IF($BJ$10=$BG$10,BG182,IF($BJ$10=$BH$10,BH182,IF($BJ$10=$BI$10,BI182,0))),0)</f>
        <v>0</v>
      </c>
      <c r="BK182" s="288"/>
      <c r="BL182" s="898" t="n">
        <f aca="false">IF($AW182=1,$F182*$BF$5,0)</f>
        <v>0</v>
      </c>
      <c r="BM182" s="898" t="n">
        <f aca="false">IF($BD182=1,($G182+H182)*$BF$5,0)</f>
        <v>0</v>
      </c>
      <c r="BO182" s="898" t="n">
        <f aca="false">IF(AS182=1,BJ182,0)</f>
        <v>0</v>
      </c>
      <c r="BP182" s="898" t="n">
        <f aca="false">IF(AZ182=1,F182*$BF$5,0)</f>
        <v>0</v>
      </c>
      <c r="BR182" s="899" t="n">
        <f aca="false">IF(BJ182&gt;0,INDEX(OperationalDetail,MATCH("Capacity Degradation",ODColumn,0),MATCH('Monthly Table'!C182,ODRow,0)),0)</f>
        <v>0</v>
      </c>
      <c r="BS182" s="900" t="n">
        <f aca="false">BJ182*(1-BR182)*Tables!$C$36</f>
        <v>0</v>
      </c>
      <c r="BT182" s="883" t="n">
        <f aca="false">BS182*AL182/1000</f>
        <v>0</v>
      </c>
      <c r="BU182" s="883" t="n">
        <f aca="false">BT182*K182</f>
        <v>0</v>
      </c>
      <c r="BV182" s="188"/>
      <c r="BW182" s="901" t="n">
        <f aca="false">$BO182*(1-$BR182)*Tables!$C$36</f>
        <v>0</v>
      </c>
      <c r="BX182" s="902" t="n">
        <f aca="false">(BW182*AQ182)/1000</f>
        <v>0</v>
      </c>
      <c r="BY182" s="883" t="n">
        <f aca="false">BX182*K182</f>
        <v>0</v>
      </c>
      <c r="BZ182" s="188"/>
      <c r="CA182" s="901" t="n">
        <f aca="false">$BL182*(1-$BR182)*Tables!$C$36</f>
        <v>0</v>
      </c>
      <c r="CB182" s="902" t="n">
        <f aca="false">(CA182*AU182)/1000</f>
        <v>0</v>
      </c>
      <c r="CC182" s="883" t="n">
        <f aca="false">CB182*K182</f>
        <v>0</v>
      </c>
      <c r="CD182" s="901" t="n">
        <f aca="false">$BP182*(1-$BR182)*Tables!$C$36</f>
        <v>0</v>
      </c>
      <c r="CE182" s="902" t="n">
        <f aca="false">(CD182*AX182)/1000</f>
        <v>0</v>
      </c>
      <c r="CF182" s="883" t="n">
        <f aca="false">CE182*K182</f>
        <v>0</v>
      </c>
      <c r="CH182" s="901" t="n">
        <f aca="false">$BM182*(1-$BR182)*Tables!$C$36</f>
        <v>0</v>
      </c>
      <c r="CI182" s="902" t="n">
        <f aca="false">(CH182*BB182)/1000</f>
        <v>0</v>
      </c>
      <c r="CJ182" s="883" t="n">
        <f aca="false">CI182*K182</f>
        <v>0</v>
      </c>
      <c r="CK182" s="292"/>
      <c r="CL182" s="292" t="n">
        <f aca="false">C182-1</f>
        <v>2014</v>
      </c>
      <c r="CM182" s="903" t="n">
        <f aca="false">INDEX(OperationalDetail,MATCH("Degraded Heat Rate",ODColumn,0),MATCH('Monthly Table'!CL182,ODRow,0))/1000</f>
        <v>11.9902588</v>
      </c>
      <c r="CN182" s="904" t="n">
        <f aca="false">S182*CM182</f>
        <v>62.5778496827898</v>
      </c>
      <c r="CO182" s="905" t="n">
        <f aca="false">IF(A182="January",(CO181*(1+Assumptions!$E$32)),CO181)</f>
        <v>8.88751414345536</v>
      </c>
      <c r="CP182" s="906" t="n">
        <f aca="false">CN182+CO182</f>
        <v>71.4653638262452</v>
      </c>
      <c r="CQ182" s="292"/>
      <c r="CR182" s="856" t="str">
        <f aca="false">IF(BJ182=0,"",C182)</f>
        <v/>
      </c>
      <c r="CS182" s="856" t="str">
        <f aca="false">IF(BO182=0,"",$C182)</f>
        <v/>
      </c>
      <c r="CT182" s="856" t="str">
        <f aca="false">IF(BL182=0,"",$C182)</f>
        <v/>
      </c>
      <c r="CU182" s="856" t="str">
        <f aca="false">IF(BP182=0,"",$C182)</f>
        <v/>
      </c>
      <c r="CV182" s="856" t="str">
        <f aca="false">IF(BD182=0,"",$C182)</f>
        <v/>
      </c>
      <c r="CW182" s="907" t="n">
        <f aca="false">YEAR(BF182)</f>
        <v>2015</v>
      </c>
      <c r="CX182" s="908" t="n">
        <f aca="false">INDEX('NY Curve'!$A$4:$G$256,MATCH('Monthly Table'!B182,'NY Curve'!$A$4:$A$256,0),MATCH("New York 5 X 16",'NY Curve'!$A$4:$G$4,0))</f>
        <v>27.7</v>
      </c>
      <c r="CY182" s="909" t="n">
        <f aca="false">K182</f>
        <v>1.27908342062653</v>
      </c>
      <c r="CZ182" s="910" t="n">
        <f aca="false">CX182*CY182</f>
        <v>35.4306107513549</v>
      </c>
      <c r="DB182" s="911"/>
      <c r="DC182" s="911"/>
    </row>
    <row r="183" customFormat="false" ht="18.75" hidden="false" customHeight="true" outlineLevel="0" collapsed="false">
      <c r="A183" s="49" t="s">
        <v>814</v>
      </c>
      <c r="B183" s="863" t="n">
        <v>42125</v>
      </c>
      <c r="C183" s="288" t="n">
        <f aca="false">YEAR(B183)</f>
        <v>2015</v>
      </c>
      <c r="D183" s="864" t="n">
        <f aca="false">IF(A183="January",D182+1,D182)</f>
        <v>15</v>
      </c>
      <c r="E183" s="865" t="n">
        <v>20</v>
      </c>
      <c r="F183" s="866" t="n">
        <v>5</v>
      </c>
      <c r="G183" s="866" t="n">
        <v>5</v>
      </c>
      <c r="H183" s="866" t="n">
        <v>1</v>
      </c>
      <c r="I183" s="867" t="n">
        <f aca="false">SUM(E183:H183)</f>
        <v>31</v>
      </c>
      <c r="J183" s="868"/>
      <c r="K183" s="869" t="n">
        <f aca="false">INDEX(FX!$A$3:$C$362,MATCH(B183,FX!$A$3:$A$362,0),MATCH("Monthly Curve",FX!$A$2:$C$2,0))</f>
        <v>1.27842228042321</v>
      </c>
      <c r="L183" s="869"/>
      <c r="M183" s="987" t="n">
        <v>3.4995</v>
      </c>
      <c r="N183" s="988" t="n">
        <v>0.145</v>
      </c>
      <c r="O183" s="986" t="n">
        <v>0.1</v>
      </c>
      <c r="P183" s="872" t="n">
        <f aca="false">N183+O183</f>
        <v>0.245</v>
      </c>
      <c r="Q183" s="873" t="n">
        <f aca="false">SUM(M183:O183)</f>
        <v>3.7445</v>
      </c>
      <c r="R183" s="974" t="n">
        <f aca="false">IF(A183="January",(R182+R182*Assumptions!$E$32),R182)</f>
        <v>0.396273426307333</v>
      </c>
      <c r="S183" s="875" t="n">
        <f aca="false">(Q183*K183)+R183</f>
        <v>5.18332565535204</v>
      </c>
      <c r="T183" s="869"/>
      <c r="U183" s="187"/>
      <c r="V183" s="897"/>
      <c r="W183" s="897"/>
      <c r="X183" s="31"/>
      <c r="Y183" s="975" t="n">
        <f aca="false">Tables!$D$36</f>
        <v>312</v>
      </c>
      <c r="Z183" s="879" t="n">
        <f aca="false">IF($Z$10=$V$10,V183,IF($Z$10=$W$10,W183,IF($Z$10=$X$10,X183,0)))</f>
        <v>0</v>
      </c>
      <c r="AA183" s="880" t="n">
        <f aca="false">Y183*Z183</f>
        <v>0</v>
      </c>
      <c r="AB183" s="881" t="n">
        <f aca="false">AA183*K183</f>
        <v>0</v>
      </c>
      <c r="AC183" s="188"/>
      <c r="AD183" s="882" t="n">
        <f aca="false">IF(Tables!$E$30="Michigan",INDEX('Michigan Curve'!$A$4:$S$256,MATCH('Monthly Table'!B183,'Michigan Curve'!$A$4:$A$256,0),MATCH("Michigan Selected Option Value US$/month",'Michigan Curve'!$A$4:$S$4,0)),INDEX('NY Curve'!$A$4:$T$256,MATCH('Monthly Table'!B183,'NY Curve'!$A$4:$A$256,0),MATCH("New York Selected Option Value US$/month",'NY Curve'!$A$4:$T$4,0)))</f>
        <v>20981.1010734267</v>
      </c>
      <c r="AE183" s="883" t="n">
        <f aca="false">AD183*K183</f>
        <v>26822.70708008</v>
      </c>
      <c r="AF183" s="188"/>
      <c r="AG183" s="884"/>
      <c r="AH183" s="49"/>
      <c r="AI183" s="885" t="n">
        <f aca="false">Assumptions!$B$50</f>
        <v>65</v>
      </c>
      <c r="AJ183" s="916"/>
      <c r="AK183" s="887" t="n">
        <f aca="false">IF(Tables!$E$30="Custom",'Monthly Table'!AI183,IF(Tables!$E$30="New York",INDEX('NY Curve'!$A$4:$G$256,MATCH('Monthly Table'!B183,'NY Curve'!$A$4:$A$256,0),MATCH("Super Peak Curve",'NY Curve'!$A$4:$G$4,0)),IF(Tables!$E$30="New York Flat",INDEX('NY Curve'!$A$4:$G$256,MATCH('Monthly Table'!B183,'NY Curve'!$A$4:$A$256,0),MATCH("Flat NY West",'NY Curve'!$A$4:$G$4,0)),INDEX('Michigan Curve'!$A$4:$F$256,MATCH('Monthly Table'!B183,'Michigan Curve'!$A$4:$A$256,0),MATCH("Michigan Super Peak Curve US$/MWhr",'Michigan Curve'!$A$4:$F$4,0)))))</f>
        <v>37.1306250616908</v>
      </c>
      <c r="AL183" s="888" t="n">
        <f aca="false">IF(D183&lt;=Tables!$B$21,IF($AL$10=$AI$10,AI183,IF($AL$10=$AJ$10,AJ183,IF($AL$10=$AK$10,AK183,0))),0)</f>
        <v>37.1306250616908</v>
      </c>
      <c r="AM183" s="889" t="n">
        <f aca="false">+AL183*K183</f>
        <v>47.468618364906</v>
      </c>
      <c r="AN183" s="890" t="n">
        <f aca="false">IF((AL183*K183)&gt;(CP183+$BF$4),1,0)</f>
        <v>0</v>
      </c>
      <c r="AO183" s="891"/>
      <c r="AP183" s="894"/>
      <c r="AQ183" s="892" t="n">
        <f aca="false">IF(Tables!$E$30="New York",INDEX('NY Curve'!$A$4:$L$256,MATCH('Monthly Table'!B183,'NY Curve'!$A$4:$A$256,0),MATCH("New York Shoulder Hour Curve Mon-Fri",'NY Curve'!$A$4:$L$4,0)),IF(Tables!$E$30="Michigan",INDEX('Michigan Curve'!$A$4:$K$256,MATCH('Monthly Table'!B183,'Michigan Curve'!$A$4:$A$256,0),MATCH("Michigan Shoulder Hour Curve Mon-Fri",'Michigan Curve'!$A$4:$K$4,0))))</f>
        <v>31.8693749383092</v>
      </c>
      <c r="AR183" s="889" t="n">
        <f aca="false">AQ183*K183</f>
        <v>40.7425189842955</v>
      </c>
      <c r="AS183" s="893" t="n">
        <f aca="false">IF(AR183&gt;($CP183+$BF$4),1,0)</f>
        <v>0</v>
      </c>
      <c r="AU183" s="892" t="n">
        <f aca="false">IF(Tables!$E$30="New York",INDEX('NY Curve'!$A$4:$L$256,MATCH('Monthly Table'!$B183,'NY Curve'!$A$4:$A$256,0),MATCH("New York Saturday Super Peak",'NY Curve'!$A$4:$L$4,0)),IF(Tables!$E$30="Michigan",INDEX('Michigan Curve'!$A$4:$K$256,MATCH('Monthly Table'!$B183,'Michigan Curve'!$A$4:$A$256,0),MATCH("Michigan Saturday Super Peak",'Michigan Curve'!$A$4:$K$4,0))))</f>
        <v>22.6012500375509</v>
      </c>
      <c r="AV183" s="894" t="n">
        <f aca="false">AU183*K183</f>
        <v>28.893941613421</v>
      </c>
      <c r="AW183" s="893" t="n">
        <f aca="false">IF(AV183&gt;($CP183+$BF$4),1,0)</f>
        <v>0</v>
      </c>
      <c r="AX183" s="892" t="n">
        <f aca="false">IF(Tables!$E$30="New York",INDEX('NY Curve'!$A$4:$L$256,MATCH('Monthly Table'!$B183,'NY Curve'!$A$4:$A$256,0),MATCH("New York Saturday Shoulder Peak",'NY Curve'!$A$4:$L$4,0)),IF(Tables!$E$30="Michigan",INDEX('Michigan Curve'!$A$4:$K$256,MATCH('Monthly Table'!$B183,'Michigan Curve'!$A$4:$A$256,0),MATCH("Michigan Saturday Shoulder Peak",'Michigan Curve'!$A$4:$K$4,0))))</f>
        <v>19.3987499624491</v>
      </c>
      <c r="AY183" s="895" t="n">
        <f aca="false">AX183*K183</f>
        <v>24.7997941643538</v>
      </c>
      <c r="AZ183" s="893" t="n">
        <f aca="false">IF(AY183&gt;($CP183+$BF$4),1,0)</f>
        <v>0</v>
      </c>
      <c r="BB183" s="892" t="n">
        <f aca="false">IF(Tables!$E$30="New York",INDEX('NY Curve'!$A$4:$M$256,MATCH('Monthly Table'!$B183,'NY Curve'!$A$4:$A$256,0),MATCH("NY Sunday Super Peak",'NY Curve'!$A$4:$M$4,0)),IF(Tables!$E$30="Michigan",INDEX('Michigan Curve'!$A$4:$L$256,MATCH('Monthly Table'!$B183,'Michigan Curve'!$A$4:$A$256,0),MATCH("Michigan Sunday Super Peak",'Michigan Curve'!$A$4:$L$4,0))))</f>
        <v>21.5303803825468</v>
      </c>
      <c r="BC183" s="894" t="n">
        <f aca="false">BB183*K183</f>
        <v>27.5249179870346</v>
      </c>
      <c r="BD183" s="893" t="n">
        <f aca="false">IF(BC183&gt;($CP183+$BF$4),1,0)</f>
        <v>0</v>
      </c>
      <c r="BF183" s="896" t="n">
        <f aca="false">B183</f>
        <v>42125</v>
      </c>
      <c r="BG183" s="897" t="n">
        <f aca="false">IF($AN183=1,$E183*$BF$5,0)</f>
        <v>0</v>
      </c>
      <c r="BH183" s="976" t="n">
        <f aca="false">IF(Tables!$B$36="Combined Cycle",(BF183-BF182)*24*Assumptions!$B$21,0)</f>
        <v>0</v>
      </c>
      <c r="BI183" s="714" t="n">
        <f aca="false">IF($AN183=1,$E183*$BF$5,0)</f>
        <v>0</v>
      </c>
      <c r="BJ183" s="898" t="n">
        <f aca="false">IF('Monthly Table'!D183&lt;=Tables!$B$21,IF($BJ$10=$BG$10,BG183,IF($BJ$10=$BH$10,BH183,IF($BJ$10=$BI$10,BI183,0))),0)</f>
        <v>0</v>
      </c>
      <c r="BK183" s="288"/>
      <c r="BL183" s="898" t="n">
        <f aca="false">IF($AW183=1,$F183*$BF$5,0)</f>
        <v>0</v>
      </c>
      <c r="BM183" s="898" t="n">
        <f aca="false">IF($BD183=1,($G183+H183)*$BF$5,0)</f>
        <v>0</v>
      </c>
      <c r="BO183" s="898" t="n">
        <f aca="false">IF(AS183=1,BJ183,0)</f>
        <v>0</v>
      </c>
      <c r="BP183" s="898" t="n">
        <f aca="false">IF(AZ183=1,F183*$BF$5,0)</f>
        <v>0</v>
      </c>
      <c r="BR183" s="899" t="n">
        <f aca="false">IF(BJ183&gt;0,INDEX(OperationalDetail,MATCH("Capacity Degradation",ODColumn,0),MATCH('Monthly Table'!C183,ODRow,0)),0)</f>
        <v>0</v>
      </c>
      <c r="BS183" s="900" t="n">
        <f aca="false">BJ183*(1-BR183)*Tables!$C$36</f>
        <v>0</v>
      </c>
      <c r="BT183" s="883" t="n">
        <f aca="false">BS183*AL183/1000</f>
        <v>0</v>
      </c>
      <c r="BU183" s="883" t="n">
        <f aca="false">BT183*K183</f>
        <v>0</v>
      </c>
      <c r="BV183" s="188"/>
      <c r="BW183" s="901" t="n">
        <f aca="false">$BO183*(1-$BR183)*Tables!$C$36</f>
        <v>0</v>
      </c>
      <c r="BX183" s="902" t="n">
        <f aca="false">(BW183*AQ183)/1000</f>
        <v>0</v>
      </c>
      <c r="BY183" s="883" t="n">
        <f aca="false">BX183*K183</f>
        <v>0</v>
      </c>
      <c r="BZ183" s="188"/>
      <c r="CA183" s="901" t="n">
        <f aca="false">$BL183*(1-$BR183)*Tables!$C$36</f>
        <v>0</v>
      </c>
      <c r="CB183" s="902" t="n">
        <f aca="false">(CA183*AU183)/1000</f>
        <v>0</v>
      </c>
      <c r="CC183" s="883" t="n">
        <f aca="false">CB183*K183</f>
        <v>0</v>
      </c>
      <c r="CD183" s="901" t="n">
        <f aca="false">$BP183*(1-$BR183)*Tables!$C$36</f>
        <v>0</v>
      </c>
      <c r="CE183" s="902" t="n">
        <f aca="false">(CD183*AX183)/1000</f>
        <v>0</v>
      </c>
      <c r="CF183" s="883" t="n">
        <f aca="false">CE183*K183</f>
        <v>0</v>
      </c>
      <c r="CH183" s="901" t="n">
        <f aca="false">$BM183*(1-$BR183)*Tables!$C$36</f>
        <v>0</v>
      </c>
      <c r="CI183" s="902" t="n">
        <f aca="false">(CH183*BB183)/1000</f>
        <v>0</v>
      </c>
      <c r="CJ183" s="883" t="n">
        <f aca="false">CI183*K183</f>
        <v>0</v>
      </c>
      <c r="CK183" s="292"/>
      <c r="CL183" s="292" t="n">
        <f aca="false">C183-1</f>
        <v>2014</v>
      </c>
      <c r="CM183" s="903" t="n">
        <f aca="false">INDEX(OperationalDetail,MATCH("Degraded Heat Rate",ODColumn,0),MATCH('Monthly Table'!CL183,ODRow,0))/1000</f>
        <v>11.9902588</v>
      </c>
      <c r="CN183" s="904" t="n">
        <f aca="false">S183*CM183</f>
        <v>62.1494160523506</v>
      </c>
      <c r="CO183" s="905" t="n">
        <f aca="false">IF(A183="January",(CO182*(1+Assumptions!$E$32)),CO182)</f>
        <v>8.88751414345536</v>
      </c>
      <c r="CP183" s="906" t="n">
        <f aca="false">CN183+CO183</f>
        <v>71.036930195806</v>
      </c>
      <c r="CQ183" s="292"/>
      <c r="CR183" s="856" t="str">
        <f aca="false">IF(BJ183=0,"",C183)</f>
        <v/>
      </c>
      <c r="CS183" s="856" t="str">
        <f aca="false">IF(BO183=0,"",$C183)</f>
        <v/>
      </c>
      <c r="CT183" s="856" t="str">
        <f aca="false">IF(BL183=0,"",$C183)</f>
        <v/>
      </c>
      <c r="CU183" s="856" t="str">
        <f aca="false">IF(BP183=0,"",$C183)</f>
        <v/>
      </c>
      <c r="CV183" s="856" t="str">
        <f aca="false">IF(BD183=0,"",$C183)</f>
        <v/>
      </c>
      <c r="CW183" s="907" t="n">
        <f aca="false">YEAR(BF183)</f>
        <v>2015</v>
      </c>
      <c r="CX183" s="908" t="n">
        <f aca="false">INDEX('NY Curve'!$A$4:$G$256,MATCH('Monthly Table'!B183,'NY Curve'!$A$4:$A$256,0),MATCH("New York 5 X 16",'NY Curve'!$A$4:$G$4,0))</f>
        <v>33.15</v>
      </c>
      <c r="CY183" s="909" t="n">
        <f aca="false">K183</f>
        <v>1.27842228042321</v>
      </c>
      <c r="CZ183" s="910" t="n">
        <f aca="false">CX183*CY183</f>
        <v>42.3796985960294</v>
      </c>
      <c r="DB183" s="911"/>
      <c r="DC183" s="911"/>
    </row>
    <row r="184" customFormat="false" ht="18.75" hidden="false" customHeight="true" outlineLevel="0" collapsed="false">
      <c r="A184" s="49" t="s">
        <v>815</v>
      </c>
      <c r="B184" s="863" t="n">
        <v>42156</v>
      </c>
      <c r="C184" s="288" t="n">
        <f aca="false">YEAR(B184)</f>
        <v>2015</v>
      </c>
      <c r="D184" s="864" t="n">
        <f aca="false">IF(A184="January",D183+1,D183)</f>
        <v>15</v>
      </c>
      <c r="E184" s="865" t="n">
        <v>22</v>
      </c>
      <c r="F184" s="866" t="n">
        <v>4</v>
      </c>
      <c r="G184" s="866" t="n">
        <v>4</v>
      </c>
      <c r="H184" s="866" t="n">
        <v>0</v>
      </c>
      <c r="I184" s="867" t="n">
        <f aca="false">SUM(E184:H184)</f>
        <v>30</v>
      </c>
      <c r="J184" s="868"/>
      <c r="K184" s="869" t="n">
        <f aca="false">INDEX(FX!$A$3:$C$362,MATCH(B184,FX!$A$3:$A$362,0),MATCH("Monthly Curve",FX!$A$2:$C$2,0))</f>
        <v>1.27776071532541</v>
      </c>
      <c r="L184" s="869"/>
      <c r="M184" s="987" t="n">
        <v>3.5085</v>
      </c>
      <c r="N184" s="988" t="n">
        <v>0.145</v>
      </c>
      <c r="O184" s="986" t="n">
        <v>0.1</v>
      </c>
      <c r="P184" s="872" t="n">
        <f aca="false">N184+O184</f>
        <v>0.245</v>
      </c>
      <c r="Q184" s="873" t="n">
        <f aca="false">SUM(M184:O184)</f>
        <v>3.7535</v>
      </c>
      <c r="R184" s="974" t="n">
        <f aca="false">IF(A184="January",(R183+R183*Assumptions!$E$32),R183)</f>
        <v>0.396273426307333</v>
      </c>
      <c r="S184" s="875" t="n">
        <f aca="false">(Q184*K184)+R184</f>
        <v>5.19234827128126</v>
      </c>
      <c r="T184" s="869"/>
      <c r="U184" s="187"/>
      <c r="V184" s="897"/>
      <c r="W184" s="897"/>
      <c r="X184" s="31"/>
      <c r="Y184" s="975" t="n">
        <f aca="false">Tables!$D$36</f>
        <v>312</v>
      </c>
      <c r="Z184" s="879" t="n">
        <f aca="false">IF($Z$10=$V$10,V184,IF($Z$10=$W$10,W184,IF($Z$10=$X$10,X184,0)))</f>
        <v>0</v>
      </c>
      <c r="AA184" s="880" t="n">
        <f aca="false">Y184*Z184</f>
        <v>0</v>
      </c>
      <c r="AB184" s="881" t="n">
        <f aca="false">AA184*K184</f>
        <v>0</v>
      </c>
      <c r="AC184" s="188"/>
      <c r="AD184" s="882" t="n">
        <f aca="false">IF(Tables!$E$30="Michigan",INDEX('Michigan Curve'!$A$4:$S$256,MATCH('Monthly Table'!B184,'Michigan Curve'!$A$4:$A$256,0),MATCH("Michigan Selected Option Value US$/month",'Michigan Curve'!$A$4:$S$4,0)),INDEX('NY Curve'!$A$4:$T$256,MATCH('Monthly Table'!B184,'NY Curve'!$A$4:$A$256,0),MATCH("New York Selected Option Value US$/month",'NY Curve'!$A$4:$T$4,0)))</f>
        <v>103121.02301235</v>
      </c>
      <c r="AE184" s="883" t="n">
        <f aca="false">AD184*K184</f>
        <v>131763.992129348</v>
      </c>
      <c r="AF184" s="188"/>
      <c r="AG184" s="884"/>
      <c r="AH184" s="49"/>
      <c r="AI184" s="885" t="n">
        <f aca="false">Assumptions!$B$50</f>
        <v>65</v>
      </c>
      <c r="AJ184" s="916"/>
      <c r="AK184" s="887" t="n">
        <f aca="false">IF(Tables!$E$30="Custom",'Monthly Table'!AI184,IF(Tables!$E$30="New York",INDEX('NY Curve'!$A$4:$G$256,MATCH('Monthly Table'!B184,'NY Curve'!$A$4:$A$256,0),MATCH("Super Peak Curve",'NY Curve'!$A$4:$G$4,0)),IF(Tables!$E$30="New York Flat",INDEX('NY Curve'!$A$4:$G$256,MATCH('Monthly Table'!B184,'NY Curve'!$A$4:$A$256,0),MATCH("Flat NY West",'NY Curve'!$A$4:$G$4,0)),INDEX('Michigan Curve'!$A$4:$F$256,MATCH('Monthly Table'!B184,'Michigan Curve'!$A$4:$A$256,0),MATCH("Michigan Super Peak Curve US$/MWhr",'Michigan Curve'!$A$4:$F$4,0)))))</f>
        <v>88.8345275</v>
      </c>
      <c r="AL184" s="888" t="n">
        <f aca="false">IF(D184&lt;=Tables!$B$21,IF($AL$10=$AI$10,AI184,IF($AL$10=$AJ$10,AJ184,IF($AL$10=$AK$10,AK184,0))),0)</f>
        <v>88.8345275</v>
      </c>
      <c r="AM184" s="889" t="n">
        <f aca="false">+AL184*K184</f>
        <v>113.509269403995</v>
      </c>
      <c r="AN184" s="890" t="n">
        <f aca="false">IF((AL184*K184)&gt;(CP184+$BF$4),1,0)</f>
        <v>1</v>
      </c>
      <c r="AO184" s="891"/>
      <c r="AP184" s="894"/>
      <c r="AQ184" s="892" t="n">
        <f aca="false">IF(Tables!$E$30="New York",INDEX('NY Curve'!$A$4:$L$256,MATCH('Monthly Table'!B184,'NY Curve'!$A$4:$A$256,0),MATCH("New York Shoulder Hour Curve Mon-Fri",'NY Curve'!$A$4:$L$4,0)),IF(Tables!$E$30="Michigan",INDEX('Michigan Curve'!$A$4:$K$256,MATCH('Monthly Table'!B184,'Michigan Curve'!$A$4:$A$256,0),MATCH("Michigan Shoulder Hour Curve Mon-Fri",'Michigan Curve'!$A$4:$K$4,0))))</f>
        <v>23.6654725</v>
      </c>
      <c r="AR184" s="889" t="n">
        <f aca="false">AQ184*K184</f>
        <v>30.2388110701138</v>
      </c>
      <c r="AS184" s="893" t="n">
        <f aca="false">IF(AR184&gt;($CP184+$BF$4),1,0)</f>
        <v>0</v>
      </c>
      <c r="AU184" s="892" t="n">
        <f aca="false">IF(Tables!$E$30="New York",INDEX('NY Curve'!$A$4:$L$256,MATCH('Monthly Table'!$B184,'NY Curve'!$A$4:$A$256,0),MATCH("New York Saturday Super Peak",'NY Curve'!$A$4:$L$4,0)),IF(Tables!$E$30="Michigan",INDEX('Michigan Curve'!$A$4:$K$256,MATCH('Monthly Table'!$B184,'Michigan Curve'!$A$4:$A$256,0),MATCH("Michigan Saturday Super Peak",'Michigan Curve'!$A$4:$K$4,0))))</f>
        <v>41.0612927111111</v>
      </c>
      <c r="AV184" s="894" t="n">
        <f aca="false">AU184*K184</f>
        <v>52.4665067467354</v>
      </c>
      <c r="AW184" s="893" t="n">
        <f aca="false">IF(AV184&gt;($CP184+$BF$4),1,0)</f>
        <v>0</v>
      </c>
      <c r="AX184" s="892" t="n">
        <f aca="false">IF(Tables!$E$30="New York",INDEX('NY Curve'!$A$4:$L$256,MATCH('Monthly Table'!$B184,'NY Curve'!$A$4:$A$256,0),MATCH("New York Saturday Shoulder Peak",'NY Curve'!$A$4:$L$4,0)),IF(Tables!$E$30="Michigan",INDEX('Michigan Curve'!$A$4:$K$256,MATCH('Monthly Table'!$B184,'Michigan Curve'!$A$4:$A$256,0),MATCH("Michigan Saturday Shoulder Peak",'Michigan Curve'!$A$4:$K$4,0))))</f>
        <v>10.9387072888889</v>
      </c>
      <c r="AY184" s="895" t="n">
        <f aca="false">AX184*K184</f>
        <v>13.9770504501859</v>
      </c>
      <c r="AZ184" s="893" t="n">
        <f aca="false">IF(AY184&gt;($CP184+$BF$4),1,0)</f>
        <v>0</v>
      </c>
      <c r="BB184" s="892" t="n">
        <f aca="false">IF(Tables!$E$30="New York",INDEX('NY Curve'!$A$4:$M$256,MATCH('Monthly Table'!$B184,'NY Curve'!$A$4:$A$256,0),MATCH("NY Sunday Super Peak",'NY Curve'!$A$4:$M$4,0)),IF(Tables!$E$30="Michigan",INDEX('Michigan Curve'!$A$4:$L$256,MATCH('Monthly Table'!$B184,'Michigan Curve'!$A$4:$A$256,0),MATCH("Michigan Sunday Super Peak",'Michigan Curve'!$A$4:$L$4,0))))</f>
        <v>37.9027317333333</v>
      </c>
      <c r="BC184" s="894" t="n">
        <f aca="false">BB184*K184</f>
        <v>48.4306216123711</v>
      </c>
      <c r="BD184" s="893" t="n">
        <f aca="false">IF(BC184&gt;($CP184+$BF$4),1,0)</f>
        <v>0</v>
      </c>
      <c r="BF184" s="896" t="n">
        <f aca="false">B184</f>
        <v>42156</v>
      </c>
      <c r="BG184" s="897" t="n">
        <f aca="false">IF($AN184=1,$E184*$BF$5,0)</f>
        <v>176</v>
      </c>
      <c r="BH184" s="976" t="n">
        <f aca="false">IF(Tables!$B$36="Combined Cycle",(BF184-BF183)*24*Assumptions!$B$21,0)</f>
        <v>0</v>
      </c>
      <c r="BI184" s="714" t="n">
        <f aca="false">IF($AN184=1,$E184*$BF$5,0)</f>
        <v>176</v>
      </c>
      <c r="BJ184" s="898" t="n">
        <f aca="false">IF('Monthly Table'!D184&lt;=Tables!$B$21,IF($BJ$10=$BG$10,BG184,IF($BJ$10=$BH$10,BH184,IF($BJ$10=$BI$10,BI184,0))),0)</f>
        <v>176</v>
      </c>
      <c r="BK184" s="288"/>
      <c r="BL184" s="898" t="n">
        <f aca="false">IF($AW184=1,$F184*$BF$5,0)</f>
        <v>0</v>
      </c>
      <c r="BM184" s="898" t="n">
        <f aca="false">IF($BD184=1,($G184+H184)*$BF$5,0)</f>
        <v>0</v>
      </c>
      <c r="BO184" s="898" t="n">
        <f aca="false">IF(AS184=1,BJ184,0)</f>
        <v>0</v>
      </c>
      <c r="BP184" s="898" t="n">
        <f aca="false">IF(AZ184=1,F184*$BF$5,0)</f>
        <v>0</v>
      </c>
      <c r="BR184" s="899" t="n">
        <f aca="false">IF(BJ184&gt;0,INDEX(OperationalDetail,MATCH("Capacity Degradation",ODColumn,0),MATCH('Monthly Table'!C184,ODRow,0)),0)</f>
        <v>0.00502</v>
      </c>
      <c r="BS184" s="900" t="n">
        <f aca="false">BJ184*(1-BR184)*Tables!$C$36</f>
        <v>56737.73952</v>
      </c>
      <c r="BT184" s="883" t="n">
        <f aca="false">BS184*AL184/1000</f>
        <v>5040.27028167728</v>
      </c>
      <c r="BU184" s="883" t="n">
        <f aca="false">BT184*K184</f>
        <v>6440.25936054936</v>
      </c>
      <c r="BV184" s="188"/>
      <c r="BW184" s="901" t="n">
        <f aca="false">$BO184*(1-$BR184)*Tables!$C$36</f>
        <v>0</v>
      </c>
      <c r="BX184" s="902" t="n">
        <f aca="false">(BW184*AQ184)/1000</f>
        <v>0</v>
      </c>
      <c r="BY184" s="883" t="n">
        <f aca="false">BX184*K184</f>
        <v>0</v>
      </c>
      <c r="BZ184" s="188"/>
      <c r="CA184" s="901" t="n">
        <f aca="false">$BL184*(1-$BR184)*Tables!$C$36</f>
        <v>0</v>
      </c>
      <c r="CB184" s="902" t="n">
        <f aca="false">(CA184*AU184)/1000</f>
        <v>0</v>
      </c>
      <c r="CC184" s="883" t="n">
        <f aca="false">CB184*K184</f>
        <v>0</v>
      </c>
      <c r="CD184" s="901" t="n">
        <f aca="false">$BP184*(1-$BR184)*Tables!$C$36</f>
        <v>0</v>
      </c>
      <c r="CE184" s="902" t="n">
        <f aca="false">(CD184*AX184)/1000</f>
        <v>0</v>
      </c>
      <c r="CF184" s="883" t="n">
        <f aca="false">CE184*K184</f>
        <v>0</v>
      </c>
      <c r="CH184" s="901" t="n">
        <f aca="false">$BM184*(1-$BR184)*Tables!$C$36</f>
        <v>0</v>
      </c>
      <c r="CI184" s="902" t="n">
        <f aca="false">(CH184*BB184)/1000</f>
        <v>0</v>
      </c>
      <c r="CJ184" s="883" t="n">
        <f aca="false">CI184*K184</f>
        <v>0</v>
      </c>
      <c r="CK184" s="292"/>
      <c r="CL184" s="292" t="n">
        <f aca="false">C184-1</f>
        <v>2014</v>
      </c>
      <c r="CM184" s="903" t="n">
        <f aca="false">INDEX(OperationalDetail,MATCH("Degraded Heat Rate",ODColumn,0),MATCH('Monthly Table'!CL184,ODRow,0))/1000</f>
        <v>11.9902588</v>
      </c>
      <c r="CN184" s="904" t="n">
        <f aca="false">S184*CM184</f>
        <v>62.2575995523949</v>
      </c>
      <c r="CO184" s="905" t="n">
        <f aca="false">IF(A184="January",(CO183*(1+Assumptions!$E$32)),CO183)</f>
        <v>8.88751414345536</v>
      </c>
      <c r="CP184" s="906" t="n">
        <f aca="false">CN184+CO184</f>
        <v>71.1451136958503</v>
      </c>
      <c r="CQ184" s="292"/>
      <c r="CR184" s="856" t="n">
        <f aca="false">IF(BJ184=0,"",C184)</f>
        <v>2015</v>
      </c>
      <c r="CS184" s="856" t="str">
        <f aca="false">IF(BO184=0,"",$C184)</f>
        <v/>
      </c>
      <c r="CT184" s="856" t="str">
        <f aca="false">IF(BL184=0,"",$C184)</f>
        <v/>
      </c>
      <c r="CU184" s="856" t="str">
        <f aca="false">IF(BP184=0,"",$C184)</f>
        <v/>
      </c>
      <c r="CV184" s="856" t="str">
        <f aca="false">IF(BD184=0,"",$C184)</f>
        <v/>
      </c>
      <c r="CW184" s="907" t="n">
        <f aca="false">YEAR(BF184)</f>
        <v>2015</v>
      </c>
      <c r="CX184" s="908" t="n">
        <f aca="false">INDEX('NY Curve'!$A$4:$G$256,MATCH('Monthly Table'!B184,'NY Curve'!$A$4:$A$256,0),MATCH("New York 5 X 16",'NY Curve'!$A$4:$G$4,0))</f>
        <v>56.25</v>
      </c>
      <c r="CY184" s="909" t="n">
        <f aca="false">K184</f>
        <v>1.27776071532541</v>
      </c>
      <c r="CZ184" s="910" t="n">
        <f aca="false">CX184*CY184</f>
        <v>71.8740402370543</v>
      </c>
      <c r="DB184" s="911"/>
      <c r="DC184" s="911"/>
    </row>
    <row r="185" customFormat="false" ht="18.75" hidden="false" customHeight="true" outlineLevel="0" collapsed="false">
      <c r="A185" s="49" t="s">
        <v>816</v>
      </c>
      <c r="B185" s="863" t="n">
        <v>42186</v>
      </c>
      <c r="C185" s="288" t="n">
        <f aca="false">YEAR(B185)</f>
        <v>2015</v>
      </c>
      <c r="D185" s="864" t="n">
        <f aca="false">IF(A185="January",D184+1,D184)</f>
        <v>15</v>
      </c>
      <c r="E185" s="865" t="n">
        <v>23</v>
      </c>
      <c r="F185" s="866" t="n">
        <v>3</v>
      </c>
      <c r="G185" s="866" t="n">
        <v>4</v>
      </c>
      <c r="H185" s="866" t="n">
        <v>1</v>
      </c>
      <c r="I185" s="867" t="n">
        <f aca="false">SUM(E185:H185)</f>
        <v>31</v>
      </c>
      <c r="J185" s="868"/>
      <c r="K185" s="869" t="n">
        <f aca="false">INDEX(FX!$A$3:$C$362,MATCH(B185,FX!$A$3:$A$362,0),MATCH("Monthly Curve",FX!$A$2:$C$2,0))</f>
        <v>1.27712356162318</v>
      </c>
      <c r="L185" s="869"/>
      <c r="M185" s="987" t="n">
        <v>3.5175</v>
      </c>
      <c r="N185" s="988" t="n">
        <v>0.145</v>
      </c>
      <c r="O185" s="986" t="n">
        <v>0.1</v>
      </c>
      <c r="P185" s="872" t="n">
        <f aca="false">N185+O185</f>
        <v>0.245</v>
      </c>
      <c r="Q185" s="873" t="n">
        <f aca="false">SUM(M185:O185)</f>
        <v>3.7625</v>
      </c>
      <c r="R185" s="974" t="n">
        <f aca="false">IF(A185="January",(R184+R184*Assumptions!$E$32),R184)</f>
        <v>0.396273426307333</v>
      </c>
      <c r="S185" s="875" t="n">
        <f aca="false">(Q185*K185)+R185</f>
        <v>5.20145082691455</v>
      </c>
      <c r="T185" s="869"/>
      <c r="U185" s="187"/>
      <c r="V185" s="897"/>
      <c r="W185" s="897"/>
      <c r="X185" s="31"/>
      <c r="Y185" s="975" t="n">
        <f aca="false">Tables!$D$36</f>
        <v>312</v>
      </c>
      <c r="Z185" s="879" t="n">
        <f aca="false">IF($Z$10=$V$10,V185,IF($Z$10=$W$10,W185,IF($Z$10=$X$10,X185,0)))</f>
        <v>0</v>
      </c>
      <c r="AA185" s="880" t="n">
        <f aca="false">Y185*Z185</f>
        <v>0</v>
      </c>
      <c r="AB185" s="881" t="n">
        <f aca="false">AA185*K185</f>
        <v>0</v>
      </c>
      <c r="AC185" s="188"/>
      <c r="AD185" s="882" t="n">
        <f aca="false">IF(Tables!$E$30="Michigan",INDEX('Michigan Curve'!$A$4:$S$256,MATCH('Monthly Table'!B185,'Michigan Curve'!$A$4:$A$256,0),MATCH("Michigan Selected Option Value US$/month",'Michigan Curve'!$A$4:$S$4,0)),INDEX('NY Curve'!$A$4:$T$256,MATCH('Monthly Table'!B185,'NY Curve'!$A$4:$A$256,0),MATCH("New York Selected Option Value US$/month",'NY Curve'!$A$4:$T$4,0)))</f>
        <v>268664.37588637</v>
      </c>
      <c r="AE185" s="883" t="n">
        <f aca="false">AD185*K185</f>
        <v>343117.604613269</v>
      </c>
      <c r="AF185" s="188"/>
      <c r="AG185" s="884"/>
      <c r="AH185" s="49"/>
      <c r="AI185" s="885" t="n">
        <f aca="false">Assumptions!$B$50</f>
        <v>65</v>
      </c>
      <c r="AJ185" s="916"/>
      <c r="AK185" s="887" t="n">
        <f aca="false">IF(Tables!$E$30="Custom",'Monthly Table'!AI185,IF(Tables!$E$30="New York",INDEX('NY Curve'!$A$4:$G$256,MATCH('Monthly Table'!B185,'NY Curve'!$A$4:$A$256,0),MATCH("Super Peak Curve",'NY Curve'!$A$4:$G$4,0)),IF(Tables!$E$30="New York Flat",INDEX('NY Curve'!$A$4:$G$256,MATCH('Monthly Table'!B185,'NY Curve'!$A$4:$A$256,0),MATCH("Flat NY West",'NY Curve'!$A$4:$G$4,0)),INDEX('Michigan Curve'!$A$4:$F$256,MATCH('Monthly Table'!B185,'Michigan Curve'!$A$4:$A$256,0),MATCH("Michigan Super Peak Curve US$/MWhr",'Michigan Curve'!$A$4:$F$4,0)))))</f>
        <v>171.811076758435</v>
      </c>
      <c r="AL185" s="888" t="n">
        <f aca="false">IF(D185&lt;=Tables!$B$21,IF($AL$10=$AI$10,AI185,IF($AL$10=$AJ$10,AJ185,IF($AL$10=$AK$10,AK185,0))),0)</f>
        <v>171.811076758435</v>
      </c>
      <c r="AM185" s="889" t="n">
        <f aca="false">+AL185*K185</f>
        <v>219.423974276046</v>
      </c>
      <c r="AN185" s="890" t="n">
        <f aca="false">IF((AL185*K185)&gt;(CP185+$BF$4),1,0)</f>
        <v>1</v>
      </c>
      <c r="AO185" s="891"/>
      <c r="AP185" s="894"/>
      <c r="AQ185" s="892" t="n">
        <f aca="false">IF(Tables!$E$30="New York",INDEX('NY Curve'!$A$4:$L$256,MATCH('Monthly Table'!B185,'NY Curve'!$A$4:$A$256,0),MATCH("New York Shoulder Hour Curve Mon-Fri",'NY Curve'!$A$4:$L$4,0)),IF(Tables!$E$30="Michigan",INDEX('Michigan Curve'!$A$4:$K$256,MATCH('Monthly Table'!B185,'Michigan Curve'!$A$4:$A$256,0),MATCH("Michigan Shoulder Hour Curve Mon-Fri",'Michigan Curve'!$A$4:$K$4,0))))</f>
        <v>30.1889232415651</v>
      </c>
      <c r="AR185" s="889" t="n">
        <f aca="false">AQ185*K185</f>
        <v>38.5549851718364</v>
      </c>
      <c r="AS185" s="893" t="n">
        <f aca="false">IF(AR185&gt;($CP185+$BF$4),1,0)</f>
        <v>0</v>
      </c>
      <c r="AU185" s="892" t="n">
        <f aca="false">IF(Tables!$E$30="New York",INDEX('NY Curve'!$A$4:$L$256,MATCH('Monthly Table'!$B185,'NY Curve'!$A$4:$A$256,0),MATCH("New York Saturday Super Peak",'NY Curve'!$A$4:$L$4,0)),IF(Tables!$E$30="Michigan",INDEX('Michigan Curve'!$A$4:$K$256,MATCH('Monthly Table'!$B185,'Michigan Curve'!$A$4:$A$256,0),MATCH("Michigan Saturday Super Peak",'Michigan Curve'!$A$4:$K$4,0))))</f>
        <v>59.5384919459923</v>
      </c>
      <c r="AV185" s="894" t="n">
        <f aca="false">AU185*K185</f>
        <v>76.0380108877387</v>
      </c>
      <c r="AW185" s="893" t="n">
        <f aca="false">IF(AV185&gt;($CP185+$BF$4),1,0)</f>
        <v>1</v>
      </c>
      <c r="AX185" s="892" t="n">
        <f aca="false">IF(Tables!$E$30="New York",INDEX('NY Curve'!$A$4:$L$256,MATCH('Monthly Table'!$B185,'NY Curve'!$A$4:$A$256,0),MATCH("New York Saturday Shoulder Peak",'NY Curve'!$A$4:$L$4,0)),IF(Tables!$E$30="Michigan",INDEX('Michigan Curve'!$A$4:$K$256,MATCH('Monthly Table'!$B185,'Michigan Curve'!$A$4:$A$256,0),MATCH("Michigan Saturday Shoulder Peak",'Michigan Curve'!$A$4:$K$4,0))))</f>
        <v>10.4615080540077</v>
      </c>
      <c r="AY185" s="895" t="n">
        <f aca="false">AX185*K185</f>
        <v>13.3606384258839</v>
      </c>
      <c r="AZ185" s="893" t="n">
        <f aca="false">IF(AY185&gt;($CP185+$BF$4),1,0)</f>
        <v>0</v>
      </c>
      <c r="BB185" s="892" t="n">
        <f aca="false">IF(Tables!$E$30="New York",INDEX('NY Curve'!$A$4:$M$256,MATCH('Monthly Table'!$B185,'NY Curve'!$A$4:$A$256,0),MATCH("NY Sunday Super Peak",'NY Curve'!$A$4:$M$4,0)),IF(Tables!$E$30="Michigan",INDEX('Michigan Curve'!$A$4:$L$256,MATCH('Monthly Table'!$B185,'Michigan Curve'!$A$4:$A$256,0),MATCH("Michigan Sunday Super Peak",'Michigan Curve'!$A$4:$L$4,0))))</f>
        <v>52.73408962186</v>
      </c>
      <c r="BC185" s="894" t="n">
        <f aca="false">BB185*K185</f>
        <v>67.3479483568258</v>
      </c>
      <c r="BD185" s="893" t="n">
        <f aca="false">IF(BC185&gt;($CP185+$BF$4),1,0)</f>
        <v>0</v>
      </c>
      <c r="BF185" s="896" t="n">
        <f aca="false">B185</f>
        <v>42186</v>
      </c>
      <c r="BG185" s="897" t="n">
        <f aca="false">IF($AN185=1,$E185*$BF$5,0)</f>
        <v>184</v>
      </c>
      <c r="BH185" s="976" t="n">
        <f aca="false">IF(Tables!$B$36="Combined Cycle",(BF185-BF184)*24*Assumptions!$B$21,0)</f>
        <v>0</v>
      </c>
      <c r="BI185" s="714" t="n">
        <f aca="false">IF($AN185=1,$E185*$BF$5,0)</f>
        <v>184</v>
      </c>
      <c r="BJ185" s="898" t="n">
        <f aca="false">IF('Monthly Table'!D185&lt;=Tables!$B$21,IF($BJ$10=$BG$10,BG185,IF($BJ$10=$BH$10,BH185,IF($BJ$10=$BI$10,BI185,0))),0)</f>
        <v>184</v>
      </c>
      <c r="BK185" s="288"/>
      <c r="BL185" s="898" t="n">
        <f aca="false">IF($AW185=1,$F185*$BF$5,0)</f>
        <v>24</v>
      </c>
      <c r="BM185" s="898" t="n">
        <f aca="false">IF($BD185=1,($G185+H185)*$BF$5,0)</f>
        <v>0</v>
      </c>
      <c r="BO185" s="898" t="n">
        <f aca="false">IF(AS185=1,BJ185,0)</f>
        <v>0</v>
      </c>
      <c r="BP185" s="898" t="n">
        <f aca="false">IF(AZ185=1,F185*$BF$5,0)</f>
        <v>0</v>
      </c>
      <c r="BR185" s="899" t="n">
        <f aca="false">IF(BJ185&gt;0,INDEX(OperationalDetail,MATCH("Capacity Degradation",ODColumn,0),MATCH('Monthly Table'!C185,ODRow,0)),0)</f>
        <v>0.00502</v>
      </c>
      <c r="BS185" s="900" t="n">
        <f aca="false">BJ185*(1-BR185)*Tables!$C$36</f>
        <v>59316.72768</v>
      </c>
      <c r="BT185" s="883" t="n">
        <f aca="false">BS185*AL185/1000</f>
        <v>10191.2708524877</v>
      </c>
      <c r="BU185" s="883" t="n">
        <f aca="false">BT185*K185</f>
        <v>13015.5121285955</v>
      </c>
      <c r="BV185" s="188"/>
      <c r="BW185" s="901" t="n">
        <f aca="false">$BO185*(1-$BR185)*Tables!$C$36</f>
        <v>0</v>
      </c>
      <c r="BX185" s="902" t="n">
        <f aca="false">(BW185*AQ185)/1000</f>
        <v>0</v>
      </c>
      <c r="BY185" s="883" t="n">
        <f aca="false">BX185*K185</f>
        <v>0</v>
      </c>
      <c r="BZ185" s="188"/>
      <c r="CA185" s="901" t="n">
        <f aca="false">$BL185*(1-$BR185)*Tables!$C$36</f>
        <v>7736.96448</v>
      </c>
      <c r="CB185" s="902" t="n">
        <f aca="false">(CA185*AU185)/1000</f>
        <v>460.647197378908</v>
      </c>
      <c r="CC185" s="883" t="n">
        <f aca="false">CB185*K185</f>
        <v>588.303389368288</v>
      </c>
      <c r="CD185" s="901" t="n">
        <f aca="false">$BP185*(1-$BR185)*Tables!$C$36</f>
        <v>0</v>
      </c>
      <c r="CE185" s="902" t="n">
        <f aca="false">(CD185*AX185)/1000</f>
        <v>0</v>
      </c>
      <c r="CF185" s="883" t="n">
        <f aca="false">CE185*K185</f>
        <v>0</v>
      </c>
      <c r="CH185" s="901" t="n">
        <f aca="false">$BM185*(1-$BR185)*Tables!$C$36</f>
        <v>0</v>
      </c>
      <c r="CI185" s="902" t="n">
        <f aca="false">(CH185*BB185)/1000</f>
        <v>0</v>
      </c>
      <c r="CJ185" s="883" t="n">
        <f aca="false">CI185*K185</f>
        <v>0</v>
      </c>
      <c r="CK185" s="292"/>
      <c r="CL185" s="292" t="n">
        <f aca="false">C185-1</f>
        <v>2014</v>
      </c>
      <c r="CM185" s="903" t="n">
        <f aca="false">INDEX(OperationalDetail,MATCH("Degraded Heat Rate",ODColumn,0),MATCH('Monthly Table'!CL185,ODRow,0))/1000</f>
        <v>11.9902588</v>
      </c>
      <c r="CN185" s="904" t="n">
        <f aca="false">S185*CM185</f>
        <v>62.3667415501794</v>
      </c>
      <c r="CO185" s="905" t="n">
        <f aca="false">IF(A185="January",(CO184*(1+Assumptions!$E$32)),CO184)</f>
        <v>8.88751414345536</v>
      </c>
      <c r="CP185" s="906" t="n">
        <f aca="false">CN185+CO185</f>
        <v>71.2542556936348</v>
      </c>
      <c r="CQ185" s="292"/>
      <c r="CR185" s="856" t="n">
        <f aca="false">IF(BJ185=0,"",C185)</f>
        <v>2015</v>
      </c>
      <c r="CS185" s="856" t="str">
        <f aca="false">IF(BO185=0,"",$C185)</f>
        <v/>
      </c>
      <c r="CT185" s="856" t="n">
        <f aca="false">IF(BL185=0,"",$C185)</f>
        <v>2015</v>
      </c>
      <c r="CU185" s="856" t="str">
        <f aca="false">IF(BP185=0,"",$C185)</f>
        <v/>
      </c>
      <c r="CV185" s="856" t="str">
        <f aca="false">IF(BD185=0,"",$C185)</f>
        <v/>
      </c>
      <c r="CW185" s="907" t="n">
        <f aca="false">YEAR(BF185)</f>
        <v>2015</v>
      </c>
      <c r="CX185" s="908" t="n">
        <f aca="false">INDEX('NY Curve'!$A$4:$G$256,MATCH('Monthly Table'!B185,'NY Curve'!$A$4:$A$256,0),MATCH("New York 5 X 16",'NY Curve'!$A$4:$G$4,0))</f>
        <v>88</v>
      </c>
      <c r="CY185" s="909" t="n">
        <f aca="false">K185</f>
        <v>1.27712356162318</v>
      </c>
      <c r="CZ185" s="910" t="n">
        <f aca="false">CX185*CY185</f>
        <v>112.38687342284</v>
      </c>
      <c r="DB185" s="911"/>
      <c r="DC185" s="911"/>
    </row>
    <row r="186" customFormat="false" ht="18.75" hidden="false" customHeight="true" outlineLevel="0" collapsed="false">
      <c r="A186" s="49" t="s">
        <v>817</v>
      </c>
      <c r="B186" s="863" t="n">
        <v>42217</v>
      </c>
      <c r="C186" s="288" t="n">
        <f aca="false">YEAR(B186)</f>
        <v>2015</v>
      </c>
      <c r="D186" s="864" t="n">
        <f aca="false">IF(A186="January",D185+1,D185)</f>
        <v>15</v>
      </c>
      <c r="E186" s="865" t="n">
        <v>21</v>
      </c>
      <c r="F186" s="866" t="n">
        <v>5</v>
      </c>
      <c r="G186" s="866" t="n">
        <v>5</v>
      </c>
      <c r="H186" s="866" t="n">
        <v>0</v>
      </c>
      <c r="I186" s="867" t="n">
        <f aca="false">SUM(E186:H186)</f>
        <v>31</v>
      </c>
      <c r="J186" s="868"/>
      <c r="K186" s="869" t="n">
        <f aca="false">INDEX(FX!$A$3:$C$362,MATCH(B186,FX!$A$3:$A$362,0),MATCH("Monthly Curve",FX!$A$2:$C$2,0))</f>
        <v>1.27646833786765</v>
      </c>
      <c r="L186" s="869"/>
      <c r="M186" s="987" t="n">
        <v>3.5245</v>
      </c>
      <c r="N186" s="988" t="n">
        <v>0.145</v>
      </c>
      <c r="O186" s="986" t="n">
        <v>0.1</v>
      </c>
      <c r="P186" s="872" t="n">
        <f aca="false">N186+O186</f>
        <v>0.245</v>
      </c>
      <c r="Q186" s="873" t="n">
        <f aca="false">SUM(M186:O186)</f>
        <v>3.7695</v>
      </c>
      <c r="R186" s="974" t="n">
        <f aca="false">IF(A186="January",(R185+R185*Assumptions!$E$32),R185)</f>
        <v>0.396273426307333</v>
      </c>
      <c r="S186" s="875" t="n">
        <f aca="false">(Q186*K186)+R186</f>
        <v>5.20792082589944</v>
      </c>
      <c r="T186" s="869"/>
      <c r="U186" s="187"/>
      <c r="V186" s="897"/>
      <c r="W186" s="897"/>
      <c r="X186" s="31"/>
      <c r="Y186" s="975" t="n">
        <f aca="false">Tables!$D$36</f>
        <v>312</v>
      </c>
      <c r="Z186" s="879" t="n">
        <f aca="false">IF($Z$10=$V$10,V186,IF($Z$10=$W$10,W186,IF($Z$10=$X$10,X186,0)))</f>
        <v>0</v>
      </c>
      <c r="AA186" s="880" t="n">
        <f aca="false">Y186*Z186</f>
        <v>0</v>
      </c>
      <c r="AB186" s="881" t="n">
        <f aca="false">AA186*K186</f>
        <v>0</v>
      </c>
      <c r="AC186" s="188"/>
      <c r="AD186" s="882" t="n">
        <f aca="false">IF(Tables!$E$30="Michigan",INDEX('Michigan Curve'!$A$4:$S$256,MATCH('Monthly Table'!B186,'Michigan Curve'!$A$4:$A$256,0),MATCH("Michigan Selected Option Value US$/month",'Michigan Curve'!$A$4:$S$4,0)),INDEX('NY Curve'!$A$4:$T$256,MATCH('Monthly Table'!B186,'NY Curve'!$A$4:$A$256,0),MATCH("New York Selected Option Value US$/month",'NY Curve'!$A$4:$T$4,0)))</f>
        <v>312731.224304199</v>
      </c>
      <c r="AE186" s="883" t="n">
        <f aca="false">AD186*K186</f>
        <v>399191.506086896</v>
      </c>
      <c r="AF186" s="188"/>
      <c r="AG186" s="884"/>
      <c r="AH186" s="49"/>
      <c r="AI186" s="885" t="n">
        <f aca="false">Assumptions!$B$50</f>
        <v>65</v>
      </c>
      <c r="AJ186" s="916"/>
      <c r="AK186" s="887" t="n">
        <f aca="false">IF(Tables!$E$30="Custom",'Monthly Table'!AI186,IF(Tables!$E$30="New York",INDEX('NY Curve'!$A$4:$G$256,MATCH('Monthly Table'!B186,'NY Curve'!$A$4:$A$256,0),MATCH("Super Peak Curve",'NY Curve'!$A$4:$G$4,0)),IF(Tables!$E$30="New York Flat",INDEX('NY Curve'!$A$4:$G$256,MATCH('Monthly Table'!B186,'NY Curve'!$A$4:$A$256,0),MATCH("Flat NY West",'NY Curve'!$A$4:$G$4,0)),INDEX('Michigan Curve'!$A$4:$F$256,MATCH('Monthly Table'!B186,'Michigan Curve'!$A$4:$A$256,0),MATCH("Michigan Super Peak Curve US$/MWhr",'Michigan Curve'!$A$4:$F$4,0)))))</f>
        <v>171.811076758435</v>
      </c>
      <c r="AL186" s="888" t="n">
        <f aca="false">IF(D186&lt;=Tables!$B$21,IF($AL$10=$AI$10,AI186,IF($AL$10=$AJ$10,AJ186,IF($AL$10=$AK$10,AK186,0))),0)</f>
        <v>171.811076758435</v>
      </c>
      <c r="AM186" s="889" t="n">
        <f aca="false">+AL186*K186</f>
        <v>219.311399577091</v>
      </c>
      <c r="AN186" s="890" t="n">
        <f aca="false">IF((AL186*K186)&gt;(CP186+$BF$4),1,0)</f>
        <v>1</v>
      </c>
      <c r="AO186" s="891"/>
      <c r="AP186" s="894"/>
      <c r="AQ186" s="892" t="n">
        <f aca="false">IF(Tables!$E$30="New York",INDEX('NY Curve'!$A$4:$L$256,MATCH('Monthly Table'!B186,'NY Curve'!$A$4:$A$256,0),MATCH("New York Shoulder Hour Curve Mon-Fri",'NY Curve'!$A$4:$L$4,0)),IF(Tables!$E$30="Michigan",INDEX('Michigan Curve'!$A$4:$K$256,MATCH('Monthly Table'!B186,'Michigan Curve'!$A$4:$A$256,0),MATCH("Michigan Shoulder Hour Curve Mon-Fri",'Michigan Curve'!$A$4:$K$4,0))))</f>
        <v>30.1889232415651</v>
      </c>
      <c r="AR186" s="889" t="n">
        <f aca="false">AQ186*K186</f>
        <v>38.5352046721747</v>
      </c>
      <c r="AS186" s="893" t="n">
        <f aca="false">IF(AR186&gt;($CP186+$BF$4),1,0)</f>
        <v>0</v>
      </c>
      <c r="AU186" s="892" t="n">
        <f aca="false">IF(Tables!$E$30="New York",INDEX('NY Curve'!$A$4:$L$256,MATCH('Monthly Table'!$B186,'NY Curve'!$A$4:$A$256,0),MATCH("New York Saturday Super Peak",'NY Curve'!$A$4:$L$4,0)),IF(Tables!$E$30="Michigan",INDEX('Michigan Curve'!$A$4:$K$256,MATCH('Monthly Table'!$B186,'Michigan Curve'!$A$4:$A$256,0),MATCH("Michigan Saturday Super Peak",'Michigan Curve'!$A$4:$K$4,0))))</f>
        <v>59.5384984351729</v>
      </c>
      <c r="AV186" s="894" t="n">
        <f aca="false">AU186*K186</f>
        <v>75.9990081366809</v>
      </c>
      <c r="AW186" s="893" t="n">
        <f aca="false">IF(AV186&gt;($CP186+$BF$4),1,0)</f>
        <v>1</v>
      </c>
      <c r="AX186" s="892" t="n">
        <f aca="false">IF(Tables!$E$30="New York",INDEX('NY Curve'!$A$4:$L$256,MATCH('Monthly Table'!$B186,'NY Curve'!$A$4:$A$256,0),MATCH("New York Saturday Shoulder Peak",'NY Curve'!$A$4:$L$4,0)),IF(Tables!$E$30="Michigan",INDEX('Michigan Curve'!$A$4:$K$256,MATCH('Monthly Table'!$B186,'Michigan Curve'!$A$4:$A$256,0),MATCH("Michigan Saturday Shoulder Peak",'Michigan Curve'!$A$4:$K$4,0))))</f>
        <v>10.4615091942216</v>
      </c>
      <c r="AY186" s="895" t="n">
        <f aca="false">AX186*K186</f>
        <v>13.3537852527352</v>
      </c>
      <c r="AZ186" s="893" t="n">
        <f aca="false">IF(AY186&gt;($CP186+$BF$4),1,0)</f>
        <v>0</v>
      </c>
      <c r="BB186" s="892" t="n">
        <f aca="false">IF(Tables!$E$30="New York",INDEX('NY Curve'!$A$4:$M$256,MATCH('Monthly Table'!$B186,'NY Curve'!$A$4:$A$256,0),MATCH("NY Sunday Super Peak",'NY Curve'!$A$4:$M$4,0)),IF(Tables!$E$30="Michigan",INDEX('Michigan Curve'!$A$4:$L$256,MATCH('Monthly Table'!$B186,'Michigan Curve'!$A$4:$A$256,0),MATCH("Michigan Sunday Super Peak",'Michigan Curve'!$A$4:$L$4,0))))</f>
        <v>52.7340928664503</v>
      </c>
      <c r="BC186" s="894" t="n">
        <f aca="false">BB186*K186</f>
        <v>67.3133998701961</v>
      </c>
      <c r="BD186" s="893" t="n">
        <f aca="false">IF(BC186&gt;($CP186+$BF$4),1,0)</f>
        <v>0</v>
      </c>
      <c r="BF186" s="896" t="n">
        <f aca="false">B186</f>
        <v>42217</v>
      </c>
      <c r="BG186" s="897" t="n">
        <f aca="false">IF($AN186=1,$E186*$BF$5,0)</f>
        <v>168</v>
      </c>
      <c r="BH186" s="976" t="n">
        <f aca="false">IF(Tables!$B$36="Combined Cycle",(BF186-BF185)*24*Assumptions!$B$21,0)</f>
        <v>0</v>
      </c>
      <c r="BI186" s="714" t="n">
        <f aca="false">IF($AN186=1,$E186*$BF$5,0)</f>
        <v>168</v>
      </c>
      <c r="BJ186" s="898" t="n">
        <f aca="false">IF('Monthly Table'!D186&lt;=Tables!$B$21,IF($BJ$10=$BG$10,BG186,IF($BJ$10=$BH$10,BH186,IF($BJ$10=$BI$10,BI186,0))),0)</f>
        <v>168</v>
      </c>
      <c r="BK186" s="288"/>
      <c r="BL186" s="898" t="n">
        <f aca="false">IF($AW186=1,$F186*$BF$5,0)</f>
        <v>40</v>
      </c>
      <c r="BM186" s="898" t="n">
        <f aca="false">IF($BD186=1,($G186+H186)*$BF$5,0)</f>
        <v>0</v>
      </c>
      <c r="BO186" s="898" t="n">
        <f aca="false">IF(AS186=1,BJ186,0)</f>
        <v>0</v>
      </c>
      <c r="BP186" s="898" t="n">
        <f aca="false">IF(AZ186=1,F186*$BF$5,0)</f>
        <v>0</v>
      </c>
      <c r="BR186" s="899" t="n">
        <f aca="false">IF(BJ186&gt;0,INDEX(OperationalDetail,MATCH("Capacity Degradation",ODColumn,0),MATCH('Monthly Table'!C186,ODRow,0)),0)</f>
        <v>0.00502</v>
      </c>
      <c r="BS186" s="900" t="n">
        <f aca="false">BJ186*(1-BR186)*Tables!$C$36</f>
        <v>54158.75136</v>
      </c>
      <c r="BT186" s="883" t="n">
        <f aca="false">BS186*AL186/1000</f>
        <v>9305.07338705395</v>
      </c>
      <c r="BU186" s="883" t="n">
        <f aca="false">BT186*K186</f>
        <v>11877.6315601093</v>
      </c>
      <c r="BV186" s="188"/>
      <c r="BW186" s="901" t="n">
        <f aca="false">$BO186*(1-$BR186)*Tables!$C$36</f>
        <v>0</v>
      </c>
      <c r="BX186" s="902" t="n">
        <f aca="false">(BW186*AQ186)/1000</f>
        <v>0</v>
      </c>
      <c r="BY186" s="883" t="n">
        <f aca="false">BX186*K186</f>
        <v>0</v>
      </c>
      <c r="BZ186" s="188"/>
      <c r="CA186" s="901" t="n">
        <f aca="false">$BL186*(1-$BR186)*Tables!$C$36</f>
        <v>12894.9408</v>
      </c>
      <c r="CB186" s="902" t="n">
        <f aca="false">(CA186*AU186)/1000</f>
        <v>767.745412642448</v>
      </c>
      <c r="CC186" s="883" t="n">
        <f aca="false">CB186*K186</f>
        <v>980.002710781218</v>
      </c>
      <c r="CD186" s="901" t="n">
        <f aca="false">$BP186*(1-$BR186)*Tables!$C$36</f>
        <v>0</v>
      </c>
      <c r="CE186" s="902" t="n">
        <f aca="false">(CD186*AX186)/1000</f>
        <v>0</v>
      </c>
      <c r="CF186" s="883" t="n">
        <f aca="false">CE186*K186</f>
        <v>0</v>
      </c>
      <c r="CH186" s="901" t="n">
        <f aca="false">$BM186*(1-$BR186)*Tables!$C$36</f>
        <v>0</v>
      </c>
      <c r="CI186" s="902" t="n">
        <f aca="false">(CH186*BB186)/1000</f>
        <v>0</v>
      </c>
      <c r="CJ186" s="883" t="n">
        <f aca="false">CI186*K186</f>
        <v>0</v>
      </c>
      <c r="CK186" s="292"/>
      <c r="CL186" s="292" t="n">
        <f aca="false">C186-1</f>
        <v>2014</v>
      </c>
      <c r="CM186" s="903" t="n">
        <f aca="false">INDEX(OperationalDetail,MATCH("Degraded Heat Rate",ODColumn,0),MATCH('Monthly Table'!CL186,ODRow,0))/1000</f>
        <v>11.9902588</v>
      </c>
      <c r="CN186" s="904" t="n">
        <f aca="false">S186*CM186</f>
        <v>62.444318512444</v>
      </c>
      <c r="CO186" s="905" t="n">
        <f aca="false">IF(A186="January",(CO185*(1+Assumptions!$E$32)),CO185)</f>
        <v>8.88751414345536</v>
      </c>
      <c r="CP186" s="906" t="n">
        <f aca="false">CN186+CO186</f>
        <v>71.3318326558994</v>
      </c>
      <c r="CQ186" s="292"/>
      <c r="CR186" s="856" t="n">
        <f aca="false">IF(BJ186=0,"",C186)</f>
        <v>2015</v>
      </c>
      <c r="CS186" s="856" t="str">
        <f aca="false">IF(BO186=0,"",$C186)</f>
        <v/>
      </c>
      <c r="CT186" s="856" t="n">
        <f aca="false">IF(BL186=0,"",$C186)</f>
        <v>2015</v>
      </c>
      <c r="CU186" s="856" t="str">
        <f aca="false">IF(BP186=0,"",$C186)</f>
        <v/>
      </c>
      <c r="CV186" s="856" t="str">
        <f aca="false">IF(BD186=0,"",$C186)</f>
        <v/>
      </c>
      <c r="CW186" s="907" t="n">
        <f aca="false">YEAR(BF186)</f>
        <v>2015</v>
      </c>
      <c r="CX186" s="908" t="n">
        <f aca="false">INDEX('NY Curve'!$A$4:$G$256,MATCH('Monthly Table'!B186,'NY Curve'!$A$4:$A$256,0),MATCH("New York 5 X 16",'NY Curve'!$A$4:$G$4,0))</f>
        <v>80.5</v>
      </c>
      <c r="CY186" s="909" t="n">
        <f aca="false">K186</f>
        <v>1.27646833786765</v>
      </c>
      <c r="CZ186" s="910" t="n">
        <f aca="false">CX186*CY186</f>
        <v>102.755701198346</v>
      </c>
      <c r="DB186" s="911"/>
      <c r="DC186" s="911"/>
    </row>
    <row r="187" customFormat="false" ht="18.75" hidden="false" customHeight="true" outlineLevel="0" collapsed="false">
      <c r="A187" s="49" t="s">
        <v>818</v>
      </c>
      <c r="B187" s="863" t="n">
        <v>42248</v>
      </c>
      <c r="C187" s="288" t="n">
        <f aca="false">YEAR(B187)</f>
        <v>2015</v>
      </c>
      <c r="D187" s="864" t="n">
        <f aca="false">IF(A187="January",D186+1,D186)</f>
        <v>15</v>
      </c>
      <c r="E187" s="865" t="n">
        <v>21</v>
      </c>
      <c r="F187" s="866" t="n">
        <v>4</v>
      </c>
      <c r="G187" s="866" t="n">
        <v>4</v>
      </c>
      <c r="H187" s="866" t="n">
        <v>1</v>
      </c>
      <c r="I187" s="867" t="n">
        <f aca="false">SUM(E187:H187)</f>
        <v>30</v>
      </c>
      <c r="J187" s="868"/>
      <c r="K187" s="869" t="n">
        <f aca="false">INDEX(FX!$A$3:$C$362,MATCH(B187,FX!$A$3:$A$362,0),MATCH("Monthly Curve",FX!$A$2:$C$2,0))</f>
        <v>1.27581632987067</v>
      </c>
      <c r="L187" s="869"/>
      <c r="M187" s="987" t="n">
        <v>3.5315</v>
      </c>
      <c r="N187" s="988" t="n">
        <v>0.145</v>
      </c>
      <c r="O187" s="986" t="n">
        <v>0.1</v>
      </c>
      <c r="P187" s="872" t="n">
        <f aca="false">N187+O187</f>
        <v>0.245</v>
      </c>
      <c r="Q187" s="873" t="n">
        <f aca="false">SUM(M187:O187)</f>
        <v>3.7765</v>
      </c>
      <c r="R187" s="974" t="n">
        <f aca="false">IF(A187="January",(R186+R186*Assumptions!$E$32),R186)</f>
        <v>0.396273426307333</v>
      </c>
      <c r="S187" s="875" t="n">
        <f aca="false">(Q187*K187)+R187</f>
        <v>5.21439379606392</v>
      </c>
      <c r="T187" s="869"/>
      <c r="U187" s="187"/>
      <c r="V187" s="897"/>
      <c r="W187" s="897"/>
      <c r="X187" s="31"/>
      <c r="Y187" s="975" t="n">
        <f aca="false">Tables!$D$36</f>
        <v>312</v>
      </c>
      <c r="Z187" s="879" t="n">
        <f aca="false">IF($Z$10=$V$10,V187,IF($Z$10=$W$10,W187,IF($Z$10=$X$10,X187,0)))</f>
        <v>0</v>
      </c>
      <c r="AA187" s="880" t="n">
        <f aca="false">Y187*Z187</f>
        <v>0</v>
      </c>
      <c r="AB187" s="881" t="n">
        <f aca="false">AA187*K187</f>
        <v>0</v>
      </c>
      <c r="AC187" s="188"/>
      <c r="AD187" s="882" t="n">
        <f aca="false">IF(Tables!$E$30="Michigan",INDEX('Michigan Curve'!$A$4:$S$256,MATCH('Monthly Table'!B187,'Michigan Curve'!$A$4:$A$256,0),MATCH("Michigan Selected Option Value US$/month",'Michigan Curve'!$A$4:$S$4,0)),INDEX('NY Curve'!$A$4:$T$256,MATCH('Monthly Table'!B187,'NY Curve'!$A$4:$A$256,0),MATCH("New York Selected Option Value US$/month",'NY Curve'!$A$4:$T$4,0)))</f>
        <v>143757.270381114</v>
      </c>
      <c r="AE187" s="883" t="n">
        <f aca="false">AD187*K187</f>
        <v>183407.873089859</v>
      </c>
      <c r="AF187" s="188"/>
      <c r="AG187" s="884"/>
      <c r="AH187" s="49"/>
      <c r="AI187" s="885" t="n">
        <f aca="false">Assumptions!$B$50</f>
        <v>65</v>
      </c>
      <c r="AJ187" s="916"/>
      <c r="AK187" s="887" t="n">
        <f aca="false">IF(Tables!$E$30="Custom",'Monthly Table'!AI187,IF(Tables!$E$30="New York",INDEX('NY Curve'!$A$4:$G$256,MATCH('Monthly Table'!B187,'NY Curve'!$A$4:$A$256,0),MATCH("Super Peak Curve",'NY Curve'!$A$4:$G$4,0)),IF(Tables!$E$30="New York Flat",INDEX('NY Curve'!$A$4:$G$256,MATCH('Monthly Table'!B187,'NY Curve'!$A$4:$A$256,0),MATCH("Flat NY West",'NY Curve'!$A$4:$G$4,0)),INDEX('Michigan Curve'!$A$4:$F$256,MATCH('Monthly Table'!B187,'Michigan Curve'!$A$4:$A$256,0),MATCH("Michigan Super Peak Curve US$/MWhr",'Michigan Curve'!$A$4:$F$4,0)))))</f>
        <v>50.3340622335672</v>
      </c>
      <c r="AL187" s="888" t="n">
        <f aca="false">IF(D187&lt;=Tables!$B$21,IF($AL$10=$AI$10,AI187,IF($AL$10=$AJ$10,AJ187,IF($AL$10=$AK$10,AK187,0))),0)</f>
        <v>50.3340622335672</v>
      </c>
      <c r="AM187" s="889" t="n">
        <f aca="false">+AL187*K187</f>
        <v>64.2170185463117</v>
      </c>
      <c r="AN187" s="890" t="n">
        <f aca="false">IF((AL187*K187)&gt;(CP187+$BF$4),1,0)</f>
        <v>0</v>
      </c>
      <c r="AO187" s="891"/>
      <c r="AP187" s="894"/>
      <c r="AQ187" s="892" t="n">
        <f aca="false">IF(Tables!$E$30="New York",INDEX('NY Curve'!$A$4:$L$256,MATCH('Monthly Table'!B187,'NY Curve'!$A$4:$A$256,0),MATCH("New York Shoulder Hour Curve Mon-Fri",'NY Curve'!$A$4:$L$4,0)),IF(Tables!$E$30="Michigan",INDEX('Michigan Curve'!$A$4:$K$256,MATCH('Monthly Table'!B187,'Michigan Curve'!$A$4:$A$256,0),MATCH("Michigan Shoulder Hour Curve Mon-Fri",'Michigan Curve'!$A$4:$K$4,0))))</f>
        <v>24.1659377664328</v>
      </c>
      <c r="AR187" s="889" t="n">
        <f aca="false">AQ187*K187</f>
        <v>30.8312980290533</v>
      </c>
      <c r="AS187" s="893" t="n">
        <f aca="false">IF(AR187&gt;($CP187+$BF$4),1,0)</f>
        <v>0</v>
      </c>
      <c r="AU187" s="892" t="n">
        <f aca="false">IF(Tables!$E$30="New York",INDEX('NY Curve'!$A$4:$L$256,MATCH('Monthly Table'!$B187,'NY Curve'!$A$4:$A$256,0),MATCH("New York Saturday Super Peak",'NY Curve'!$A$4:$L$4,0)),IF(Tables!$E$30="Michigan",INDEX('Michigan Curve'!$A$4:$K$256,MATCH('Monthly Table'!$B187,'Michigan Curve'!$A$4:$A$256,0),MATCH("Michigan Saturday Super Peak",'Michigan Curve'!$A$4:$K$4,0))))</f>
        <v>33.7812498211861</v>
      </c>
      <c r="AV187" s="894" t="n">
        <f aca="false">AU187*K187</f>
        <v>43.0986701653098</v>
      </c>
      <c r="AW187" s="893" t="n">
        <f aca="false">IF(AV187&gt;($CP187+$BF$4),1,0)</f>
        <v>0</v>
      </c>
      <c r="AX187" s="892" t="n">
        <f aca="false">IF(Tables!$E$30="New York",INDEX('NY Curve'!$A$4:$L$256,MATCH('Monthly Table'!$B187,'NY Curve'!$A$4:$A$256,0),MATCH("New York Saturday Shoulder Peak",'NY Curve'!$A$4:$L$4,0)),IF(Tables!$E$30="Michigan",INDEX('Michigan Curve'!$A$4:$K$256,MATCH('Monthly Table'!$B187,'Michigan Curve'!$A$4:$A$256,0),MATCH("Michigan Saturday Shoulder Peak",'Michigan Curve'!$A$4:$K$4,0))))</f>
        <v>16.2187501788139</v>
      </c>
      <c r="AY187" s="895" t="n">
        <f aca="false">AX187*K187</f>
        <v>20.6921463282237</v>
      </c>
      <c r="AZ187" s="893" t="n">
        <f aca="false">IF(AY187&gt;($CP187+$BF$4),1,0)</f>
        <v>0</v>
      </c>
      <c r="BB187" s="892" t="n">
        <f aca="false">IF(Tables!$E$30="New York",INDEX('NY Curve'!$A$4:$M$256,MATCH('Monthly Table'!$B187,'NY Curve'!$A$4:$A$256,0),MATCH("NY Sunday Super Peak",'NY Curve'!$A$4:$M$4,0)),IF(Tables!$E$30="Michigan",INDEX('Michigan Curve'!$A$4:$L$256,MATCH('Monthly Table'!$B187,'Michigan Curve'!$A$4:$A$256,0),MATCH("Michigan Sunday Super Peak",'Michigan Curve'!$A$4:$L$4,0))))</f>
        <v>32.4299998283386</v>
      </c>
      <c r="BC187" s="894" t="n">
        <f aca="false">BB187*K187</f>
        <v>41.3747233586974</v>
      </c>
      <c r="BD187" s="893" t="n">
        <f aca="false">IF(BC187&gt;($CP187+$BF$4),1,0)</f>
        <v>0</v>
      </c>
      <c r="BF187" s="896" t="n">
        <f aca="false">B187</f>
        <v>42248</v>
      </c>
      <c r="BG187" s="897" t="n">
        <f aca="false">IF($AN187=1,$E187*$BF$5,0)</f>
        <v>0</v>
      </c>
      <c r="BH187" s="976" t="n">
        <f aca="false">IF(Tables!$B$36="Combined Cycle",(BF187-BF186)*24*Assumptions!$B$21,0)</f>
        <v>0</v>
      </c>
      <c r="BI187" s="714" t="n">
        <f aca="false">IF($AN187=1,$E187*$BF$5,0)</f>
        <v>0</v>
      </c>
      <c r="BJ187" s="898" t="n">
        <f aca="false">IF('Monthly Table'!D187&lt;=Tables!$B$21,IF($BJ$10=$BG$10,BG187,IF($BJ$10=$BH$10,BH187,IF($BJ$10=$BI$10,BI187,0))),0)</f>
        <v>0</v>
      </c>
      <c r="BK187" s="288"/>
      <c r="BL187" s="898" t="n">
        <f aca="false">IF($AW187=1,$F187*$BF$5,0)</f>
        <v>0</v>
      </c>
      <c r="BM187" s="898" t="n">
        <f aca="false">IF($BD187=1,($G187+H187)*$BF$5,0)</f>
        <v>0</v>
      </c>
      <c r="BO187" s="898" t="n">
        <f aca="false">IF(AS187=1,BJ187,0)</f>
        <v>0</v>
      </c>
      <c r="BP187" s="898" t="n">
        <f aca="false">IF(AZ187=1,F187*$BF$5,0)</f>
        <v>0</v>
      </c>
      <c r="BR187" s="899" t="n">
        <f aca="false">IF(BJ187&gt;0,INDEX(OperationalDetail,MATCH("Capacity Degradation",ODColumn,0),MATCH('Monthly Table'!C187,ODRow,0)),0)</f>
        <v>0</v>
      </c>
      <c r="BS187" s="900" t="n">
        <f aca="false">BJ187*(1-BR187)*Tables!$C$36</f>
        <v>0</v>
      </c>
      <c r="BT187" s="883" t="n">
        <f aca="false">BS187*AL187/1000</f>
        <v>0</v>
      </c>
      <c r="BU187" s="883" t="n">
        <f aca="false">BT187*K187</f>
        <v>0</v>
      </c>
      <c r="BV187" s="188"/>
      <c r="BW187" s="901" t="n">
        <f aca="false">$BO187*(1-$BR187)*Tables!$C$36</f>
        <v>0</v>
      </c>
      <c r="BX187" s="902" t="n">
        <f aca="false">(BW187*AQ187)/1000</f>
        <v>0</v>
      </c>
      <c r="BY187" s="883" t="n">
        <f aca="false">BX187*K187</f>
        <v>0</v>
      </c>
      <c r="BZ187" s="188"/>
      <c r="CA187" s="901" t="n">
        <f aca="false">$BL187*(1-$BR187)*Tables!$C$36</f>
        <v>0</v>
      </c>
      <c r="CB187" s="902" t="n">
        <f aca="false">(CA187*AU187)/1000</f>
        <v>0</v>
      </c>
      <c r="CC187" s="883" t="n">
        <f aca="false">CB187*K187</f>
        <v>0</v>
      </c>
      <c r="CD187" s="901" t="n">
        <f aca="false">$BP187*(1-$BR187)*Tables!$C$36</f>
        <v>0</v>
      </c>
      <c r="CE187" s="902" t="n">
        <f aca="false">(CD187*AX187)/1000</f>
        <v>0</v>
      </c>
      <c r="CF187" s="883" t="n">
        <f aca="false">CE187*K187</f>
        <v>0</v>
      </c>
      <c r="CH187" s="901" t="n">
        <f aca="false">$BM187*(1-$BR187)*Tables!$C$36</f>
        <v>0</v>
      </c>
      <c r="CI187" s="902" t="n">
        <f aca="false">(CH187*BB187)/1000</f>
        <v>0</v>
      </c>
      <c r="CJ187" s="883" t="n">
        <f aca="false">CI187*K187</f>
        <v>0</v>
      </c>
      <c r="CK187" s="292"/>
      <c r="CL187" s="292" t="n">
        <f aca="false">C187-1</f>
        <v>2014</v>
      </c>
      <c r="CM187" s="903" t="n">
        <f aca="false">INDEX(OperationalDetail,MATCH("Degraded Heat Rate",ODColumn,0),MATCH('Monthly Table'!CL187,ODRow,0))/1000</f>
        <v>11.9902588</v>
      </c>
      <c r="CN187" s="904" t="n">
        <f aca="false">S187*CM187</f>
        <v>62.5219310999208</v>
      </c>
      <c r="CO187" s="905" t="n">
        <f aca="false">IF(A187="January",(CO186*(1+Assumptions!$E$32)),CO186)</f>
        <v>8.88751414345536</v>
      </c>
      <c r="CP187" s="906" t="n">
        <f aca="false">CN187+CO187</f>
        <v>71.4094452433762</v>
      </c>
      <c r="CQ187" s="292"/>
      <c r="CR187" s="856" t="str">
        <f aca="false">IF(BJ187=0,"",C187)</f>
        <v/>
      </c>
      <c r="CS187" s="856" t="str">
        <f aca="false">IF(BO187=0,"",$C187)</f>
        <v/>
      </c>
      <c r="CT187" s="856" t="str">
        <f aca="false">IF(BL187=0,"",$C187)</f>
        <v/>
      </c>
      <c r="CU187" s="856" t="str">
        <f aca="false">IF(BP187=0,"",$C187)</f>
        <v/>
      </c>
      <c r="CV187" s="856" t="str">
        <f aca="false">IF(BD187=0,"",$C187)</f>
        <v/>
      </c>
      <c r="CW187" s="907" t="n">
        <f aca="false">YEAR(BF187)</f>
        <v>2015</v>
      </c>
      <c r="CX187" s="908" t="n">
        <f aca="false">INDEX('NY Curve'!$A$4:$G$256,MATCH('Monthly Table'!B187,'NY Curve'!$A$4:$A$256,0),MATCH("New York 5 X 16",'NY Curve'!$A$4:$G$4,0))</f>
        <v>31.95</v>
      </c>
      <c r="CY187" s="909" t="n">
        <f aca="false">K187</f>
        <v>1.27581632987067</v>
      </c>
      <c r="CZ187" s="910" t="n">
        <f aca="false">CX187*CY187</f>
        <v>40.7623317393679</v>
      </c>
      <c r="DB187" s="911"/>
      <c r="DC187" s="911"/>
    </row>
    <row r="188" customFormat="false" ht="18.75" hidden="false" customHeight="true" outlineLevel="0" collapsed="false">
      <c r="A188" s="49" t="s">
        <v>819</v>
      </c>
      <c r="B188" s="863" t="n">
        <v>42278</v>
      </c>
      <c r="C188" s="288" t="n">
        <f aca="false">YEAR(B188)</f>
        <v>2015</v>
      </c>
      <c r="D188" s="864" t="n">
        <f aca="false">IF(A188="January",D187+1,D187)</f>
        <v>15</v>
      </c>
      <c r="E188" s="865" t="n">
        <v>22</v>
      </c>
      <c r="F188" s="866" t="n">
        <v>5</v>
      </c>
      <c r="G188" s="866" t="n">
        <v>4</v>
      </c>
      <c r="H188" s="866" t="n">
        <v>0</v>
      </c>
      <c r="I188" s="867" t="n">
        <f aca="false">SUM(E188:H188)</f>
        <v>31</v>
      </c>
      <c r="J188" s="868"/>
      <c r="K188" s="869" t="n">
        <f aca="false">INDEX(FX!$A$3:$C$362,MATCH(B188,FX!$A$3:$A$362,0),MATCH("Monthly Curve",FX!$A$2:$C$2,0))</f>
        <v>1.27518841187618</v>
      </c>
      <c r="L188" s="869"/>
      <c r="M188" s="987" t="n">
        <v>3.5585</v>
      </c>
      <c r="N188" s="988" t="n">
        <v>0.145</v>
      </c>
      <c r="O188" s="986" t="n">
        <v>0.1</v>
      </c>
      <c r="P188" s="872" t="n">
        <f aca="false">N188+O188</f>
        <v>0.245</v>
      </c>
      <c r="Q188" s="873" t="n">
        <f aca="false">SUM(M188:O188)</f>
        <v>3.8035</v>
      </c>
      <c r="R188" s="974" t="n">
        <f aca="false">IF(A188="January",(R187+R187*Assumptions!$E$32),R187)</f>
        <v>0.396273426307333</v>
      </c>
      <c r="S188" s="875" t="n">
        <f aca="false">(Q188*K188)+R188</f>
        <v>5.24645255087838</v>
      </c>
      <c r="T188" s="869"/>
      <c r="U188" s="187"/>
      <c r="V188" s="897"/>
      <c r="W188" s="897"/>
      <c r="X188" s="31"/>
      <c r="Y188" s="975" t="n">
        <f aca="false">Tables!$D$36</f>
        <v>312</v>
      </c>
      <c r="Z188" s="879" t="n">
        <f aca="false">IF($Z$10=$V$10,V188,IF($Z$10=$W$10,W188,IF($Z$10=$X$10,X188,0)))</f>
        <v>0</v>
      </c>
      <c r="AA188" s="880" t="n">
        <f aca="false">Y188*Z188</f>
        <v>0</v>
      </c>
      <c r="AB188" s="881" t="n">
        <f aca="false">AA188*K188</f>
        <v>0</v>
      </c>
      <c r="AC188" s="188"/>
      <c r="AD188" s="882" t="n">
        <f aca="false">IF(Tables!$E$30="Michigan",INDEX('Michigan Curve'!$A$4:$S$256,MATCH('Monthly Table'!B188,'Michigan Curve'!$A$4:$A$256,0),MATCH("Michigan Selected Option Value US$/month",'Michigan Curve'!$A$4:$S$4,0)),INDEX('NY Curve'!$A$4:$T$256,MATCH('Monthly Table'!B188,'NY Curve'!$A$4:$A$256,0),MATCH("New York Selected Option Value US$/month",'NY Curve'!$A$4:$T$4,0)))</f>
        <v>3044.05927775469</v>
      </c>
      <c r="AE188" s="883" t="n">
        <f aca="false">AD188*K188</f>
        <v>3881.74911605696</v>
      </c>
      <c r="AF188" s="188"/>
      <c r="AG188" s="884"/>
      <c r="AH188" s="49"/>
      <c r="AI188" s="885" t="n">
        <f aca="false">Assumptions!$B$50</f>
        <v>65</v>
      </c>
      <c r="AJ188" s="916"/>
      <c r="AK188" s="887" t="n">
        <f aca="false">IF(Tables!$E$30="Custom",'Monthly Table'!AI188,IF(Tables!$E$30="New York",INDEX('NY Curve'!$A$4:$G$256,MATCH('Monthly Table'!B188,'NY Curve'!$A$4:$A$256,0),MATCH("Super Peak Curve",'NY Curve'!$A$4:$G$4,0)),IF(Tables!$E$30="New York Flat",INDEX('NY Curve'!$A$4:$G$256,MATCH('Monthly Table'!B188,'NY Curve'!$A$4:$A$256,0),MATCH("Flat NY West",'NY Curve'!$A$4:$G$4,0)),INDEX('Michigan Curve'!$A$4:$F$256,MATCH('Monthly Table'!B188,'Michigan Curve'!$A$4:$A$256,0),MATCH("Michigan Super Peak Curve US$/MWhr",'Michigan Curve'!$A$4:$F$4,0)))))</f>
        <v>30.3499946594238</v>
      </c>
      <c r="AL188" s="888" t="n">
        <f aca="false">IF(D188&lt;=Tables!$B$21,IF($AL$10=$AI$10,AI188,IF($AL$10=$AJ$10,AJ188,IF($AL$10=$AK$10,AK188,0))),0)</f>
        <v>30.3499946594238</v>
      </c>
      <c r="AM188" s="889" t="n">
        <f aca="false">+AL188*K188</f>
        <v>38.7019614902012</v>
      </c>
      <c r="AN188" s="890" t="n">
        <f aca="false">IF((AL188*K188)&gt;(CP188+$BF$4),1,0)</f>
        <v>0</v>
      </c>
      <c r="AO188" s="891"/>
      <c r="AP188" s="894"/>
      <c r="AQ188" s="892" t="n">
        <f aca="false">IF(Tables!$E$30="New York",INDEX('NY Curve'!$A$4:$L$256,MATCH('Monthly Table'!B188,'NY Curve'!$A$4:$A$256,0),MATCH("New York Shoulder Hour Curve Mon-Fri",'NY Curve'!$A$4:$L$4,0)),IF(Tables!$E$30="Michigan",INDEX('Michigan Curve'!$A$4:$K$256,MATCH('Monthly Table'!B188,'Michigan Curve'!$A$4:$A$256,0),MATCH("Michigan Shoulder Hour Curve Mon-Fri",'Michigan Curve'!$A$4:$K$4,0))))</f>
        <v>30.3499946594238</v>
      </c>
      <c r="AR188" s="889" t="n">
        <f aca="false">AQ188*K188</f>
        <v>38.7019614902012</v>
      </c>
      <c r="AS188" s="893" t="n">
        <f aca="false">IF(AR188&gt;($CP188+$BF$4),1,0)</f>
        <v>0</v>
      </c>
      <c r="AU188" s="892" t="n">
        <f aca="false">IF(Tables!$E$30="New York",INDEX('NY Curve'!$A$4:$L$256,MATCH('Monthly Table'!$B188,'NY Curve'!$A$4:$A$256,0),MATCH("New York Saturday Super Peak",'NY Curve'!$A$4:$L$4,0)),IF(Tables!$E$30="Michigan",INDEX('Michigan Curve'!$A$4:$K$256,MATCH('Monthly Table'!$B188,'Michigan Curve'!$A$4:$A$256,0),MATCH("Michigan Saturday Super Peak",'Michigan Curve'!$A$4:$K$4,0))))</f>
        <v>19.996000289917</v>
      </c>
      <c r="AV188" s="894" t="n">
        <f aca="false">AU188*K188</f>
        <v>25.4986678535749</v>
      </c>
      <c r="AW188" s="893" t="n">
        <f aca="false">IF(AV188&gt;($CP188+$BF$4),1,0)</f>
        <v>0</v>
      </c>
      <c r="AX188" s="892" t="n">
        <f aca="false">IF(Tables!$E$30="New York",INDEX('NY Curve'!$A$4:$L$256,MATCH('Monthly Table'!$B188,'NY Curve'!$A$4:$A$256,0),MATCH("New York Saturday Shoulder Peak",'NY Curve'!$A$4:$L$4,0)),IF(Tables!$E$30="Michigan",INDEX('Michigan Curve'!$A$4:$K$256,MATCH('Monthly Table'!$B188,'Michigan Curve'!$A$4:$A$256,0),MATCH("Michigan Saturday Shoulder Peak",'Michigan Curve'!$A$4:$K$4,0))))</f>
        <v>19.996000289917</v>
      </c>
      <c r="AY188" s="895" t="n">
        <f aca="false">AX188*K188</f>
        <v>25.4986678535749</v>
      </c>
      <c r="AZ188" s="893" t="n">
        <f aca="false">IF(AY188&gt;($CP188+$BF$4),1,0)</f>
        <v>0</v>
      </c>
      <c r="BB188" s="892" t="n">
        <f aca="false">IF(Tables!$E$30="New York",INDEX('NY Curve'!$A$4:$M$256,MATCH('Monthly Table'!$B188,'NY Curve'!$A$4:$A$256,0),MATCH("NY Sunday Super Peak",'NY Curve'!$A$4:$M$4,0)),IF(Tables!$E$30="Michigan",INDEX('Michigan Curve'!$A$4:$L$256,MATCH('Monthly Table'!$B188,'Michigan Curve'!$A$4:$A$256,0),MATCH("Michigan Sunday Super Peak",'Michigan Curve'!$A$4:$L$4,0))))</f>
        <v>18.9965000152588</v>
      </c>
      <c r="BC188" s="894" t="n">
        <f aca="false">BB188*K188</f>
        <v>24.2241166856637</v>
      </c>
      <c r="BD188" s="893" t="n">
        <f aca="false">IF(BC188&gt;($CP188+$BF$4),1,0)</f>
        <v>0</v>
      </c>
      <c r="BF188" s="896" t="n">
        <f aca="false">B188</f>
        <v>42278</v>
      </c>
      <c r="BG188" s="897" t="n">
        <f aca="false">IF($AN188=1,$E188*$BF$5,0)</f>
        <v>0</v>
      </c>
      <c r="BH188" s="976" t="n">
        <f aca="false">IF(Tables!$B$36="Combined Cycle",(BF188-BF187)*24*Assumptions!$B$21,0)</f>
        <v>0</v>
      </c>
      <c r="BI188" s="714" t="n">
        <f aca="false">IF($AN188=1,$E188*$BF$5,0)</f>
        <v>0</v>
      </c>
      <c r="BJ188" s="898" t="n">
        <f aca="false">IF('Monthly Table'!D188&lt;=Tables!$B$21,IF($BJ$10=$BG$10,BG188,IF($BJ$10=$BH$10,BH188,IF($BJ$10=$BI$10,BI188,0))),0)</f>
        <v>0</v>
      </c>
      <c r="BK188" s="288"/>
      <c r="BL188" s="898" t="n">
        <f aca="false">IF($AW188=1,$F188*$BF$5,0)</f>
        <v>0</v>
      </c>
      <c r="BM188" s="898" t="n">
        <f aca="false">IF($BD188=1,($G188+H188)*$BF$5,0)</f>
        <v>0</v>
      </c>
      <c r="BO188" s="898" t="n">
        <f aca="false">IF(AS188=1,BJ188,0)</f>
        <v>0</v>
      </c>
      <c r="BP188" s="898" t="n">
        <f aca="false">IF(AZ188=1,F188*$BF$5,0)</f>
        <v>0</v>
      </c>
      <c r="BR188" s="899" t="n">
        <f aca="false">IF(BJ188&gt;0,INDEX(OperationalDetail,MATCH("Capacity Degradation",ODColumn,0),MATCH('Monthly Table'!C188,ODRow,0)),0)</f>
        <v>0</v>
      </c>
      <c r="BS188" s="900" t="n">
        <f aca="false">BJ188*(1-BR188)*Tables!$C$36</f>
        <v>0</v>
      </c>
      <c r="BT188" s="883" t="n">
        <f aca="false">BS188*AL188/1000</f>
        <v>0</v>
      </c>
      <c r="BU188" s="883" t="n">
        <f aca="false">BT188*K188</f>
        <v>0</v>
      </c>
      <c r="BV188" s="188"/>
      <c r="BW188" s="901" t="n">
        <f aca="false">$BO188*(1-$BR188)*Tables!$C$36</f>
        <v>0</v>
      </c>
      <c r="BX188" s="902" t="n">
        <f aca="false">(BW188*AQ188)/1000</f>
        <v>0</v>
      </c>
      <c r="BY188" s="883" t="n">
        <f aca="false">BX188*K188</f>
        <v>0</v>
      </c>
      <c r="BZ188" s="188"/>
      <c r="CA188" s="901" t="n">
        <f aca="false">$BL188*(1-$BR188)*Tables!$C$36</f>
        <v>0</v>
      </c>
      <c r="CB188" s="902" t="n">
        <f aca="false">(CA188*AU188)/1000</f>
        <v>0</v>
      </c>
      <c r="CC188" s="883" t="n">
        <f aca="false">CB188*K188</f>
        <v>0</v>
      </c>
      <c r="CD188" s="901" t="n">
        <f aca="false">$BP188*(1-$BR188)*Tables!$C$36</f>
        <v>0</v>
      </c>
      <c r="CE188" s="902" t="n">
        <f aca="false">(CD188*AX188)/1000</f>
        <v>0</v>
      </c>
      <c r="CF188" s="883" t="n">
        <f aca="false">CE188*K188</f>
        <v>0</v>
      </c>
      <c r="CH188" s="901" t="n">
        <f aca="false">$BM188*(1-$BR188)*Tables!$C$36</f>
        <v>0</v>
      </c>
      <c r="CI188" s="902" t="n">
        <f aca="false">(CH188*BB188)/1000</f>
        <v>0</v>
      </c>
      <c r="CJ188" s="883" t="n">
        <f aca="false">CI188*K188</f>
        <v>0</v>
      </c>
      <c r="CK188" s="292"/>
      <c r="CL188" s="292" t="n">
        <f aca="false">C188-1</f>
        <v>2014</v>
      </c>
      <c r="CM188" s="903" t="n">
        <f aca="false">INDEX(OperationalDetail,MATCH("Degraded Heat Rate",ODColumn,0),MATCH('Monthly Table'!CL188,ODRow,0))/1000</f>
        <v>11.9902588</v>
      </c>
      <c r="CN188" s="904" t="n">
        <f aca="false">S188*CM188</f>
        <v>62.906323866952</v>
      </c>
      <c r="CO188" s="905" t="n">
        <f aca="false">IF(A188="January",(CO187*(1+Assumptions!$E$32)),CO187)</f>
        <v>8.88751414345536</v>
      </c>
      <c r="CP188" s="906" t="n">
        <f aca="false">CN188+CO188</f>
        <v>71.7938380104074</v>
      </c>
      <c r="CQ188" s="292"/>
      <c r="CR188" s="856" t="str">
        <f aca="false">IF(BJ188=0,"",C188)</f>
        <v/>
      </c>
      <c r="CS188" s="856" t="str">
        <f aca="false">IF(BO188=0,"",$C188)</f>
        <v/>
      </c>
      <c r="CT188" s="856" t="str">
        <f aca="false">IF(BL188=0,"",$C188)</f>
        <v/>
      </c>
      <c r="CU188" s="856" t="str">
        <f aca="false">IF(BP188=0,"",$C188)</f>
        <v/>
      </c>
      <c r="CV188" s="856" t="str">
        <f aca="false">IF(BD188=0,"",$C188)</f>
        <v/>
      </c>
      <c r="CW188" s="907" t="n">
        <f aca="false">YEAR(BF188)</f>
        <v>2015</v>
      </c>
      <c r="CX188" s="908" t="n">
        <f aca="false">INDEX('NY Curve'!$A$4:$G$256,MATCH('Monthly Table'!B188,'NY Curve'!$A$4:$A$256,0),MATCH("New York 5 X 16",'NY Curve'!$A$4:$G$4,0))</f>
        <v>27.7</v>
      </c>
      <c r="CY188" s="909" t="n">
        <f aca="false">K188</f>
        <v>1.27518841187618</v>
      </c>
      <c r="CZ188" s="910" t="n">
        <f aca="false">CX188*CY188</f>
        <v>35.3227190089702</v>
      </c>
      <c r="DB188" s="911"/>
      <c r="DC188" s="911"/>
    </row>
    <row r="189" customFormat="false" ht="18.75" hidden="false" customHeight="true" outlineLevel="0" collapsed="false">
      <c r="A189" s="49" t="s">
        <v>820</v>
      </c>
      <c r="B189" s="863" t="n">
        <v>42309</v>
      </c>
      <c r="C189" s="288" t="n">
        <f aca="false">YEAR(B189)</f>
        <v>2015</v>
      </c>
      <c r="D189" s="864" t="n">
        <f aca="false">IF(A189="January",D188+1,D188)</f>
        <v>15</v>
      </c>
      <c r="E189" s="865" t="n">
        <v>20</v>
      </c>
      <c r="F189" s="866" t="n">
        <v>4</v>
      </c>
      <c r="G189" s="866" t="n">
        <v>5</v>
      </c>
      <c r="H189" s="866" t="n">
        <v>1</v>
      </c>
      <c r="I189" s="867" t="n">
        <f aca="false">SUM(E189:H189)</f>
        <v>30</v>
      </c>
      <c r="J189" s="868"/>
      <c r="K189" s="869" t="n">
        <f aca="false">INDEX(FX!$A$3:$C$362,MATCH(B189,FX!$A$3:$A$362,0),MATCH("Monthly Curve",FX!$A$2:$C$2,0))</f>
        <v>1.27454271821901</v>
      </c>
      <c r="L189" s="869"/>
      <c r="M189" s="987" t="n">
        <v>3.6945</v>
      </c>
      <c r="N189" s="988" t="n">
        <v>0.23</v>
      </c>
      <c r="O189" s="986" t="n">
        <v>0.1</v>
      </c>
      <c r="P189" s="872" t="n">
        <f aca="false">N189+O189</f>
        <v>0.33</v>
      </c>
      <c r="Q189" s="873" t="n">
        <f aca="false">SUM(M189:O189)</f>
        <v>4.0245</v>
      </c>
      <c r="R189" s="974" t="n">
        <f aca="false">IF(A189="January",(R188+R188*Assumptions!$E$32),R188)</f>
        <v>0.396273426307333</v>
      </c>
      <c r="S189" s="875" t="n">
        <f aca="false">(Q189*K189)+R189</f>
        <v>5.52567059577974</v>
      </c>
      <c r="T189" s="869"/>
      <c r="U189" s="187"/>
      <c r="V189" s="897"/>
      <c r="W189" s="897"/>
      <c r="X189" s="31"/>
      <c r="Y189" s="975" t="n">
        <f aca="false">Tables!$D$36</f>
        <v>312</v>
      </c>
      <c r="Z189" s="879" t="n">
        <f aca="false">IF($Z$10=$V$10,V189,IF($Z$10=$W$10,W189,IF($Z$10=$X$10,X189,0)))</f>
        <v>0</v>
      </c>
      <c r="AA189" s="880" t="n">
        <f aca="false">Y189*Z189</f>
        <v>0</v>
      </c>
      <c r="AB189" s="881" t="n">
        <f aca="false">AA189*K189</f>
        <v>0</v>
      </c>
      <c r="AC189" s="188"/>
      <c r="AD189" s="882" t="n">
        <f aca="false">IF(Tables!$E$30="Michigan",INDEX('Michigan Curve'!$A$4:$S$256,MATCH('Monthly Table'!B189,'Michigan Curve'!$A$4:$A$256,0),MATCH("Michigan Selected Option Value US$/month",'Michigan Curve'!$A$4:$S$4,0)),INDEX('NY Curve'!$A$4:$T$256,MATCH('Monthly Table'!B189,'NY Curve'!$A$4:$A$256,0),MATCH("New York Selected Option Value US$/month",'NY Curve'!$A$4:$T$4,0)))</f>
        <v>16623.8169116258</v>
      </c>
      <c r="AE189" s="883" t="n">
        <f aca="false">AD189*K189</f>
        <v>21187.7647937187</v>
      </c>
      <c r="AF189" s="188"/>
      <c r="AG189" s="884"/>
      <c r="AH189" s="49"/>
      <c r="AI189" s="885" t="n">
        <f aca="false">Assumptions!$B$50</f>
        <v>65</v>
      </c>
      <c r="AJ189" s="916"/>
      <c r="AK189" s="887" t="n">
        <f aca="false">IF(Tables!$E$30="Custom",'Monthly Table'!AI189,IF(Tables!$E$30="New York",INDEX('NY Curve'!$A$4:$G$256,MATCH('Monthly Table'!B189,'NY Curve'!$A$4:$A$256,0),MATCH("Super Peak Curve",'NY Curve'!$A$4:$G$4,0)),IF(Tables!$E$30="New York Flat",INDEX('NY Curve'!$A$4:$G$256,MATCH('Monthly Table'!B189,'NY Curve'!$A$4:$A$256,0),MATCH("Flat NY West",'NY Curve'!$A$4:$G$4,0)),INDEX('Michigan Curve'!$A$4:$F$256,MATCH('Monthly Table'!B189,'Michigan Curve'!$A$4:$A$256,0),MATCH("Michigan Super Peak Curve US$/MWhr",'Michigan Curve'!$A$4:$F$4,0)))))</f>
        <v>32.6483953857422</v>
      </c>
      <c r="AL189" s="888" t="n">
        <f aca="false">IF(D189&lt;=Tables!$B$21,IF($AL$10=$AI$10,AI189,IF($AL$10=$AJ$10,AJ189,IF($AL$10=$AK$10,AK189,0))),0)</f>
        <v>32.6483953857422</v>
      </c>
      <c r="AM189" s="889" t="n">
        <f aca="false">+AL189*K189</f>
        <v>41.6117746004328</v>
      </c>
      <c r="AN189" s="890" t="n">
        <f aca="false">IF((AL189*K189)&gt;(CP189+$BF$4),1,0)</f>
        <v>0</v>
      </c>
      <c r="AO189" s="891"/>
      <c r="AP189" s="894"/>
      <c r="AQ189" s="892" t="n">
        <f aca="false">IF(Tables!$E$30="New York",INDEX('NY Curve'!$A$4:$L$256,MATCH('Monthly Table'!B189,'NY Curve'!$A$4:$A$256,0),MATCH("New York Shoulder Hour Curve Mon-Fri",'NY Curve'!$A$4:$L$4,0)),IF(Tables!$E$30="Michigan",INDEX('Michigan Curve'!$A$4:$K$256,MATCH('Monthly Table'!B189,'Michigan Curve'!$A$4:$A$256,0),MATCH("Michigan Shoulder Hour Curve Mon-Fri",'Michigan Curve'!$A$4:$K$4,0))))</f>
        <v>27.8115960693359</v>
      </c>
      <c r="AR189" s="889" t="n">
        <f aca="false">AQ189*K189</f>
        <v>35.4470672522206</v>
      </c>
      <c r="AS189" s="893" t="n">
        <f aca="false">IF(AR189&gt;($CP189+$BF$4),1,0)</f>
        <v>0</v>
      </c>
      <c r="AU189" s="892" t="n">
        <f aca="false">IF(Tables!$E$30="New York",INDEX('NY Curve'!$A$4:$L$256,MATCH('Monthly Table'!$B189,'NY Curve'!$A$4:$A$256,0),MATCH("New York Saturday Super Peak",'NY Curve'!$A$4:$L$4,0)),IF(Tables!$E$30="Michigan",INDEX('Michigan Curve'!$A$4:$K$256,MATCH('Monthly Table'!$B189,'Michigan Curve'!$A$4:$A$256,0),MATCH("Michigan Saturday Super Peak",'Michigan Curve'!$A$4:$K$4,0))))</f>
        <v>21.6</v>
      </c>
      <c r="AV189" s="894" t="n">
        <f aca="false">AU189*K189</f>
        <v>27.5301227135306</v>
      </c>
      <c r="AW189" s="893" t="n">
        <f aca="false">IF(AV189&gt;($CP189+$BF$4),1,0)</f>
        <v>0</v>
      </c>
      <c r="AX189" s="892" t="n">
        <f aca="false">IF(Tables!$E$30="New York",INDEX('NY Curve'!$A$4:$L$256,MATCH('Monthly Table'!$B189,'NY Curve'!$A$4:$A$256,0),MATCH("New York Saturday Shoulder Peak",'NY Curve'!$A$4:$L$4,0)),IF(Tables!$E$30="Michigan",INDEX('Michigan Curve'!$A$4:$K$256,MATCH('Monthly Table'!$B189,'Michigan Curve'!$A$4:$A$256,0),MATCH("Michigan Saturday Shoulder Peak",'Michigan Curve'!$A$4:$K$4,0))))</f>
        <v>18.4</v>
      </c>
      <c r="AY189" s="895" t="n">
        <f aca="false">AX189*K189</f>
        <v>23.4515860152298</v>
      </c>
      <c r="AZ189" s="893" t="n">
        <f aca="false">IF(AY189&gt;($CP189+$BF$4),1,0)</f>
        <v>0</v>
      </c>
      <c r="BB189" s="892" t="n">
        <f aca="false">IF(Tables!$E$30="New York",INDEX('NY Curve'!$A$4:$M$256,MATCH('Monthly Table'!$B189,'NY Curve'!$A$4:$A$256,0),MATCH("NY Sunday Super Peak",'NY Curve'!$A$4:$M$4,0)),IF(Tables!$E$30="Michigan",INDEX('Michigan Curve'!$A$4:$L$256,MATCH('Monthly Table'!$B189,'Michigan Curve'!$A$4:$A$256,0),MATCH("Michigan Sunday Super Peak",'Michigan Curve'!$A$4:$L$4,0))))</f>
        <v>20.52</v>
      </c>
      <c r="BC189" s="894" t="n">
        <f aca="false">BB189*K189</f>
        <v>26.1536165778541</v>
      </c>
      <c r="BD189" s="893" t="n">
        <f aca="false">IF(BC189&gt;($CP189+$BF$4),1,0)</f>
        <v>0</v>
      </c>
      <c r="BF189" s="896" t="n">
        <f aca="false">B189</f>
        <v>42309</v>
      </c>
      <c r="BG189" s="897" t="n">
        <f aca="false">IF($AN189=1,$E189*$BF$5,0)</f>
        <v>0</v>
      </c>
      <c r="BH189" s="976" t="n">
        <f aca="false">IF(Tables!$B$36="Combined Cycle",(BF189-BF188)*24*Assumptions!$B$21,0)</f>
        <v>0</v>
      </c>
      <c r="BI189" s="714" t="n">
        <f aca="false">IF($AN189=1,$E189*$BF$5,0)</f>
        <v>0</v>
      </c>
      <c r="BJ189" s="898" t="n">
        <f aca="false">IF('Monthly Table'!D189&lt;=Tables!$B$21,IF($BJ$10=$BG$10,BG189,IF($BJ$10=$BH$10,BH189,IF($BJ$10=$BI$10,BI189,0))),0)</f>
        <v>0</v>
      </c>
      <c r="BK189" s="288"/>
      <c r="BL189" s="898" t="n">
        <f aca="false">IF($AW189=1,$F189*$BF$5,0)</f>
        <v>0</v>
      </c>
      <c r="BM189" s="898" t="n">
        <f aca="false">IF($BD189=1,($G189+H189)*$BF$5,0)</f>
        <v>0</v>
      </c>
      <c r="BO189" s="898" t="n">
        <f aca="false">IF(AS189=1,BJ189,0)</f>
        <v>0</v>
      </c>
      <c r="BP189" s="898" t="n">
        <f aca="false">IF(AZ189=1,F189*$BF$5,0)</f>
        <v>0</v>
      </c>
      <c r="BR189" s="899" t="n">
        <f aca="false">IF(BJ189&gt;0,INDEX(OperationalDetail,MATCH("Capacity Degradation",ODColumn,0),MATCH('Monthly Table'!C189,ODRow,0)),0)</f>
        <v>0</v>
      </c>
      <c r="BS189" s="900" t="n">
        <f aca="false">BJ189*(1-BR189)*Tables!$C$36</f>
        <v>0</v>
      </c>
      <c r="BT189" s="883" t="n">
        <f aca="false">BS189*AL189/1000</f>
        <v>0</v>
      </c>
      <c r="BU189" s="883" t="n">
        <f aca="false">BT189*K189</f>
        <v>0</v>
      </c>
      <c r="BV189" s="188"/>
      <c r="BW189" s="901" t="n">
        <f aca="false">$BO189*(1-$BR189)*Tables!$C$36</f>
        <v>0</v>
      </c>
      <c r="BX189" s="902" t="n">
        <f aca="false">(BW189*AQ189)/1000</f>
        <v>0</v>
      </c>
      <c r="BY189" s="883" t="n">
        <f aca="false">BX189*K189</f>
        <v>0</v>
      </c>
      <c r="BZ189" s="188"/>
      <c r="CA189" s="901" t="n">
        <f aca="false">$BL189*(1-$BR189)*Tables!$C$36</f>
        <v>0</v>
      </c>
      <c r="CB189" s="902" t="n">
        <f aca="false">(CA189*AU189)/1000</f>
        <v>0</v>
      </c>
      <c r="CC189" s="883" t="n">
        <f aca="false">CB189*K189</f>
        <v>0</v>
      </c>
      <c r="CD189" s="901" t="n">
        <f aca="false">$BP189*(1-$BR189)*Tables!$C$36</f>
        <v>0</v>
      </c>
      <c r="CE189" s="902" t="n">
        <f aca="false">(CD189*AX189)/1000</f>
        <v>0</v>
      </c>
      <c r="CF189" s="883" t="n">
        <f aca="false">CE189*K189</f>
        <v>0</v>
      </c>
      <c r="CH189" s="901" t="n">
        <f aca="false">$BM189*(1-$BR189)*Tables!$C$36</f>
        <v>0</v>
      </c>
      <c r="CI189" s="902" t="n">
        <f aca="false">(CH189*BB189)/1000</f>
        <v>0</v>
      </c>
      <c r="CJ189" s="883" t="n">
        <f aca="false">CI189*K189</f>
        <v>0</v>
      </c>
      <c r="CK189" s="292"/>
      <c r="CL189" s="292" t="n">
        <f aca="false">C189-1</f>
        <v>2014</v>
      </c>
      <c r="CM189" s="903" t="n">
        <f aca="false">INDEX(OperationalDetail,MATCH("Degraded Heat Rate",ODColumn,0),MATCH('Monthly Table'!CL189,ODRow,0))/1000</f>
        <v>11.9902588</v>
      </c>
      <c r="CN189" s="904" t="n">
        <f aca="false">S189*CM189</f>
        <v>66.2542204869493</v>
      </c>
      <c r="CO189" s="905" t="n">
        <f aca="false">IF(A189="January",(CO188*(1+Assumptions!$E$32)),CO188)</f>
        <v>8.88751414345536</v>
      </c>
      <c r="CP189" s="906" t="n">
        <f aca="false">CN189+CO189</f>
        <v>75.1417346304046</v>
      </c>
      <c r="CQ189" s="292"/>
      <c r="CR189" s="856" t="str">
        <f aca="false">IF(BJ189=0,"",C189)</f>
        <v/>
      </c>
      <c r="CS189" s="856" t="str">
        <f aca="false">IF(BO189=0,"",$C189)</f>
        <v/>
      </c>
      <c r="CT189" s="856" t="str">
        <f aca="false">IF(BL189=0,"",$C189)</f>
        <v/>
      </c>
      <c r="CU189" s="856" t="str">
        <f aca="false">IF(BP189=0,"",$C189)</f>
        <v/>
      </c>
      <c r="CV189" s="856" t="str">
        <f aca="false">IF(BD189=0,"",$C189)</f>
        <v/>
      </c>
      <c r="CW189" s="907" t="n">
        <f aca="false">YEAR(BF189)</f>
        <v>2015</v>
      </c>
      <c r="CX189" s="908" t="n">
        <f aca="false">INDEX('NY Curve'!$A$4:$G$256,MATCH('Monthly Table'!B189,'NY Curve'!$A$4:$A$256,0),MATCH("New York 5 X 16",'NY Curve'!$A$4:$G$4,0))</f>
        <v>28.2</v>
      </c>
      <c r="CY189" s="909" t="n">
        <f aca="false">K189</f>
        <v>1.27454271821901</v>
      </c>
      <c r="CZ189" s="910" t="n">
        <f aca="false">CX189*CY189</f>
        <v>35.9421046537761</v>
      </c>
      <c r="DB189" s="911"/>
      <c r="DC189" s="911"/>
    </row>
    <row r="190" customFormat="false" ht="18.75" hidden="false" customHeight="true" outlineLevel="0" collapsed="false">
      <c r="A190" s="110" t="s">
        <v>821</v>
      </c>
      <c r="B190" s="918" t="n">
        <v>42339</v>
      </c>
      <c r="C190" s="917" t="n">
        <f aca="false">YEAR(B190)</f>
        <v>2015</v>
      </c>
      <c r="D190" s="919" t="n">
        <f aca="false">IF(A190="January",D189+1,D189)</f>
        <v>15</v>
      </c>
      <c r="E190" s="865" t="n">
        <v>22</v>
      </c>
      <c r="F190" s="866" t="n">
        <v>4</v>
      </c>
      <c r="G190" s="866" t="n">
        <v>4</v>
      </c>
      <c r="H190" s="866" t="n">
        <v>1</v>
      </c>
      <c r="I190" s="867" t="n">
        <f aca="false">SUM(E190:H190)</f>
        <v>31</v>
      </c>
      <c r="J190" s="923"/>
      <c r="K190" s="924" t="n">
        <f aca="false">INDEX(FX!$A$3:$C$362,MATCH(B190,FX!$A$3:$A$362,0),MATCH("Monthly Curve",FX!$A$2:$C$2,0))</f>
        <v>1.27392090230204</v>
      </c>
      <c r="L190" s="924"/>
      <c r="M190" s="987" t="n">
        <v>3.8205</v>
      </c>
      <c r="N190" s="988" t="n">
        <v>0.27</v>
      </c>
      <c r="O190" s="991" t="n">
        <v>0.1</v>
      </c>
      <c r="P190" s="928" t="n">
        <f aca="false">N190+O190</f>
        <v>0.37</v>
      </c>
      <c r="Q190" s="929" t="n">
        <f aca="false">SUM(M190:O190)</f>
        <v>4.1905</v>
      </c>
      <c r="R190" s="979" t="n">
        <f aca="false">IF(A190="January",(R189+R189*Assumptions!$E$32),R189)</f>
        <v>0.396273426307333</v>
      </c>
      <c r="S190" s="931" t="n">
        <f aca="false">(Q190*K190)+R190</f>
        <v>5.73463896740403</v>
      </c>
      <c r="T190" s="924"/>
      <c r="U190" s="938"/>
      <c r="V190" s="949"/>
      <c r="W190" s="949"/>
      <c r="X190" s="992"/>
      <c r="Y190" s="981" t="n">
        <f aca="false">Tables!$D$36</f>
        <v>312</v>
      </c>
      <c r="Z190" s="935" t="n">
        <f aca="false">IF($Z$10=$V$10,V190,IF($Z$10=$W$10,W190,IF($Z$10=$X$10,X190,0)))</f>
        <v>0</v>
      </c>
      <c r="AA190" s="936" t="n">
        <f aca="false">Y190*Z190</f>
        <v>0</v>
      </c>
      <c r="AB190" s="937" t="n">
        <f aca="false">AA190*K190</f>
        <v>0</v>
      </c>
      <c r="AC190" s="938"/>
      <c r="AD190" s="882" t="n">
        <f aca="false">IF(Tables!$E$30="Michigan",INDEX('Michigan Curve'!$A$4:$S$256,MATCH('Monthly Table'!B190,'Michigan Curve'!$A$4:$A$256,0),MATCH("Michigan Selected Option Value US$/month",'Michigan Curve'!$A$4:$S$4,0)),INDEX('NY Curve'!$A$4:$T$256,MATCH('Monthly Table'!B190,'NY Curve'!$A$4:$A$256,0),MATCH("New York Selected Option Value US$/month",'NY Curve'!$A$4:$T$4,0)))</f>
        <v>11173.8912560314</v>
      </c>
      <c r="AE190" s="883" t="n">
        <f aca="false">AD190*K190</f>
        <v>14234.6536311083</v>
      </c>
      <c r="AF190" s="938"/>
      <c r="AG190" s="939"/>
      <c r="AH190" s="110"/>
      <c r="AI190" s="885" t="n">
        <f aca="false">Assumptions!$B$50</f>
        <v>65</v>
      </c>
      <c r="AJ190" s="940"/>
      <c r="AK190" s="887" t="n">
        <f aca="false">IF(Tables!$E$30="Custom",'Monthly Table'!AI190,IF(Tables!$E$30="New York",INDEX('NY Curve'!$A$4:$G$256,MATCH('Monthly Table'!B190,'NY Curve'!$A$4:$A$256,0),MATCH("Super Peak Curve",'NY Curve'!$A$4:$G$4,0)),IF(Tables!$E$30="New York Flat",INDEX('NY Curve'!$A$4:$G$256,MATCH('Monthly Table'!B190,'NY Curve'!$A$4:$A$256,0),MATCH("Flat NY West",'NY Curve'!$A$4:$G$4,0)),INDEX('Michigan Curve'!$A$4:$F$256,MATCH('Monthly Table'!B190,'Michigan Curve'!$A$4:$A$256,0),MATCH("Michigan Super Peak Curve US$/MWhr",'Michigan Curve'!$A$4:$F$4,0)))))</f>
        <v>31.3139949417114</v>
      </c>
      <c r="AL190" s="941" t="n">
        <f aca="false">IF(D190&lt;=Tables!$B$21,IF($AL$10=$AI$10,AI190,IF($AL$10=$AJ$10,AJ190,IF($AL$10=$AK$10,AK190,0))),0)</f>
        <v>31.3139949417114</v>
      </c>
      <c r="AM190" s="889" t="n">
        <f aca="false">+AL190*K190</f>
        <v>39.8915526908265</v>
      </c>
      <c r="AN190" s="943" t="n">
        <f aca="false">IF((AL190*K190)&gt;(CP190+$BF$4),1,0)</f>
        <v>0</v>
      </c>
      <c r="AO190" s="944"/>
      <c r="AP190" s="894"/>
      <c r="AQ190" s="892" t="n">
        <f aca="false">IF(Tables!$E$30="New York",INDEX('NY Curve'!$A$4:$L$256,MATCH('Monthly Table'!B190,'NY Curve'!$A$4:$A$256,0),MATCH("New York Shoulder Hour Curve Mon-Fri",'NY Curve'!$A$4:$L$4,0)),IF(Tables!$E$30="Michigan",INDEX('Michigan Curve'!$A$4:$K$256,MATCH('Monthly Table'!B190,'Michigan Curve'!$A$4:$A$256,0),MATCH("Michigan Shoulder Hour Curve Mon-Fri",'Michigan Curve'!$A$4:$K$4,0))))</f>
        <v>30.0859951400757</v>
      </c>
      <c r="AR190" s="889" t="n">
        <f aca="false">AQ190*K190</f>
        <v>38.3271780755</v>
      </c>
      <c r="AS190" s="893" t="n">
        <f aca="false">IF(AR190&gt;($CP190+$BF$4),1,0)</f>
        <v>0</v>
      </c>
      <c r="AT190" s="917"/>
      <c r="AU190" s="892" t="n">
        <f aca="false">IF(Tables!$E$30="New York",INDEX('NY Curve'!$A$4:$L$256,MATCH('Monthly Table'!$B190,'NY Curve'!$A$4:$A$256,0),MATCH("New York Saturday Super Peak",'NY Curve'!$A$4:$L$4,0)),IF(Tables!$E$30="Michigan",INDEX('Michigan Curve'!$A$4:$K$256,MATCH('Monthly Table'!$B190,'Michigan Curve'!$A$4:$A$256,0),MATCH("Michigan Saturday Super Peak",'Michigan Curve'!$A$4:$K$4,0))))</f>
        <v>20.4</v>
      </c>
      <c r="AV190" s="894" t="n">
        <f aca="false">AU190*K190</f>
        <v>25.9879864069616</v>
      </c>
      <c r="AW190" s="893" t="n">
        <f aca="false">IF(AV190&gt;($CP190+$BF$4),1,0)</f>
        <v>0</v>
      </c>
      <c r="AX190" s="892" t="n">
        <f aca="false">IF(Tables!$E$30="New York",INDEX('NY Curve'!$A$4:$L$256,MATCH('Monthly Table'!$B190,'NY Curve'!$A$4:$A$256,0),MATCH("New York Saturday Shoulder Peak",'NY Curve'!$A$4:$L$4,0)),IF(Tables!$E$30="Michigan",INDEX('Michigan Curve'!$A$4:$K$256,MATCH('Monthly Table'!$B190,'Michigan Curve'!$A$4:$A$256,0),MATCH("Michigan Saturday Shoulder Peak",'Michigan Curve'!$A$4:$K$4,0))))</f>
        <v>19.6</v>
      </c>
      <c r="AY190" s="895" t="n">
        <f aca="false">AX190*K190</f>
        <v>24.96884968512</v>
      </c>
      <c r="AZ190" s="893" t="n">
        <f aca="false">IF(AY190&gt;($CP190+$BF$4),1,0)</f>
        <v>0</v>
      </c>
      <c r="BA190" s="917"/>
      <c r="BB190" s="892" t="n">
        <f aca="false">IF(Tables!$E$30="New York",INDEX('NY Curve'!$A$4:$M$256,MATCH('Monthly Table'!$B190,'NY Curve'!$A$4:$A$256,0),MATCH("NY Sunday Super Peak",'NY Curve'!$A$4:$M$4,0)),IF(Tables!$E$30="Michigan",INDEX('Michigan Curve'!$A$4:$L$256,MATCH('Monthly Table'!$B190,'Michigan Curve'!$A$4:$A$256,0),MATCH("Michigan Sunday Super Peak",'Michigan Curve'!$A$4:$L$4,0))))</f>
        <v>19.38</v>
      </c>
      <c r="BC190" s="894" t="n">
        <f aca="false">BB190*K190</f>
        <v>24.6885870866135</v>
      </c>
      <c r="BD190" s="893" t="n">
        <f aca="false">IF(BC190&gt;($CP190+$BF$4),1,0)</f>
        <v>0</v>
      </c>
      <c r="BE190" s="917"/>
      <c r="BF190" s="948" t="n">
        <f aca="false">B190</f>
        <v>42339</v>
      </c>
      <c r="BG190" s="897" t="n">
        <f aca="false">IF($AN190=1,$E190*$BF$5,0)</f>
        <v>0</v>
      </c>
      <c r="BH190" s="982" t="n">
        <f aca="false">IF(Tables!$B$36="Combined Cycle",(BF190-BF189)*24*Assumptions!$B$21,0)</f>
        <v>0</v>
      </c>
      <c r="BI190" s="714" t="n">
        <f aca="false">IF($AN190=1,$E190*$BF$5,0)</f>
        <v>0</v>
      </c>
      <c r="BJ190" s="950" t="n">
        <f aca="false">IF('Monthly Table'!D190&lt;=Tables!$B$21,IF($BJ$10=$BG$10,BG190,IF($BJ$10=$BH$10,BH190,IF($BJ$10=$BI$10,BI190,0))),0)</f>
        <v>0</v>
      </c>
      <c r="BK190" s="288"/>
      <c r="BL190" s="898" t="n">
        <f aca="false">IF($AW190=1,$F190*$BF$5,0)</f>
        <v>0</v>
      </c>
      <c r="BM190" s="898" t="n">
        <f aca="false">IF($BD190=1,($G190+H190)*$BF$5,0)</f>
        <v>0</v>
      </c>
      <c r="BO190" s="898" t="n">
        <f aca="false">IF(AS190=1,BJ190,0)</f>
        <v>0</v>
      </c>
      <c r="BP190" s="898" t="n">
        <f aca="false">IF(AZ190=1,F190*$BF$5,0)</f>
        <v>0</v>
      </c>
      <c r="BR190" s="951" t="n">
        <f aca="false">IF(BJ190&gt;0,INDEX(OperationalDetail,MATCH("Capacity Degradation",ODColumn,0),MATCH('Monthly Table'!C190,ODRow,0)),0)</f>
        <v>0</v>
      </c>
      <c r="BS190" s="900" t="n">
        <f aca="false">BJ190*(1-BR190)*Tables!$C$36</f>
        <v>0</v>
      </c>
      <c r="BT190" s="953" t="n">
        <f aca="false">BS190*AL190/1000</f>
        <v>0</v>
      </c>
      <c r="BU190" s="953" t="n">
        <f aca="false">BT190*K190</f>
        <v>0</v>
      </c>
      <c r="BV190" s="188"/>
      <c r="BW190" s="901" t="n">
        <f aca="false">$BO190*(1-$BR190)*Tables!$C$36</f>
        <v>0</v>
      </c>
      <c r="BX190" s="902" t="n">
        <f aca="false">(BW190*AQ190)/1000</f>
        <v>0</v>
      </c>
      <c r="BY190" s="883" t="n">
        <f aca="false">BX190*K190</f>
        <v>0</v>
      </c>
      <c r="BZ190" s="938"/>
      <c r="CA190" s="901" t="n">
        <f aca="false">$BL190*(1-$BR190)*Tables!$C$36</f>
        <v>0</v>
      </c>
      <c r="CB190" s="902" t="n">
        <f aca="false">(CA190*AU190)/1000</f>
        <v>0</v>
      </c>
      <c r="CC190" s="883" t="n">
        <f aca="false">CB190*K190</f>
        <v>0</v>
      </c>
      <c r="CD190" s="901" t="n">
        <f aca="false">$BP190*(1-$BR190)*Tables!$C$36</f>
        <v>0</v>
      </c>
      <c r="CE190" s="902" t="n">
        <f aca="false">(CD190*AX190)/1000</f>
        <v>0</v>
      </c>
      <c r="CF190" s="883" t="n">
        <f aca="false">CE190*K190</f>
        <v>0</v>
      </c>
      <c r="CG190" s="110"/>
      <c r="CH190" s="901" t="n">
        <f aca="false">$BM190*(1-$BR190)*Tables!$C$36</f>
        <v>0</v>
      </c>
      <c r="CI190" s="902" t="n">
        <f aca="false">(CH190*BB190)/1000</f>
        <v>0</v>
      </c>
      <c r="CJ190" s="883" t="n">
        <f aca="false">CI190*K190</f>
        <v>0</v>
      </c>
      <c r="CK190" s="292"/>
      <c r="CL190" s="292" t="n">
        <f aca="false">C190-1</f>
        <v>2014</v>
      </c>
      <c r="CM190" s="903" t="n">
        <f aca="false">INDEX(OperationalDetail,MATCH("Degraded Heat Rate",ODColumn,0),MATCH('Monthly Table'!CL190,ODRow,0))/1000</f>
        <v>11.9902588</v>
      </c>
      <c r="CN190" s="958" t="n">
        <f aca="false">S190*CM190</f>
        <v>68.7598053437391</v>
      </c>
      <c r="CO190" s="959" t="n">
        <f aca="false">IF(A190="January",(CO189*(1+Assumptions!$E$32)),CO189)</f>
        <v>8.88751414345536</v>
      </c>
      <c r="CP190" s="960" t="n">
        <f aca="false">CN190+CO190</f>
        <v>77.6473194871945</v>
      </c>
      <c r="CQ190" s="292"/>
      <c r="CR190" s="961" t="str">
        <f aca="false">IF(BJ190=0,"",C190)</f>
        <v/>
      </c>
      <c r="CS190" s="856" t="str">
        <f aca="false">IF(BO190=0,"",$C190)</f>
        <v/>
      </c>
      <c r="CT190" s="856" t="str">
        <f aca="false">IF(BL190=0,"",$C190)</f>
        <v/>
      </c>
      <c r="CU190" s="856" t="str">
        <f aca="false">IF(BP190=0,"",$C190)</f>
        <v/>
      </c>
      <c r="CV190" s="856" t="str">
        <f aca="false">IF(BD190=0,"",$C190)</f>
        <v/>
      </c>
      <c r="CW190" s="962" t="n">
        <f aca="false">YEAR(BF190)</f>
        <v>2015</v>
      </c>
      <c r="CX190" s="963" t="n">
        <f aca="false">INDEX('NY Curve'!$A$4:$G$256,MATCH('Monthly Table'!B190,'NY Curve'!$A$4:$A$256,0),MATCH("New York 5 X 16",'NY Curve'!$A$4:$G$4,0))</f>
        <v>28.7</v>
      </c>
      <c r="CY190" s="964" t="n">
        <f aca="false">K190</f>
        <v>1.27392090230204</v>
      </c>
      <c r="CZ190" s="965" t="n">
        <f aca="false">CX190*CY190</f>
        <v>36.5615298960685</v>
      </c>
      <c r="DA190" s="110"/>
      <c r="DB190" s="911"/>
      <c r="DC190" s="911"/>
      <c r="DD190" s="110"/>
      <c r="DE190" s="110"/>
      <c r="DF190" s="110"/>
      <c r="DG190" s="110"/>
      <c r="DH190" s="110"/>
    </row>
    <row r="191" customFormat="false" ht="18.75" hidden="false" customHeight="true" outlineLevel="0" collapsed="false">
      <c r="A191" s="49" t="s">
        <v>810</v>
      </c>
      <c r="B191" s="863" t="n">
        <v>42370</v>
      </c>
      <c r="C191" s="288" t="n">
        <f aca="false">YEAR(B191)</f>
        <v>2016</v>
      </c>
      <c r="D191" s="864" t="n">
        <f aca="false">IF(A191="January",D190+1,D190)</f>
        <v>16</v>
      </c>
      <c r="E191" s="865" t="n">
        <v>20</v>
      </c>
      <c r="F191" s="866" t="n">
        <v>5</v>
      </c>
      <c r="G191" s="866" t="n">
        <v>5</v>
      </c>
      <c r="H191" s="866" t="n">
        <v>1</v>
      </c>
      <c r="I191" s="867" t="n">
        <f aca="false">SUM(E191:H191)</f>
        <v>31</v>
      </c>
      <c r="J191" s="868"/>
      <c r="K191" s="869" t="n">
        <f aca="false">INDEX(FX!$A$3:$C$362,MATCH(B191,FX!$A$3:$A$362,0),MATCH("Monthly Curve",FX!$A$2:$C$2,0))</f>
        <v>1.27328150531135</v>
      </c>
      <c r="L191" s="869"/>
      <c r="M191" s="993"/>
      <c r="N191" s="994"/>
      <c r="O191" s="986" t="n">
        <v>0.1</v>
      </c>
      <c r="P191" s="872" t="n">
        <f aca="false">N191+O191</f>
        <v>0.1</v>
      </c>
      <c r="Q191" s="873" t="n">
        <f aca="false">SUM(M191:O191)</f>
        <v>0.1</v>
      </c>
      <c r="R191" s="974" t="n">
        <f aca="false">IF(A191="January",(R190+R190*Assumptions!$E$32),R190)</f>
        <v>0.40419889483348</v>
      </c>
      <c r="S191" s="875" t="n">
        <f aca="false">(Q191*K191)+R191</f>
        <v>0.531527045364615</v>
      </c>
      <c r="T191" s="869"/>
      <c r="U191" s="187"/>
      <c r="V191" s="897"/>
      <c r="W191" s="897"/>
      <c r="X191" s="31"/>
      <c r="Y191" s="975" t="n">
        <f aca="false">Tables!$D$36</f>
        <v>312</v>
      </c>
      <c r="Z191" s="879" t="n">
        <f aca="false">IF($Z$10=$V$10,V191,IF($Z$10=$W$10,W191,IF($Z$10=$X$10,X191,0)))</f>
        <v>0</v>
      </c>
      <c r="AA191" s="880" t="n">
        <f aca="false">Y191*Z191</f>
        <v>0</v>
      </c>
      <c r="AB191" s="881" t="n">
        <f aca="false">AA191*K191</f>
        <v>0</v>
      </c>
      <c r="AC191" s="188"/>
      <c r="AD191" s="882" t="n">
        <f aca="false">IF(Tables!$E$30="Michigan",INDEX('Michigan Curve'!$A$4:$S$256,MATCH('Monthly Table'!B191,'Michigan Curve'!$A$4:$A$256,0),MATCH("Michigan Selected Option Value US$/month",'Michigan Curve'!$A$4:$S$4,0)),INDEX('NY Curve'!$A$4:$T$256,MATCH('Monthly Table'!B191,'NY Curve'!$A$4:$A$256,0),MATCH("New York Selected Option Value US$/month",'NY Curve'!$A$4:$T$4,0)))</f>
        <v>0</v>
      </c>
      <c r="AE191" s="883" t="n">
        <f aca="false">AD191*K191</f>
        <v>0</v>
      </c>
      <c r="AF191" s="188"/>
      <c r="AG191" s="884"/>
      <c r="AH191" s="49"/>
      <c r="AI191" s="885" t="n">
        <f aca="false">Assumptions!$B$50</f>
        <v>65</v>
      </c>
      <c r="AJ191" s="916"/>
      <c r="AK191" s="887" t="n">
        <f aca="false">IF(Tables!$E$30="Custom",'Monthly Table'!AI191,IF(Tables!$E$30="New York",INDEX('NY Curve'!$A$4:$G$256,MATCH('Monthly Table'!B191,'NY Curve'!$A$4:$A$256,0),MATCH("Super Peak Curve",'NY Curve'!$A$4:$G$4,0)),IF(Tables!$E$30="New York Flat",INDEX('NY Curve'!$A$4:$G$256,MATCH('Monthly Table'!B191,'NY Curve'!$A$4:$A$256,0),MATCH("Flat NY West",'NY Curve'!$A$4:$G$4,0)),INDEX('Michigan Curve'!$A$4:$F$256,MATCH('Monthly Table'!B191,'Michigan Curve'!$A$4:$A$256,0),MATCH("Michigan Super Peak Curve US$/MWhr",'Michigan Curve'!$A$4:$F$4,0)))))</f>
        <v>36.9240003890991</v>
      </c>
      <c r="AL191" s="888" t="n">
        <f aca="false">IF(D191&lt;=Tables!$B$21,IF($AL$10=$AI$10,AI191,IF($AL$10=$AJ$10,AJ191,IF($AL$10=$AK$10,AK191,0))),0)</f>
        <v>0</v>
      </c>
      <c r="AM191" s="889" t="n">
        <f aca="false">+AL191*K191</f>
        <v>0</v>
      </c>
      <c r="AN191" s="890" t="n">
        <f aca="false">IF((AL191*K191)&gt;(CP191+$BF$4),1,0)</f>
        <v>0</v>
      </c>
      <c r="AO191" s="891"/>
      <c r="AP191" s="894"/>
      <c r="AQ191" s="892" t="n">
        <f aca="false">IF(Tables!$E$30="New York",INDEX('NY Curve'!$A$4:$L$256,MATCH('Monthly Table'!B191,'NY Curve'!$A$4:$A$256,0),MATCH("New York Shoulder Hour Curve Mon-Fri",'NY Curve'!$A$4:$L$4,0)),IF(Tables!$E$30="Michigan",INDEX('Michigan Curve'!$A$4:$K$256,MATCH('Monthly Table'!B191,'Michigan Curve'!$A$4:$A$256,0),MATCH("Michigan Shoulder Hour Curve Mon-Fri",'Michigan Curve'!$A$4:$K$4,0))))</f>
        <v>35.4760003738403</v>
      </c>
      <c r="AR191" s="889" t="n">
        <f aca="false">AQ191*K191</f>
        <v>45.1709351584294</v>
      </c>
      <c r="AS191" s="893" t="n">
        <f aca="false">IF(AR191&gt;($CP191+$BF$4),1,0)</f>
        <v>1</v>
      </c>
      <c r="AU191" s="892" t="n">
        <f aca="false">IF(Tables!$E$30="New York",INDEX('NY Curve'!$A$4:$L$256,MATCH('Monthly Table'!$B191,'NY Curve'!$A$4:$A$256,0),MATCH("New York Saturday Super Peak",'NY Curve'!$A$4:$L$4,0)),IF(Tables!$E$30="Michigan",INDEX('Michigan Curve'!$A$4:$K$256,MATCH('Monthly Table'!$B191,'Michigan Curve'!$A$4:$A$256,0),MATCH("Michigan Saturday Super Peak",'Michigan Curve'!$A$4:$K$4,0))))</f>
        <v>22.44</v>
      </c>
      <c r="AV191" s="894" t="n">
        <f aca="false">AU191*K191</f>
        <v>28.5724369791867</v>
      </c>
      <c r="AW191" s="893" t="n">
        <f aca="false">IF(Tables!$B$21=15,0,IF(AV191&gt;($CP191+$BF$4),1,0))</f>
        <v>0</v>
      </c>
      <c r="AX191" s="892" t="n">
        <f aca="false">IF(Tables!$E$30="New York",INDEX('NY Curve'!$A$4:$L$256,MATCH('Monthly Table'!$B191,'NY Curve'!$A$4:$A$256,0),MATCH("New York Saturday Shoulder Peak",'NY Curve'!$A$4:$L$4,0)),IF(Tables!$E$30="Michigan",INDEX('Michigan Curve'!$A$4:$K$256,MATCH('Monthly Table'!$B191,'Michigan Curve'!$A$4:$A$256,0),MATCH("Michigan Saturday Shoulder Peak",'Michigan Curve'!$A$4:$K$4,0))))</f>
        <v>21.56</v>
      </c>
      <c r="AY191" s="895" t="n">
        <f aca="false">AX191*K191</f>
        <v>27.4519492545127</v>
      </c>
      <c r="AZ191" s="893" t="n">
        <f aca="false">IF(Tables!$B$21=15,0,IF(AY191&gt;($CP191+$BF$4),1,0))</f>
        <v>0</v>
      </c>
      <c r="BB191" s="892" t="n">
        <f aca="false">IF(Tables!$E$30="New York",INDEX('NY Curve'!$A$4:$M$256,MATCH('Monthly Table'!$B191,'NY Curve'!$A$4:$A$256,0),MATCH("NY Sunday Super Peak",'NY Curve'!$A$4:$M$4,0)),IF(Tables!$E$30="Michigan",INDEX('Michigan Curve'!$A$4:$L$256,MATCH('Monthly Table'!$B191,'Michigan Curve'!$A$4:$A$256,0),MATCH("Michigan Sunday Super Peak",'Michigan Curve'!$A$4:$L$4,0))))</f>
        <v>21.42</v>
      </c>
      <c r="BC191" s="894" t="n">
        <f aca="false">BB191*K191</f>
        <v>27.2736898437691</v>
      </c>
      <c r="BD191" s="893" t="n">
        <f aca="false">IF(BC191&gt;($CP191+$BF$4),1,0)</f>
        <v>1</v>
      </c>
      <c r="BF191" s="896" t="n">
        <f aca="false">B191</f>
        <v>42370</v>
      </c>
      <c r="BG191" s="897" t="n">
        <f aca="false">IF($AN191=1,$E191*$BF$5,0)</f>
        <v>0</v>
      </c>
      <c r="BH191" s="976" t="n">
        <f aca="false">IF(Tables!$B$36="Combined Cycle",(BF191-BF190)*24*Assumptions!$B$21,0)</f>
        <v>0</v>
      </c>
      <c r="BI191" s="714" t="n">
        <f aca="false">IF($AN191=1,$E191*$BF$5,0)</f>
        <v>0</v>
      </c>
      <c r="BJ191" s="898" t="n">
        <f aca="false">IF('Monthly Table'!D191&lt;=Tables!$B$21,IF($BJ$10=$BG$10,BG191,IF($BJ$10=$BH$10,BH191,IF($BJ$10=$BI$10,BI191,0))),0)</f>
        <v>0</v>
      </c>
      <c r="BK191" s="288"/>
      <c r="BL191" s="898" t="n">
        <f aca="false">IF($AW191=1,$F191*$BF$5,0)</f>
        <v>0</v>
      </c>
      <c r="BM191" s="898" t="n">
        <f aca="false">IF($BD191=1,($G191+H191)*$BF$5,0)</f>
        <v>48</v>
      </c>
      <c r="BO191" s="898" t="n">
        <f aca="false">IF(AS191=1,BJ191,0)</f>
        <v>0</v>
      </c>
      <c r="BP191" s="898" t="n">
        <f aca="false">IF(AZ191=1,F191*$BF$5,0)</f>
        <v>0</v>
      </c>
      <c r="BR191" s="899" t="n">
        <f aca="false">IF(BJ191&gt;0,INDEX(OperationalDetail,MATCH("Capacity Degradation",ODColumn,0),MATCH('Monthly Table'!C191,ODRow,0)),0)</f>
        <v>0</v>
      </c>
      <c r="BS191" s="900" t="n">
        <f aca="false">BJ191*(1-BR191)*Tables!$C$36</f>
        <v>0</v>
      </c>
      <c r="BT191" s="883" t="n">
        <f aca="false">BS191*AL191/1000</f>
        <v>0</v>
      </c>
      <c r="BU191" s="883" t="n">
        <f aca="false">BT191*K191</f>
        <v>0</v>
      </c>
      <c r="BV191" s="188"/>
      <c r="BW191" s="901" t="n">
        <f aca="false">$BO191*(1-$BR191)*Tables!$C$36</f>
        <v>0</v>
      </c>
      <c r="BX191" s="902" t="n">
        <f aca="false">(BW191*AQ191)/1000</f>
        <v>0</v>
      </c>
      <c r="BY191" s="883" t="n">
        <f aca="false">BX191*K191</f>
        <v>0</v>
      </c>
      <c r="BZ191" s="188"/>
      <c r="CA191" s="901" t="n">
        <f aca="false">$BL191*(1-$BR191)*Tables!$C$36</f>
        <v>0</v>
      </c>
      <c r="CB191" s="902" t="n">
        <f aca="false">(CA191*AU191)/1000</f>
        <v>0</v>
      </c>
      <c r="CC191" s="883" t="n">
        <f aca="false">CB191*K191</f>
        <v>0</v>
      </c>
      <c r="CD191" s="901" t="n">
        <f aca="false">$BP191*(1-$BR191)*Tables!$C$36</f>
        <v>0</v>
      </c>
      <c r="CE191" s="902" t="n">
        <f aca="false">(CD191*AX191)/1000</f>
        <v>0</v>
      </c>
      <c r="CF191" s="883" t="n">
        <f aca="false">CE191*K191</f>
        <v>0</v>
      </c>
      <c r="CH191" s="901" t="n">
        <f aca="false">$BM191*(1-$BR191)*Tables!$C$36</f>
        <v>15552</v>
      </c>
      <c r="CI191" s="902" t="n">
        <f aca="false">(CH191*BB191)/1000</f>
        <v>333.12384</v>
      </c>
      <c r="CJ191" s="883" t="n">
        <f aca="false">CI191*K191</f>
        <v>424.160424450297</v>
      </c>
      <c r="CK191" s="292"/>
      <c r="CL191" s="292" t="n">
        <f aca="false">C191-1</f>
        <v>2015</v>
      </c>
      <c r="CM191" s="903" t="n">
        <f aca="false">INDEX(OperationalDetail,MATCH("Degraded Heat Rate",ODColumn,0),MATCH('Monthly Table'!CL191,ODRow,0))/1000</f>
        <v>12.0200392</v>
      </c>
      <c r="CN191" s="904" t="n">
        <f aca="false">S191*CM191</f>
        <v>6.38897592114285</v>
      </c>
      <c r="CO191" s="905" t="n">
        <f aca="false">IF(A191="January",(CO190*(1+Assumptions!$E$32)),CO190)</f>
        <v>9.06526442632447</v>
      </c>
      <c r="CP191" s="906" t="n">
        <f aca="false">CN191+CO191</f>
        <v>15.4542403474673</v>
      </c>
      <c r="CQ191" s="292"/>
      <c r="CR191" s="856" t="str">
        <f aca="false">IF(BJ191=0,"",C191)</f>
        <v/>
      </c>
      <c r="CS191" s="856" t="str">
        <f aca="false">IF(BO191=0,"",$C191)</f>
        <v/>
      </c>
      <c r="CT191" s="856" t="str">
        <f aca="false">IF(BL191=0,"",$C191)</f>
        <v/>
      </c>
      <c r="CU191" s="856" t="str">
        <f aca="false">IF(BP191=0,"",$C191)</f>
        <v/>
      </c>
      <c r="CV191" s="856" t="n">
        <f aca="false">IF(BD191=0,"",$C191)</f>
        <v>2016</v>
      </c>
      <c r="CW191" s="907" t="n">
        <f aca="false">YEAR(BF191)</f>
        <v>2016</v>
      </c>
      <c r="CX191" s="908" t="n">
        <f aca="false">INDEX('NY Curve'!$A$4:$G$256,MATCH('Monthly Table'!B191,'NY Curve'!$A$4:$A$256,0),MATCH("New York 5 X 16",'NY Curve'!$A$4:$G$4,0))</f>
        <v>34.25</v>
      </c>
      <c r="CY191" s="909" t="n">
        <f aca="false">K191</f>
        <v>1.27328150531135</v>
      </c>
      <c r="CZ191" s="910" t="n">
        <f aca="false">CX191*CY191</f>
        <v>43.6098915569137</v>
      </c>
      <c r="DB191" s="911"/>
      <c r="DC191" s="911"/>
    </row>
    <row r="192" customFormat="false" ht="18.75" hidden="false" customHeight="true" outlineLevel="0" collapsed="false">
      <c r="A192" s="49" t="s">
        <v>811</v>
      </c>
      <c r="B192" s="863" t="n">
        <v>42401</v>
      </c>
      <c r="C192" s="288" t="n">
        <f aca="false">YEAR(B192)</f>
        <v>2016</v>
      </c>
      <c r="D192" s="864" t="n">
        <f aca="false">IF(A192="January",D191+1,D191)</f>
        <v>16</v>
      </c>
      <c r="E192" s="865" t="n">
        <v>21</v>
      </c>
      <c r="F192" s="866" t="n">
        <v>4</v>
      </c>
      <c r="G192" s="866" t="n">
        <v>4</v>
      </c>
      <c r="H192" s="866" t="n">
        <v>0</v>
      </c>
      <c r="I192" s="867" t="n">
        <f aca="false">SUM(E192:H192)</f>
        <v>29</v>
      </c>
      <c r="J192" s="868"/>
      <c r="K192" s="869" t="n">
        <f aca="false">INDEX(FX!$A$3:$C$362,MATCH(B192,FX!$A$3:$A$362,0),MATCH("Monthly Curve",FX!$A$2:$C$2,0))</f>
        <v>1.27264530155158</v>
      </c>
      <c r="L192" s="869"/>
      <c r="M192" s="993"/>
      <c r="N192" s="994"/>
      <c r="O192" s="986" t="n">
        <v>0.1</v>
      </c>
      <c r="P192" s="872" t="n">
        <f aca="false">N192+O192</f>
        <v>0.1</v>
      </c>
      <c r="Q192" s="873" t="n">
        <f aca="false">SUM(M192:O192)</f>
        <v>0.1</v>
      </c>
      <c r="R192" s="974" t="n">
        <f aca="false">IF(A192="January",(R191+R191*Assumptions!$E$32),R191)</f>
        <v>0.40419889483348</v>
      </c>
      <c r="S192" s="875" t="n">
        <f aca="false">(Q192*K192)+R192</f>
        <v>0.531463424988638</v>
      </c>
      <c r="T192" s="869"/>
      <c r="U192" s="187"/>
      <c r="V192" s="897"/>
      <c r="W192" s="897"/>
      <c r="X192" s="31"/>
      <c r="Y192" s="975" t="n">
        <f aca="false">Tables!$D$36</f>
        <v>312</v>
      </c>
      <c r="Z192" s="879" t="n">
        <f aca="false">IF($Z$10=$V$10,V192,IF($Z$10=$W$10,W192,IF($Z$10=$X$10,X192,0)))</f>
        <v>0</v>
      </c>
      <c r="AA192" s="880" t="n">
        <f aca="false">Y192*Z192</f>
        <v>0</v>
      </c>
      <c r="AB192" s="881" t="n">
        <f aca="false">AA192*K192</f>
        <v>0</v>
      </c>
      <c r="AC192" s="188"/>
      <c r="AD192" s="882" t="n">
        <f aca="false">IF(Tables!$E$30="Michigan",INDEX('Michigan Curve'!$A$4:$S$256,MATCH('Monthly Table'!B192,'Michigan Curve'!$A$4:$A$256,0),MATCH("Michigan Selected Option Value US$/month",'Michigan Curve'!$A$4:$S$4,0)),INDEX('NY Curve'!$A$4:$T$256,MATCH('Monthly Table'!B192,'NY Curve'!$A$4:$A$256,0),MATCH("New York Selected Option Value US$/month",'NY Curve'!$A$4:$T$4,0)))</f>
        <v>0</v>
      </c>
      <c r="AE192" s="883" t="n">
        <f aca="false">AD192*K192</f>
        <v>0</v>
      </c>
      <c r="AF192" s="188"/>
      <c r="AG192" s="884"/>
      <c r="AH192" s="49"/>
      <c r="AI192" s="885" t="n">
        <f aca="false">Assumptions!$B$50</f>
        <v>65</v>
      </c>
      <c r="AJ192" s="916"/>
      <c r="AK192" s="887" t="n">
        <f aca="false">IF(Tables!$E$30="Custom",'Monthly Table'!AI192,IF(Tables!$E$30="New York",INDEX('NY Curve'!$A$4:$G$256,MATCH('Monthly Table'!B192,'NY Curve'!$A$4:$A$256,0),MATCH("Super Peak Curve",'NY Curve'!$A$4:$G$4,0)),IF(Tables!$E$30="New York Flat",INDEX('NY Curve'!$A$4:$G$256,MATCH('Monthly Table'!B192,'NY Curve'!$A$4:$A$256,0),MATCH("Flat NY West",'NY Curve'!$A$4:$G$4,0)),INDEX('Michigan Curve'!$A$4:$F$256,MATCH('Monthly Table'!B192,'Michigan Curve'!$A$4:$A$256,0),MATCH("Michigan Super Peak Curve US$/MWhr",'Michigan Curve'!$A$4:$F$4,0)))))</f>
        <v>36.9239984436035</v>
      </c>
      <c r="AL192" s="888" t="n">
        <f aca="false">IF(D192&lt;=Tables!$B$21,IF($AL$10=$AI$10,AI192,IF($AL$10=$AJ$10,AJ192,IF($AL$10=$AK$10,AK192,0))),0)</f>
        <v>0</v>
      </c>
      <c r="AM192" s="889" t="n">
        <f aca="false">+AL192*K192</f>
        <v>0</v>
      </c>
      <c r="AN192" s="890" t="n">
        <f aca="false">IF((AL192*K192)&gt;(CP192+$BF$4),1,0)</f>
        <v>0</v>
      </c>
      <c r="AO192" s="891"/>
      <c r="AP192" s="894"/>
      <c r="AQ192" s="892" t="n">
        <f aca="false">IF(Tables!$E$30="New York",INDEX('NY Curve'!$A$4:$L$256,MATCH('Monthly Table'!B192,'NY Curve'!$A$4:$A$256,0),MATCH("New York Shoulder Hour Curve Mon-Fri",'NY Curve'!$A$4:$L$4,0)),IF(Tables!$E$30="Michigan",INDEX('Michigan Curve'!$A$4:$K$256,MATCH('Monthly Table'!B192,'Michigan Curve'!$A$4:$A$256,0),MATCH("Michigan Shoulder Hour Curve Mon-Fri",'Michigan Curve'!$A$4:$K$4,0))))</f>
        <v>35.4759985046387</v>
      </c>
      <c r="AR192" s="889" t="n">
        <f aca="false">AQ192*K192</f>
        <v>45.1483628147793</v>
      </c>
      <c r="AS192" s="893" t="n">
        <f aca="false">IF(AR192&gt;($CP192+$BF$4),1,0)</f>
        <v>1</v>
      </c>
      <c r="AU192" s="892" t="n">
        <f aca="false">IF(Tables!$E$30="New York",INDEX('NY Curve'!$A$4:$L$256,MATCH('Monthly Table'!$B192,'NY Curve'!$A$4:$A$256,0),MATCH("New York Saturday Super Peak",'NY Curve'!$A$4:$L$4,0)),IF(Tables!$E$30="Michigan",INDEX('Michigan Curve'!$A$4:$K$256,MATCH('Monthly Table'!$B192,'Michigan Curve'!$A$4:$A$256,0),MATCH("Michigan Saturday Super Peak",'Michigan Curve'!$A$4:$K$4,0))))</f>
        <v>22.4359202957153</v>
      </c>
      <c r="AV192" s="894" t="n">
        <f aca="false">AU192*K192</f>
        <v>28.5529685503279</v>
      </c>
      <c r="AW192" s="893" t="n">
        <f aca="false">IF(Tables!$B$21=15,0,IF(AV192&gt;($CP192+$BF$4),1,0))</f>
        <v>0</v>
      </c>
      <c r="AX192" s="892" t="n">
        <f aca="false">IF(Tables!$E$30="New York",INDEX('NY Curve'!$A$4:$L$256,MATCH('Monthly Table'!$B192,'NY Curve'!$A$4:$A$256,0),MATCH("New York Saturday Shoulder Peak",'NY Curve'!$A$4:$L$4,0)),IF(Tables!$E$30="Michigan",INDEX('Michigan Curve'!$A$4:$K$256,MATCH('Monthly Table'!$B192,'Michigan Curve'!$A$4:$A$256,0),MATCH("Michigan Saturday Shoulder Peak",'Michigan Curve'!$A$4:$K$4,0))))</f>
        <v>21.5560802841187</v>
      </c>
      <c r="AY192" s="895" t="n">
        <f aca="false">AX192*K192</f>
        <v>27.4332442934523</v>
      </c>
      <c r="AZ192" s="893" t="n">
        <f aca="false">IF(Tables!$B$21=15,0,IF(AY192&gt;($CP192+$BF$4),1,0))</f>
        <v>0</v>
      </c>
      <c r="BB192" s="892" t="n">
        <f aca="false">IF(Tables!$E$30="New York",INDEX('NY Curve'!$A$4:$M$256,MATCH('Monthly Table'!$B192,'NY Curve'!$A$4:$A$256,0),MATCH("NY Sunday Super Peak",'NY Curve'!$A$4:$M$4,0)),IF(Tables!$E$30="Michigan",INDEX('Michigan Curve'!$A$4:$L$256,MATCH('Monthly Table'!$B192,'Michigan Curve'!$A$4:$A$256,0),MATCH("Michigan Sunday Super Peak",'Michigan Curve'!$A$4:$L$4,0))))</f>
        <v>21.4164319610596</v>
      </c>
      <c r="BC192" s="894" t="n">
        <f aca="false">BB192*K192</f>
        <v>27.2555215112416</v>
      </c>
      <c r="BD192" s="893" t="n">
        <f aca="false">IF(BC192&gt;($CP192+$BF$4),1,0)</f>
        <v>1</v>
      </c>
      <c r="BF192" s="896" t="n">
        <f aca="false">B192</f>
        <v>42401</v>
      </c>
      <c r="BG192" s="897" t="n">
        <f aca="false">IF($AN192=1,$E192*$BF$5,0)</f>
        <v>0</v>
      </c>
      <c r="BH192" s="976" t="n">
        <f aca="false">IF(Tables!$B$36="Combined Cycle",(BF192-BF191)*24*Assumptions!$B$21,0)</f>
        <v>0</v>
      </c>
      <c r="BI192" s="714" t="n">
        <f aca="false">IF($AN192=1,$E192*$BF$5,0)</f>
        <v>0</v>
      </c>
      <c r="BJ192" s="898" t="n">
        <f aca="false">IF('Monthly Table'!D192&lt;=Tables!$B$21,IF($BJ$10=$BG$10,BG192,IF($BJ$10=$BH$10,BH192,IF($BJ$10=$BI$10,BI192,0))),0)</f>
        <v>0</v>
      </c>
      <c r="BK192" s="288"/>
      <c r="BL192" s="898" t="n">
        <f aca="false">IF($AW192=1,$F192*$BF$5,0)</f>
        <v>0</v>
      </c>
      <c r="BM192" s="898" t="n">
        <f aca="false">IF($BD192=1,($G192+H192)*$BF$5,0)</f>
        <v>32</v>
      </c>
      <c r="BO192" s="898" t="n">
        <f aca="false">IF(AS192=1,BJ192,0)</f>
        <v>0</v>
      </c>
      <c r="BP192" s="898" t="n">
        <f aca="false">IF(AZ192=1,F192*$BF$5,0)</f>
        <v>0</v>
      </c>
      <c r="BR192" s="899" t="n">
        <f aca="false">IF(BJ192&gt;0,INDEX(OperationalDetail,MATCH("Capacity Degradation",ODColumn,0),MATCH('Monthly Table'!C192,ODRow,0)),0)</f>
        <v>0</v>
      </c>
      <c r="BS192" s="900" t="n">
        <f aca="false">BJ192*(1-BR192)*Tables!$C$36</f>
        <v>0</v>
      </c>
      <c r="BT192" s="883" t="n">
        <f aca="false">BS192*AL192/1000</f>
        <v>0</v>
      </c>
      <c r="BU192" s="883" t="n">
        <f aca="false">BT192*K192</f>
        <v>0</v>
      </c>
      <c r="BV192" s="188"/>
      <c r="BW192" s="901" t="n">
        <f aca="false">$BO192*(1-$BR192)*Tables!$C$36</f>
        <v>0</v>
      </c>
      <c r="BX192" s="902" t="n">
        <f aca="false">(BW192*AQ192)/1000</f>
        <v>0</v>
      </c>
      <c r="BY192" s="883" t="n">
        <f aca="false">BX192*K192</f>
        <v>0</v>
      </c>
      <c r="BZ192" s="188"/>
      <c r="CA192" s="901" t="n">
        <f aca="false">$BL192*(1-$BR192)*Tables!$C$36</f>
        <v>0</v>
      </c>
      <c r="CB192" s="902" t="n">
        <f aca="false">(CA192*AU192)/1000</f>
        <v>0</v>
      </c>
      <c r="CC192" s="883" t="n">
        <f aca="false">CB192*K192</f>
        <v>0</v>
      </c>
      <c r="CD192" s="901" t="n">
        <f aca="false">$BP192*(1-$BR192)*Tables!$C$36</f>
        <v>0</v>
      </c>
      <c r="CE192" s="902" t="n">
        <f aca="false">(CD192*AX192)/1000</f>
        <v>0</v>
      </c>
      <c r="CF192" s="883" t="n">
        <f aca="false">CE192*K192</f>
        <v>0</v>
      </c>
      <c r="CH192" s="901" t="n">
        <f aca="false">$BM192*(1-$BR192)*Tables!$C$36</f>
        <v>10368</v>
      </c>
      <c r="CI192" s="902" t="n">
        <f aca="false">(CH192*BB192)/1000</f>
        <v>222.045566572266</v>
      </c>
      <c r="CJ192" s="883" t="n">
        <f aca="false">CI192*K192</f>
        <v>282.585247028552</v>
      </c>
      <c r="CK192" s="292"/>
      <c r="CL192" s="292" t="n">
        <f aca="false">C192-1</f>
        <v>2015</v>
      </c>
      <c r="CM192" s="903" t="n">
        <f aca="false">INDEX(OperationalDetail,MATCH("Degraded Heat Rate",ODColumn,0),MATCH('Monthly Table'!CL192,ODRow,0))/1000</f>
        <v>12.0200392</v>
      </c>
      <c r="CN192" s="904" t="n">
        <f aca="false">S192*CM192</f>
        <v>6.38821120172968</v>
      </c>
      <c r="CO192" s="905" t="n">
        <f aca="false">IF(A192="January",(CO191*(1+Assumptions!$E$32)),CO191)</f>
        <v>9.06526442632447</v>
      </c>
      <c r="CP192" s="906" t="n">
        <f aca="false">CN192+CO192</f>
        <v>15.4534756280542</v>
      </c>
      <c r="CQ192" s="292"/>
      <c r="CR192" s="856" t="str">
        <f aca="false">IF(BJ192=0,"",C192)</f>
        <v/>
      </c>
      <c r="CS192" s="856" t="str">
        <f aca="false">IF(BO192=0,"",$C192)</f>
        <v/>
      </c>
      <c r="CT192" s="856" t="str">
        <f aca="false">IF(BL192=0,"",$C192)</f>
        <v/>
      </c>
      <c r="CU192" s="856" t="str">
        <f aca="false">IF(BP192=0,"",$C192)</f>
        <v/>
      </c>
      <c r="CV192" s="856" t="n">
        <f aca="false">IF(BD192=0,"",$C192)</f>
        <v>2016</v>
      </c>
      <c r="CW192" s="907" t="n">
        <f aca="false">YEAR(BF192)</f>
        <v>2016</v>
      </c>
      <c r="CX192" s="908" t="n">
        <f aca="false">INDEX('NY Curve'!$A$4:$G$256,MATCH('Monthly Table'!B192,'NY Curve'!$A$4:$A$256,0),MATCH("New York 5 X 16",'NY Curve'!$A$4:$G$4,0))</f>
        <v>34.25</v>
      </c>
      <c r="CY192" s="909" t="n">
        <f aca="false">K192</f>
        <v>1.27264530155158</v>
      </c>
      <c r="CZ192" s="910" t="n">
        <f aca="false">CX192*CY192</f>
        <v>43.5881015781416</v>
      </c>
      <c r="DB192" s="911"/>
      <c r="DC192" s="911"/>
    </row>
    <row r="193" customFormat="false" ht="18.75" hidden="false" customHeight="true" outlineLevel="0" collapsed="false">
      <c r="A193" s="49" t="s">
        <v>812</v>
      </c>
      <c r="B193" s="863" t="n">
        <v>42430</v>
      </c>
      <c r="C193" s="288" t="n">
        <f aca="false">YEAR(B193)</f>
        <v>2016</v>
      </c>
      <c r="D193" s="864" t="n">
        <f aca="false">IF(A193="January",D192+1,D192)</f>
        <v>16</v>
      </c>
      <c r="E193" s="865" t="n">
        <v>23</v>
      </c>
      <c r="F193" s="866" t="n">
        <v>4</v>
      </c>
      <c r="G193" s="866" t="n">
        <v>4</v>
      </c>
      <c r="H193" s="866" t="n">
        <v>0</v>
      </c>
      <c r="I193" s="867" t="n">
        <f aca="false">SUM(E193:H193)</f>
        <v>31</v>
      </c>
      <c r="J193" s="868"/>
      <c r="K193" s="869" t="n">
        <f aca="false">INDEX(FX!$A$3:$C$362,MATCH(B193,FX!$A$3:$A$362,0),MATCH("Monthly Curve",FX!$A$2:$C$2,0))</f>
        <v>1.27205303006924</v>
      </c>
      <c r="L193" s="869"/>
      <c r="M193" s="993"/>
      <c r="N193" s="994"/>
      <c r="O193" s="986" t="n">
        <v>0.1</v>
      </c>
      <c r="P193" s="872" t="n">
        <f aca="false">N193+O193</f>
        <v>0.1</v>
      </c>
      <c r="Q193" s="873" t="n">
        <f aca="false">SUM(M193:O193)</f>
        <v>0.1</v>
      </c>
      <c r="R193" s="974" t="n">
        <f aca="false">IF(A193="January",(R192+R192*Assumptions!$E$32),R192)</f>
        <v>0.40419889483348</v>
      </c>
      <c r="S193" s="875" t="n">
        <f aca="false">(Q193*K193)+R193</f>
        <v>0.531404197840404</v>
      </c>
      <c r="T193" s="869"/>
      <c r="U193" s="187"/>
      <c r="V193" s="897"/>
      <c r="W193" s="897"/>
      <c r="X193" s="31"/>
      <c r="Y193" s="975" t="n">
        <f aca="false">Tables!$D$36</f>
        <v>312</v>
      </c>
      <c r="Z193" s="879" t="n">
        <f aca="false">IF($Z$10=$V$10,V193,IF($Z$10=$W$10,W193,IF($Z$10=$X$10,X193,0)))</f>
        <v>0</v>
      </c>
      <c r="AA193" s="880" t="n">
        <f aca="false">Y193*Z193</f>
        <v>0</v>
      </c>
      <c r="AB193" s="881" t="n">
        <f aca="false">AA193*K193</f>
        <v>0</v>
      </c>
      <c r="AC193" s="188"/>
      <c r="AD193" s="882" t="n">
        <f aca="false">IF(Tables!$E$30="Michigan",INDEX('Michigan Curve'!$A$4:$S$256,MATCH('Monthly Table'!B193,'Michigan Curve'!$A$4:$A$256,0),MATCH("Michigan Selected Option Value US$/month",'Michigan Curve'!$A$4:$S$4,0)),INDEX('NY Curve'!$A$4:$T$256,MATCH('Monthly Table'!B193,'NY Curve'!$A$4:$A$256,0),MATCH("New York Selected Option Value US$/month",'NY Curve'!$A$4:$T$4,0)))</f>
        <v>0</v>
      </c>
      <c r="AE193" s="883" t="n">
        <f aca="false">AD193*K193</f>
        <v>0</v>
      </c>
      <c r="AF193" s="188"/>
      <c r="AG193" s="884"/>
      <c r="AH193" s="49"/>
      <c r="AI193" s="885" t="n">
        <f aca="false">Assumptions!$B$50</f>
        <v>65</v>
      </c>
      <c r="AJ193" s="916"/>
      <c r="AK193" s="887" t="n">
        <f aca="false">IF(Tables!$E$30="Custom",'Monthly Table'!AI193,IF(Tables!$E$30="New York",INDEX('NY Curve'!$A$4:$G$256,MATCH('Monthly Table'!B193,'NY Curve'!$A$4:$A$256,0),MATCH("Super Peak Curve",'NY Curve'!$A$4:$G$4,0)),IF(Tables!$E$30="New York Flat",INDEX('NY Curve'!$A$4:$G$256,MATCH('Monthly Table'!B193,'NY Curve'!$A$4:$A$256,0),MATCH("Flat NY West",'NY Curve'!$A$4:$G$4,0)),INDEX('Michigan Curve'!$A$4:$F$256,MATCH('Monthly Table'!B193,'Michigan Curve'!$A$4:$A$256,0),MATCH("Michigan Super Peak Curve US$/MWhr",'Michigan Curve'!$A$4:$F$4,0)))))</f>
        <v>31.62</v>
      </c>
      <c r="AL193" s="888" t="n">
        <f aca="false">IF(D193&lt;=Tables!$B$21,IF($AL$10=$AI$10,AI193,IF($AL$10=$AJ$10,AJ193,IF($AL$10=$AK$10,AK193,0))),0)</f>
        <v>0</v>
      </c>
      <c r="AM193" s="889" t="n">
        <f aca="false">+AL193*K193</f>
        <v>0</v>
      </c>
      <c r="AN193" s="890" t="n">
        <f aca="false">IF((AL193*K193)&gt;(CP193+$BF$4),1,0)</f>
        <v>0</v>
      </c>
      <c r="AO193" s="891"/>
      <c r="AP193" s="894"/>
      <c r="AQ193" s="892" t="n">
        <f aca="false">IF(Tables!$E$30="New York",INDEX('NY Curve'!$A$4:$L$256,MATCH('Monthly Table'!B193,'NY Curve'!$A$4:$A$256,0),MATCH("New York Shoulder Hour Curve Mon-Fri",'NY Curve'!$A$4:$L$4,0)),IF(Tables!$E$30="Michigan",INDEX('Michigan Curve'!$A$4:$K$256,MATCH('Monthly Table'!B193,'Michigan Curve'!$A$4:$A$256,0),MATCH("Michigan Shoulder Hour Curve Mon-Fri",'Michigan Curve'!$A$4:$K$4,0))))</f>
        <v>30.38</v>
      </c>
      <c r="AR193" s="889" t="n">
        <f aca="false">AQ193*K193</f>
        <v>38.6449710535035</v>
      </c>
      <c r="AS193" s="893" t="n">
        <f aca="false">IF(AR193&gt;($CP193+$BF$4),1,0)</f>
        <v>1</v>
      </c>
      <c r="AU193" s="892" t="n">
        <f aca="false">IF(Tables!$E$30="New York",INDEX('NY Curve'!$A$4:$L$256,MATCH('Monthly Table'!$B193,'NY Curve'!$A$4:$A$256,0),MATCH("New York Saturday Super Peak",'NY Curve'!$A$4:$L$4,0)),IF(Tables!$E$30="Michigan",INDEX('Michigan Curve'!$A$4:$K$256,MATCH('Monthly Table'!$B193,'Michigan Curve'!$A$4:$A$256,0),MATCH("Michigan Saturday Super Peak",'Michigan Curve'!$A$4:$K$4,0))))</f>
        <v>20.4</v>
      </c>
      <c r="AV193" s="894" t="n">
        <f aca="false">AU193*K193</f>
        <v>25.9498818134125</v>
      </c>
      <c r="AW193" s="893" t="n">
        <f aca="false">IF(Tables!$B$21=15,0,IF(AV193&gt;($CP193+$BF$4),1,0))</f>
        <v>0</v>
      </c>
      <c r="AX193" s="892" t="n">
        <f aca="false">IF(Tables!$E$30="New York",INDEX('NY Curve'!$A$4:$L$256,MATCH('Monthly Table'!$B193,'NY Curve'!$A$4:$A$256,0),MATCH("New York Saturday Shoulder Peak",'NY Curve'!$A$4:$L$4,0)),IF(Tables!$E$30="Michigan",INDEX('Michigan Curve'!$A$4:$K$256,MATCH('Monthly Table'!$B193,'Michigan Curve'!$A$4:$A$256,0),MATCH("Michigan Saturday Shoulder Peak",'Michigan Curve'!$A$4:$K$4,0))))</f>
        <v>19.6</v>
      </c>
      <c r="AY193" s="895" t="n">
        <f aca="false">AX193*K193</f>
        <v>24.9322393893571</v>
      </c>
      <c r="AZ193" s="893" t="n">
        <f aca="false">IF(Tables!$B$21=15,0,IF(AY193&gt;($CP193+$BF$4),1,0))</f>
        <v>0</v>
      </c>
      <c r="BB193" s="892" t="n">
        <f aca="false">IF(Tables!$E$30="New York",INDEX('NY Curve'!$A$4:$M$256,MATCH('Monthly Table'!$B193,'NY Curve'!$A$4:$A$256,0),MATCH("NY Sunday Super Peak",'NY Curve'!$A$4:$M$4,0)),IF(Tables!$E$30="Michigan",INDEX('Michigan Curve'!$A$4:$L$256,MATCH('Monthly Table'!$B193,'Michigan Curve'!$A$4:$A$256,0),MATCH("Michigan Sunday Super Peak",'Michigan Curve'!$A$4:$L$4,0))))</f>
        <v>19.38</v>
      </c>
      <c r="BC193" s="894" t="n">
        <f aca="false">BB193*K193</f>
        <v>24.6523877227419</v>
      </c>
      <c r="BD193" s="893" t="n">
        <f aca="false">IF(BC193&gt;($CP193+$BF$4),1,0)</f>
        <v>1</v>
      </c>
      <c r="BF193" s="896" t="n">
        <f aca="false">B193</f>
        <v>42430</v>
      </c>
      <c r="BG193" s="897" t="n">
        <f aca="false">IF($AN193=1,$E193*$BF$5,0)</f>
        <v>0</v>
      </c>
      <c r="BH193" s="976" t="n">
        <f aca="false">IF(Tables!$B$36="Combined Cycle",(BF193-BF192)*24*Assumptions!$B$21,0)</f>
        <v>0</v>
      </c>
      <c r="BI193" s="714" t="n">
        <f aca="false">IF($AN193=1,$E193*$BF$5,0)</f>
        <v>0</v>
      </c>
      <c r="BJ193" s="898" t="n">
        <f aca="false">IF('Monthly Table'!D193&lt;=Tables!$B$21,IF($BJ$10=$BG$10,BG193,IF($BJ$10=$BH$10,BH193,IF($BJ$10=$BI$10,BI193,0))),0)</f>
        <v>0</v>
      </c>
      <c r="BK193" s="288"/>
      <c r="BL193" s="898" t="n">
        <f aca="false">IF($AW193=1,$F193*$BF$5,0)</f>
        <v>0</v>
      </c>
      <c r="BM193" s="898" t="n">
        <f aca="false">IF($BD193=1,($G193+H193)*$BF$5,0)</f>
        <v>32</v>
      </c>
      <c r="BO193" s="898" t="n">
        <f aca="false">IF(AS193=1,BJ193,0)</f>
        <v>0</v>
      </c>
      <c r="BP193" s="898" t="n">
        <f aca="false">IF(AZ193=1,F193*$BF$5,0)</f>
        <v>0</v>
      </c>
      <c r="BR193" s="899" t="n">
        <f aca="false">IF(BJ193&gt;0,INDEX(OperationalDetail,MATCH("Capacity Degradation",ODColumn,0),MATCH('Monthly Table'!C193,ODRow,0)),0)</f>
        <v>0</v>
      </c>
      <c r="BS193" s="900" t="n">
        <f aca="false">BJ193*(1-BR193)*Tables!$C$36</f>
        <v>0</v>
      </c>
      <c r="BT193" s="883" t="n">
        <f aca="false">BS193*AL193/1000</f>
        <v>0</v>
      </c>
      <c r="BU193" s="883" t="n">
        <f aca="false">BT193*K193</f>
        <v>0</v>
      </c>
      <c r="BV193" s="188"/>
      <c r="BW193" s="901" t="n">
        <f aca="false">$BO193*(1-$BR193)*Tables!$C$36</f>
        <v>0</v>
      </c>
      <c r="BX193" s="902" t="n">
        <f aca="false">(BW193*AQ193)/1000</f>
        <v>0</v>
      </c>
      <c r="BY193" s="883" t="n">
        <f aca="false">BX193*K193</f>
        <v>0</v>
      </c>
      <c r="BZ193" s="188"/>
      <c r="CA193" s="901" t="n">
        <f aca="false">$BL193*(1-$BR193)*Tables!$C$36</f>
        <v>0</v>
      </c>
      <c r="CB193" s="902" t="n">
        <f aca="false">(CA193*AU193)/1000</f>
        <v>0</v>
      </c>
      <c r="CC193" s="883" t="n">
        <f aca="false">CB193*K193</f>
        <v>0</v>
      </c>
      <c r="CD193" s="901" t="n">
        <f aca="false">$BP193*(1-$BR193)*Tables!$C$36</f>
        <v>0</v>
      </c>
      <c r="CE193" s="902" t="n">
        <f aca="false">(CD193*AX193)/1000</f>
        <v>0</v>
      </c>
      <c r="CF193" s="883" t="n">
        <f aca="false">CE193*K193</f>
        <v>0</v>
      </c>
      <c r="CH193" s="901" t="n">
        <f aca="false">$BM193*(1-$BR193)*Tables!$C$36</f>
        <v>10368</v>
      </c>
      <c r="CI193" s="902" t="n">
        <f aca="false">(CH193*BB193)/1000</f>
        <v>200.93184</v>
      </c>
      <c r="CJ193" s="883" t="n">
        <f aca="false">CI193*K193</f>
        <v>255.595955909388</v>
      </c>
      <c r="CK193" s="292"/>
      <c r="CL193" s="292" t="n">
        <f aca="false">C193-1</f>
        <v>2015</v>
      </c>
      <c r="CM193" s="903" t="n">
        <f aca="false">INDEX(OperationalDetail,MATCH("Degraded Heat Rate",ODColumn,0),MATCH('Monthly Table'!CL193,ODRow,0))/1000</f>
        <v>12.0200392</v>
      </c>
      <c r="CN193" s="904" t="n">
        <f aca="false">S193*CM193</f>
        <v>6.38749928908621</v>
      </c>
      <c r="CO193" s="905" t="n">
        <f aca="false">IF(A193="January",(CO192*(1+Assumptions!$E$32)),CO192)</f>
        <v>9.06526442632447</v>
      </c>
      <c r="CP193" s="906" t="n">
        <f aca="false">CN193+CO193</f>
        <v>15.4527637154107</v>
      </c>
      <c r="CQ193" s="292"/>
      <c r="CR193" s="856" t="str">
        <f aca="false">IF(BJ193=0,"",C193)</f>
        <v/>
      </c>
      <c r="CS193" s="856" t="str">
        <f aca="false">IF(BO193=0,"",$C193)</f>
        <v/>
      </c>
      <c r="CT193" s="856" t="str">
        <f aca="false">IF(BL193=0,"",$C193)</f>
        <v/>
      </c>
      <c r="CU193" s="856" t="str">
        <f aca="false">IF(BP193=0,"",$C193)</f>
        <v/>
      </c>
      <c r="CV193" s="856" t="n">
        <f aca="false">IF(BD193=0,"",$C193)</f>
        <v>2016</v>
      </c>
      <c r="CW193" s="907" t="n">
        <f aca="false">YEAR(BF193)</f>
        <v>2016</v>
      </c>
      <c r="CX193" s="908" t="n">
        <f aca="false">INDEX('NY Curve'!$A$4:$G$256,MATCH('Monthly Table'!B193,'NY Curve'!$A$4:$A$256,0),MATCH("New York 5 X 16",'NY Curve'!$A$4:$G$4,0))</f>
        <v>29.25</v>
      </c>
      <c r="CY193" s="909" t="n">
        <f aca="false">K193</f>
        <v>1.27205303006924</v>
      </c>
      <c r="CZ193" s="910" t="n">
        <f aca="false">CX193*CY193</f>
        <v>37.2075511295253</v>
      </c>
      <c r="DB193" s="911"/>
      <c r="DC193" s="911"/>
    </row>
    <row r="194" customFormat="false" ht="18.75" hidden="false" customHeight="true" outlineLevel="0" collapsed="false">
      <c r="A194" s="49" t="s">
        <v>813</v>
      </c>
      <c r="B194" s="863" t="n">
        <v>42461</v>
      </c>
      <c r="C194" s="288" t="n">
        <f aca="false">YEAR(B194)</f>
        <v>2016</v>
      </c>
      <c r="D194" s="864" t="n">
        <f aca="false">IF(A194="January",D193+1,D193)</f>
        <v>16</v>
      </c>
      <c r="E194" s="865" t="n">
        <v>21</v>
      </c>
      <c r="F194" s="866" t="n">
        <v>5</v>
      </c>
      <c r="G194" s="866" t="n">
        <v>4</v>
      </c>
      <c r="H194" s="866" t="n">
        <v>0</v>
      </c>
      <c r="I194" s="867" t="n">
        <f aca="false">SUM(E194:H194)</f>
        <v>30</v>
      </c>
      <c r="J194" s="868"/>
      <c r="K194" s="869" t="n">
        <f aca="false">INDEX(FX!$A$3:$C$362,MATCH(B194,FX!$A$3:$A$362,0),MATCH("Monthly Curve",FX!$A$2:$C$2,0))</f>
        <v>1.27142299401321</v>
      </c>
      <c r="L194" s="869"/>
      <c r="M194" s="993"/>
      <c r="N194" s="994"/>
      <c r="O194" s="986" t="n">
        <v>0.1</v>
      </c>
      <c r="P194" s="872" t="n">
        <f aca="false">N194+O194</f>
        <v>0.1</v>
      </c>
      <c r="Q194" s="873" t="n">
        <f aca="false">SUM(M194:O194)</f>
        <v>0.1</v>
      </c>
      <c r="R194" s="974" t="n">
        <f aca="false">IF(A194="January",(R193+R193*Assumptions!$E$32),R193)</f>
        <v>0.40419889483348</v>
      </c>
      <c r="S194" s="875" t="n">
        <f aca="false">(Q194*K194)+R194</f>
        <v>0.531341194234801</v>
      </c>
      <c r="T194" s="869"/>
      <c r="U194" s="187"/>
      <c r="V194" s="897"/>
      <c r="W194" s="897"/>
      <c r="X194" s="31"/>
      <c r="Y194" s="975" t="n">
        <f aca="false">Tables!$D$36</f>
        <v>312</v>
      </c>
      <c r="Z194" s="879" t="n">
        <f aca="false">IF($Z$10=$V$10,V194,IF($Z$10=$W$10,W194,IF($Z$10=$X$10,X194,0)))</f>
        <v>0</v>
      </c>
      <c r="AA194" s="880" t="n">
        <f aca="false">Y194*Z194</f>
        <v>0</v>
      </c>
      <c r="AB194" s="881" t="n">
        <f aca="false">AA194*K194</f>
        <v>0</v>
      </c>
      <c r="AC194" s="188"/>
      <c r="AD194" s="882" t="n">
        <f aca="false">IF(Tables!$E$30="Michigan",INDEX('Michigan Curve'!$A$4:$S$256,MATCH('Monthly Table'!B194,'Michigan Curve'!$A$4:$A$256,0),MATCH("Michigan Selected Option Value US$/month",'Michigan Curve'!$A$4:$S$4,0)),INDEX('NY Curve'!$A$4:$T$256,MATCH('Monthly Table'!B194,'NY Curve'!$A$4:$A$256,0),MATCH("New York Selected Option Value US$/month",'NY Curve'!$A$4:$T$4,0)))</f>
        <v>0</v>
      </c>
      <c r="AE194" s="883" t="n">
        <f aca="false">AD194*K194</f>
        <v>0</v>
      </c>
      <c r="AF194" s="188"/>
      <c r="AG194" s="884"/>
      <c r="AH194" s="49"/>
      <c r="AI194" s="885" t="n">
        <f aca="false">Assumptions!$B$50</f>
        <v>65</v>
      </c>
      <c r="AJ194" s="916"/>
      <c r="AK194" s="887" t="n">
        <f aca="false">IF(Tables!$E$30="Custom",'Monthly Table'!AI194,IF(Tables!$E$30="New York",INDEX('NY Curve'!$A$4:$G$256,MATCH('Monthly Table'!B194,'NY Curve'!$A$4:$A$256,0),MATCH("Super Peak Curve",'NY Curve'!$A$4:$G$4,0)),IF(Tables!$E$30="New York Flat",INDEX('NY Curve'!$A$4:$G$256,MATCH('Monthly Table'!B194,'NY Curve'!$A$4:$A$256,0),MATCH("Flat NY West",'NY Curve'!$A$4:$G$4,0)),INDEX('Michigan Curve'!$A$4:$F$256,MATCH('Monthly Table'!B194,'Michigan Curve'!$A$4:$A$256,0),MATCH("Michigan Super Peak Curve US$/MWhr",'Michigan Curve'!$A$4:$F$4,0)))))</f>
        <v>31.25</v>
      </c>
      <c r="AL194" s="888" t="n">
        <f aca="false">IF(D194&lt;=Tables!$B$21,IF($AL$10=$AI$10,AI194,IF($AL$10=$AJ$10,AJ194,IF($AL$10=$AK$10,AK194,0))),0)</f>
        <v>0</v>
      </c>
      <c r="AM194" s="889" t="n">
        <f aca="false">+AL194*K194</f>
        <v>0</v>
      </c>
      <c r="AN194" s="890" t="n">
        <f aca="false">IF((AL194*K194)&gt;(CP194+$BF$4),1,0)</f>
        <v>0</v>
      </c>
      <c r="AO194" s="891"/>
      <c r="AP194" s="894"/>
      <c r="AQ194" s="892" t="n">
        <f aca="false">IF(Tables!$E$30="New York",INDEX('NY Curve'!$A$4:$L$256,MATCH('Monthly Table'!B194,'NY Curve'!$A$4:$A$256,0),MATCH("New York Shoulder Hour Curve Mon-Fri",'NY Curve'!$A$4:$L$4,0)),IF(Tables!$E$30="Michigan",INDEX('Michigan Curve'!$A$4:$K$256,MATCH('Monthly Table'!B194,'Michigan Curve'!$A$4:$A$256,0),MATCH("Michigan Shoulder Hour Curve Mon-Fri",'Michigan Curve'!$A$4:$K$4,0))))</f>
        <v>31.25</v>
      </c>
      <c r="AR194" s="889" t="n">
        <f aca="false">AQ194*K194</f>
        <v>39.7319685629128</v>
      </c>
      <c r="AS194" s="893" t="n">
        <f aca="false">IF(AR194&gt;($CP194+$BF$4),1,0)</f>
        <v>1</v>
      </c>
      <c r="AU194" s="892" t="n">
        <f aca="false">IF(Tables!$E$30="New York",INDEX('NY Curve'!$A$4:$L$256,MATCH('Monthly Table'!$B194,'NY Curve'!$A$4:$A$256,0),MATCH("New York Saturday Super Peak",'NY Curve'!$A$4:$L$4,0)),IF(Tables!$E$30="Michigan",INDEX('Michigan Curve'!$A$4:$K$256,MATCH('Monthly Table'!$B194,'Michigan Curve'!$A$4:$A$256,0),MATCH("Michigan Saturday Super Peak",'Michigan Curve'!$A$4:$K$4,0))))</f>
        <v>20</v>
      </c>
      <c r="AV194" s="894" t="n">
        <f aca="false">AU194*K194</f>
        <v>25.4284598802642</v>
      </c>
      <c r="AW194" s="893" t="n">
        <f aca="false">IF(Tables!$B$21=15,0,IF(AV194&gt;($CP194+$BF$4),1,0))</f>
        <v>0</v>
      </c>
      <c r="AX194" s="892" t="n">
        <f aca="false">IF(Tables!$E$30="New York",INDEX('NY Curve'!$A$4:$L$256,MATCH('Monthly Table'!$B194,'NY Curve'!$A$4:$A$256,0),MATCH("New York Saturday Shoulder Peak",'NY Curve'!$A$4:$L$4,0)),IF(Tables!$E$30="Michigan",INDEX('Michigan Curve'!$A$4:$K$256,MATCH('Monthly Table'!$B194,'Michigan Curve'!$A$4:$A$256,0),MATCH("Michigan Saturday Shoulder Peak",'Michigan Curve'!$A$4:$K$4,0))))</f>
        <v>20</v>
      </c>
      <c r="AY194" s="895" t="n">
        <f aca="false">AX194*K194</f>
        <v>25.4284598802642</v>
      </c>
      <c r="AZ194" s="893" t="n">
        <f aca="false">IF(Tables!$B$21=15,0,IF(AY194&gt;($CP194+$BF$4),1,0))</f>
        <v>0</v>
      </c>
      <c r="BB194" s="892" t="n">
        <f aca="false">IF(Tables!$E$30="New York",INDEX('NY Curve'!$A$4:$M$256,MATCH('Monthly Table'!$B194,'NY Curve'!$A$4:$A$256,0),MATCH("NY Sunday Super Peak",'NY Curve'!$A$4:$M$4,0)),IF(Tables!$E$30="Michigan",INDEX('Michigan Curve'!$A$4:$L$256,MATCH('Monthly Table'!$B194,'Michigan Curve'!$A$4:$A$256,0),MATCH("Michigan Sunday Super Peak",'Michigan Curve'!$A$4:$L$4,0))))</f>
        <v>18.9950008392334</v>
      </c>
      <c r="BC194" s="894" t="n">
        <f aca="false">BB194*K194</f>
        <v>24.1506808383016</v>
      </c>
      <c r="BD194" s="893" t="n">
        <f aca="false">IF(BC194&gt;($CP194+$BF$4),1,0)</f>
        <v>1</v>
      </c>
      <c r="BF194" s="896" t="n">
        <f aca="false">B194</f>
        <v>42461</v>
      </c>
      <c r="BG194" s="897" t="n">
        <f aca="false">IF($AN194=1,$E194*$BF$5,0)</f>
        <v>0</v>
      </c>
      <c r="BH194" s="976" t="n">
        <f aca="false">IF(Tables!$B$36="Combined Cycle",(BF194-BF193)*24*Assumptions!$B$21,0)</f>
        <v>0</v>
      </c>
      <c r="BI194" s="714" t="n">
        <f aca="false">IF($AN194=1,$E194*$BF$5,0)</f>
        <v>0</v>
      </c>
      <c r="BJ194" s="898" t="n">
        <f aca="false">IF('Monthly Table'!D194&lt;=Tables!$B$21,IF($BJ$10=$BG$10,BG194,IF($BJ$10=$BH$10,BH194,IF($BJ$10=$BI$10,BI194,0))),0)</f>
        <v>0</v>
      </c>
      <c r="BK194" s="288"/>
      <c r="BL194" s="898" t="n">
        <f aca="false">IF($AW194=1,$F194*$BF$5,0)</f>
        <v>0</v>
      </c>
      <c r="BM194" s="898" t="n">
        <f aca="false">IF($BD194=1,($G194+H194)*$BF$5,0)</f>
        <v>32</v>
      </c>
      <c r="BO194" s="898" t="n">
        <f aca="false">IF(AS194=1,BJ194,0)</f>
        <v>0</v>
      </c>
      <c r="BP194" s="898" t="n">
        <f aca="false">IF(AZ194=1,F194*$BF$5,0)</f>
        <v>0</v>
      </c>
      <c r="BR194" s="899" t="n">
        <f aca="false">IF(BJ194&gt;0,INDEX(OperationalDetail,MATCH("Capacity Degradation",ODColumn,0),MATCH('Monthly Table'!C194,ODRow,0)),0)</f>
        <v>0</v>
      </c>
      <c r="BS194" s="900" t="n">
        <f aca="false">BJ194*(1-BR194)*Tables!$C$36</f>
        <v>0</v>
      </c>
      <c r="BT194" s="883" t="n">
        <f aca="false">BS194*AL194/1000</f>
        <v>0</v>
      </c>
      <c r="BU194" s="883" t="n">
        <f aca="false">BT194*K194</f>
        <v>0</v>
      </c>
      <c r="BV194" s="188"/>
      <c r="BW194" s="901" t="n">
        <f aca="false">$BO194*(1-$BR194)*Tables!$C$36</f>
        <v>0</v>
      </c>
      <c r="BX194" s="902" t="n">
        <f aca="false">(BW194*AQ194)/1000</f>
        <v>0</v>
      </c>
      <c r="BY194" s="883" t="n">
        <f aca="false">BX194*K194</f>
        <v>0</v>
      </c>
      <c r="BZ194" s="188"/>
      <c r="CA194" s="901" t="n">
        <f aca="false">$BL194*(1-$BR194)*Tables!$C$36</f>
        <v>0</v>
      </c>
      <c r="CB194" s="902" t="n">
        <f aca="false">(CA194*AU194)/1000</f>
        <v>0</v>
      </c>
      <c r="CC194" s="883" t="n">
        <f aca="false">CB194*K194</f>
        <v>0</v>
      </c>
      <c r="CD194" s="901" t="n">
        <f aca="false">$BP194*(1-$BR194)*Tables!$C$36</f>
        <v>0</v>
      </c>
      <c r="CE194" s="902" t="n">
        <f aca="false">(CD194*AX194)/1000</f>
        <v>0</v>
      </c>
      <c r="CF194" s="883" t="n">
        <f aca="false">CE194*K194</f>
        <v>0</v>
      </c>
      <c r="CH194" s="901" t="n">
        <f aca="false">$BM194*(1-$BR194)*Tables!$C$36</f>
        <v>10368</v>
      </c>
      <c r="CI194" s="902" t="n">
        <f aca="false">(CH194*BB194)/1000</f>
        <v>196.940168701172</v>
      </c>
      <c r="CJ194" s="883" t="n">
        <f aca="false">CI194*K194</f>
        <v>250.394258931511</v>
      </c>
      <c r="CK194" s="292"/>
      <c r="CL194" s="292" t="n">
        <f aca="false">C194-1</f>
        <v>2015</v>
      </c>
      <c r="CM194" s="903" t="n">
        <f aca="false">INDEX(OperationalDetail,MATCH("Degraded Heat Rate",ODColumn,0),MATCH('Monthly Table'!CL194,ODRow,0))/1000</f>
        <v>12.0200392</v>
      </c>
      <c r="CN194" s="904" t="n">
        <f aca="false">S194*CM194</f>
        <v>6.38674198327712</v>
      </c>
      <c r="CO194" s="905" t="n">
        <f aca="false">IF(A194="January",(CO193*(1+Assumptions!$E$32)),CO193)</f>
        <v>9.06526442632447</v>
      </c>
      <c r="CP194" s="906" t="n">
        <f aca="false">CN194+CO194</f>
        <v>15.4520064096016</v>
      </c>
      <c r="CQ194" s="292"/>
      <c r="CR194" s="856" t="str">
        <f aca="false">IF(BJ194=0,"",C194)</f>
        <v/>
      </c>
      <c r="CS194" s="856" t="str">
        <f aca="false">IF(BO194=0,"",$C194)</f>
        <v/>
      </c>
      <c r="CT194" s="856" t="str">
        <f aca="false">IF(BL194=0,"",$C194)</f>
        <v/>
      </c>
      <c r="CU194" s="856" t="str">
        <f aca="false">IF(BP194=0,"",$C194)</f>
        <v/>
      </c>
      <c r="CV194" s="856" t="n">
        <f aca="false">IF(BD194=0,"",$C194)</f>
        <v>2016</v>
      </c>
      <c r="CW194" s="907" t="n">
        <f aca="false">YEAR(BF194)</f>
        <v>2016</v>
      </c>
      <c r="CX194" s="908" t="n">
        <f aca="false">INDEX('NY Curve'!$A$4:$G$256,MATCH('Monthly Table'!B194,'NY Curve'!$A$4:$A$256,0),MATCH("New York 5 X 16",'NY Curve'!$A$4:$G$4,0))</f>
        <v>28</v>
      </c>
      <c r="CY194" s="909" t="n">
        <f aca="false">K194</f>
        <v>1.27142299401321</v>
      </c>
      <c r="CZ194" s="910" t="n">
        <f aca="false">CX194*CY194</f>
        <v>35.5998438323699</v>
      </c>
      <c r="DB194" s="911"/>
      <c r="DC194" s="911"/>
    </row>
    <row r="195" customFormat="false" ht="18.75" hidden="false" customHeight="true" outlineLevel="0" collapsed="false">
      <c r="A195" s="49" t="s">
        <v>814</v>
      </c>
      <c r="B195" s="863" t="n">
        <v>42491</v>
      </c>
      <c r="C195" s="288" t="n">
        <f aca="false">YEAR(B195)</f>
        <v>2016</v>
      </c>
      <c r="D195" s="864" t="n">
        <f aca="false">IF(A195="January",D194+1,D194)</f>
        <v>16</v>
      </c>
      <c r="E195" s="865" t="n">
        <v>21</v>
      </c>
      <c r="F195" s="866" t="n">
        <v>4</v>
      </c>
      <c r="G195" s="866" t="n">
        <v>5</v>
      </c>
      <c r="H195" s="866" t="n">
        <v>1</v>
      </c>
      <c r="I195" s="867" t="n">
        <f aca="false">SUM(E195:H195)</f>
        <v>31</v>
      </c>
      <c r="J195" s="868"/>
      <c r="K195" s="869" t="n">
        <f aca="false">INDEX(FX!$A$3:$C$362,MATCH(B195,FX!$A$3:$A$362,0),MATCH("Monthly Curve",FX!$A$2:$C$2,0))</f>
        <v>1.27081630963347</v>
      </c>
      <c r="L195" s="869"/>
      <c r="M195" s="993"/>
      <c r="N195" s="994"/>
      <c r="O195" s="986" t="n">
        <v>0.1</v>
      </c>
      <c r="P195" s="872" t="n">
        <f aca="false">N195+O195</f>
        <v>0.1</v>
      </c>
      <c r="Q195" s="873" t="n">
        <f aca="false">SUM(M195:O195)</f>
        <v>0.1</v>
      </c>
      <c r="R195" s="974" t="n">
        <f aca="false">IF(A195="January",(R194+R194*Assumptions!$E$32),R194)</f>
        <v>0.40419889483348</v>
      </c>
      <c r="S195" s="875" t="n">
        <f aca="false">(Q195*K195)+R195</f>
        <v>0.531280525796827</v>
      </c>
      <c r="T195" s="869"/>
      <c r="U195" s="187"/>
      <c r="V195" s="897"/>
      <c r="W195" s="897"/>
      <c r="X195" s="31"/>
      <c r="Y195" s="975" t="n">
        <f aca="false">Tables!$D$36</f>
        <v>312</v>
      </c>
      <c r="Z195" s="879" t="n">
        <f aca="false">IF($Z$10=$V$10,V195,IF($Z$10=$W$10,W195,IF($Z$10=$X$10,X195,0)))</f>
        <v>0</v>
      </c>
      <c r="AA195" s="880" t="n">
        <f aca="false">Y195*Z195</f>
        <v>0</v>
      </c>
      <c r="AB195" s="881" t="n">
        <f aca="false">AA195*K195</f>
        <v>0</v>
      </c>
      <c r="AC195" s="188"/>
      <c r="AD195" s="882" t="n">
        <f aca="false">IF(Tables!$E$30="Michigan",INDEX('Michigan Curve'!$A$4:$S$256,MATCH('Monthly Table'!B195,'Michigan Curve'!$A$4:$A$256,0),MATCH("Michigan Selected Option Value US$/month",'Michigan Curve'!$A$4:$S$4,0)),INDEX('NY Curve'!$A$4:$T$256,MATCH('Monthly Table'!B195,'NY Curve'!$A$4:$A$256,0),MATCH("New York Selected Option Value US$/month",'NY Curve'!$A$4:$T$4,0)))</f>
        <v>0</v>
      </c>
      <c r="AE195" s="883" t="n">
        <f aca="false">AD195*K195</f>
        <v>0</v>
      </c>
      <c r="AF195" s="188"/>
      <c r="AG195" s="884"/>
      <c r="AH195" s="49"/>
      <c r="AI195" s="885" t="n">
        <f aca="false">Assumptions!$B$50</f>
        <v>65</v>
      </c>
      <c r="AJ195" s="916"/>
      <c r="AK195" s="887" t="n">
        <f aca="false">IF(Tables!$E$30="Custom",'Monthly Table'!AI195,IF(Tables!$E$30="New York",INDEX('NY Curve'!$A$4:$G$256,MATCH('Monthly Table'!B195,'NY Curve'!$A$4:$A$256,0),MATCH("Super Peak Curve",'NY Curve'!$A$4:$G$4,0)),IF(Tables!$E$30="New York Flat",INDEX('NY Curve'!$A$4:$G$256,MATCH('Monthly Table'!B195,'NY Curve'!$A$4:$A$256,0),MATCH("Flat NY West",'NY Curve'!$A$4:$G$4,0)),INDEX('Michigan Curve'!$A$4:$F$256,MATCH('Monthly Table'!B195,'Michigan Curve'!$A$4:$A$256,0),MATCH("Michigan Super Peak Curve US$/MWhr",'Michigan Curve'!$A$4:$F$4,0)))))</f>
        <v>37.6687500625849</v>
      </c>
      <c r="AL195" s="888" t="n">
        <f aca="false">IF(D195&lt;=Tables!$B$21,IF($AL$10=$AI$10,AI195,IF($AL$10=$AJ$10,AJ195,IF($AL$10=$AK$10,AK195,0))),0)</f>
        <v>0</v>
      </c>
      <c r="AM195" s="889" t="n">
        <f aca="false">+AL195*K195</f>
        <v>0</v>
      </c>
      <c r="AN195" s="890" t="n">
        <f aca="false">IF((AL195*K195)&gt;(CP195+$BF$4),1,0)</f>
        <v>0</v>
      </c>
      <c r="AO195" s="891"/>
      <c r="AP195" s="894"/>
      <c r="AQ195" s="892" t="n">
        <f aca="false">IF(Tables!$E$30="New York",INDEX('NY Curve'!$A$4:$L$256,MATCH('Monthly Table'!B195,'NY Curve'!$A$4:$A$256,0),MATCH("New York Shoulder Hour Curve Mon-Fri",'NY Curve'!$A$4:$L$4,0)),IF(Tables!$E$30="Michigan",INDEX('Michigan Curve'!$A$4:$K$256,MATCH('Monthly Table'!B195,'Michigan Curve'!$A$4:$A$256,0),MATCH("Michigan Shoulder Hour Curve Mon-Fri",'Michigan Curve'!$A$4:$K$4,0))))</f>
        <v>32.3312499374151</v>
      </c>
      <c r="AR195" s="889" t="n">
        <f aca="false">AQ195*K195</f>
        <v>41.0870797313032</v>
      </c>
      <c r="AS195" s="893" t="n">
        <f aca="false">IF(AR195&gt;($CP195+$BF$4),1,0)</f>
        <v>1</v>
      </c>
      <c r="AU195" s="892" t="n">
        <f aca="false">IF(Tables!$E$30="New York",INDEX('NY Curve'!$A$4:$L$256,MATCH('Monthly Table'!$B195,'NY Curve'!$A$4:$A$256,0),MATCH("New York Saturday Super Peak",'NY Curve'!$A$4:$L$4,0)),IF(Tables!$E$30="Michigan",INDEX('Michigan Curve'!$A$4:$K$256,MATCH('Monthly Table'!$B195,'Michigan Curve'!$A$4:$A$256,0),MATCH("Michigan Saturday Super Peak",'Michigan Curve'!$A$4:$K$4,0))))</f>
        <v>22.6012500375509</v>
      </c>
      <c r="AV195" s="894" t="n">
        <f aca="false">AU195*K195</f>
        <v>28.7220371658238</v>
      </c>
      <c r="AW195" s="893" t="n">
        <f aca="false">IF(Tables!$B$21=15,0,IF(AV195&gt;($CP195+$BF$4),1,0))</f>
        <v>0</v>
      </c>
      <c r="AX195" s="892" t="n">
        <f aca="false">IF(Tables!$E$30="New York",INDEX('NY Curve'!$A$4:$L$256,MATCH('Monthly Table'!$B195,'NY Curve'!$A$4:$A$256,0),MATCH("New York Saturday Shoulder Peak",'NY Curve'!$A$4:$L$4,0)),IF(Tables!$E$30="Michigan",INDEX('Michigan Curve'!$A$4:$K$256,MATCH('Monthly Table'!$B195,'Michigan Curve'!$A$4:$A$256,0),MATCH("Michigan Saturday Shoulder Peak",'Michigan Curve'!$A$4:$K$4,0))))</f>
        <v>19.3987499624491</v>
      </c>
      <c r="AY195" s="895" t="n">
        <f aca="false">AX195*K195</f>
        <v>24.6522478387819</v>
      </c>
      <c r="AZ195" s="893" t="n">
        <f aca="false">IF(Tables!$B$21=15,0,IF(AY195&gt;($CP195+$BF$4),1,0))</f>
        <v>0</v>
      </c>
      <c r="BB195" s="892" t="n">
        <f aca="false">IF(Tables!$E$30="New York",INDEX('NY Curve'!$A$4:$M$256,MATCH('Monthly Table'!$B195,'NY Curve'!$A$4:$A$256,0),MATCH("NY Sunday Super Peak",'NY Curve'!$A$4:$M$4,0)),IF(Tables!$E$30="Michigan",INDEX('Michigan Curve'!$A$4:$L$256,MATCH('Monthly Table'!$B195,'Michigan Curve'!$A$4:$A$256,0),MATCH("Michigan Sunday Super Peak",'Michigan Curve'!$A$4:$L$4,0))))</f>
        <v>21.5303803825468</v>
      </c>
      <c r="BC195" s="894" t="n">
        <f aca="false">BB195*K195</f>
        <v>27.361158542753</v>
      </c>
      <c r="BD195" s="893" t="n">
        <f aca="false">IF(BC195&gt;($CP195+$BF$4),1,0)</f>
        <v>1</v>
      </c>
      <c r="BF195" s="896" t="n">
        <f aca="false">B195</f>
        <v>42491</v>
      </c>
      <c r="BG195" s="897" t="n">
        <f aca="false">IF($AN195=1,$E195*$BF$5,0)</f>
        <v>0</v>
      </c>
      <c r="BH195" s="976" t="n">
        <f aca="false">IF(Tables!$B$36="Combined Cycle",(BF195-BF194)*24*Assumptions!$B$21,0)</f>
        <v>0</v>
      </c>
      <c r="BI195" s="714" t="n">
        <f aca="false">IF($AN195=1,$E195*$BF$5,0)</f>
        <v>0</v>
      </c>
      <c r="BJ195" s="898" t="n">
        <f aca="false">IF('Monthly Table'!D195&lt;=Tables!$B$21,IF($BJ$10=$BG$10,BG195,IF($BJ$10=$BH$10,BH195,IF($BJ$10=$BI$10,BI195,0))),0)</f>
        <v>0</v>
      </c>
      <c r="BK195" s="288"/>
      <c r="BL195" s="898" t="n">
        <f aca="false">IF($AW195=1,$F195*$BF$5,0)</f>
        <v>0</v>
      </c>
      <c r="BM195" s="898" t="n">
        <f aca="false">IF($BD195=1,($G195+H195)*$BF$5,0)</f>
        <v>48</v>
      </c>
      <c r="BO195" s="898" t="n">
        <f aca="false">IF(AS195=1,BJ195,0)</f>
        <v>0</v>
      </c>
      <c r="BP195" s="898" t="n">
        <f aca="false">IF(AZ195=1,F195*$BF$5,0)</f>
        <v>0</v>
      </c>
      <c r="BR195" s="899" t="n">
        <f aca="false">IF(BJ195&gt;0,INDEX(OperationalDetail,MATCH("Capacity Degradation",ODColumn,0),MATCH('Monthly Table'!C195,ODRow,0)),0)</f>
        <v>0</v>
      </c>
      <c r="BS195" s="900" t="n">
        <f aca="false">BJ195*(1-BR195)*Tables!$C$36</f>
        <v>0</v>
      </c>
      <c r="BT195" s="883" t="n">
        <f aca="false">BS195*AL195/1000</f>
        <v>0</v>
      </c>
      <c r="BU195" s="883" t="n">
        <f aca="false">BT195*K195</f>
        <v>0</v>
      </c>
      <c r="BV195" s="188"/>
      <c r="BW195" s="901" t="n">
        <f aca="false">$BO195*(1-$BR195)*Tables!$C$36</f>
        <v>0</v>
      </c>
      <c r="BX195" s="902" t="n">
        <f aca="false">(BW195*AQ195)/1000</f>
        <v>0</v>
      </c>
      <c r="BY195" s="883" t="n">
        <f aca="false">BX195*K195</f>
        <v>0</v>
      </c>
      <c r="BZ195" s="188"/>
      <c r="CA195" s="901" t="n">
        <f aca="false">$BL195*(1-$BR195)*Tables!$C$36</f>
        <v>0</v>
      </c>
      <c r="CB195" s="902" t="n">
        <f aca="false">(CA195*AU195)/1000</f>
        <v>0</v>
      </c>
      <c r="CC195" s="883" t="n">
        <f aca="false">CB195*K195</f>
        <v>0</v>
      </c>
      <c r="CD195" s="901" t="n">
        <f aca="false">$BP195*(1-$BR195)*Tables!$C$36</f>
        <v>0</v>
      </c>
      <c r="CE195" s="902" t="n">
        <f aca="false">(CD195*AX195)/1000</f>
        <v>0</v>
      </c>
      <c r="CF195" s="883" t="n">
        <f aca="false">CE195*K195</f>
        <v>0</v>
      </c>
      <c r="CH195" s="901" t="n">
        <f aca="false">$BM195*(1-$BR195)*Tables!$C$36</f>
        <v>15552</v>
      </c>
      <c r="CI195" s="902" t="n">
        <f aca="false">(CH195*BB195)/1000</f>
        <v>334.840475709368</v>
      </c>
      <c r="CJ195" s="883" t="n">
        <f aca="false">CI195*K195</f>
        <v>425.520737656894</v>
      </c>
      <c r="CK195" s="292"/>
      <c r="CL195" s="292" t="n">
        <f aca="false">C195-1</f>
        <v>2015</v>
      </c>
      <c r="CM195" s="903" t="n">
        <f aca="false">INDEX(OperationalDetail,MATCH("Degraded Heat Rate",ODColumn,0),MATCH('Monthly Table'!CL195,ODRow,0))/1000</f>
        <v>12.0200392</v>
      </c>
      <c r="CN195" s="904" t="n">
        <f aca="false">S195*CM195</f>
        <v>6.38601274627447</v>
      </c>
      <c r="CO195" s="905" t="n">
        <f aca="false">IF(A195="January",(CO194*(1+Assumptions!$E$32)),CO194)</f>
        <v>9.06526442632447</v>
      </c>
      <c r="CP195" s="906" t="n">
        <f aca="false">CN195+CO195</f>
        <v>15.4512771725989</v>
      </c>
      <c r="CQ195" s="292"/>
      <c r="CR195" s="856" t="str">
        <f aca="false">IF(BJ195=0,"",C195)</f>
        <v/>
      </c>
      <c r="CS195" s="856" t="str">
        <f aca="false">IF(BO195=0,"",$C195)</f>
        <v/>
      </c>
      <c r="CT195" s="856" t="str">
        <f aca="false">IF(BL195=0,"",$C195)</f>
        <v/>
      </c>
      <c r="CU195" s="856" t="str">
        <f aca="false">IF(BP195=0,"",$C195)</f>
        <v/>
      </c>
      <c r="CV195" s="856" t="n">
        <f aca="false">IF(BD195=0,"",$C195)</f>
        <v>2016</v>
      </c>
      <c r="CW195" s="907" t="n">
        <f aca="false">YEAR(BF195)</f>
        <v>2016</v>
      </c>
      <c r="CX195" s="908" t="n">
        <f aca="false">INDEX('NY Curve'!$A$4:$G$256,MATCH('Monthly Table'!B195,'NY Curve'!$A$4:$A$256,0),MATCH("New York 5 X 16",'NY Curve'!$A$4:$G$4,0))</f>
        <v>33.65</v>
      </c>
      <c r="CY195" s="909" t="n">
        <f aca="false">K195</f>
        <v>1.27081630963347</v>
      </c>
      <c r="CZ195" s="910" t="n">
        <f aca="false">CX195*CY195</f>
        <v>42.7629688191663</v>
      </c>
      <c r="DB195" s="911"/>
      <c r="DC195" s="911"/>
    </row>
    <row r="196" customFormat="false" ht="18.75" hidden="false" customHeight="true" outlineLevel="0" collapsed="false">
      <c r="A196" s="49" t="s">
        <v>815</v>
      </c>
      <c r="B196" s="863" t="n">
        <v>42522</v>
      </c>
      <c r="C196" s="288" t="n">
        <f aca="false">YEAR(B196)</f>
        <v>2016</v>
      </c>
      <c r="D196" s="864" t="n">
        <f aca="false">IF(A196="January",D195+1,D195)</f>
        <v>16</v>
      </c>
      <c r="E196" s="865" t="n">
        <v>22</v>
      </c>
      <c r="F196" s="866" t="n">
        <v>4</v>
      </c>
      <c r="G196" s="866" t="n">
        <v>4</v>
      </c>
      <c r="H196" s="866" t="n">
        <v>0</v>
      </c>
      <c r="I196" s="867" t="n">
        <f aca="false">SUM(E196:H196)</f>
        <v>30</v>
      </c>
      <c r="J196" s="868"/>
      <c r="K196" s="869" t="n">
        <f aca="false">INDEX(FX!$A$3:$C$362,MATCH(B196,FX!$A$3:$A$362,0),MATCH("Monthly Curve",FX!$A$2:$C$2,0))</f>
        <v>1.27019252699916</v>
      </c>
      <c r="L196" s="869"/>
      <c r="M196" s="993"/>
      <c r="N196" s="994"/>
      <c r="O196" s="986" t="n">
        <v>0.1</v>
      </c>
      <c r="P196" s="872" t="n">
        <f aca="false">N196+O196</f>
        <v>0.1</v>
      </c>
      <c r="Q196" s="873" t="n">
        <f aca="false">SUM(M196:O196)</f>
        <v>0.1</v>
      </c>
      <c r="R196" s="974" t="n">
        <f aca="false">IF(A196="January",(R195+R195*Assumptions!$E$32),R195)</f>
        <v>0.40419889483348</v>
      </c>
      <c r="S196" s="875" t="n">
        <f aca="false">(Q196*K196)+R196</f>
        <v>0.531218147533396</v>
      </c>
      <c r="T196" s="869"/>
      <c r="U196" s="187"/>
      <c r="V196" s="897"/>
      <c r="W196" s="897"/>
      <c r="X196" s="31"/>
      <c r="Y196" s="975" t="n">
        <f aca="false">Tables!$D$36</f>
        <v>312</v>
      </c>
      <c r="Z196" s="879" t="n">
        <f aca="false">IF($Z$10=$V$10,V196,IF($Z$10=$W$10,W196,IF($Z$10=$X$10,X196,0)))</f>
        <v>0</v>
      </c>
      <c r="AA196" s="880" t="n">
        <f aca="false">Y196*Z196</f>
        <v>0</v>
      </c>
      <c r="AB196" s="881" t="n">
        <f aca="false">AA196*K196</f>
        <v>0</v>
      </c>
      <c r="AC196" s="188"/>
      <c r="AD196" s="882" t="n">
        <f aca="false">IF(Tables!$E$30="Michigan",INDEX('Michigan Curve'!$A$4:$S$256,MATCH('Monthly Table'!B196,'Michigan Curve'!$A$4:$A$256,0),MATCH("Michigan Selected Option Value US$/month",'Michigan Curve'!$A$4:$S$4,0)),INDEX('NY Curve'!$A$4:$T$256,MATCH('Monthly Table'!B196,'NY Curve'!$A$4:$A$256,0),MATCH("New York Selected Option Value US$/month",'NY Curve'!$A$4:$T$4,0)))</f>
        <v>0</v>
      </c>
      <c r="AE196" s="883" t="n">
        <f aca="false">AD196*K196</f>
        <v>0</v>
      </c>
      <c r="AF196" s="188"/>
      <c r="AG196" s="884"/>
      <c r="AH196" s="49"/>
      <c r="AI196" s="885" t="n">
        <f aca="false">Assumptions!$B$50</f>
        <v>65</v>
      </c>
      <c r="AJ196" s="916"/>
      <c r="AK196" s="887" t="n">
        <f aca="false">IF(Tables!$E$30="Custom",'Monthly Table'!AI196,IF(Tables!$E$30="New York",INDEX('NY Curve'!$A$4:$G$256,MATCH('Monthly Table'!B196,'NY Curve'!$A$4:$A$256,0),MATCH("Super Peak Curve",'NY Curve'!$A$4:$G$4,0)),IF(Tables!$E$30="New York Flat",INDEX('NY Curve'!$A$4:$G$256,MATCH('Monthly Table'!B196,'NY Curve'!$A$4:$A$256,0),MATCH("Flat NY West",'NY Curve'!$A$4:$G$4,0)),INDEX('Michigan Curve'!$A$4:$F$256,MATCH('Monthly Table'!B196,'Michigan Curve'!$A$4:$A$256,0),MATCH("Michigan Super Peak Curve US$/MWhr",'Michigan Curve'!$A$4:$F$4,0)))))</f>
        <v>90.6419772206017</v>
      </c>
      <c r="AL196" s="888" t="n">
        <f aca="false">IF(D196&lt;=Tables!$B$21,IF($AL$10=$AI$10,AI196,IF($AL$10=$AJ$10,AJ196,IF($AL$10=$AK$10,AK196,0))),0)</f>
        <v>0</v>
      </c>
      <c r="AM196" s="889" t="n">
        <f aca="false">+AL196*K196</f>
        <v>0</v>
      </c>
      <c r="AN196" s="890" t="n">
        <f aca="false">IF((AL196*K196)&gt;(CP196+$BF$4),1,0)</f>
        <v>0</v>
      </c>
      <c r="AO196" s="891"/>
      <c r="AP196" s="894"/>
      <c r="AQ196" s="892" t="n">
        <f aca="false">IF(Tables!$E$30="New York",INDEX('NY Curve'!$A$4:$L$256,MATCH('Monthly Table'!B196,'NY Curve'!$A$4:$A$256,0),MATCH("New York Shoulder Hour Curve Mon-Fri",'NY Curve'!$A$4:$L$4,0)),IF(Tables!$E$30="Michigan",INDEX('Michigan Curve'!$A$4:$K$256,MATCH('Monthly Table'!B196,'Michigan Curve'!$A$4:$A$256,0),MATCH("Michigan Shoulder Hour Curve Mon-Fri",'Michigan Curve'!$A$4:$K$4,0))))</f>
        <v>23.8580227793984</v>
      </c>
      <c r="AR196" s="889" t="n">
        <f aca="false">AQ196*K196</f>
        <v>30.3042822433675</v>
      </c>
      <c r="AS196" s="893" t="n">
        <f aca="false">IF(AR196&gt;($CP196+$BF$4),1,0)</f>
        <v>1</v>
      </c>
      <c r="AU196" s="892" t="n">
        <f aca="false">IF(Tables!$E$30="New York",INDEX('NY Curve'!$A$4:$L$256,MATCH('Monthly Table'!$B196,'NY Curve'!$A$4:$A$256,0),MATCH("New York Saturday Super Peak",'NY Curve'!$A$4:$L$4,0)),IF(Tables!$E$30="Michigan",INDEX('Michigan Curve'!$A$4:$K$256,MATCH('Monthly Table'!$B196,'Michigan Curve'!$A$4:$A$256,0),MATCH("Michigan Saturday Super Peak",'Michigan Curve'!$A$4:$K$4,0))))</f>
        <v>41.1649154189632</v>
      </c>
      <c r="AV196" s="894" t="n">
        <f aca="false">AU196*K196</f>
        <v>52.2873679397195</v>
      </c>
      <c r="AW196" s="893" t="n">
        <f aca="false">IF(Tables!$B$21=15,0,IF(AV196&gt;($CP196+$BF$4),1,0))</f>
        <v>0</v>
      </c>
      <c r="AX196" s="892" t="n">
        <f aca="false">IF(Tables!$E$30="New York",INDEX('NY Curve'!$A$4:$L$256,MATCH('Monthly Table'!$B196,'NY Curve'!$A$4:$A$256,0),MATCH("New York Saturday Shoulder Peak",'NY Curve'!$A$4:$L$4,0)),IF(Tables!$E$30="Michigan",INDEX('Michigan Curve'!$A$4:$K$256,MATCH('Monthly Table'!$B196,'Michigan Curve'!$A$4:$A$256,0),MATCH("Michigan Saturday Shoulder Peak",'Michigan Curve'!$A$4:$K$4,0))))</f>
        <v>10.8350845810368</v>
      </c>
      <c r="AY196" s="895" t="n">
        <f aca="false">AX196*K196</f>
        <v>13.7626434642368</v>
      </c>
      <c r="AZ196" s="893" t="n">
        <f aca="false">IF(Tables!$B$21=15,0,IF(AY196&gt;($CP196+$BF$4),1,0))</f>
        <v>0</v>
      </c>
      <c r="BB196" s="892" t="n">
        <f aca="false">IF(Tables!$E$30="New York",INDEX('NY Curve'!$A$4:$M$256,MATCH('Monthly Table'!$B196,'NY Curve'!$A$4:$A$256,0),MATCH("NY Sunday Super Peak",'NY Curve'!$A$4:$M$4,0)),IF(Tables!$E$30="Michigan",INDEX('Michigan Curve'!$A$4:$L$256,MATCH('Monthly Table'!$B196,'Michigan Curve'!$A$4:$A$256,0),MATCH("Michigan Sunday Super Peak",'Michigan Curve'!$A$4:$L$4,0))))</f>
        <v>37.9983834636583</v>
      </c>
      <c r="BC196" s="894" t="n">
        <f aca="false">BB196*K196</f>
        <v>48.2652627135873</v>
      </c>
      <c r="BD196" s="893" t="n">
        <f aca="false">IF(BC196&gt;($CP196+$BF$4),1,0)</f>
        <v>1</v>
      </c>
      <c r="BF196" s="896" t="n">
        <f aca="false">B196</f>
        <v>42522</v>
      </c>
      <c r="BG196" s="897" t="n">
        <f aca="false">IF($AN196=1,$E196*$BF$5,0)</f>
        <v>0</v>
      </c>
      <c r="BH196" s="976" t="n">
        <f aca="false">IF(Tables!$B$36="Combined Cycle",(BF196-BF195)*24*Assumptions!$B$21,0)</f>
        <v>0</v>
      </c>
      <c r="BI196" s="714" t="n">
        <f aca="false">IF($AN196=1,$E196*$BF$5,0)</f>
        <v>0</v>
      </c>
      <c r="BJ196" s="898" t="n">
        <f aca="false">IF('Monthly Table'!D196&lt;=Tables!$B$21,IF($BJ$10=$BG$10,BG196,IF($BJ$10=$BH$10,BH196,IF($BJ$10=$BI$10,BI196,0))),0)</f>
        <v>0</v>
      </c>
      <c r="BK196" s="288"/>
      <c r="BL196" s="898" t="n">
        <f aca="false">IF($AW196=1,$F196*$BF$5,0)</f>
        <v>0</v>
      </c>
      <c r="BM196" s="898" t="n">
        <f aca="false">IF($BD196=1,($G196+H196)*$BF$5,0)</f>
        <v>32</v>
      </c>
      <c r="BO196" s="898" t="n">
        <f aca="false">IF(AS196=1,BJ196,0)</f>
        <v>0</v>
      </c>
      <c r="BP196" s="898" t="n">
        <f aca="false">IF(AZ196=1,F196*$BF$5,0)</f>
        <v>0</v>
      </c>
      <c r="BR196" s="899" t="n">
        <f aca="false">IF(BJ196&gt;0,INDEX(OperationalDetail,MATCH("Capacity Degradation",ODColumn,0),MATCH('Monthly Table'!C196,ODRow,0)),0)</f>
        <v>0</v>
      </c>
      <c r="BS196" s="900" t="n">
        <f aca="false">BJ196*(1-BR196)*Tables!$C$36</f>
        <v>0</v>
      </c>
      <c r="BT196" s="883" t="n">
        <f aca="false">BS196*AL196/1000</f>
        <v>0</v>
      </c>
      <c r="BU196" s="883" t="n">
        <f aca="false">BT196*K196</f>
        <v>0</v>
      </c>
      <c r="BV196" s="188"/>
      <c r="BW196" s="901" t="n">
        <f aca="false">$BO196*(1-$BR196)*Tables!$C$36</f>
        <v>0</v>
      </c>
      <c r="BX196" s="902" t="n">
        <f aca="false">(BW196*AQ196)/1000</f>
        <v>0</v>
      </c>
      <c r="BY196" s="883" t="n">
        <f aca="false">BX196*K196</f>
        <v>0</v>
      </c>
      <c r="BZ196" s="188"/>
      <c r="CA196" s="901" t="n">
        <f aca="false">$BL196*(1-$BR196)*Tables!$C$36</f>
        <v>0</v>
      </c>
      <c r="CB196" s="902" t="n">
        <f aca="false">(CA196*AU196)/1000</f>
        <v>0</v>
      </c>
      <c r="CC196" s="883" t="n">
        <f aca="false">CB196*K196</f>
        <v>0</v>
      </c>
      <c r="CD196" s="901" t="n">
        <f aca="false">$BP196*(1-$BR196)*Tables!$C$36</f>
        <v>0</v>
      </c>
      <c r="CE196" s="902" t="n">
        <f aca="false">(CD196*AX196)/1000</f>
        <v>0</v>
      </c>
      <c r="CF196" s="883" t="n">
        <f aca="false">CE196*K196</f>
        <v>0</v>
      </c>
      <c r="CH196" s="901" t="n">
        <f aca="false">$BM196*(1-$BR196)*Tables!$C$36</f>
        <v>10368</v>
      </c>
      <c r="CI196" s="902" t="n">
        <f aca="false">(CH196*BB196)/1000</f>
        <v>393.96723975121</v>
      </c>
      <c r="CJ196" s="883" t="n">
        <f aca="false">CI196*K196</f>
        <v>500.414243814473</v>
      </c>
      <c r="CK196" s="292"/>
      <c r="CL196" s="292" t="n">
        <f aca="false">C196-1</f>
        <v>2015</v>
      </c>
      <c r="CM196" s="903" t="n">
        <f aca="false">INDEX(OperationalDetail,MATCH("Degraded Heat Rate",ODColumn,0),MATCH('Monthly Table'!CL196,ODRow,0))/1000</f>
        <v>12.0200392</v>
      </c>
      <c r="CN196" s="904" t="n">
        <f aca="false">S196*CM196</f>
        <v>6.3852629571028</v>
      </c>
      <c r="CO196" s="905" t="n">
        <f aca="false">IF(A196="January",(CO195*(1+Assumptions!$E$32)),CO195)</f>
        <v>9.06526442632447</v>
      </c>
      <c r="CP196" s="906" t="n">
        <f aca="false">CN196+CO196</f>
        <v>15.4505273834273</v>
      </c>
      <c r="CQ196" s="292"/>
      <c r="CR196" s="856" t="str">
        <f aca="false">IF(BJ196=0,"",C196)</f>
        <v/>
      </c>
      <c r="CS196" s="856" t="str">
        <f aca="false">IF(BO196=0,"",$C196)</f>
        <v/>
      </c>
      <c r="CT196" s="856" t="str">
        <f aca="false">IF(BL196=0,"",$C196)</f>
        <v/>
      </c>
      <c r="CU196" s="856" t="str">
        <f aca="false">IF(BP196=0,"",$C196)</f>
        <v/>
      </c>
      <c r="CV196" s="856" t="n">
        <f aca="false">IF(BD196=0,"",$C196)</f>
        <v>2016</v>
      </c>
      <c r="CW196" s="907" t="n">
        <f aca="false">YEAR(BF196)</f>
        <v>2016</v>
      </c>
      <c r="CX196" s="908" t="n">
        <f aca="false">INDEX('NY Curve'!$A$4:$G$256,MATCH('Monthly Table'!B196,'NY Curve'!$A$4:$A$256,0),MATCH("New York 5 X 16",'NY Curve'!$A$4:$G$4,0))</f>
        <v>57.25</v>
      </c>
      <c r="CY196" s="909" t="n">
        <f aca="false">K196</f>
        <v>1.27019252699916</v>
      </c>
      <c r="CZ196" s="910" t="n">
        <f aca="false">CX196*CY196</f>
        <v>72.7185221707019</v>
      </c>
      <c r="DB196" s="911"/>
      <c r="DC196" s="911"/>
    </row>
    <row r="197" customFormat="false" ht="18.75" hidden="false" customHeight="true" outlineLevel="0" collapsed="false">
      <c r="A197" s="49" t="s">
        <v>816</v>
      </c>
      <c r="B197" s="863" t="n">
        <v>42552</v>
      </c>
      <c r="C197" s="288" t="n">
        <f aca="false">YEAR(B197)</f>
        <v>2016</v>
      </c>
      <c r="D197" s="864" t="n">
        <f aca="false">IF(A197="January",D196+1,D196)</f>
        <v>16</v>
      </c>
      <c r="E197" s="865" t="n">
        <v>20</v>
      </c>
      <c r="F197" s="866" t="n">
        <v>5</v>
      </c>
      <c r="G197" s="866" t="n">
        <v>5</v>
      </c>
      <c r="H197" s="866" t="n">
        <v>1</v>
      </c>
      <c r="I197" s="867" t="n">
        <f aca="false">SUM(E197:H197)</f>
        <v>31</v>
      </c>
      <c r="J197" s="868"/>
      <c r="K197" s="869" t="n">
        <f aca="false">INDEX(FX!$A$3:$C$362,MATCH(B197,FX!$A$3:$A$362,0),MATCH("Monthly Curve",FX!$A$2:$C$2,0))</f>
        <v>1.26959188605155</v>
      </c>
      <c r="L197" s="869"/>
      <c r="M197" s="993"/>
      <c r="N197" s="994"/>
      <c r="O197" s="986" t="n">
        <v>0.1</v>
      </c>
      <c r="P197" s="872" t="n">
        <f aca="false">N197+O197</f>
        <v>0.1</v>
      </c>
      <c r="Q197" s="873" t="n">
        <f aca="false">SUM(M197:O197)</f>
        <v>0.1</v>
      </c>
      <c r="R197" s="974" t="n">
        <f aca="false">IF(A197="January",(R196+R196*Assumptions!$E$32),R196)</f>
        <v>0.40419889483348</v>
      </c>
      <c r="S197" s="875" t="n">
        <f aca="false">(Q197*K197)+R197</f>
        <v>0.531158083438635</v>
      </c>
      <c r="T197" s="869"/>
      <c r="U197" s="187"/>
      <c r="V197" s="897"/>
      <c r="W197" s="897"/>
      <c r="X197" s="31"/>
      <c r="Y197" s="975" t="n">
        <f aca="false">Tables!$D$36</f>
        <v>312</v>
      </c>
      <c r="Z197" s="879" t="n">
        <f aca="false">IF($Z$10=$V$10,V197,IF($Z$10=$W$10,W197,IF($Z$10=$X$10,X197,0)))</f>
        <v>0</v>
      </c>
      <c r="AA197" s="880" t="n">
        <f aca="false">Y197*Z197</f>
        <v>0</v>
      </c>
      <c r="AB197" s="881" t="n">
        <f aca="false">AA197*K197</f>
        <v>0</v>
      </c>
      <c r="AC197" s="188"/>
      <c r="AD197" s="882" t="n">
        <f aca="false">IF(Tables!$E$30="Michigan",INDEX('Michigan Curve'!$A$4:$S$256,MATCH('Monthly Table'!B197,'Michigan Curve'!$A$4:$A$256,0),MATCH("Michigan Selected Option Value US$/month",'Michigan Curve'!$A$4:$S$4,0)),INDEX('NY Curve'!$A$4:$T$256,MATCH('Monthly Table'!B197,'NY Curve'!$A$4:$A$256,0),MATCH("New York Selected Option Value US$/month",'NY Curve'!$A$4:$T$4,0)))</f>
        <v>0</v>
      </c>
      <c r="AE197" s="883" t="n">
        <f aca="false">AD197*K197</f>
        <v>0</v>
      </c>
      <c r="AF197" s="188"/>
      <c r="AG197" s="884"/>
      <c r="AH197" s="49"/>
      <c r="AI197" s="885" t="n">
        <f aca="false">Assumptions!$B$50</f>
        <v>65</v>
      </c>
      <c r="AJ197" s="916"/>
      <c r="AK197" s="887" t="n">
        <f aca="false">IF(Tables!$E$30="Custom",'Monthly Table'!AI197,IF(Tables!$E$30="New York",INDEX('NY Curve'!$A$4:$G$256,MATCH('Monthly Table'!B197,'NY Curve'!$A$4:$A$256,0),MATCH("Super Peak Curve",'NY Curve'!$A$4:$G$4,0)),IF(Tables!$E$30="New York Flat",INDEX('NY Curve'!$A$4:$G$256,MATCH('Monthly Table'!B197,'NY Curve'!$A$4:$A$256,0),MATCH("Flat NY West",'NY Curve'!$A$4:$G$4,0)),INDEX('Michigan Curve'!$A$4:$F$256,MATCH('Monthly Table'!B197,'Michigan Curve'!$A$4:$A$256,0),MATCH("Michigan Super Peak Curve US$/MWhr",'Michigan Curve'!$A$4:$F$4,0)))))</f>
        <v>177.487185070109</v>
      </c>
      <c r="AL197" s="888" t="n">
        <f aca="false">IF(D197&lt;=Tables!$B$21,IF($AL$10=$AI$10,AI197,IF($AL$10=$AJ$10,AJ197,IF($AL$10=$AK$10,AK197,0))),0)</f>
        <v>0</v>
      </c>
      <c r="AM197" s="889" t="n">
        <f aca="false">+AL197*K197</f>
        <v>0</v>
      </c>
      <c r="AN197" s="890" t="n">
        <f aca="false">IF((AL197*K197)&gt;(CP197+$BF$4),1,0)</f>
        <v>0</v>
      </c>
      <c r="AO197" s="891"/>
      <c r="AP197" s="894"/>
      <c r="AQ197" s="892" t="n">
        <f aca="false">IF(Tables!$E$30="New York",INDEX('NY Curve'!$A$4:$L$256,MATCH('Monthly Table'!B197,'NY Curve'!$A$4:$A$256,0),MATCH("New York Shoulder Hour Curve Mon-Fri",'NY Curve'!$A$4:$L$4,0)),IF(Tables!$E$30="Michigan",INDEX('Michigan Curve'!$A$4:$K$256,MATCH('Monthly Table'!B197,'Michigan Curve'!$A$4:$A$256,0),MATCH("Michigan Shoulder Hour Curve Mon-Fri",'Michigan Curve'!$A$4:$K$4,0))))</f>
        <v>30.5128149298915</v>
      </c>
      <c r="AR197" s="889" t="n">
        <f aca="false">AQ197*K197</f>
        <v>38.7388222555828</v>
      </c>
      <c r="AS197" s="893" t="n">
        <f aca="false">IF(AR197&gt;($CP197+$BF$4),1,0)</f>
        <v>1</v>
      </c>
      <c r="AU197" s="892" t="n">
        <f aca="false">IF(Tables!$E$30="New York",INDEX('NY Curve'!$A$4:$L$256,MATCH('Monthly Table'!$B197,'NY Curve'!$A$4:$A$256,0),MATCH("New York Saturday Super Peak",'NY Curve'!$A$4:$L$4,0)),IF(Tables!$E$30="Michigan",INDEX('Michigan Curve'!$A$4:$K$256,MATCH('Monthly Table'!$B197,'Michigan Curve'!$A$4:$A$256,0),MATCH("Michigan Saturday Super Peak",'Michigan Curve'!$A$4:$K$4,0))))</f>
        <v>59.7312642062865</v>
      </c>
      <c r="AV197" s="894" t="n">
        <f aca="false">AU197*K197</f>
        <v>75.8343283799028</v>
      </c>
      <c r="AW197" s="893" t="n">
        <f aca="false">IF(Tables!$B$21=15,0,IF(AV197&gt;($CP197+$BF$4),1,0))</f>
        <v>0</v>
      </c>
      <c r="AX197" s="892" t="n">
        <f aca="false">IF(Tables!$E$30="New York",INDEX('NY Curve'!$A$4:$L$256,MATCH('Monthly Table'!$B197,'NY Curve'!$A$4:$A$256,0),MATCH("New York Saturday Shoulder Peak",'NY Curve'!$A$4:$L$4,0)),IF(Tables!$E$30="Michigan",INDEX('Michigan Curve'!$A$4:$K$256,MATCH('Monthly Table'!$B197,'Michigan Curve'!$A$4:$A$256,0),MATCH("Michigan Saturday Shoulder Peak",'Michigan Curve'!$A$4:$K$4,0))))</f>
        <v>10.2687357937135</v>
      </c>
      <c r="AY197" s="895" t="n">
        <f aca="false">AX197*K197</f>
        <v>13.0371036437058</v>
      </c>
      <c r="AZ197" s="893" t="n">
        <f aca="false">IF(Tables!$B$21=15,0,IF(AY197&gt;($CP197+$BF$4),1,0))</f>
        <v>0</v>
      </c>
      <c r="BB197" s="892" t="n">
        <f aca="false">IF(Tables!$E$30="New York",INDEX('NY Curve'!$A$4:$M$256,MATCH('Monthly Table'!$B197,'NY Curve'!$A$4:$A$256,0),MATCH("NY Sunday Super Peak",'NY Curve'!$A$4:$M$4,0)),IF(Tables!$E$30="Michigan",INDEX('Michigan Curve'!$A$4:$L$256,MATCH('Monthly Table'!$B197,'Michigan Curve'!$A$4:$A$256,0),MATCH("Michigan Sunday Super Peak",'Michigan Curve'!$A$4:$L$4,0))))</f>
        <v>52.9048307561868</v>
      </c>
      <c r="BC197" s="894" t="n">
        <f aca="false">BB197*K197</f>
        <v>67.1675438609852</v>
      </c>
      <c r="BD197" s="893" t="n">
        <f aca="false">IF(BC197&gt;($CP197+$BF$4),1,0)</f>
        <v>1</v>
      </c>
      <c r="BF197" s="896" t="n">
        <f aca="false">B197</f>
        <v>42552</v>
      </c>
      <c r="BG197" s="897" t="n">
        <f aca="false">IF($AN197=1,$E197*$BF$5,0)</f>
        <v>0</v>
      </c>
      <c r="BH197" s="976" t="n">
        <f aca="false">IF(Tables!$B$36="Combined Cycle",(BF197-BF196)*24*Assumptions!$B$21,0)</f>
        <v>0</v>
      </c>
      <c r="BI197" s="714" t="n">
        <f aca="false">IF($AN197=1,$E197*$BF$5,0)</f>
        <v>0</v>
      </c>
      <c r="BJ197" s="898" t="n">
        <f aca="false">IF('Monthly Table'!D197&lt;=Tables!$B$21,IF($BJ$10=$BG$10,BG197,IF($BJ$10=$BH$10,BH197,IF($BJ$10=$BI$10,BI197,0))),0)</f>
        <v>0</v>
      </c>
      <c r="BK197" s="288"/>
      <c r="BL197" s="898" t="n">
        <f aca="false">IF($AW197=1,$F197*$BF$5,0)</f>
        <v>0</v>
      </c>
      <c r="BM197" s="898" t="n">
        <f aca="false">IF($BD197=1,($G197+H197)*$BF$5,0)</f>
        <v>48</v>
      </c>
      <c r="BO197" s="898" t="n">
        <f aca="false">IF(AS197=1,BJ197,0)</f>
        <v>0</v>
      </c>
      <c r="BP197" s="898" t="n">
        <f aca="false">IF(AZ197=1,F197*$BF$5,0)</f>
        <v>0</v>
      </c>
      <c r="BR197" s="899" t="n">
        <f aca="false">IF(BJ197&gt;0,INDEX(OperationalDetail,MATCH("Capacity Degradation",ODColumn,0),MATCH('Monthly Table'!C197,ODRow,0)),0)</f>
        <v>0</v>
      </c>
      <c r="BS197" s="900" t="n">
        <f aca="false">BJ197*(1-BR197)*Tables!$C$36</f>
        <v>0</v>
      </c>
      <c r="BT197" s="883" t="n">
        <f aca="false">BS197*AL197/1000</f>
        <v>0</v>
      </c>
      <c r="BU197" s="883" t="n">
        <f aca="false">BT197*K197</f>
        <v>0</v>
      </c>
      <c r="BV197" s="188"/>
      <c r="BW197" s="901" t="n">
        <f aca="false">$BO197*(1-$BR197)*Tables!$C$36</f>
        <v>0</v>
      </c>
      <c r="BX197" s="902" t="n">
        <f aca="false">(BW197*AQ197)/1000</f>
        <v>0</v>
      </c>
      <c r="BY197" s="883" t="n">
        <f aca="false">BX197*K197</f>
        <v>0</v>
      </c>
      <c r="BZ197" s="188"/>
      <c r="CA197" s="901" t="n">
        <f aca="false">$BL197*(1-$BR197)*Tables!$C$36</f>
        <v>0</v>
      </c>
      <c r="CB197" s="902" t="n">
        <f aca="false">(CA197*AU197)/1000</f>
        <v>0</v>
      </c>
      <c r="CC197" s="883" t="n">
        <f aca="false">CB197*K197</f>
        <v>0</v>
      </c>
      <c r="CD197" s="901" t="n">
        <f aca="false">$BP197*(1-$BR197)*Tables!$C$36</f>
        <v>0</v>
      </c>
      <c r="CE197" s="902" t="n">
        <f aca="false">(CD197*AX197)/1000</f>
        <v>0</v>
      </c>
      <c r="CF197" s="883" t="n">
        <f aca="false">CE197*K197</f>
        <v>0</v>
      </c>
      <c r="CH197" s="901" t="n">
        <f aca="false">$BM197*(1-$BR197)*Tables!$C$36</f>
        <v>15552</v>
      </c>
      <c r="CI197" s="902" t="n">
        <f aca="false">(CH197*BB197)/1000</f>
        <v>822.775927920217</v>
      </c>
      <c r="CJ197" s="883" t="n">
        <f aca="false">CI197*K197</f>
        <v>1044.58964212604</v>
      </c>
      <c r="CK197" s="292"/>
      <c r="CL197" s="292" t="n">
        <f aca="false">C197-1</f>
        <v>2015</v>
      </c>
      <c r="CM197" s="903" t="n">
        <f aca="false">INDEX(OperationalDetail,MATCH("Degraded Heat Rate",ODColumn,0),MATCH('Monthly Table'!CL197,ODRow,0))/1000</f>
        <v>12.0200392</v>
      </c>
      <c r="CN197" s="904" t="n">
        <f aca="false">S197*CM197</f>
        <v>6.38454098432926</v>
      </c>
      <c r="CO197" s="905" t="n">
        <f aca="false">IF(A197="January",(CO196*(1+Assumptions!$E$32)),CO196)</f>
        <v>9.06526442632447</v>
      </c>
      <c r="CP197" s="906" t="n">
        <f aca="false">CN197+CO197</f>
        <v>15.4498054106537</v>
      </c>
      <c r="CQ197" s="292"/>
      <c r="CR197" s="856" t="str">
        <f aca="false">IF(BJ197=0,"",C197)</f>
        <v/>
      </c>
      <c r="CS197" s="856" t="str">
        <f aca="false">IF(BO197=0,"",$C197)</f>
        <v/>
      </c>
      <c r="CT197" s="856" t="str">
        <f aca="false">IF(BL197=0,"",$C197)</f>
        <v/>
      </c>
      <c r="CU197" s="856" t="str">
        <f aca="false">IF(BP197=0,"",$C197)</f>
        <v/>
      </c>
      <c r="CV197" s="856" t="n">
        <f aca="false">IF(BD197=0,"",$C197)</f>
        <v>2016</v>
      </c>
      <c r="CW197" s="907" t="n">
        <f aca="false">YEAR(BF197)</f>
        <v>2016</v>
      </c>
      <c r="CX197" s="908" t="n">
        <f aca="false">INDEX('NY Curve'!$A$4:$G$256,MATCH('Monthly Table'!B197,'NY Curve'!$A$4:$A$256,0),MATCH("New York 5 X 16",'NY Curve'!$A$4:$G$4,0))</f>
        <v>90</v>
      </c>
      <c r="CY197" s="909" t="n">
        <f aca="false">K197</f>
        <v>1.26959188605155</v>
      </c>
      <c r="CZ197" s="910" t="n">
        <f aca="false">CX197*CY197</f>
        <v>114.26326974464</v>
      </c>
      <c r="DB197" s="911"/>
      <c r="DC197" s="911"/>
    </row>
    <row r="198" customFormat="false" ht="18.75" hidden="false" customHeight="true" outlineLevel="0" collapsed="false">
      <c r="A198" s="49" t="s">
        <v>817</v>
      </c>
      <c r="B198" s="863" t="n">
        <v>42583</v>
      </c>
      <c r="C198" s="288" t="n">
        <f aca="false">YEAR(B198)</f>
        <v>2016</v>
      </c>
      <c r="D198" s="864" t="n">
        <f aca="false">IF(A198="January",D197+1,D197)</f>
        <v>16</v>
      </c>
      <c r="E198" s="865" t="n">
        <v>23</v>
      </c>
      <c r="F198" s="866" t="n">
        <v>4</v>
      </c>
      <c r="G198" s="866" t="n">
        <v>4</v>
      </c>
      <c r="H198" s="866" t="n">
        <v>0</v>
      </c>
      <c r="I198" s="867" t="n">
        <f aca="false">SUM(E198:H198)</f>
        <v>31</v>
      </c>
      <c r="J198" s="868"/>
      <c r="K198" s="869" t="n">
        <f aca="false">INDEX(FX!$A$3:$C$362,MATCH(B198,FX!$A$3:$A$362,0),MATCH("Monthly Curve",FX!$A$2:$C$2,0))</f>
        <v>1.26897433980061</v>
      </c>
      <c r="L198" s="869"/>
      <c r="M198" s="993"/>
      <c r="N198" s="994"/>
      <c r="O198" s="986" t="n">
        <v>0.1</v>
      </c>
      <c r="P198" s="872" t="n">
        <f aca="false">N198+O198</f>
        <v>0.1</v>
      </c>
      <c r="Q198" s="873" t="n">
        <f aca="false">SUM(M198:O198)</f>
        <v>0.1</v>
      </c>
      <c r="R198" s="974" t="n">
        <f aca="false">IF(A198="January",(R197+R197*Assumptions!$E$32),R197)</f>
        <v>0.40419889483348</v>
      </c>
      <c r="S198" s="875" t="n">
        <f aca="false">(Q198*K198)+R198</f>
        <v>0.531096328813541</v>
      </c>
      <c r="T198" s="869"/>
      <c r="U198" s="187"/>
      <c r="V198" s="897"/>
      <c r="W198" s="897"/>
      <c r="X198" s="31"/>
      <c r="Y198" s="975" t="n">
        <f aca="false">Tables!$D$36</f>
        <v>312</v>
      </c>
      <c r="Z198" s="879" t="n">
        <f aca="false">IF($Z$10=$V$10,V198,IF($Z$10=$W$10,W198,IF($Z$10=$X$10,X198,0)))</f>
        <v>0</v>
      </c>
      <c r="AA198" s="880" t="n">
        <f aca="false">Y198*Z198</f>
        <v>0</v>
      </c>
      <c r="AB198" s="881" t="n">
        <f aca="false">AA198*K198</f>
        <v>0</v>
      </c>
      <c r="AC198" s="188"/>
      <c r="AD198" s="882" t="n">
        <f aca="false">IF(Tables!$E$30="Michigan",INDEX('Michigan Curve'!$A$4:$S$256,MATCH('Monthly Table'!B198,'Michigan Curve'!$A$4:$A$256,0),MATCH("Michigan Selected Option Value US$/month",'Michigan Curve'!$A$4:$S$4,0)),INDEX('NY Curve'!$A$4:$T$256,MATCH('Monthly Table'!B198,'NY Curve'!$A$4:$A$256,0),MATCH("New York Selected Option Value US$/month",'NY Curve'!$A$4:$T$4,0)))</f>
        <v>0</v>
      </c>
      <c r="AE198" s="883" t="n">
        <f aca="false">AD198*K198</f>
        <v>0</v>
      </c>
      <c r="AF198" s="188"/>
      <c r="AG198" s="884"/>
      <c r="AH198" s="49"/>
      <c r="AI198" s="885" t="n">
        <f aca="false">Assumptions!$B$50</f>
        <v>65</v>
      </c>
      <c r="AJ198" s="916"/>
      <c r="AK198" s="887" t="n">
        <f aca="false">IF(Tables!$E$30="Custom",'Monthly Table'!AI198,IF(Tables!$E$30="New York",INDEX('NY Curve'!$A$4:$G$256,MATCH('Monthly Table'!B198,'NY Curve'!$A$4:$A$256,0),MATCH("Super Peak Curve",'NY Curve'!$A$4:$G$4,0)),IF(Tables!$E$30="New York Flat",INDEX('NY Curve'!$A$4:$G$256,MATCH('Monthly Table'!B198,'NY Curve'!$A$4:$A$256,0),MATCH("Flat NY West",'NY Curve'!$A$4:$G$4,0)),INDEX('Michigan Curve'!$A$4:$F$256,MATCH('Monthly Table'!B198,'Michigan Curve'!$A$4:$A$256,0),MATCH("Michigan Super Peak Curve US$/MWhr",'Michigan Curve'!$A$4:$F$4,0)))))</f>
        <v>177.487185070109</v>
      </c>
      <c r="AL198" s="888" t="n">
        <f aca="false">IF(D198&lt;=Tables!$B$21,IF($AL$10=$AI$10,AI198,IF($AL$10=$AJ$10,AJ198,IF($AL$10=$AK$10,AK198,0))),0)</f>
        <v>0</v>
      </c>
      <c r="AM198" s="889" t="n">
        <f aca="false">+AL198*K198</f>
        <v>0</v>
      </c>
      <c r="AN198" s="890" t="n">
        <f aca="false">IF((AL198*K198)&gt;(CP198+$BF$4),1,0)</f>
        <v>0</v>
      </c>
      <c r="AO198" s="891"/>
      <c r="AP198" s="894"/>
      <c r="AQ198" s="892" t="n">
        <f aca="false">IF(Tables!$E$30="New York",INDEX('NY Curve'!$A$4:$L$256,MATCH('Monthly Table'!B198,'NY Curve'!$A$4:$A$256,0),MATCH("New York Shoulder Hour Curve Mon-Fri",'NY Curve'!$A$4:$L$4,0)),IF(Tables!$E$30="Michigan",INDEX('Michigan Curve'!$A$4:$K$256,MATCH('Monthly Table'!B198,'Michigan Curve'!$A$4:$A$256,0),MATCH("Michigan Shoulder Hour Curve Mon-Fri",'Michigan Curve'!$A$4:$K$4,0))))</f>
        <v>30.5128149298915</v>
      </c>
      <c r="AR198" s="889" t="n">
        <f aca="false">AQ198*K198</f>
        <v>38.7199791811172</v>
      </c>
      <c r="AS198" s="893" t="n">
        <f aca="false">IF(AR198&gt;($CP198+$BF$4),1,0)</f>
        <v>1</v>
      </c>
      <c r="AU198" s="892" t="n">
        <f aca="false">IF(Tables!$E$30="New York",INDEX('NY Curve'!$A$4:$L$256,MATCH('Monthly Table'!$B198,'NY Curve'!$A$4:$A$256,0),MATCH("New York Saturday Super Peak",'NY Curve'!$A$4:$L$4,0)),IF(Tables!$E$30="Michigan",INDEX('Michigan Curve'!$A$4:$K$256,MATCH('Monthly Table'!$B198,'Michigan Curve'!$A$4:$A$256,0),MATCH("Michigan Saturday Super Peak",'Michigan Curve'!$A$4:$K$4,0))))</f>
        <v>59.7312707164777</v>
      </c>
      <c r="AV198" s="894" t="n">
        <f aca="false">AU198*K198</f>
        <v>75.7974498228938</v>
      </c>
      <c r="AW198" s="893" t="n">
        <f aca="false">IF(Tables!$B$21=15,0,IF(AV198&gt;($CP198+$BF$4),1,0))</f>
        <v>0</v>
      </c>
      <c r="AX198" s="892" t="n">
        <f aca="false">IF(Tables!$E$30="New York",INDEX('NY Curve'!$A$4:$L$256,MATCH('Monthly Table'!$B198,'NY Curve'!$A$4:$A$256,0),MATCH("New York Saturday Shoulder Peak",'NY Curve'!$A$4:$L$4,0)),IF(Tables!$E$30="Michigan",INDEX('Michigan Curve'!$A$4:$K$256,MATCH('Monthly Table'!$B198,'Michigan Curve'!$A$4:$A$256,0),MATCH("Michigan Saturday Shoulder Peak",'Michigan Curve'!$A$4:$K$4,0))))</f>
        <v>10.2687369129169</v>
      </c>
      <c r="AY198" s="895" t="n">
        <f aca="false">AX198*K198</f>
        <v>13.0307636446548</v>
      </c>
      <c r="AZ198" s="893" t="n">
        <f aca="false">IF(Tables!$B$21=15,0,IF(AY198&gt;($CP198+$BF$4),1,0))</f>
        <v>0</v>
      </c>
      <c r="BB198" s="892" t="n">
        <f aca="false">IF(Tables!$E$30="New York",INDEX('NY Curve'!$A$4:$M$256,MATCH('Monthly Table'!$B198,'NY Curve'!$A$4:$A$256,0),MATCH("NY Sunday Super Peak",'NY Curve'!$A$4:$M$4,0)),IF(Tables!$E$30="Michigan",INDEX('Michigan Curve'!$A$4:$L$256,MATCH('Monthly Table'!$B198,'Michigan Curve'!$A$4:$A$256,0),MATCH("Michigan Sunday Super Peak",'Michigan Curve'!$A$4:$L$4,0))))</f>
        <v>52.9048340112824</v>
      </c>
      <c r="BC198" s="894" t="n">
        <f aca="false">BB198*K198</f>
        <v>67.1348768117279</v>
      </c>
      <c r="BD198" s="893" t="n">
        <f aca="false">IF(BC198&gt;($CP198+$BF$4),1,0)</f>
        <v>1</v>
      </c>
      <c r="BF198" s="896" t="n">
        <f aca="false">B198</f>
        <v>42583</v>
      </c>
      <c r="BG198" s="897" t="n">
        <f aca="false">IF($AN198=1,$E198*$BF$5,0)</f>
        <v>0</v>
      </c>
      <c r="BH198" s="976" t="n">
        <f aca="false">IF(Tables!$B$36="Combined Cycle",(BF198-BF197)*24*Assumptions!$B$21,0)</f>
        <v>0</v>
      </c>
      <c r="BI198" s="714" t="n">
        <f aca="false">IF($AN198=1,$E198*$BF$5,0)</f>
        <v>0</v>
      </c>
      <c r="BJ198" s="898" t="n">
        <f aca="false">IF('Monthly Table'!D198&lt;=Tables!$B$21,IF($BJ$10=$BG$10,BG198,IF($BJ$10=$BH$10,BH198,IF($BJ$10=$BI$10,BI198,0))),0)</f>
        <v>0</v>
      </c>
      <c r="BK198" s="288"/>
      <c r="BL198" s="898" t="n">
        <f aca="false">IF($AW198=1,$F198*$BF$5,0)</f>
        <v>0</v>
      </c>
      <c r="BM198" s="898" t="n">
        <f aca="false">IF($BD198=1,($G198+H198)*$BF$5,0)</f>
        <v>32</v>
      </c>
      <c r="BO198" s="898" t="n">
        <f aca="false">IF(AS198=1,BJ198,0)</f>
        <v>0</v>
      </c>
      <c r="BP198" s="898" t="n">
        <f aca="false">IF(AZ198=1,F198*$BF$5,0)</f>
        <v>0</v>
      </c>
      <c r="BR198" s="899" t="n">
        <f aca="false">IF(BJ198&gt;0,INDEX(OperationalDetail,MATCH("Capacity Degradation",ODColumn,0),MATCH('Monthly Table'!C198,ODRow,0)),0)</f>
        <v>0</v>
      </c>
      <c r="BS198" s="900" t="n">
        <f aca="false">BJ198*(1-BR198)*Tables!$C$36</f>
        <v>0</v>
      </c>
      <c r="BT198" s="883" t="n">
        <f aca="false">BS198*AL198/1000</f>
        <v>0</v>
      </c>
      <c r="BU198" s="883" t="n">
        <f aca="false">BT198*K198</f>
        <v>0</v>
      </c>
      <c r="BV198" s="188"/>
      <c r="BW198" s="901" t="n">
        <f aca="false">$BO198*(1-$BR198)*Tables!$C$36</f>
        <v>0</v>
      </c>
      <c r="BX198" s="902" t="n">
        <f aca="false">(BW198*AQ198)/1000</f>
        <v>0</v>
      </c>
      <c r="BY198" s="883" t="n">
        <f aca="false">BX198*K198</f>
        <v>0</v>
      </c>
      <c r="BZ198" s="188"/>
      <c r="CA198" s="901" t="n">
        <f aca="false">$BL198*(1-$BR198)*Tables!$C$36</f>
        <v>0</v>
      </c>
      <c r="CB198" s="902" t="n">
        <f aca="false">(CA198*AU198)/1000</f>
        <v>0</v>
      </c>
      <c r="CC198" s="883" t="n">
        <f aca="false">CB198*K198</f>
        <v>0</v>
      </c>
      <c r="CD198" s="901" t="n">
        <f aca="false">$BP198*(1-$BR198)*Tables!$C$36</f>
        <v>0</v>
      </c>
      <c r="CE198" s="902" t="n">
        <f aca="false">(CD198*AX198)/1000</f>
        <v>0</v>
      </c>
      <c r="CF198" s="883" t="n">
        <f aca="false">CE198*K198</f>
        <v>0</v>
      </c>
      <c r="CH198" s="901" t="n">
        <f aca="false">$BM198*(1-$BR198)*Tables!$C$36</f>
        <v>10368</v>
      </c>
      <c r="CI198" s="902" t="n">
        <f aca="false">(CH198*BB198)/1000</f>
        <v>548.517319028975</v>
      </c>
      <c r="CJ198" s="883" t="n">
        <f aca="false">CI198*K198</f>
        <v>696.054402783994</v>
      </c>
      <c r="CK198" s="292"/>
      <c r="CL198" s="292" t="n">
        <f aca="false">C198-1</f>
        <v>2015</v>
      </c>
      <c r="CM198" s="903" t="n">
        <f aca="false">INDEX(OperationalDetail,MATCH("Degraded Heat Rate",ODColumn,0),MATCH('Monthly Table'!CL198,ODRow,0))/1000</f>
        <v>12.0200392</v>
      </c>
      <c r="CN198" s="904" t="n">
        <f aca="false">S198*CM198</f>
        <v>6.38379869131485</v>
      </c>
      <c r="CO198" s="905" t="n">
        <f aca="false">IF(A198="January",(CO197*(1+Assumptions!$E$32)),CO197)</f>
        <v>9.06526442632447</v>
      </c>
      <c r="CP198" s="906" t="n">
        <f aca="false">CN198+CO198</f>
        <v>15.4490631176393</v>
      </c>
      <c r="CQ198" s="292"/>
      <c r="CR198" s="856" t="str">
        <f aca="false">IF(BJ198=0,"",C198)</f>
        <v/>
      </c>
      <c r="CS198" s="856" t="str">
        <f aca="false">IF(BO198=0,"",$C198)</f>
        <v/>
      </c>
      <c r="CT198" s="856" t="str">
        <f aca="false">IF(BL198=0,"",$C198)</f>
        <v/>
      </c>
      <c r="CU198" s="856" t="str">
        <f aca="false">IF(BP198=0,"",$C198)</f>
        <v/>
      </c>
      <c r="CV198" s="856" t="n">
        <f aca="false">IF(BD198=0,"",$C198)</f>
        <v>2016</v>
      </c>
      <c r="CW198" s="907" t="n">
        <f aca="false">YEAR(BF198)</f>
        <v>2016</v>
      </c>
      <c r="CX198" s="908" t="n">
        <f aca="false">INDEX('NY Curve'!$A$4:$G$256,MATCH('Monthly Table'!B198,'NY Curve'!$A$4:$A$256,0),MATCH("New York 5 X 16",'NY Curve'!$A$4:$G$4,0))</f>
        <v>82.5</v>
      </c>
      <c r="CY198" s="909" t="n">
        <f aca="false">K198</f>
        <v>1.26897433980061</v>
      </c>
      <c r="CZ198" s="910" t="n">
        <f aca="false">CX198*CY198</f>
        <v>104.69038303355</v>
      </c>
      <c r="DB198" s="911"/>
      <c r="DC198" s="911"/>
    </row>
    <row r="199" customFormat="false" ht="18.75" hidden="false" customHeight="true" outlineLevel="0" collapsed="false">
      <c r="A199" s="49" t="s">
        <v>818</v>
      </c>
      <c r="B199" s="863" t="n">
        <v>42614</v>
      </c>
      <c r="C199" s="288" t="n">
        <f aca="false">YEAR(B199)</f>
        <v>2016</v>
      </c>
      <c r="D199" s="864" t="n">
        <f aca="false">IF(A199="January",D198+1,D198)</f>
        <v>16</v>
      </c>
      <c r="E199" s="865" t="n">
        <v>21</v>
      </c>
      <c r="F199" s="866" t="n">
        <v>4</v>
      </c>
      <c r="G199" s="866" t="n">
        <v>4</v>
      </c>
      <c r="H199" s="866" t="n">
        <v>1</v>
      </c>
      <c r="I199" s="867" t="n">
        <f aca="false">SUM(E199:H199)</f>
        <v>30</v>
      </c>
      <c r="J199" s="868"/>
      <c r="K199" s="869" t="n">
        <f aca="false">INDEX(FX!$A$3:$C$362,MATCH(B199,FX!$A$3:$A$362,0),MATCH("Monthly Curve",FX!$A$2:$C$2,0))</f>
        <v>1.26835995638737</v>
      </c>
      <c r="L199" s="869"/>
      <c r="M199" s="993"/>
      <c r="N199" s="994"/>
      <c r="O199" s="986" t="n">
        <v>0.1</v>
      </c>
      <c r="P199" s="872" t="n">
        <f aca="false">N199+O199</f>
        <v>0.1</v>
      </c>
      <c r="Q199" s="873" t="n">
        <f aca="false">SUM(M199:O199)</f>
        <v>0.1</v>
      </c>
      <c r="R199" s="974" t="n">
        <f aca="false">IF(A199="January",(R198+R198*Assumptions!$E$32),R198)</f>
        <v>0.40419889483348</v>
      </c>
      <c r="S199" s="875" t="n">
        <f aca="false">(Q199*K199)+R199</f>
        <v>0.531034890472217</v>
      </c>
      <c r="T199" s="869"/>
      <c r="U199" s="187"/>
      <c r="V199" s="897"/>
      <c r="W199" s="897"/>
      <c r="X199" s="31"/>
      <c r="Y199" s="975" t="n">
        <f aca="false">Tables!$D$36</f>
        <v>312</v>
      </c>
      <c r="Z199" s="879" t="n">
        <f aca="false">IF($Z$10=$V$10,V199,IF($Z$10=$W$10,W199,IF($Z$10=$X$10,X199,0)))</f>
        <v>0</v>
      </c>
      <c r="AA199" s="880" t="n">
        <f aca="false">Y199*Z199</f>
        <v>0</v>
      </c>
      <c r="AB199" s="881" t="n">
        <f aca="false">AA199*K199</f>
        <v>0</v>
      </c>
      <c r="AC199" s="188"/>
      <c r="AD199" s="882" t="n">
        <f aca="false">IF(Tables!$E$30="Michigan",INDEX('Michigan Curve'!$A$4:$S$256,MATCH('Monthly Table'!B199,'Michigan Curve'!$A$4:$A$256,0),MATCH("Michigan Selected Option Value US$/month",'Michigan Curve'!$A$4:$S$4,0)),INDEX('NY Curve'!$A$4:$T$256,MATCH('Monthly Table'!B199,'NY Curve'!$A$4:$A$256,0),MATCH("New York Selected Option Value US$/month",'NY Curve'!$A$4:$T$4,0)))</f>
        <v>0</v>
      </c>
      <c r="AE199" s="883" t="n">
        <f aca="false">AD199*K199</f>
        <v>0</v>
      </c>
      <c r="AF199" s="188"/>
      <c r="AG199" s="884"/>
      <c r="AH199" s="49"/>
      <c r="AI199" s="885" t="n">
        <f aca="false">Assumptions!$B$50</f>
        <v>65</v>
      </c>
      <c r="AJ199" s="916"/>
      <c r="AK199" s="887" t="n">
        <f aca="false">IF(Tables!$E$30="Custom",'Monthly Table'!AI199,IF(Tables!$E$30="New York",INDEX('NY Curve'!$A$4:$G$256,MATCH('Monthly Table'!B199,'NY Curve'!$A$4:$A$256,0),MATCH("Super Peak Curve",'NY Curve'!$A$4:$G$4,0)),IF(Tables!$E$30="New York Flat",INDEX('NY Curve'!$A$4:$G$256,MATCH('Monthly Table'!B199,'NY Curve'!$A$4:$A$256,0),MATCH("Flat NY West",'NY Curve'!$A$4:$G$4,0)),INDEX('Michigan Curve'!$A$4:$F$256,MATCH('Monthly Table'!B199,'Michigan Curve'!$A$4:$A$256,0),MATCH("Michigan Super Peak Curve US$/MWhr",'Michigan Curve'!$A$4:$F$4,0)))))</f>
        <v>51.009687229991</v>
      </c>
      <c r="AL199" s="888" t="n">
        <f aca="false">IF(D199&lt;=Tables!$B$21,IF($AL$10=$AI$10,AI199,IF($AL$10=$AJ$10,AJ199,IF($AL$10=$AK$10,AK199,0))),0)</f>
        <v>0</v>
      </c>
      <c r="AM199" s="889" t="n">
        <f aca="false">+AL199*K199</f>
        <v>0</v>
      </c>
      <c r="AN199" s="890" t="n">
        <f aca="false">IF((AL199*K199)&gt;(CP199+$BF$4),1,0)</f>
        <v>0</v>
      </c>
      <c r="AO199" s="891"/>
      <c r="AP199" s="894"/>
      <c r="AQ199" s="892" t="n">
        <f aca="false">IF(Tables!$E$30="New York",INDEX('NY Curve'!$A$4:$L$256,MATCH('Monthly Table'!B199,'NY Curve'!$A$4:$A$256,0),MATCH("New York Shoulder Hour Curve Mon-Fri",'NY Curve'!$A$4:$L$4,0)),IF(Tables!$E$30="Michigan",INDEX('Michigan Curve'!$A$4:$K$256,MATCH('Monthly Table'!B199,'Michigan Curve'!$A$4:$A$256,0),MATCH("Michigan Shoulder Hour Curve Mon-Fri",'Michigan Curve'!$A$4:$K$4,0))))</f>
        <v>24.490312770009</v>
      </c>
      <c r="AR199" s="889" t="n">
        <f aca="false">AQ199*K199</f>
        <v>31.0625320368817</v>
      </c>
      <c r="AS199" s="893" t="n">
        <f aca="false">IF(AR199&gt;($CP199+$BF$4),1,0)</f>
        <v>1</v>
      </c>
      <c r="AU199" s="892" t="n">
        <f aca="false">IF(Tables!$E$30="New York",INDEX('NY Curve'!$A$4:$L$256,MATCH('Monthly Table'!$B199,'NY Curve'!$A$4:$A$256,0),MATCH("New York Saturday Super Peak",'NY Curve'!$A$4:$L$4,0)),IF(Tables!$E$30="Michigan",INDEX('Michigan Curve'!$A$4:$K$256,MATCH('Monthly Table'!$B199,'Michigan Curve'!$A$4:$A$256,0),MATCH("Michigan Saturday Super Peak",'Michigan Curve'!$A$4:$K$4,0))))</f>
        <v>33.7812498211861</v>
      </c>
      <c r="AV199" s="894" t="n">
        <f aca="false">AU199*K199</f>
        <v>42.8467845499104</v>
      </c>
      <c r="AW199" s="893" t="n">
        <f aca="false">IF(Tables!$B$21=15,0,IF(AV199&gt;($CP199+$BF$4),1,0))</f>
        <v>0</v>
      </c>
      <c r="AX199" s="892" t="n">
        <f aca="false">IF(Tables!$E$30="New York",INDEX('NY Curve'!$A$4:$L$256,MATCH('Monthly Table'!$B199,'NY Curve'!$A$4:$A$256,0),MATCH("New York Saturday Shoulder Peak",'NY Curve'!$A$4:$L$4,0)),IF(Tables!$E$30="Michigan",INDEX('Michigan Curve'!$A$4:$K$256,MATCH('Monthly Table'!$B199,'Michigan Curve'!$A$4:$A$256,0),MATCH("Michigan Saturday Shoulder Peak",'Michigan Curve'!$A$4:$K$4,0))))</f>
        <v>16.2187501788139</v>
      </c>
      <c r="AY199" s="895" t="n">
        <f aca="false">AX199*K199</f>
        <v>20.5712132694581</v>
      </c>
      <c r="AZ199" s="893" t="n">
        <f aca="false">IF(Tables!$B$21=15,0,IF(AY199&gt;($CP199+$BF$4),1,0))</f>
        <v>0</v>
      </c>
      <c r="BB199" s="892" t="n">
        <f aca="false">IF(Tables!$E$30="New York",INDEX('NY Curve'!$A$4:$M$256,MATCH('Monthly Table'!$B199,'NY Curve'!$A$4:$A$256,0),MATCH("NY Sunday Super Peak",'NY Curve'!$A$4:$M$4,0)),IF(Tables!$E$30="Michigan",INDEX('Michigan Curve'!$A$4:$L$256,MATCH('Monthly Table'!$B199,'Michigan Curve'!$A$4:$A$256,0),MATCH("Michigan Sunday Super Peak",'Michigan Curve'!$A$4:$L$4,0))))</f>
        <v>32.4299998283386</v>
      </c>
      <c r="BC199" s="894" t="n">
        <f aca="false">BB199*K199</f>
        <v>41.132913167914</v>
      </c>
      <c r="BD199" s="893" t="n">
        <f aca="false">IF(BC199&gt;($CP199+$BF$4),1,0)</f>
        <v>1</v>
      </c>
      <c r="BF199" s="896" t="n">
        <f aca="false">B199</f>
        <v>42614</v>
      </c>
      <c r="BG199" s="897" t="n">
        <f aca="false">IF($AN199=1,$E199*$BF$5,0)</f>
        <v>0</v>
      </c>
      <c r="BH199" s="976" t="n">
        <f aca="false">IF(Tables!$B$36="Combined Cycle",(BF199-BF198)*24*Assumptions!$B$21,0)</f>
        <v>0</v>
      </c>
      <c r="BI199" s="714" t="n">
        <f aca="false">IF($AN199=1,$E199*$BF$5,0)</f>
        <v>0</v>
      </c>
      <c r="BJ199" s="898" t="n">
        <f aca="false">IF('Monthly Table'!D199&lt;=Tables!$B$21,IF($BJ$10=$BG$10,BG199,IF($BJ$10=$BH$10,BH199,IF($BJ$10=$BI$10,BI199,0))),0)</f>
        <v>0</v>
      </c>
      <c r="BK199" s="288"/>
      <c r="BL199" s="898" t="n">
        <f aca="false">IF($AW199=1,$F199*$BF$5,0)</f>
        <v>0</v>
      </c>
      <c r="BM199" s="898" t="n">
        <f aca="false">IF($BD199=1,($G199+H199)*$BF$5,0)</f>
        <v>40</v>
      </c>
      <c r="BO199" s="898" t="n">
        <f aca="false">IF(AS199=1,BJ199,0)</f>
        <v>0</v>
      </c>
      <c r="BP199" s="898" t="n">
        <f aca="false">IF(AZ199=1,F199*$BF$5,0)</f>
        <v>0</v>
      </c>
      <c r="BR199" s="899" t="n">
        <f aca="false">IF(BJ199&gt;0,INDEX(OperationalDetail,MATCH("Capacity Degradation",ODColumn,0),MATCH('Monthly Table'!C199,ODRow,0)),0)</f>
        <v>0</v>
      </c>
      <c r="BS199" s="900" t="n">
        <f aca="false">BJ199*(1-BR199)*Tables!$C$36</f>
        <v>0</v>
      </c>
      <c r="BT199" s="883" t="n">
        <f aca="false">BS199*AL199/1000</f>
        <v>0</v>
      </c>
      <c r="BU199" s="883" t="n">
        <f aca="false">BT199*K199</f>
        <v>0</v>
      </c>
      <c r="BV199" s="188"/>
      <c r="BW199" s="901" t="n">
        <f aca="false">$BO199*(1-$BR199)*Tables!$C$36</f>
        <v>0</v>
      </c>
      <c r="BX199" s="902" t="n">
        <f aca="false">(BW199*AQ199)/1000</f>
        <v>0</v>
      </c>
      <c r="BY199" s="883" t="n">
        <f aca="false">BX199*K199</f>
        <v>0</v>
      </c>
      <c r="BZ199" s="188"/>
      <c r="CA199" s="901" t="n">
        <f aca="false">$BL199*(1-$BR199)*Tables!$C$36</f>
        <v>0</v>
      </c>
      <c r="CB199" s="902" t="n">
        <f aca="false">(CA199*AU199)/1000</f>
        <v>0</v>
      </c>
      <c r="CC199" s="883" t="n">
        <f aca="false">CB199*K199</f>
        <v>0</v>
      </c>
      <c r="CD199" s="901" t="n">
        <f aca="false">$BP199*(1-$BR199)*Tables!$C$36</f>
        <v>0</v>
      </c>
      <c r="CE199" s="902" t="n">
        <f aca="false">(CD199*AX199)/1000</f>
        <v>0</v>
      </c>
      <c r="CF199" s="883" t="n">
        <f aca="false">CE199*K199</f>
        <v>0</v>
      </c>
      <c r="CH199" s="901" t="n">
        <f aca="false">$BM199*(1-$BR199)*Tables!$C$36</f>
        <v>12960</v>
      </c>
      <c r="CI199" s="902" t="n">
        <f aca="false">(CH199*BB199)/1000</f>
        <v>420.292797775269</v>
      </c>
      <c r="CJ199" s="883" t="n">
        <f aca="false">CI199*K199</f>
        <v>533.082554656165</v>
      </c>
      <c r="CK199" s="292"/>
      <c r="CL199" s="292" t="n">
        <f aca="false">C199-1</f>
        <v>2015</v>
      </c>
      <c r="CM199" s="903" t="n">
        <f aca="false">INDEX(OperationalDetail,MATCH("Degraded Heat Rate",ODColumn,0),MATCH('Monthly Table'!CL199,ODRow,0))/1000</f>
        <v>12.0200392</v>
      </c>
      <c r="CN199" s="904" t="n">
        <f aca="false">S199*CM199</f>
        <v>6.38306020004375</v>
      </c>
      <c r="CO199" s="905" t="n">
        <f aca="false">IF(A199="January",(CO198*(1+Assumptions!$E$32)),CO198)</f>
        <v>9.06526442632447</v>
      </c>
      <c r="CP199" s="906" t="n">
        <f aca="false">CN199+CO199</f>
        <v>15.4483246263682</v>
      </c>
      <c r="CQ199" s="292"/>
      <c r="CR199" s="856" t="str">
        <f aca="false">IF(BJ199=0,"",C199)</f>
        <v/>
      </c>
      <c r="CS199" s="856" t="str">
        <f aca="false">IF(BO199=0,"",$C199)</f>
        <v/>
      </c>
      <c r="CT199" s="856" t="str">
        <f aca="false">IF(BL199=0,"",$C199)</f>
        <v/>
      </c>
      <c r="CU199" s="856" t="str">
        <f aca="false">IF(BP199=0,"",$C199)</f>
        <v/>
      </c>
      <c r="CV199" s="856" t="n">
        <f aca="false">IF(BD199=0,"",$C199)</f>
        <v>2016</v>
      </c>
      <c r="CW199" s="907" t="n">
        <f aca="false">YEAR(BF199)</f>
        <v>2016</v>
      </c>
      <c r="CX199" s="908" t="n">
        <f aca="false">INDEX('NY Curve'!$A$4:$G$256,MATCH('Monthly Table'!B199,'NY Curve'!$A$4:$A$256,0),MATCH("New York 5 X 16",'NY Curve'!$A$4:$G$4,0))</f>
        <v>32.25</v>
      </c>
      <c r="CY199" s="909" t="n">
        <f aca="false">K199</f>
        <v>1.26835995638737</v>
      </c>
      <c r="CZ199" s="910" t="n">
        <f aca="false">CX199*CY199</f>
        <v>40.9046085934927</v>
      </c>
      <c r="DB199" s="911"/>
      <c r="DC199" s="911"/>
    </row>
    <row r="200" customFormat="false" ht="18.75" hidden="false" customHeight="true" outlineLevel="0" collapsed="false">
      <c r="A200" s="49" t="s">
        <v>819</v>
      </c>
      <c r="B200" s="863" t="n">
        <v>42644</v>
      </c>
      <c r="C200" s="288" t="n">
        <f aca="false">YEAR(B200)</f>
        <v>2016</v>
      </c>
      <c r="D200" s="864" t="n">
        <f aca="false">IF(A200="January",D199+1,D199)</f>
        <v>16</v>
      </c>
      <c r="E200" s="865" t="n">
        <v>21</v>
      </c>
      <c r="F200" s="866" t="n">
        <v>5</v>
      </c>
      <c r="G200" s="866" t="n">
        <v>5</v>
      </c>
      <c r="H200" s="866" t="n">
        <v>0</v>
      </c>
      <c r="I200" s="867" t="n">
        <f aca="false">SUM(E200:H200)</f>
        <v>31</v>
      </c>
      <c r="J200" s="868"/>
      <c r="K200" s="869" t="n">
        <f aca="false">INDEX(FX!$A$3:$C$362,MATCH(B200,FX!$A$3:$A$362,0),MATCH("Monthly Curve",FX!$A$2:$C$2,0))</f>
        <v>1.26776839915781</v>
      </c>
      <c r="L200" s="869"/>
      <c r="M200" s="993"/>
      <c r="N200" s="994"/>
      <c r="O200" s="986" t="n">
        <v>0.1</v>
      </c>
      <c r="P200" s="872" t="n">
        <f aca="false">N200+O200</f>
        <v>0.1</v>
      </c>
      <c r="Q200" s="873" t="n">
        <f aca="false">SUM(M200:O200)</f>
        <v>0.1</v>
      </c>
      <c r="R200" s="974" t="n">
        <f aca="false">IF(A200="January",(R199+R199*Assumptions!$E$32),R199)</f>
        <v>0.40419889483348</v>
      </c>
      <c r="S200" s="875" t="n">
        <f aca="false">(Q200*K200)+R200</f>
        <v>0.530975734749261</v>
      </c>
      <c r="T200" s="869"/>
      <c r="U200" s="187"/>
      <c r="V200" s="897"/>
      <c r="W200" s="897"/>
      <c r="X200" s="31"/>
      <c r="Y200" s="975" t="n">
        <f aca="false">Tables!$D$36</f>
        <v>312</v>
      </c>
      <c r="Z200" s="879" t="n">
        <f aca="false">IF($Z$10=$V$10,V200,IF($Z$10=$W$10,W200,IF($Z$10=$X$10,X200,0)))</f>
        <v>0</v>
      </c>
      <c r="AA200" s="880" t="n">
        <f aca="false">Y200*Z200</f>
        <v>0</v>
      </c>
      <c r="AB200" s="881" t="n">
        <f aca="false">AA200*K200</f>
        <v>0</v>
      </c>
      <c r="AC200" s="188"/>
      <c r="AD200" s="882" t="n">
        <f aca="false">IF(Tables!$E$30="Michigan",INDEX('Michigan Curve'!$A$4:$S$256,MATCH('Monthly Table'!B200,'Michigan Curve'!$A$4:$A$256,0),MATCH("Michigan Selected Option Value US$/month",'Michigan Curve'!$A$4:$S$4,0)),INDEX('NY Curve'!$A$4:$T$256,MATCH('Monthly Table'!B200,'NY Curve'!$A$4:$A$256,0),MATCH("New York Selected Option Value US$/month",'NY Curve'!$A$4:$T$4,0)))</f>
        <v>0</v>
      </c>
      <c r="AE200" s="883" t="n">
        <f aca="false">AD200*K200</f>
        <v>0</v>
      </c>
      <c r="AF200" s="188"/>
      <c r="AG200" s="884"/>
      <c r="AH200" s="49"/>
      <c r="AI200" s="885" t="n">
        <f aca="false">Assumptions!$B$50</f>
        <v>65</v>
      </c>
      <c r="AJ200" s="916"/>
      <c r="AK200" s="887" t="n">
        <f aca="false">IF(Tables!$E$30="Custom",'Monthly Table'!AI200,IF(Tables!$E$30="New York",INDEX('NY Curve'!$A$4:$G$256,MATCH('Monthly Table'!B200,'NY Curve'!$A$4:$A$256,0),MATCH("Super Peak Curve",'NY Curve'!$A$4:$G$4,0)),IF(Tables!$E$30="New York Flat",INDEX('NY Curve'!$A$4:$G$256,MATCH('Monthly Table'!B200,'NY Curve'!$A$4:$A$256,0),MATCH("Flat NY West",'NY Curve'!$A$4:$G$4,0)),INDEX('Michigan Curve'!$A$4:$F$256,MATCH('Monthly Table'!B200,'Michigan Curve'!$A$4:$A$256,0),MATCH("Michigan Super Peak Curve US$/MWhr",'Michigan Curve'!$A$4:$F$4,0)))))</f>
        <v>30.8499946594238</v>
      </c>
      <c r="AL200" s="888" t="n">
        <f aca="false">IF(D200&lt;=Tables!$B$21,IF($AL$10=$AI$10,AI200,IF($AL$10=$AJ$10,AJ200,IF($AL$10=$AK$10,AK200,0))),0)</f>
        <v>0</v>
      </c>
      <c r="AM200" s="889" t="n">
        <f aca="false">+AL200*K200</f>
        <v>0</v>
      </c>
      <c r="AN200" s="890" t="n">
        <f aca="false">IF((AL200*K200)&gt;(CP200+$BF$4),1,0)</f>
        <v>0</v>
      </c>
      <c r="AO200" s="891"/>
      <c r="AP200" s="894"/>
      <c r="AQ200" s="892" t="n">
        <f aca="false">IF(Tables!$E$30="New York",INDEX('NY Curve'!$A$4:$L$256,MATCH('Monthly Table'!B200,'NY Curve'!$A$4:$A$256,0),MATCH("New York Shoulder Hour Curve Mon-Fri",'NY Curve'!$A$4:$L$4,0)),IF(Tables!$E$30="Michigan",INDEX('Michigan Curve'!$A$4:$K$256,MATCH('Monthly Table'!B200,'Michigan Curve'!$A$4:$A$256,0),MATCH("Michigan Shoulder Hour Curve Mon-Fri",'Michigan Curve'!$A$4:$K$4,0))))</f>
        <v>30.8499946594238</v>
      </c>
      <c r="AR200" s="889" t="n">
        <f aca="false">AQ200*K200</f>
        <v>39.1106483434047</v>
      </c>
      <c r="AS200" s="893" t="n">
        <f aca="false">IF(AR200&gt;($CP200+$BF$4),1,0)</f>
        <v>1</v>
      </c>
      <c r="AU200" s="892" t="n">
        <f aca="false">IF(Tables!$E$30="New York",INDEX('NY Curve'!$A$4:$L$256,MATCH('Monthly Table'!$B200,'NY Curve'!$A$4:$A$256,0),MATCH("New York Saturday Super Peak",'NY Curve'!$A$4:$L$4,0)),IF(Tables!$E$30="Michigan",INDEX('Michigan Curve'!$A$4:$K$256,MATCH('Monthly Table'!$B200,'Michigan Curve'!$A$4:$A$256,0),MATCH("Michigan Saturday Super Peak",'Michigan Curve'!$A$4:$K$4,0))))</f>
        <v>19.996000289917</v>
      </c>
      <c r="AV200" s="894" t="n">
        <f aca="false">AU200*K200</f>
        <v>25.3502972771072</v>
      </c>
      <c r="AW200" s="893" t="n">
        <f aca="false">IF(Tables!$B$21=15,0,IF(AV200&gt;($CP200+$BF$4),1,0))</f>
        <v>0</v>
      </c>
      <c r="AX200" s="892" t="n">
        <f aca="false">IF(Tables!$E$30="New York",INDEX('NY Curve'!$A$4:$L$256,MATCH('Monthly Table'!$B200,'NY Curve'!$A$4:$A$256,0),MATCH("New York Saturday Shoulder Peak",'NY Curve'!$A$4:$L$4,0)),IF(Tables!$E$30="Michigan",INDEX('Michigan Curve'!$A$4:$K$256,MATCH('Monthly Table'!$B200,'Michigan Curve'!$A$4:$A$256,0),MATCH("Michigan Saturday Shoulder Peak",'Michigan Curve'!$A$4:$K$4,0))))</f>
        <v>19.996000289917</v>
      </c>
      <c r="AY200" s="895" t="n">
        <f aca="false">AX200*K200</f>
        <v>25.3502972771072</v>
      </c>
      <c r="AZ200" s="893" t="n">
        <f aca="false">IF(Tables!$B$21=15,0,IF(AY200&gt;($CP200+$BF$4),1,0))</f>
        <v>0</v>
      </c>
      <c r="BB200" s="892" t="n">
        <f aca="false">IF(Tables!$E$30="New York",INDEX('NY Curve'!$A$4:$M$256,MATCH('Monthly Table'!$B200,'NY Curve'!$A$4:$A$256,0),MATCH("NY Sunday Super Peak",'NY Curve'!$A$4:$M$4,0)),IF(Tables!$E$30="Michigan",INDEX('Michigan Curve'!$A$4:$L$256,MATCH('Monthly Table'!$B200,'Michigan Curve'!$A$4:$A$256,0),MATCH("Michigan Sunday Super Peak",'Michigan Curve'!$A$4:$L$4,0))))</f>
        <v>18.9965000152588</v>
      </c>
      <c r="BC200" s="894" t="n">
        <f aca="false">BB200*K200</f>
        <v>24.0831624139459</v>
      </c>
      <c r="BD200" s="893" t="n">
        <f aca="false">IF(BC200&gt;($CP200+$BF$4),1,0)</f>
        <v>1</v>
      </c>
      <c r="BF200" s="896" t="n">
        <f aca="false">B200</f>
        <v>42644</v>
      </c>
      <c r="BG200" s="897" t="n">
        <f aca="false">IF($AN200=1,$E200*$BF$5,0)</f>
        <v>0</v>
      </c>
      <c r="BH200" s="976" t="n">
        <f aca="false">IF(Tables!$B$36="Combined Cycle",(BF200-BF199)*24*Assumptions!$B$21,0)</f>
        <v>0</v>
      </c>
      <c r="BI200" s="714" t="n">
        <f aca="false">IF($AN200=1,$E200*$BF$5,0)</f>
        <v>0</v>
      </c>
      <c r="BJ200" s="898" t="n">
        <f aca="false">IF('Monthly Table'!D200&lt;=Tables!$B$21,IF($BJ$10=$BG$10,BG200,IF($BJ$10=$BH$10,BH200,IF($BJ$10=$BI$10,BI200,0))),0)</f>
        <v>0</v>
      </c>
      <c r="BK200" s="288"/>
      <c r="BL200" s="898" t="n">
        <f aca="false">IF($AW200=1,$F200*$BF$5,0)</f>
        <v>0</v>
      </c>
      <c r="BM200" s="898" t="n">
        <f aca="false">IF($BD200=1,($G200+H200)*$BF$5,0)</f>
        <v>40</v>
      </c>
      <c r="BO200" s="898" t="n">
        <f aca="false">IF(AS200=1,BJ200,0)</f>
        <v>0</v>
      </c>
      <c r="BP200" s="898" t="n">
        <f aca="false">IF(AZ200=1,F200*$BF$5,0)</f>
        <v>0</v>
      </c>
      <c r="BR200" s="899" t="n">
        <f aca="false">IF(BJ200&gt;0,INDEX(OperationalDetail,MATCH("Capacity Degradation",ODColumn,0),MATCH('Monthly Table'!C200,ODRow,0)),0)</f>
        <v>0</v>
      </c>
      <c r="BS200" s="900" t="n">
        <f aca="false">BJ200*(1-BR200)*Tables!$C$36</f>
        <v>0</v>
      </c>
      <c r="BT200" s="883" t="n">
        <f aca="false">BS200*AL200/1000</f>
        <v>0</v>
      </c>
      <c r="BU200" s="883" t="n">
        <f aca="false">BT200*K200</f>
        <v>0</v>
      </c>
      <c r="BV200" s="188"/>
      <c r="BW200" s="901" t="n">
        <f aca="false">$BO200*(1-$BR200)*Tables!$C$36</f>
        <v>0</v>
      </c>
      <c r="BX200" s="902" t="n">
        <f aca="false">(BW200*AQ200)/1000</f>
        <v>0</v>
      </c>
      <c r="BY200" s="883" t="n">
        <f aca="false">BX200*K200</f>
        <v>0</v>
      </c>
      <c r="BZ200" s="188"/>
      <c r="CA200" s="901" t="n">
        <f aca="false">$BL200*(1-$BR200)*Tables!$C$36</f>
        <v>0</v>
      </c>
      <c r="CB200" s="902" t="n">
        <f aca="false">(CA200*AU200)/1000</f>
        <v>0</v>
      </c>
      <c r="CC200" s="883" t="n">
        <f aca="false">CB200*K200</f>
        <v>0</v>
      </c>
      <c r="CD200" s="901" t="n">
        <f aca="false">$BP200*(1-$BR200)*Tables!$C$36</f>
        <v>0</v>
      </c>
      <c r="CE200" s="902" t="n">
        <f aca="false">(CD200*AX200)/1000</f>
        <v>0</v>
      </c>
      <c r="CF200" s="883" t="n">
        <f aca="false">CE200*K200</f>
        <v>0</v>
      </c>
      <c r="CH200" s="901" t="n">
        <f aca="false">$BM200*(1-$BR200)*Tables!$C$36</f>
        <v>12960</v>
      </c>
      <c r="CI200" s="902" t="n">
        <f aca="false">(CH200*BB200)/1000</f>
        <v>246.194640197754</v>
      </c>
      <c r="CJ200" s="883" t="n">
        <f aca="false">CI200*K200</f>
        <v>312.11778488474</v>
      </c>
      <c r="CK200" s="292"/>
      <c r="CL200" s="292" t="n">
        <f aca="false">C200-1</f>
        <v>2015</v>
      </c>
      <c r="CM200" s="903" t="n">
        <f aca="false">INDEX(OperationalDetail,MATCH("Degraded Heat Rate",ODColumn,0),MATCH('Monthly Table'!CL200,ODRow,0))/1000</f>
        <v>12.0200392</v>
      </c>
      <c r="CN200" s="904" t="n">
        <f aca="false">S200*CM200</f>
        <v>6.38234914593491</v>
      </c>
      <c r="CO200" s="905" t="n">
        <f aca="false">IF(A200="January",(CO199*(1+Assumptions!$E$32)),CO199)</f>
        <v>9.06526442632447</v>
      </c>
      <c r="CP200" s="906" t="n">
        <f aca="false">CN200+CO200</f>
        <v>15.4476135722594</v>
      </c>
      <c r="CQ200" s="292"/>
      <c r="CR200" s="856" t="str">
        <f aca="false">IF(BJ200=0,"",C200)</f>
        <v/>
      </c>
      <c r="CS200" s="856" t="str">
        <f aca="false">IF(BO200=0,"",$C200)</f>
        <v/>
      </c>
      <c r="CT200" s="856" t="str">
        <f aca="false">IF(BL200=0,"",$C200)</f>
        <v/>
      </c>
      <c r="CU200" s="856" t="str">
        <f aca="false">IF(BP200=0,"",$C200)</f>
        <v/>
      </c>
      <c r="CV200" s="856" t="n">
        <f aca="false">IF(BD200=0,"",$C200)</f>
        <v>2016</v>
      </c>
      <c r="CW200" s="907" t="n">
        <f aca="false">YEAR(BF200)</f>
        <v>2016</v>
      </c>
      <c r="CX200" s="908" t="n">
        <f aca="false">INDEX('NY Curve'!$A$4:$G$256,MATCH('Monthly Table'!B200,'NY Curve'!$A$4:$A$256,0),MATCH("New York 5 X 16",'NY Curve'!$A$4:$G$4,0))</f>
        <v>28</v>
      </c>
      <c r="CY200" s="909" t="n">
        <f aca="false">K200</f>
        <v>1.26776839915781</v>
      </c>
      <c r="CZ200" s="910" t="n">
        <f aca="false">CX200*CY200</f>
        <v>35.4975151764187</v>
      </c>
      <c r="DB200" s="911"/>
      <c r="DC200" s="911"/>
    </row>
    <row r="201" customFormat="false" ht="18.75" hidden="false" customHeight="true" outlineLevel="0" collapsed="false">
      <c r="A201" s="49" t="s">
        <v>820</v>
      </c>
      <c r="B201" s="863" t="n">
        <v>42675</v>
      </c>
      <c r="C201" s="288" t="n">
        <f aca="false">YEAR(B201)</f>
        <v>2016</v>
      </c>
      <c r="D201" s="864" t="n">
        <f aca="false">IF(A201="January",D200+1,D200)</f>
        <v>16</v>
      </c>
      <c r="E201" s="865" t="n">
        <v>21</v>
      </c>
      <c r="F201" s="866" t="n">
        <v>4</v>
      </c>
      <c r="G201" s="866" t="n">
        <v>4</v>
      </c>
      <c r="H201" s="866" t="n">
        <v>1</v>
      </c>
      <c r="I201" s="867" t="n">
        <f aca="false">SUM(E201:H201)</f>
        <v>30</v>
      </c>
      <c r="J201" s="868"/>
      <c r="K201" s="869" t="n">
        <f aca="false">INDEX(FX!$A$3:$C$362,MATCH(B201,FX!$A$3:$A$362,0),MATCH("Monthly Curve",FX!$A$2:$C$2,0))</f>
        <v>1.26716022677116</v>
      </c>
      <c r="L201" s="869"/>
      <c r="M201" s="993"/>
      <c r="N201" s="994"/>
      <c r="O201" s="986" t="n">
        <v>0.1</v>
      </c>
      <c r="P201" s="872" t="n">
        <f aca="false">N201+O201</f>
        <v>0.1</v>
      </c>
      <c r="Q201" s="873" t="n">
        <f aca="false">SUM(M201:O201)</f>
        <v>0.1</v>
      </c>
      <c r="R201" s="974" t="n">
        <f aca="false">IF(A201="January",(R200+R200*Assumptions!$E$32),R200)</f>
        <v>0.40419889483348</v>
      </c>
      <c r="S201" s="875" t="n">
        <f aca="false">(Q201*K201)+R201</f>
        <v>0.530914917510596</v>
      </c>
      <c r="T201" s="869"/>
      <c r="U201" s="187"/>
      <c r="V201" s="897"/>
      <c r="W201" s="897"/>
      <c r="X201" s="31"/>
      <c r="Y201" s="975" t="n">
        <f aca="false">Tables!$D$36</f>
        <v>312</v>
      </c>
      <c r="Z201" s="879" t="n">
        <f aca="false">IF($Z$10=$V$10,V201,IF($Z$10=$W$10,W201,IF($Z$10=$X$10,X201,0)))</f>
        <v>0</v>
      </c>
      <c r="AA201" s="880" t="n">
        <f aca="false">Y201*Z201</f>
        <v>0</v>
      </c>
      <c r="AB201" s="881" t="n">
        <f aca="false">AA201*K201</f>
        <v>0</v>
      </c>
      <c r="AC201" s="188"/>
      <c r="AD201" s="882" t="n">
        <f aca="false">IF(Tables!$E$30="Michigan",INDEX('Michigan Curve'!$A$4:$S$256,MATCH('Monthly Table'!B201,'Michigan Curve'!$A$4:$A$256,0),MATCH("Michigan Selected Option Value US$/month",'Michigan Curve'!$A$4:$S$4,0)),INDEX('NY Curve'!$A$4:$T$256,MATCH('Monthly Table'!B201,'NY Curve'!$A$4:$A$256,0),MATCH("New York Selected Option Value US$/month",'NY Curve'!$A$4:$T$4,0)))</f>
        <v>0</v>
      </c>
      <c r="AE201" s="883" t="n">
        <f aca="false">AD201*K201</f>
        <v>0</v>
      </c>
      <c r="AF201" s="188"/>
      <c r="AG201" s="884"/>
      <c r="AH201" s="49"/>
      <c r="AI201" s="885" t="n">
        <f aca="false">Assumptions!$B$50</f>
        <v>65</v>
      </c>
      <c r="AJ201" s="916"/>
      <c r="AK201" s="887" t="n">
        <f aca="false">IF(Tables!$E$30="Custom",'Monthly Table'!AI201,IF(Tables!$E$30="New York",INDEX('NY Curve'!$A$4:$G$256,MATCH('Monthly Table'!B201,'NY Curve'!$A$4:$A$256,0),MATCH("Super Peak Curve",'NY Curve'!$A$4:$G$4,0)),IF(Tables!$E$30="New York Flat",INDEX('NY Curve'!$A$4:$G$256,MATCH('Monthly Table'!B201,'NY Curve'!$A$4:$A$256,0),MATCH("Flat NY West",'NY Curve'!$A$4:$G$4,0)),INDEX('Michigan Curve'!$A$4:$F$256,MATCH('Monthly Table'!B201,'Michigan Curve'!$A$4:$A$256,0),MATCH("Michigan Super Peak Curve US$/MWhr",'Michigan Curve'!$A$4:$F$4,0)))))</f>
        <v>33.1883953857422</v>
      </c>
      <c r="AL201" s="888" t="n">
        <f aca="false">IF(D201&lt;=Tables!$B$21,IF($AL$10=$AI$10,AI201,IF($AL$10=$AJ$10,AJ201,IF($AL$10=$AK$10,AK201,0))),0)</f>
        <v>0</v>
      </c>
      <c r="AM201" s="889" t="n">
        <f aca="false">+AL201*K201</f>
        <v>0</v>
      </c>
      <c r="AN201" s="890" t="n">
        <f aca="false">IF((AL201*K201)&gt;(CP201+$BF$4),1,0)</f>
        <v>0</v>
      </c>
      <c r="AO201" s="891"/>
      <c r="AP201" s="894"/>
      <c r="AQ201" s="892" t="n">
        <f aca="false">IF(Tables!$E$30="New York",INDEX('NY Curve'!$A$4:$L$256,MATCH('Monthly Table'!B201,'NY Curve'!$A$4:$A$256,0),MATCH("New York Shoulder Hour Curve Mon-Fri",'NY Curve'!$A$4:$L$4,0)),IF(Tables!$E$30="Michigan",INDEX('Michigan Curve'!$A$4:$K$256,MATCH('Monthly Table'!B201,'Michigan Curve'!$A$4:$A$256,0),MATCH("Michigan Shoulder Hour Curve Mon-Fri",'Michigan Curve'!$A$4:$K$4,0))))</f>
        <v>28.2715960693359</v>
      </c>
      <c r="AR201" s="889" t="n">
        <f aca="false">AQ201*K201</f>
        <v>35.8246420864024</v>
      </c>
      <c r="AS201" s="893" t="n">
        <f aca="false">IF(AR201&gt;($CP201+$BF$4),1,0)</f>
        <v>1</v>
      </c>
      <c r="AU201" s="892" t="n">
        <f aca="false">IF(Tables!$E$30="New York",INDEX('NY Curve'!$A$4:$L$256,MATCH('Monthly Table'!$B201,'NY Curve'!$A$4:$A$256,0),MATCH("New York Saturday Super Peak",'NY Curve'!$A$4:$L$4,0)),IF(Tables!$E$30="Michigan",INDEX('Michigan Curve'!$A$4:$K$256,MATCH('Monthly Table'!$B201,'Michigan Curve'!$A$4:$A$256,0),MATCH("Michigan Saturday Super Peak",'Michigan Curve'!$A$4:$K$4,0))))</f>
        <v>21.6</v>
      </c>
      <c r="AV201" s="894" t="n">
        <f aca="false">AU201*K201</f>
        <v>27.3706608982571</v>
      </c>
      <c r="AW201" s="893" t="n">
        <f aca="false">IF(Tables!$B$21=15,0,IF(AV201&gt;($CP201+$BF$4),1,0))</f>
        <v>0</v>
      </c>
      <c r="AX201" s="892" t="n">
        <f aca="false">IF(Tables!$E$30="New York",INDEX('NY Curve'!$A$4:$L$256,MATCH('Monthly Table'!$B201,'NY Curve'!$A$4:$A$256,0),MATCH("New York Saturday Shoulder Peak",'NY Curve'!$A$4:$L$4,0)),IF(Tables!$E$30="Michigan",INDEX('Michigan Curve'!$A$4:$K$256,MATCH('Monthly Table'!$B201,'Michigan Curve'!$A$4:$A$256,0),MATCH("Michigan Saturday Shoulder Peak",'Michigan Curve'!$A$4:$K$4,0))))</f>
        <v>18.4</v>
      </c>
      <c r="AY201" s="895" t="n">
        <f aca="false">AX201*K201</f>
        <v>23.3157481725893</v>
      </c>
      <c r="AZ201" s="893" t="n">
        <f aca="false">IF(Tables!$B$21=15,0,IF(AY201&gt;($CP201+$BF$4),1,0))</f>
        <v>0</v>
      </c>
      <c r="BB201" s="892" t="n">
        <f aca="false">IF(Tables!$E$30="New York",INDEX('NY Curve'!$A$4:$M$256,MATCH('Monthly Table'!$B201,'NY Curve'!$A$4:$A$256,0),MATCH("NY Sunday Super Peak",'NY Curve'!$A$4:$M$4,0)),IF(Tables!$E$30="Michigan",INDEX('Michigan Curve'!$A$4:$L$256,MATCH('Monthly Table'!$B201,'Michigan Curve'!$A$4:$A$256,0),MATCH("Michigan Sunday Super Peak",'Michigan Curve'!$A$4:$L$4,0))))</f>
        <v>20.52</v>
      </c>
      <c r="BC201" s="894" t="n">
        <f aca="false">BB201*K201</f>
        <v>26.0021278533442</v>
      </c>
      <c r="BD201" s="893" t="n">
        <f aca="false">IF(BC201&gt;($CP201+$BF$4),1,0)</f>
        <v>1</v>
      </c>
      <c r="BF201" s="896" t="n">
        <f aca="false">B201</f>
        <v>42675</v>
      </c>
      <c r="BG201" s="897" t="n">
        <f aca="false">IF($AN201=1,$E201*$BF$5,0)</f>
        <v>0</v>
      </c>
      <c r="BH201" s="976" t="n">
        <f aca="false">IF(Tables!$B$36="Combined Cycle",(BF201-BF200)*24*Assumptions!$B$21,0)</f>
        <v>0</v>
      </c>
      <c r="BI201" s="714" t="n">
        <f aca="false">IF($AN201=1,$E201*$BF$5,0)</f>
        <v>0</v>
      </c>
      <c r="BJ201" s="898" t="n">
        <f aca="false">IF('Monthly Table'!D201&lt;=Tables!$B$21,IF($BJ$10=$BG$10,BG201,IF($BJ$10=$BH$10,BH201,IF($BJ$10=$BI$10,BI201,0))),0)</f>
        <v>0</v>
      </c>
      <c r="BK201" s="288"/>
      <c r="BL201" s="898" t="n">
        <f aca="false">IF($AW201=1,$F201*$BF$5,0)</f>
        <v>0</v>
      </c>
      <c r="BM201" s="898" t="n">
        <f aca="false">IF($BD201=1,($G201+H201)*$BF$5,0)</f>
        <v>40</v>
      </c>
      <c r="BO201" s="898" t="n">
        <f aca="false">IF(AS201=1,BJ201,0)</f>
        <v>0</v>
      </c>
      <c r="BP201" s="898" t="n">
        <f aca="false">IF(AZ201=1,F201*$BF$5,0)</f>
        <v>0</v>
      </c>
      <c r="BR201" s="899" t="n">
        <f aca="false">IF(BJ201&gt;0,INDEX(OperationalDetail,MATCH("Capacity Degradation",ODColumn,0),MATCH('Monthly Table'!C201,ODRow,0)),0)</f>
        <v>0</v>
      </c>
      <c r="BS201" s="900" t="n">
        <f aca="false">BJ201*(1-BR201)*Tables!$C$36</f>
        <v>0</v>
      </c>
      <c r="BT201" s="883" t="n">
        <f aca="false">BS201*AL201/1000</f>
        <v>0</v>
      </c>
      <c r="BU201" s="883" t="n">
        <f aca="false">BT201*K201</f>
        <v>0</v>
      </c>
      <c r="BV201" s="188"/>
      <c r="BW201" s="901" t="n">
        <f aca="false">$BO201*(1-$BR201)*Tables!$C$36</f>
        <v>0</v>
      </c>
      <c r="BX201" s="902" t="n">
        <f aca="false">(BW201*AQ201)/1000</f>
        <v>0</v>
      </c>
      <c r="BY201" s="883" t="n">
        <f aca="false">BX201*K201</f>
        <v>0</v>
      </c>
      <c r="BZ201" s="188"/>
      <c r="CA201" s="901" t="n">
        <f aca="false">$BL201*(1-$BR201)*Tables!$C$36</f>
        <v>0</v>
      </c>
      <c r="CB201" s="902" t="n">
        <f aca="false">(CA201*AU201)/1000</f>
        <v>0</v>
      </c>
      <c r="CC201" s="883" t="n">
        <f aca="false">CB201*K201</f>
        <v>0</v>
      </c>
      <c r="CD201" s="901" t="n">
        <f aca="false">$BP201*(1-$BR201)*Tables!$C$36</f>
        <v>0</v>
      </c>
      <c r="CE201" s="902" t="n">
        <f aca="false">(CD201*AX201)/1000</f>
        <v>0</v>
      </c>
      <c r="CF201" s="883" t="n">
        <f aca="false">CE201*K201</f>
        <v>0</v>
      </c>
      <c r="CH201" s="901" t="n">
        <f aca="false">$BM201*(1-$BR201)*Tables!$C$36</f>
        <v>12960</v>
      </c>
      <c r="CI201" s="902" t="n">
        <f aca="false">(CH201*BB201)/1000</f>
        <v>265.9392</v>
      </c>
      <c r="CJ201" s="883" t="n">
        <f aca="false">CI201*K201</f>
        <v>336.987576979341</v>
      </c>
      <c r="CK201" s="292"/>
      <c r="CL201" s="292" t="n">
        <f aca="false">C201-1</f>
        <v>2015</v>
      </c>
      <c r="CM201" s="903" t="n">
        <f aca="false">INDEX(OperationalDetail,MATCH("Degraded Heat Rate",ODColumn,0),MATCH('Monthly Table'!CL201,ODRow,0))/1000</f>
        <v>12.0200392</v>
      </c>
      <c r="CN201" s="904" t="n">
        <f aca="false">S201*CM201</f>
        <v>6.38161812034213</v>
      </c>
      <c r="CO201" s="905" t="n">
        <f aca="false">IF(A201="January",(CO200*(1+Assumptions!$E$32)),CO200)</f>
        <v>9.06526442632447</v>
      </c>
      <c r="CP201" s="906" t="n">
        <f aca="false">CN201+CO201</f>
        <v>15.4468825466666</v>
      </c>
      <c r="CQ201" s="292"/>
      <c r="CR201" s="856" t="str">
        <f aca="false">IF(BJ201=0,"",C201)</f>
        <v/>
      </c>
      <c r="CS201" s="856" t="str">
        <f aca="false">IF(BO201=0,"",$C201)</f>
        <v/>
      </c>
      <c r="CT201" s="856" t="str">
        <f aca="false">IF(BL201=0,"",$C201)</f>
        <v/>
      </c>
      <c r="CU201" s="856" t="str">
        <f aca="false">IF(BP201=0,"",$C201)</f>
        <v/>
      </c>
      <c r="CV201" s="856" t="n">
        <f aca="false">IF(BD201=0,"",$C201)</f>
        <v>2016</v>
      </c>
      <c r="CW201" s="907" t="n">
        <f aca="false">YEAR(BF201)</f>
        <v>2016</v>
      </c>
      <c r="CX201" s="908" t="n">
        <f aca="false">INDEX('NY Curve'!$A$4:$G$256,MATCH('Monthly Table'!B201,'NY Curve'!$A$4:$A$256,0),MATCH("New York 5 X 16",'NY Curve'!$A$4:$G$4,0))</f>
        <v>28.5</v>
      </c>
      <c r="CY201" s="909" t="n">
        <f aca="false">K201</f>
        <v>1.26716022677116</v>
      </c>
      <c r="CZ201" s="910" t="n">
        <f aca="false">CX201*CY201</f>
        <v>36.1140664629781</v>
      </c>
      <c r="DB201" s="911"/>
      <c r="DC201" s="911"/>
    </row>
    <row r="202" customFormat="false" ht="18.75" hidden="false" customHeight="true" outlineLevel="0" collapsed="false">
      <c r="A202" s="110" t="s">
        <v>821</v>
      </c>
      <c r="B202" s="918" t="n">
        <v>42705</v>
      </c>
      <c r="C202" s="917" t="n">
        <f aca="false">YEAR(B202)</f>
        <v>2016</v>
      </c>
      <c r="D202" s="919" t="n">
        <f aca="false">IF(A202="January",D201+1,D201)</f>
        <v>16</v>
      </c>
      <c r="E202" s="865" t="n">
        <v>21</v>
      </c>
      <c r="F202" s="866" t="n">
        <v>5</v>
      </c>
      <c r="G202" s="866" t="n">
        <v>4</v>
      </c>
      <c r="H202" s="866" t="n">
        <v>1</v>
      </c>
      <c r="I202" s="867" t="n">
        <f aca="false">SUM(E202:H202)</f>
        <v>31</v>
      </c>
      <c r="J202" s="923"/>
      <c r="K202" s="924" t="n">
        <f aca="false">INDEX(FX!$A$3:$C$362,MATCH(B202,FX!$A$3:$A$362,0),MATCH("Monthly Curve",FX!$A$2:$C$2,0))</f>
        <v>1.26657467216429</v>
      </c>
      <c r="L202" s="924"/>
      <c r="M202" s="995"/>
      <c r="N202" s="996"/>
      <c r="O202" s="991" t="n">
        <v>0.1</v>
      </c>
      <c r="P202" s="928" t="n">
        <f aca="false">N202+O202</f>
        <v>0.1</v>
      </c>
      <c r="Q202" s="929" t="n">
        <f aca="false">SUM(M202:O202)</f>
        <v>0.1</v>
      </c>
      <c r="R202" s="979" t="n">
        <f aca="false">IF(A202="January",(R201+R201*Assumptions!$E$32),R201)</f>
        <v>0.40419889483348</v>
      </c>
      <c r="S202" s="931" t="n">
        <f aca="false">(Q202*K202)+R202</f>
        <v>0.530856362049909</v>
      </c>
      <c r="T202" s="924"/>
      <c r="U202" s="938"/>
      <c r="V202" s="949"/>
      <c r="W202" s="949"/>
      <c r="X202" s="992"/>
      <c r="Y202" s="981" t="n">
        <f aca="false">Tables!$D$36</f>
        <v>312</v>
      </c>
      <c r="Z202" s="935" t="n">
        <f aca="false">IF($Z$10=$V$10,V202,IF($Z$10=$W$10,W202,IF($Z$10=$X$10,X202,0)))</f>
        <v>0</v>
      </c>
      <c r="AA202" s="936" t="n">
        <f aca="false">Y202*Z202</f>
        <v>0</v>
      </c>
      <c r="AB202" s="937" t="n">
        <f aca="false">AA202*K202</f>
        <v>0</v>
      </c>
      <c r="AC202" s="938"/>
      <c r="AD202" s="882" t="n">
        <f aca="false">IF(Tables!$E$30="Michigan",INDEX('Michigan Curve'!$A$4:$S$256,MATCH('Monthly Table'!B202,'Michigan Curve'!$A$4:$A$256,0),MATCH("Michigan Selected Option Value US$/month",'Michigan Curve'!$A$4:$S$4,0)),INDEX('NY Curve'!$A$4:$T$256,MATCH('Monthly Table'!B202,'NY Curve'!$A$4:$A$256,0),MATCH("New York Selected Option Value US$/month",'NY Curve'!$A$4:$T$4,0)))</f>
        <v>0</v>
      </c>
      <c r="AE202" s="883" t="n">
        <f aca="false">AD202*K202</f>
        <v>0</v>
      </c>
      <c r="AF202" s="938"/>
      <c r="AG202" s="939"/>
      <c r="AH202" s="110"/>
      <c r="AI202" s="885" t="n">
        <f aca="false">Assumptions!$B$50</f>
        <v>65</v>
      </c>
      <c r="AJ202" s="940"/>
      <c r="AK202" s="887" t="n">
        <f aca="false">IF(Tables!$E$30="Custom",'Monthly Table'!AI202,IF(Tables!$E$30="New York",INDEX('NY Curve'!$A$4:$G$256,MATCH('Monthly Table'!B202,'NY Curve'!$A$4:$A$256,0),MATCH("Super Peak Curve",'NY Curve'!$A$4:$G$4,0)),IF(Tables!$E$30="New York Flat",INDEX('NY Curve'!$A$4:$G$256,MATCH('Monthly Table'!B202,'NY Curve'!$A$4:$A$256,0),MATCH("Flat NY West",'NY Curve'!$A$4:$G$4,0)),INDEX('Michigan Curve'!$A$4:$F$256,MATCH('Monthly Table'!B202,'Michigan Curve'!$A$4:$A$256,0),MATCH("Michigan Super Peak Curve US$/MWhr",'Michigan Curve'!$A$4:$F$4,0)))))</f>
        <v>31.8239949417114</v>
      </c>
      <c r="AL202" s="941" t="n">
        <f aca="false">IF(D202&lt;=Tables!$B$21,IF($AL$10=$AI$10,AI202,IF($AL$10=$AJ$10,AJ202,IF($AL$10=$AK$10,AK202,0))),0)</f>
        <v>0</v>
      </c>
      <c r="AM202" s="889" t="n">
        <f aca="false">+AL202*K202</f>
        <v>0</v>
      </c>
      <c r="AN202" s="943" t="n">
        <f aca="false">IF((AL202*K202)&gt;(CP202+$BF$4),1,0)</f>
        <v>0</v>
      </c>
      <c r="AO202" s="944"/>
      <c r="AP202" s="894"/>
      <c r="AQ202" s="892" t="n">
        <f aca="false">IF(Tables!$E$30="New York",INDEX('NY Curve'!$A$4:$L$256,MATCH('Monthly Table'!B202,'NY Curve'!$A$4:$A$256,0),MATCH("New York Shoulder Hour Curve Mon-Fri",'NY Curve'!$A$4:$L$4,0)),IF(Tables!$E$30="Michigan",INDEX('Michigan Curve'!$A$4:$K$256,MATCH('Monthly Table'!B202,'Michigan Curve'!$A$4:$A$256,0),MATCH("Michigan Shoulder Hour Curve Mon-Fri",'Michigan Curve'!$A$4:$K$4,0))))</f>
        <v>30.5759951400757</v>
      </c>
      <c r="AR202" s="889" t="n">
        <f aca="false">AQ202*K202</f>
        <v>38.7267810206383</v>
      </c>
      <c r="AS202" s="893" t="n">
        <f aca="false">IF(AR202&gt;($CP202+$BF$4),1,0)</f>
        <v>1</v>
      </c>
      <c r="AT202" s="917"/>
      <c r="AU202" s="892" t="n">
        <f aca="false">IF(Tables!$E$30="New York",INDEX('NY Curve'!$A$4:$L$256,MATCH('Monthly Table'!$B202,'NY Curve'!$A$4:$A$256,0),MATCH("New York Saturday Super Peak",'NY Curve'!$A$4:$L$4,0)),IF(Tables!$E$30="Michigan",INDEX('Michigan Curve'!$A$4:$K$256,MATCH('Monthly Table'!$B202,'Michigan Curve'!$A$4:$A$256,0),MATCH("Michigan Saturday Super Peak",'Michigan Curve'!$A$4:$K$4,0))))</f>
        <v>20.4</v>
      </c>
      <c r="AV202" s="894" t="n">
        <f aca="false">AU202*K202</f>
        <v>25.8381233121515</v>
      </c>
      <c r="AW202" s="893" t="n">
        <f aca="false">IF(Tables!$B$21=15,0,IF(AV202&gt;($CP202+$BF$4),1,0))</f>
        <v>0</v>
      </c>
      <c r="AX202" s="892" t="n">
        <f aca="false">IF(Tables!$E$30="New York",INDEX('NY Curve'!$A$4:$L$256,MATCH('Monthly Table'!$B202,'NY Curve'!$A$4:$A$256,0),MATCH("New York Saturday Shoulder Peak",'NY Curve'!$A$4:$L$4,0)),IF(Tables!$E$30="Michigan",INDEX('Michigan Curve'!$A$4:$K$256,MATCH('Monthly Table'!$B202,'Michigan Curve'!$A$4:$A$256,0),MATCH("Michigan Saturday Shoulder Peak",'Michigan Curve'!$A$4:$K$4,0))))</f>
        <v>19.6</v>
      </c>
      <c r="AY202" s="895" t="n">
        <f aca="false">AX202*K202</f>
        <v>24.8248635744201</v>
      </c>
      <c r="AZ202" s="893" t="n">
        <f aca="false">IF(Tables!$B$21=15,0,IF(AY202&gt;($CP202+$BF$4),1,0))</f>
        <v>0</v>
      </c>
      <c r="BA202" s="917"/>
      <c r="BB202" s="892" t="n">
        <f aca="false">IF(Tables!$E$30="New York",INDEX('NY Curve'!$A$4:$M$256,MATCH('Monthly Table'!$B202,'NY Curve'!$A$4:$A$256,0),MATCH("NY Sunday Super Peak",'NY Curve'!$A$4:$M$4,0)),IF(Tables!$E$30="Michigan",INDEX('Michigan Curve'!$A$4:$L$256,MATCH('Monthly Table'!$B202,'Michigan Curve'!$A$4:$A$256,0),MATCH("Michigan Sunday Super Peak",'Michigan Curve'!$A$4:$L$4,0))))</f>
        <v>19.38</v>
      </c>
      <c r="BC202" s="894" t="n">
        <f aca="false">BB202*K202</f>
        <v>24.5462171465439</v>
      </c>
      <c r="BD202" s="893" t="n">
        <f aca="false">IF(BC202&gt;($CP202+$BF$4),1,0)</f>
        <v>1</v>
      </c>
      <c r="BE202" s="917"/>
      <c r="BF202" s="948" t="n">
        <f aca="false">B202</f>
        <v>42705</v>
      </c>
      <c r="BG202" s="897" t="n">
        <f aca="false">IF($AN202=1,$E202*$BF$5,0)</f>
        <v>0</v>
      </c>
      <c r="BH202" s="982" t="n">
        <f aca="false">IF(Tables!$B$36="Combined Cycle",(BF202-BF201)*24*Assumptions!$B$21,0)</f>
        <v>0</v>
      </c>
      <c r="BI202" s="714" t="n">
        <f aca="false">IF($AN202=1,$E202*$BF$5,0)</f>
        <v>0</v>
      </c>
      <c r="BJ202" s="950" t="n">
        <f aca="false">IF('Monthly Table'!D202&lt;=Tables!$B$21,IF($BJ$10=$BG$10,BG202,IF($BJ$10=$BH$10,BH202,IF($BJ$10=$BI$10,BI202,0))),0)</f>
        <v>0</v>
      </c>
      <c r="BK202" s="288"/>
      <c r="BL202" s="898" t="n">
        <f aca="false">IF($AW202=1,$F202*$BF$5,0)</f>
        <v>0</v>
      </c>
      <c r="BM202" s="898" t="n">
        <f aca="false">IF($BD202=1,($G202+H202)*$BF$5,0)</f>
        <v>40</v>
      </c>
      <c r="BO202" s="898" t="n">
        <f aca="false">IF(AS202=1,BJ202,0)</f>
        <v>0</v>
      </c>
      <c r="BP202" s="898" t="n">
        <f aca="false">IF(AZ202=1,F202*$BF$5,0)</f>
        <v>0</v>
      </c>
      <c r="BR202" s="951" t="n">
        <f aca="false">IF(BJ202&gt;0,INDEX(OperationalDetail,MATCH("Capacity Degradation",ODColumn,0),MATCH('Monthly Table'!C202,ODRow,0)),0)</f>
        <v>0</v>
      </c>
      <c r="BS202" s="900" t="n">
        <f aca="false">BJ202*(1-BR202)*Tables!$C$36</f>
        <v>0</v>
      </c>
      <c r="BT202" s="953" t="n">
        <f aca="false">BS202*AL202/1000</f>
        <v>0</v>
      </c>
      <c r="BU202" s="953" t="n">
        <f aca="false">BT202*K202</f>
        <v>0</v>
      </c>
      <c r="BV202" s="188"/>
      <c r="BW202" s="901" t="n">
        <f aca="false">$BO202*(1-$BR202)*Tables!$C$36</f>
        <v>0</v>
      </c>
      <c r="BX202" s="902" t="n">
        <f aca="false">(BW202*AQ202)/1000</f>
        <v>0</v>
      </c>
      <c r="BY202" s="883" t="n">
        <f aca="false">BX202*K202</f>
        <v>0</v>
      </c>
      <c r="BZ202" s="938"/>
      <c r="CA202" s="901" t="n">
        <f aca="false">$BL202*(1-$BR202)*Tables!$C$36</f>
        <v>0</v>
      </c>
      <c r="CB202" s="902" t="n">
        <f aca="false">(CA202*AU202)/1000</f>
        <v>0</v>
      </c>
      <c r="CC202" s="883" t="n">
        <f aca="false">CB202*K202</f>
        <v>0</v>
      </c>
      <c r="CD202" s="901" t="n">
        <f aca="false">$BP202*(1-$BR202)*Tables!$C$36</f>
        <v>0</v>
      </c>
      <c r="CE202" s="902" t="n">
        <f aca="false">(CD202*AX202)/1000</f>
        <v>0</v>
      </c>
      <c r="CF202" s="883" t="n">
        <f aca="false">CE202*K202</f>
        <v>0</v>
      </c>
      <c r="CG202" s="110"/>
      <c r="CH202" s="901" t="n">
        <f aca="false">$BM202*(1-$BR202)*Tables!$C$36</f>
        <v>12960</v>
      </c>
      <c r="CI202" s="902" t="n">
        <f aca="false">(CH202*BB202)/1000</f>
        <v>251.1648</v>
      </c>
      <c r="CJ202" s="883" t="n">
        <f aca="false">CI202*K202</f>
        <v>318.118974219209</v>
      </c>
      <c r="CK202" s="292"/>
      <c r="CL202" s="292" t="n">
        <f aca="false">C202-1</f>
        <v>2015</v>
      </c>
      <c r="CM202" s="903" t="n">
        <f aca="false">INDEX(OperationalDetail,MATCH("Degraded Heat Rate",ODColumn,0),MATCH('Monthly Table'!CL202,ODRow,0))/1000</f>
        <v>12.0200392</v>
      </c>
      <c r="CN202" s="958" t="n">
        <f aca="false">S202*CM202</f>
        <v>6.38091428140929</v>
      </c>
      <c r="CO202" s="959" t="n">
        <f aca="false">IF(A202="January",(CO201*(1+Assumptions!$E$32)),CO201)</f>
        <v>9.06526442632447</v>
      </c>
      <c r="CP202" s="960" t="n">
        <f aca="false">CN202+CO202</f>
        <v>15.4461787077338</v>
      </c>
      <c r="CQ202" s="292"/>
      <c r="CR202" s="961" t="str">
        <f aca="false">IF(BJ202=0,"",C202)</f>
        <v/>
      </c>
      <c r="CS202" s="856" t="str">
        <f aca="false">IF(BO202=0,"",$C202)</f>
        <v/>
      </c>
      <c r="CT202" s="856" t="str">
        <f aca="false">IF(BL202=0,"",$C202)</f>
        <v/>
      </c>
      <c r="CU202" s="856" t="str">
        <f aca="false">IF(BP202=0,"",$C202)</f>
        <v/>
      </c>
      <c r="CV202" s="856" t="n">
        <f aca="false">IF(BD202=0,"",$C202)</f>
        <v>2016</v>
      </c>
      <c r="CW202" s="962" t="n">
        <f aca="false">YEAR(BF202)</f>
        <v>2016</v>
      </c>
      <c r="CX202" s="963" t="n">
        <f aca="false">INDEX('NY Curve'!$A$4:$G$256,MATCH('Monthly Table'!B202,'NY Curve'!$A$4:$A$256,0),MATCH("New York 5 X 16",'NY Curve'!$A$4:$G$4,0))</f>
        <v>29</v>
      </c>
      <c r="CY202" s="964" t="n">
        <f aca="false">K202</f>
        <v>1.26657467216429</v>
      </c>
      <c r="CZ202" s="965" t="n">
        <f aca="false">CX202*CY202</f>
        <v>36.7306654927644</v>
      </c>
      <c r="DA202" s="110"/>
      <c r="DB202" s="911"/>
      <c r="DC202" s="911"/>
      <c r="DD202" s="110"/>
      <c r="DE202" s="110"/>
      <c r="DF202" s="110"/>
      <c r="DG202" s="110"/>
      <c r="DH202" s="110"/>
    </row>
    <row r="203" customFormat="false" ht="18.75" hidden="false" customHeight="true" outlineLevel="0" collapsed="false">
      <c r="A203" s="49" t="s">
        <v>810</v>
      </c>
      <c r="B203" s="863" t="n">
        <v>42736</v>
      </c>
      <c r="C203" s="288" t="n">
        <f aca="false">YEAR(B203)</f>
        <v>2017</v>
      </c>
      <c r="D203" s="864" t="n">
        <f aca="false">IF(A203="January",D202+1,D202)</f>
        <v>17</v>
      </c>
      <c r="E203" s="865" t="n">
        <v>21</v>
      </c>
      <c r="F203" s="866" t="n">
        <v>4</v>
      </c>
      <c r="G203" s="866" t="n">
        <v>5</v>
      </c>
      <c r="H203" s="866" t="n">
        <v>1</v>
      </c>
      <c r="I203" s="867" t="n">
        <f aca="false">SUM(E203:H203)</f>
        <v>31</v>
      </c>
      <c r="J203" s="868"/>
      <c r="K203" s="869" t="n">
        <f aca="false">INDEX(FX!$A$3:$C$362,MATCH(B203,FX!$A$3:$A$362,0),MATCH("Monthly Curve",FX!$A$2:$C$2,0))</f>
        <v>1.26597269421613</v>
      </c>
      <c r="L203" s="869"/>
      <c r="M203" s="993"/>
      <c r="N203" s="994"/>
      <c r="O203" s="986" t="n">
        <v>0.1</v>
      </c>
      <c r="P203" s="872" t="n">
        <f aca="false">N203+O203</f>
        <v>0.1</v>
      </c>
      <c r="Q203" s="873" t="n">
        <f aca="false">SUM(M203:O203)</f>
        <v>0.1</v>
      </c>
      <c r="R203" s="974" t="n">
        <f aca="false">IF(A203="January",(R202+R202*Assumptions!$E$32),R202)</f>
        <v>0.412282872730149</v>
      </c>
      <c r="S203" s="875" t="n">
        <f aca="false">(Q203*K203)+R203</f>
        <v>0.538880142151762</v>
      </c>
      <c r="T203" s="869"/>
      <c r="U203" s="187"/>
      <c r="V203" s="897"/>
      <c r="W203" s="897"/>
      <c r="X203" s="31"/>
      <c r="Y203" s="975" t="n">
        <f aca="false">Tables!$D$36</f>
        <v>312</v>
      </c>
      <c r="Z203" s="879" t="n">
        <f aca="false">IF($Z$10=$V$10,V203,IF($Z$10=$W$10,W203,IF($Z$10=$X$10,X203,0)))</f>
        <v>0</v>
      </c>
      <c r="AA203" s="880" t="n">
        <f aca="false">Y203*Z203</f>
        <v>0</v>
      </c>
      <c r="AB203" s="881" t="n">
        <f aca="false">AA203*K203</f>
        <v>0</v>
      </c>
      <c r="AC203" s="188"/>
      <c r="AD203" s="882" t="n">
        <f aca="false">IF(Tables!$E$30="Michigan",INDEX('Michigan Curve'!$A$4:$S$256,MATCH('Monthly Table'!B203,'Michigan Curve'!$A$4:$A$256,0),MATCH("Michigan Selected Option Value US$/month",'Michigan Curve'!$A$4:$S$4,0)),INDEX('NY Curve'!$A$4:$T$256,MATCH('Monthly Table'!B203,'NY Curve'!$A$4:$A$256,0),MATCH("New York Selected Option Value US$/month",'NY Curve'!$A$4:$T$4,0)))</f>
        <v>0</v>
      </c>
      <c r="AE203" s="883" t="n">
        <f aca="false">AD203*K203</f>
        <v>0</v>
      </c>
      <c r="AF203" s="188"/>
      <c r="AG203" s="884"/>
      <c r="AH203" s="49"/>
      <c r="AI203" s="885" t="n">
        <f aca="false">Assumptions!$B$50</f>
        <v>65</v>
      </c>
      <c r="AJ203" s="916"/>
      <c r="AK203" s="887" t="n">
        <f aca="false">IF(Tables!$E$30="Custom",'Monthly Table'!AI203,IF(Tables!$E$30="New York",INDEX('NY Curve'!$A$4:$G$256,MATCH('Monthly Table'!B203,'NY Curve'!$A$4:$A$256,0),MATCH("Super Peak Curve",'NY Curve'!$A$4:$G$4,0)),IF(Tables!$E$30="New York Flat",INDEX('NY Curve'!$A$4:$G$256,MATCH('Monthly Table'!B203,'NY Curve'!$A$4:$A$256,0),MATCH("Flat NY West",'NY Curve'!$A$4:$G$4,0)),INDEX('Michigan Curve'!$A$4:$F$256,MATCH('Monthly Table'!B203,'Michigan Curve'!$A$4:$A$256,0),MATCH("Michigan Super Peak Curve US$/MWhr",'Michigan Curve'!$A$4:$F$4,0)))))</f>
        <v>37.4340003890991</v>
      </c>
      <c r="AL203" s="888" t="n">
        <f aca="false">IF(D203&lt;=Tables!$B$21,IF($AL$10=$AI$10,AI203,IF($AL$10=$AJ$10,AJ203,IF($AL$10=$AK$10,AK203,0))),0)</f>
        <v>0</v>
      </c>
      <c r="AM203" s="889" t="n">
        <f aca="false">+AL203*K203</f>
        <v>0</v>
      </c>
      <c r="AN203" s="890" t="n">
        <f aca="false">IF((AL203*K203)&gt;(CP203+$BF$4),1,0)</f>
        <v>0</v>
      </c>
      <c r="AO203" s="891"/>
      <c r="AP203" s="894"/>
      <c r="AQ203" s="892" t="n">
        <f aca="false">IF(Tables!$E$30="New York",INDEX('NY Curve'!$A$4:$L$256,MATCH('Monthly Table'!B203,'NY Curve'!$A$4:$A$256,0),MATCH("New York Shoulder Hour Curve Mon-Fri",'NY Curve'!$A$4:$L$4,0)),IF(Tables!$E$30="Michigan",INDEX('Michigan Curve'!$A$4:$K$256,MATCH('Monthly Table'!B203,'Michigan Curve'!$A$4:$A$256,0),MATCH("Michigan Shoulder Hour Curve Mon-Fri",'Michigan Curve'!$A$4:$K$4,0))))</f>
        <v>35.9660003738403</v>
      </c>
      <c r="AR203" s="889" t="n">
        <f aca="false">AQ203*K203</f>
        <v>45.531974393449</v>
      </c>
      <c r="AS203" s="893" t="n">
        <f aca="false">IF(AR203&gt;($CP203+$BF$4),1,0)</f>
        <v>1</v>
      </c>
      <c r="AU203" s="892" t="n">
        <f aca="false">IF(Tables!$E$30="New York",INDEX('NY Curve'!$A$4:$L$256,MATCH('Monthly Table'!$B203,'NY Curve'!$A$4:$A$256,0),MATCH("New York Saturday Super Peak",'NY Curve'!$A$4:$L$4,0)),IF(Tables!$E$30="Michigan",INDEX('Michigan Curve'!$A$4:$K$256,MATCH('Monthly Table'!$B203,'Michigan Curve'!$A$4:$A$256,0),MATCH("Michigan Saturday Super Peak",'Michigan Curve'!$A$4:$K$4,0))))</f>
        <v>22.44</v>
      </c>
      <c r="AV203" s="894" t="n">
        <f aca="false">AU203*K203</f>
        <v>28.40842725821</v>
      </c>
      <c r="AW203" s="893" t="n">
        <f aca="false">IF(Tables!$B$21=15,0,IF(AV203&gt;($CP203+$BF$4),1,0))</f>
        <v>0</v>
      </c>
      <c r="AX203" s="892" t="n">
        <f aca="false">IF(Tables!$E$30="New York",INDEX('NY Curve'!$A$4:$L$256,MATCH('Monthly Table'!$B203,'NY Curve'!$A$4:$A$256,0),MATCH("New York Saturday Shoulder Peak",'NY Curve'!$A$4:$L$4,0)),IF(Tables!$E$30="Michigan",INDEX('Michigan Curve'!$A$4:$K$256,MATCH('Monthly Table'!$B203,'Michigan Curve'!$A$4:$A$256,0),MATCH("Michigan Saturday Shoulder Peak",'Michigan Curve'!$A$4:$K$4,0))))</f>
        <v>21.56</v>
      </c>
      <c r="AY203" s="895" t="n">
        <f aca="false">AX203*K203</f>
        <v>27.2943712872998</v>
      </c>
      <c r="AZ203" s="893" t="n">
        <f aca="false">IF(Tables!$B$21=15,0,IF(AY203&gt;($CP203+$BF$4),1,0))</f>
        <v>0</v>
      </c>
      <c r="BB203" s="892" t="n">
        <f aca="false">IF(Tables!$E$30="New York",INDEX('NY Curve'!$A$4:$M$256,MATCH('Monthly Table'!$B203,'NY Curve'!$A$4:$A$256,0),MATCH("NY Sunday Super Peak",'NY Curve'!$A$4:$M$4,0)),IF(Tables!$E$30="Michigan",INDEX('Michigan Curve'!$A$4:$L$256,MATCH('Monthly Table'!$B203,'Michigan Curve'!$A$4:$A$256,0),MATCH("Michigan Sunday Super Peak",'Michigan Curve'!$A$4:$L$4,0))))</f>
        <v>21.42</v>
      </c>
      <c r="BC203" s="894" t="n">
        <f aca="false">BB203*K203</f>
        <v>27.1171351101095</v>
      </c>
      <c r="BD203" s="893" t="n">
        <f aca="false">IF(BC203&gt;($CP203+$BF$4),1,0)</f>
        <v>1</v>
      </c>
      <c r="BF203" s="896" t="n">
        <f aca="false">B203</f>
        <v>42736</v>
      </c>
      <c r="BG203" s="897" t="n">
        <f aca="false">IF($AN203=1,$E203*$BF$5,0)</f>
        <v>0</v>
      </c>
      <c r="BH203" s="976" t="n">
        <f aca="false">IF(Tables!$B$36="Combined Cycle",(BF203-BF202)*24*Assumptions!$B$21,0)</f>
        <v>0</v>
      </c>
      <c r="BI203" s="714" t="n">
        <f aca="false">IF($AN203=1,$E203*$BF$5,0)</f>
        <v>0</v>
      </c>
      <c r="BJ203" s="898" t="n">
        <f aca="false">IF('Monthly Table'!D203&lt;=Tables!$B$21,IF($BJ$10=$BG$10,BG203,IF($BJ$10=$BH$10,BH203,IF($BJ$10=$BI$10,BI203,0))),0)</f>
        <v>0</v>
      </c>
      <c r="BK203" s="288"/>
      <c r="BL203" s="898" t="n">
        <f aca="false">IF($AW203=1,$F203*$BF$5,0)</f>
        <v>0</v>
      </c>
      <c r="BM203" s="898" t="n">
        <f aca="false">IF($BD203=1,($G203+H203)*$BF$5,0)</f>
        <v>48</v>
      </c>
      <c r="BO203" s="898" t="n">
        <f aca="false">IF(AS203=1,BJ203,0)</f>
        <v>0</v>
      </c>
      <c r="BP203" s="898" t="n">
        <f aca="false">IF(AZ203=1,F203*$BF$5,0)</f>
        <v>0</v>
      </c>
      <c r="BR203" s="899" t="n">
        <f aca="false">IF(BJ203&gt;0,INDEX(OperationalDetail,MATCH("Capacity Degradation",ODColumn,0),MATCH('Monthly Table'!C203,ODRow,0)),0)</f>
        <v>0</v>
      </c>
      <c r="BS203" s="900" t="n">
        <f aca="false">BJ203*(1-BR203)*Tables!$C$36</f>
        <v>0</v>
      </c>
      <c r="BT203" s="883" t="n">
        <f aca="false">BS203*AL203/1000</f>
        <v>0</v>
      </c>
      <c r="BU203" s="883" t="n">
        <f aca="false">BT203*K203</f>
        <v>0</v>
      </c>
      <c r="BV203" s="188"/>
      <c r="BW203" s="901" t="n">
        <f aca="false">$BO203*(1-$BR203)*Tables!$C$36</f>
        <v>0</v>
      </c>
      <c r="BX203" s="902" t="n">
        <f aca="false">(BW203*AQ203)/1000</f>
        <v>0</v>
      </c>
      <c r="BY203" s="883" t="n">
        <f aca="false">BX203*K203</f>
        <v>0</v>
      </c>
      <c r="BZ203" s="188"/>
      <c r="CA203" s="901" t="n">
        <f aca="false">$BL203*(1-$BR203)*Tables!$C$36</f>
        <v>0</v>
      </c>
      <c r="CB203" s="902" t="n">
        <f aca="false">(CA203*AU203)/1000</f>
        <v>0</v>
      </c>
      <c r="CC203" s="883" t="n">
        <f aca="false">CB203*K203</f>
        <v>0</v>
      </c>
      <c r="CD203" s="901" t="n">
        <f aca="false">$BP203*(1-$BR203)*Tables!$C$36</f>
        <v>0</v>
      </c>
      <c r="CE203" s="902" t="n">
        <f aca="false">(CD203*AX203)/1000</f>
        <v>0</v>
      </c>
      <c r="CF203" s="883" t="n">
        <f aca="false">CE203*K203</f>
        <v>0</v>
      </c>
      <c r="CH203" s="901" t="n">
        <f aca="false">$BM203*(1-$BR203)*Tables!$C$36</f>
        <v>15552</v>
      </c>
      <c r="CI203" s="902" t="n">
        <f aca="false">(CH203*BB203)/1000</f>
        <v>333.12384</v>
      </c>
      <c r="CJ203" s="883" t="n">
        <f aca="false">CI203*K203</f>
        <v>421.725685232423</v>
      </c>
      <c r="CK203" s="292"/>
      <c r="CL203" s="292" t="n">
        <f aca="false">C203-1</f>
        <v>2016</v>
      </c>
      <c r="CM203" s="903" t="n">
        <f aca="false">INDEX(OperationalDetail,MATCH("Degraded Heat Rate",ODColumn,0),MATCH('Monthly Table'!CL203,ODRow,0))/1000</f>
        <v>11.96</v>
      </c>
      <c r="CN203" s="904" t="n">
        <f aca="false">S203*CM203</f>
        <v>6.44500650013508</v>
      </c>
      <c r="CO203" s="905" t="n">
        <f aca="false">IF(A203="January",(CO202*(1+Assumptions!$E$32)),CO202)</f>
        <v>9.24656971485096</v>
      </c>
      <c r="CP203" s="906" t="n">
        <f aca="false">CN203+CO203</f>
        <v>15.691576214986</v>
      </c>
      <c r="CQ203" s="292"/>
      <c r="CR203" s="856" t="str">
        <f aca="false">IF(BJ203=0,"",C203)</f>
        <v/>
      </c>
      <c r="CS203" s="856" t="str">
        <f aca="false">IF(BO203=0,"",$C203)</f>
        <v/>
      </c>
      <c r="CT203" s="856" t="str">
        <f aca="false">IF(BL203=0,"",$C203)</f>
        <v/>
      </c>
      <c r="CU203" s="856" t="str">
        <f aca="false">IF(BP203=0,"",$C203)</f>
        <v/>
      </c>
      <c r="CV203" s="856" t="n">
        <f aca="false">IF(BD203=0,"",$C203)</f>
        <v>2017</v>
      </c>
      <c r="CW203" s="907" t="n">
        <f aca="false">YEAR(BF203)</f>
        <v>2017</v>
      </c>
      <c r="CX203" s="908" t="n">
        <f aca="false">INDEX('NY Curve'!$A$4:$G$256,MATCH('Monthly Table'!B203,'NY Curve'!$A$4:$A$256,0),MATCH("New York 5 X 16",'NY Curve'!$A$4:$G$4,0))</f>
        <v>34.55</v>
      </c>
      <c r="CY203" s="909" t="n">
        <f aca="false">K203</f>
        <v>1.26597269421613</v>
      </c>
      <c r="CZ203" s="910" t="n">
        <f aca="false">CX203*CY203</f>
        <v>43.7393565851673</v>
      </c>
      <c r="DB203" s="911"/>
      <c r="DC203" s="911"/>
    </row>
    <row r="204" customFormat="false" ht="18.75" hidden="false" customHeight="true" outlineLevel="0" collapsed="false">
      <c r="A204" s="49" t="s">
        <v>811</v>
      </c>
      <c r="B204" s="863" t="n">
        <v>42767</v>
      </c>
      <c r="C204" s="288" t="n">
        <f aca="false">YEAR(B204)</f>
        <v>2017</v>
      </c>
      <c r="D204" s="864" t="n">
        <f aca="false">IF(A204="January",D203+1,D203)</f>
        <v>17</v>
      </c>
      <c r="E204" s="865" t="n">
        <v>20</v>
      </c>
      <c r="F204" s="866" t="n">
        <v>4</v>
      </c>
      <c r="G204" s="866" t="n">
        <v>4</v>
      </c>
      <c r="H204" s="866" t="n">
        <v>0</v>
      </c>
      <c r="I204" s="867" t="n">
        <f aca="false">SUM(E204:H204)</f>
        <v>28</v>
      </c>
      <c r="J204" s="868"/>
      <c r="K204" s="869" t="n">
        <f aca="false">INDEX(FX!$A$3:$C$362,MATCH(B204,FX!$A$3:$A$362,0),MATCH("Monthly Curve",FX!$A$2:$C$2,0))</f>
        <v>1.26537385796139</v>
      </c>
      <c r="L204" s="869"/>
      <c r="M204" s="993"/>
      <c r="N204" s="994"/>
      <c r="O204" s="986" t="n">
        <v>0.1</v>
      </c>
      <c r="P204" s="872" t="n">
        <f aca="false">N204+O204</f>
        <v>0.1</v>
      </c>
      <c r="Q204" s="873" t="n">
        <f aca="false">SUM(M204:O204)</f>
        <v>0.1</v>
      </c>
      <c r="R204" s="974" t="n">
        <f aca="false">IF(A204="January",(R203+R203*Assumptions!$E$32),R203)</f>
        <v>0.412282872730149</v>
      </c>
      <c r="S204" s="875" t="n">
        <f aca="false">(Q204*K204)+R204</f>
        <v>0.538820258526288</v>
      </c>
      <c r="T204" s="869"/>
      <c r="U204" s="187"/>
      <c r="V204" s="897"/>
      <c r="W204" s="897"/>
      <c r="X204" s="31"/>
      <c r="Y204" s="975" t="n">
        <f aca="false">Tables!$D$36</f>
        <v>312</v>
      </c>
      <c r="Z204" s="879" t="n">
        <f aca="false">IF($Z$10=$V$10,V204,IF($Z$10=$W$10,W204,IF($Z$10=$X$10,X204,0)))</f>
        <v>0</v>
      </c>
      <c r="AA204" s="880" t="n">
        <f aca="false">Y204*Z204</f>
        <v>0</v>
      </c>
      <c r="AB204" s="881" t="n">
        <f aca="false">AA204*K204</f>
        <v>0</v>
      </c>
      <c r="AC204" s="188"/>
      <c r="AD204" s="882" t="n">
        <f aca="false">IF(Tables!$E$30="Michigan",INDEX('Michigan Curve'!$A$4:$S$256,MATCH('Monthly Table'!B204,'Michigan Curve'!$A$4:$A$256,0),MATCH("Michigan Selected Option Value US$/month",'Michigan Curve'!$A$4:$S$4,0)),INDEX('NY Curve'!$A$4:$T$256,MATCH('Monthly Table'!B204,'NY Curve'!$A$4:$A$256,0),MATCH("New York Selected Option Value US$/month",'NY Curve'!$A$4:$T$4,0)))</f>
        <v>0</v>
      </c>
      <c r="AE204" s="883" t="n">
        <f aca="false">AD204*K204</f>
        <v>0</v>
      </c>
      <c r="AF204" s="188"/>
      <c r="AG204" s="884"/>
      <c r="AH204" s="49"/>
      <c r="AI204" s="885" t="n">
        <f aca="false">Assumptions!$B$50</f>
        <v>65</v>
      </c>
      <c r="AJ204" s="916"/>
      <c r="AK204" s="887" t="n">
        <f aca="false">IF(Tables!$E$30="Custom",'Monthly Table'!AI204,IF(Tables!$E$30="New York",INDEX('NY Curve'!$A$4:$G$256,MATCH('Monthly Table'!B204,'NY Curve'!$A$4:$A$256,0),MATCH("Super Peak Curve",'NY Curve'!$A$4:$G$4,0)),IF(Tables!$E$30="New York Flat",INDEX('NY Curve'!$A$4:$G$256,MATCH('Monthly Table'!B204,'NY Curve'!$A$4:$A$256,0),MATCH("Flat NY West",'NY Curve'!$A$4:$G$4,0)),INDEX('Michigan Curve'!$A$4:$F$256,MATCH('Monthly Table'!B204,'Michigan Curve'!$A$4:$A$256,0),MATCH("Michigan Super Peak Curve US$/MWhr",'Michigan Curve'!$A$4:$F$4,0)))))</f>
        <v>37.4339984436035</v>
      </c>
      <c r="AL204" s="888" t="n">
        <f aca="false">IF(D204&lt;=Tables!$B$21,IF($AL$10=$AI$10,AI204,IF($AL$10=$AJ$10,AJ204,IF($AL$10=$AK$10,AK204,0))),0)</f>
        <v>0</v>
      </c>
      <c r="AM204" s="889" t="n">
        <f aca="false">+AL204*K204</f>
        <v>0</v>
      </c>
      <c r="AN204" s="890" t="n">
        <f aca="false">IF((AL204*K204)&gt;(CP204+$BF$4),1,0)</f>
        <v>0</v>
      </c>
      <c r="AO204" s="891"/>
      <c r="AP204" s="894"/>
      <c r="AQ204" s="892" t="n">
        <f aca="false">IF(Tables!$E$30="New York",INDEX('NY Curve'!$A$4:$L$256,MATCH('Monthly Table'!B204,'NY Curve'!$A$4:$A$256,0),MATCH("New York Shoulder Hour Curve Mon-Fri",'NY Curve'!$A$4:$L$4,0)),IF(Tables!$E$30="Michigan",INDEX('Michigan Curve'!$A$4:$K$256,MATCH('Monthly Table'!B204,'Michigan Curve'!$A$4:$A$256,0),MATCH("Michigan Shoulder Hour Curve Mon-Fri",'Michigan Curve'!$A$4:$K$4,0))))</f>
        <v>35.9659985046387</v>
      </c>
      <c r="AR204" s="889" t="n">
        <f aca="false">AQ204*K204</f>
        <v>45.5104342832482</v>
      </c>
      <c r="AS204" s="893" t="n">
        <f aca="false">IF(AR204&gt;($CP204+$BF$4),1,0)</f>
        <v>1</v>
      </c>
      <c r="AU204" s="892" t="n">
        <f aca="false">IF(Tables!$E$30="New York",INDEX('NY Curve'!$A$4:$L$256,MATCH('Monthly Table'!$B204,'NY Curve'!$A$4:$A$256,0),MATCH("New York Saturday Super Peak",'NY Curve'!$A$4:$L$4,0)),IF(Tables!$E$30="Michigan",INDEX('Michigan Curve'!$A$4:$K$256,MATCH('Monthly Table'!$B204,'Michigan Curve'!$A$4:$A$256,0),MATCH("Michigan Saturday Super Peak",'Michigan Curve'!$A$4:$K$4,0))))</f>
        <v>22.4359202957153</v>
      </c>
      <c r="AV204" s="894" t="n">
        <f aca="false">AU204*K204</f>
        <v>28.3898270215036</v>
      </c>
      <c r="AW204" s="893" t="n">
        <f aca="false">IF(Tables!$B$21=15,0,IF(AV204&gt;($CP204+$BF$4),1,0))</f>
        <v>0</v>
      </c>
      <c r="AX204" s="892" t="n">
        <f aca="false">IF(Tables!$E$30="New York",INDEX('NY Curve'!$A$4:$L$256,MATCH('Monthly Table'!$B204,'NY Curve'!$A$4:$A$256,0),MATCH("New York Saturday Shoulder Peak",'NY Curve'!$A$4:$L$4,0)),IF(Tables!$E$30="Michigan",INDEX('Michigan Curve'!$A$4:$K$256,MATCH('Monthly Table'!$B204,'Michigan Curve'!$A$4:$A$256,0),MATCH("Michigan Saturday Shoulder Peak",'Michigan Curve'!$A$4:$K$4,0))))</f>
        <v>21.5560802841187</v>
      </c>
      <c r="AY204" s="895" t="n">
        <f aca="false">AX204*K204</f>
        <v>27.2765004716407</v>
      </c>
      <c r="AZ204" s="893" t="n">
        <f aca="false">IF(Tables!$B$21=15,0,IF(AY204&gt;($CP204+$BF$4),1,0))</f>
        <v>0</v>
      </c>
      <c r="BB204" s="892" t="n">
        <f aca="false">IF(Tables!$E$30="New York",INDEX('NY Curve'!$A$4:$M$256,MATCH('Monthly Table'!$B204,'NY Curve'!$A$4:$A$256,0),MATCH("NY Sunday Super Peak",'NY Curve'!$A$4:$M$4,0)),IF(Tables!$E$30="Michigan",INDEX('Michigan Curve'!$A$4:$L$256,MATCH('Monthly Table'!$B204,'Michigan Curve'!$A$4:$A$256,0),MATCH("Michigan Sunday Super Peak",'Michigan Curve'!$A$4:$L$4,0))))</f>
        <v>21.4164319610596</v>
      </c>
      <c r="BC204" s="894" t="n">
        <f aca="false">BB204*K204</f>
        <v>27.0997931343336</v>
      </c>
      <c r="BD204" s="893" t="n">
        <f aca="false">IF(BC204&gt;($CP204+$BF$4),1,0)</f>
        <v>1</v>
      </c>
      <c r="BF204" s="896" t="n">
        <f aca="false">B204</f>
        <v>42767</v>
      </c>
      <c r="BG204" s="897" t="n">
        <f aca="false">IF($AN204=1,$E204*$BF$5,0)</f>
        <v>0</v>
      </c>
      <c r="BH204" s="976" t="n">
        <f aca="false">IF(Tables!$B$36="Combined Cycle",(BF204-BF203)*24*Assumptions!$B$21,0)</f>
        <v>0</v>
      </c>
      <c r="BI204" s="714" t="n">
        <f aca="false">IF($AN204=1,$E204*$BF$5,0)</f>
        <v>0</v>
      </c>
      <c r="BJ204" s="898" t="n">
        <f aca="false">IF('Monthly Table'!D204&lt;=Tables!$B$21,IF($BJ$10=$BG$10,BG204,IF($BJ$10=$BH$10,BH204,IF($BJ$10=$BI$10,BI204,0))),0)</f>
        <v>0</v>
      </c>
      <c r="BK204" s="288"/>
      <c r="BL204" s="898" t="n">
        <f aca="false">IF($AW204=1,$F204*$BF$5,0)</f>
        <v>0</v>
      </c>
      <c r="BM204" s="898" t="n">
        <f aca="false">IF($BD204=1,($G204+H204)*$BF$5,0)</f>
        <v>32</v>
      </c>
      <c r="BO204" s="898" t="n">
        <f aca="false">IF(AS204=1,BJ204,0)</f>
        <v>0</v>
      </c>
      <c r="BP204" s="898" t="n">
        <f aca="false">IF(AZ204=1,F204*$BF$5,0)</f>
        <v>0</v>
      </c>
      <c r="BR204" s="899" t="n">
        <f aca="false">IF(BJ204&gt;0,INDEX(OperationalDetail,MATCH("Capacity Degradation",ODColumn,0),MATCH('Monthly Table'!C204,ODRow,0)),0)</f>
        <v>0</v>
      </c>
      <c r="BS204" s="900" t="n">
        <f aca="false">BJ204*(1-BR204)*Tables!$C$36</f>
        <v>0</v>
      </c>
      <c r="BT204" s="883" t="n">
        <f aca="false">BS204*AL204/1000</f>
        <v>0</v>
      </c>
      <c r="BU204" s="883" t="n">
        <f aca="false">BT204*K204</f>
        <v>0</v>
      </c>
      <c r="BV204" s="188"/>
      <c r="BW204" s="901" t="n">
        <f aca="false">$BO204*(1-$BR204)*Tables!$C$36</f>
        <v>0</v>
      </c>
      <c r="BX204" s="902" t="n">
        <f aca="false">(BW204*AQ204)/1000</f>
        <v>0</v>
      </c>
      <c r="BY204" s="883" t="n">
        <f aca="false">BX204*K204</f>
        <v>0</v>
      </c>
      <c r="BZ204" s="188"/>
      <c r="CA204" s="901" t="n">
        <f aca="false">$BL204*(1-$BR204)*Tables!$C$36</f>
        <v>0</v>
      </c>
      <c r="CB204" s="902" t="n">
        <f aca="false">(CA204*AU204)/1000</f>
        <v>0</v>
      </c>
      <c r="CC204" s="883" t="n">
        <f aca="false">CB204*K204</f>
        <v>0</v>
      </c>
      <c r="CD204" s="901" t="n">
        <f aca="false">$BP204*(1-$BR204)*Tables!$C$36</f>
        <v>0</v>
      </c>
      <c r="CE204" s="902" t="n">
        <f aca="false">(CD204*AX204)/1000</f>
        <v>0</v>
      </c>
      <c r="CF204" s="883" t="n">
        <f aca="false">CE204*K204</f>
        <v>0</v>
      </c>
      <c r="CH204" s="901" t="n">
        <f aca="false">$BM204*(1-$BR204)*Tables!$C$36</f>
        <v>10368</v>
      </c>
      <c r="CI204" s="902" t="n">
        <f aca="false">(CH204*BB204)/1000</f>
        <v>222.045566572266</v>
      </c>
      <c r="CJ204" s="883" t="n">
        <f aca="false">CI204*K204</f>
        <v>280.97065521677</v>
      </c>
      <c r="CK204" s="292"/>
      <c r="CL204" s="292" t="n">
        <f aca="false">C204-1</f>
        <v>2016</v>
      </c>
      <c r="CM204" s="903" t="n">
        <f aca="false">INDEX(OperationalDetail,MATCH("Degraded Heat Rate",ODColumn,0),MATCH('Monthly Table'!CL204,ODRow,0))/1000</f>
        <v>11.96</v>
      </c>
      <c r="CN204" s="904" t="n">
        <f aca="false">S204*CM204</f>
        <v>6.44429029197441</v>
      </c>
      <c r="CO204" s="905" t="n">
        <f aca="false">IF(A204="January",(CO203*(1+Assumptions!$E$32)),CO203)</f>
        <v>9.24656971485096</v>
      </c>
      <c r="CP204" s="906" t="n">
        <f aca="false">CN204+CO204</f>
        <v>15.6908600068254</v>
      </c>
      <c r="CQ204" s="292"/>
      <c r="CR204" s="856" t="str">
        <f aca="false">IF(BJ204=0,"",C204)</f>
        <v/>
      </c>
      <c r="CS204" s="856" t="str">
        <f aca="false">IF(BO204=0,"",$C204)</f>
        <v/>
      </c>
      <c r="CT204" s="856" t="str">
        <f aca="false">IF(BL204=0,"",$C204)</f>
        <v/>
      </c>
      <c r="CU204" s="856" t="str">
        <f aca="false">IF(BP204=0,"",$C204)</f>
        <v/>
      </c>
      <c r="CV204" s="856" t="n">
        <f aca="false">IF(BD204=0,"",$C204)</f>
        <v>2017</v>
      </c>
      <c r="CW204" s="907" t="n">
        <f aca="false">YEAR(BF204)</f>
        <v>2017</v>
      </c>
      <c r="CX204" s="908" t="n">
        <f aca="false">INDEX('NY Curve'!$A$4:$G$256,MATCH('Monthly Table'!B204,'NY Curve'!$A$4:$A$256,0),MATCH("New York 5 X 16",'NY Curve'!$A$4:$G$4,0))</f>
        <v>34.55</v>
      </c>
      <c r="CY204" s="909" t="n">
        <f aca="false">K204</f>
        <v>1.26537385796139</v>
      </c>
      <c r="CZ204" s="910" t="n">
        <f aca="false">CX204*CY204</f>
        <v>43.718666792566</v>
      </c>
      <c r="DB204" s="911"/>
      <c r="DC204" s="911"/>
    </row>
    <row r="205" customFormat="false" ht="18.75" hidden="false" customHeight="true" outlineLevel="0" collapsed="false">
      <c r="A205" s="49" t="s">
        <v>812</v>
      </c>
      <c r="B205" s="863" t="n">
        <v>42795</v>
      </c>
      <c r="C205" s="288" t="n">
        <f aca="false">YEAR(B205)</f>
        <v>2017</v>
      </c>
      <c r="D205" s="864" t="n">
        <f aca="false">IF(A205="January",D204+1,D204)</f>
        <v>17</v>
      </c>
      <c r="E205" s="865" t="n">
        <v>23</v>
      </c>
      <c r="F205" s="866" t="n">
        <v>4</v>
      </c>
      <c r="G205" s="866" t="n">
        <v>4</v>
      </c>
      <c r="H205" s="866" t="n">
        <v>0</v>
      </c>
      <c r="I205" s="867" t="n">
        <f aca="false">SUM(E205:H205)</f>
        <v>31</v>
      </c>
      <c r="J205" s="868"/>
      <c r="K205" s="869" t="n">
        <f aca="false">INDEX(FX!$A$3:$C$362,MATCH(B205,FX!$A$3:$A$362,0),MATCH("Monthly Curve",FX!$A$2:$C$2,0))</f>
        <v>1.26483567044846</v>
      </c>
      <c r="L205" s="869"/>
      <c r="M205" s="993"/>
      <c r="N205" s="994"/>
      <c r="O205" s="986" t="n">
        <v>0.1</v>
      </c>
      <c r="P205" s="872" t="n">
        <f aca="false">N205+O205</f>
        <v>0.1</v>
      </c>
      <c r="Q205" s="873" t="n">
        <f aca="false">SUM(M205:O205)</f>
        <v>0.1</v>
      </c>
      <c r="R205" s="974" t="n">
        <f aca="false">IF(A205="January",(R204+R204*Assumptions!$E$32),R204)</f>
        <v>0.412282872730149</v>
      </c>
      <c r="S205" s="875" t="n">
        <f aca="false">(Q205*K205)+R205</f>
        <v>0.538766439774995</v>
      </c>
      <c r="T205" s="869"/>
      <c r="U205" s="187"/>
      <c r="V205" s="897"/>
      <c r="W205" s="897"/>
      <c r="X205" s="31"/>
      <c r="Y205" s="975" t="n">
        <f aca="false">Tables!$D$36</f>
        <v>312</v>
      </c>
      <c r="Z205" s="879" t="n">
        <f aca="false">IF($Z$10=$V$10,V205,IF($Z$10=$W$10,W205,IF($Z$10=$X$10,X205,0)))</f>
        <v>0</v>
      </c>
      <c r="AA205" s="880" t="n">
        <f aca="false">Y205*Z205</f>
        <v>0</v>
      </c>
      <c r="AB205" s="881" t="n">
        <f aca="false">AA205*K205</f>
        <v>0</v>
      </c>
      <c r="AC205" s="188"/>
      <c r="AD205" s="882" t="n">
        <f aca="false">IF(Tables!$E$30="Michigan",INDEX('Michigan Curve'!$A$4:$S$256,MATCH('Monthly Table'!B205,'Michigan Curve'!$A$4:$A$256,0),MATCH("Michigan Selected Option Value US$/month",'Michigan Curve'!$A$4:$S$4,0)),INDEX('NY Curve'!$A$4:$T$256,MATCH('Monthly Table'!B205,'NY Curve'!$A$4:$A$256,0),MATCH("New York Selected Option Value US$/month",'NY Curve'!$A$4:$T$4,0)))</f>
        <v>0</v>
      </c>
      <c r="AE205" s="883" t="n">
        <f aca="false">AD205*K205</f>
        <v>0</v>
      </c>
      <c r="AF205" s="188"/>
      <c r="AG205" s="884"/>
      <c r="AH205" s="49"/>
      <c r="AI205" s="885" t="n">
        <f aca="false">Assumptions!$B$50</f>
        <v>65</v>
      </c>
      <c r="AJ205" s="916"/>
      <c r="AK205" s="887" t="n">
        <f aca="false">IF(Tables!$E$30="Custom",'Monthly Table'!AI205,IF(Tables!$E$30="New York",INDEX('NY Curve'!$A$4:$G$256,MATCH('Monthly Table'!B205,'NY Curve'!$A$4:$A$256,0),MATCH("Super Peak Curve",'NY Curve'!$A$4:$G$4,0)),IF(Tables!$E$30="New York Flat",INDEX('NY Curve'!$A$4:$G$256,MATCH('Monthly Table'!B205,'NY Curve'!$A$4:$A$256,0),MATCH("Flat NY West",'NY Curve'!$A$4:$G$4,0)),INDEX('Michigan Curve'!$A$4:$F$256,MATCH('Monthly Table'!B205,'Michigan Curve'!$A$4:$A$256,0),MATCH("Michigan Super Peak Curve US$/MWhr",'Michigan Curve'!$A$4:$F$4,0)))))</f>
        <v>32.13</v>
      </c>
      <c r="AL205" s="888" t="n">
        <f aca="false">IF(D205&lt;=Tables!$B$21,IF($AL$10=$AI$10,AI205,IF($AL$10=$AJ$10,AJ205,IF($AL$10=$AK$10,AK205,0))),0)</f>
        <v>0</v>
      </c>
      <c r="AM205" s="889" t="n">
        <f aca="false">+AL205*K205</f>
        <v>0</v>
      </c>
      <c r="AN205" s="890" t="n">
        <f aca="false">IF((AL205*K205)&gt;(CP205+$BF$4),1,0)</f>
        <v>0</v>
      </c>
      <c r="AO205" s="891"/>
      <c r="AP205" s="894"/>
      <c r="AQ205" s="892" t="n">
        <f aca="false">IF(Tables!$E$30="New York",INDEX('NY Curve'!$A$4:$L$256,MATCH('Monthly Table'!B205,'NY Curve'!$A$4:$A$256,0),MATCH("New York Shoulder Hour Curve Mon-Fri",'NY Curve'!$A$4:$L$4,0)),IF(Tables!$E$30="Michigan",INDEX('Michigan Curve'!$A$4:$K$256,MATCH('Monthly Table'!B205,'Michigan Curve'!$A$4:$A$256,0),MATCH("Michigan Shoulder Hour Curve Mon-Fri",'Michigan Curve'!$A$4:$K$4,0))))</f>
        <v>30.87</v>
      </c>
      <c r="AR205" s="889" t="n">
        <f aca="false">AQ205*K205</f>
        <v>39.045477146744</v>
      </c>
      <c r="AS205" s="893" t="n">
        <f aca="false">IF(AR205&gt;($CP205+$BF$4),1,0)</f>
        <v>1</v>
      </c>
      <c r="AU205" s="892" t="n">
        <f aca="false">IF(Tables!$E$30="New York",INDEX('NY Curve'!$A$4:$L$256,MATCH('Monthly Table'!$B205,'NY Curve'!$A$4:$A$256,0),MATCH("New York Saturday Super Peak",'NY Curve'!$A$4:$L$4,0)),IF(Tables!$E$30="Michigan",INDEX('Michigan Curve'!$A$4:$K$256,MATCH('Monthly Table'!$B205,'Michigan Curve'!$A$4:$A$256,0),MATCH("Michigan Saturday Super Peak",'Michigan Curve'!$A$4:$K$4,0))))</f>
        <v>20.4</v>
      </c>
      <c r="AV205" s="894" t="n">
        <f aca="false">AU205*K205</f>
        <v>25.8026476771486</v>
      </c>
      <c r="AW205" s="893" t="n">
        <f aca="false">IF(Tables!$B$21=15,0,IF(AV205&gt;($CP205+$BF$4),1,0))</f>
        <v>0</v>
      </c>
      <c r="AX205" s="892" t="n">
        <f aca="false">IF(Tables!$E$30="New York",INDEX('NY Curve'!$A$4:$L$256,MATCH('Monthly Table'!$B205,'NY Curve'!$A$4:$A$256,0),MATCH("New York Saturday Shoulder Peak",'NY Curve'!$A$4:$L$4,0)),IF(Tables!$E$30="Michigan",INDEX('Michigan Curve'!$A$4:$K$256,MATCH('Monthly Table'!$B205,'Michigan Curve'!$A$4:$A$256,0),MATCH("Michigan Saturday Shoulder Peak",'Michigan Curve'!$A$4:$K$4,0))))</f>
        <v>19.6</v>
      </c>
      <c r="AY205" s="895" t="n">
        <f aca="false">AX205*K205</f>
        <v>24.7907791407898</v>
      </c>
      <c r="AZ205" s="893" t="n">
        <f aca="false">IF(Tables!$B$21=15,0,IF(AY205&gt;($CP205+$BF$4),1,0))</f>
        <v>0</v>
      </c>
      <c r="BB205" s="892" t="n">
        <f aca="false">IF(Tables!$E$30="New York",INDEX('NY Curve'!$A$4:$M$256,MATCH('Monthly Table'!$B205,'NY Curve'!$A$4:$A$256,0),MATCH("NY Sunday Super Peak",'NY Curve'!$A$4:$M$4,0)),IF(Tables!$E$30="Michigan",INDEX('Michigan Curve'!$A$4:$L$256,MATCH('Monthly Table'!$B205,'Michigan Curve'!$A$4:$A$256,0),MATCH("Michigan Sunday Super Peak",'Michigan Curve'!$A$4:$L$4,0))))</f>
        <v>19.38</v>
      </c>
      <c r="BC205" s="894" t="n">
        <f aca="false">BB205*K205</f>
        <v>24.5125152932912</v>
      </c>
      <c r="BD205" s="893" t="n">
        <f aca="false">IF(BC205&gt;($CP205+$BF$4),1,0)</f>
        <v>1</v>
      </c>
      <c r="BF205" s="896" t="n">
        <f aca="false">B205</f>
        <v>42795</v>
      </c>
      <c r="BG205" s="897" t="n">
        <f aca="false">IF($AN205=1,$E205*$BF$5,0)</f>
        <v>0</v>
      </c>
      <c r="BH205" s="976" t="n">
        <f aca="false">IF(Tables!$B$36="Combined Cycle",(BF205-BF204)*24*Assumptions!$B$21,0)</f>
        <v>0</v>
      </c>
      <c r="BI205" s="714" t="n">
        <f aca="false">IF($AN205=1,$E205*$BF$5,0)</f>
        <v>0</v>
      </c>
      <c r="BJ205" s="898" t="n">
        <f aca="false">IF('Monthly Table'!D205&lt;=Tables!$B$21,IF($BJ$10=$BG$10,BG205,IF($BJ$10=$BH$10,BH205,IF($BJ$10=$BI$10,BI205,0))),0)</f>
        <v>0</v>
      </c>
      <c r="BK205" s="288"/>
      <c r="BL205" s="898" t="n">
        <f aca="false">IF($AW205=1,$F205*$BF$5,0)</f>
        <v>0</v>
      </c>
      <c r="BM205" s="898" t="n">
        <f aca="false">IF($BD205=1,($G205+H205)*$BF$5,0)</f>
        <v>32</v>
      </c>
      <c r="BO205" s="898" t="n">
        <f aca="false">IF(AS205=1,BJ205,0)</f>
        <v>0</v>
      </c>
      <c r="BP205" s="898" t="n">
        <f aca="false">IF(AZ205=1,F205*$BF$5,0)</f>
        <v>0</v>
      </c>
      <c r="BR205" s="899" t="n">
        <f aca="false">IF(BJ205&gt;0,INDEX(OperationalDetail,MATCH("Capacity Degradation",ODColumn,0),MATCH('Monthly Table'!C205,ODRow,0)),0)</f>
        <v>0</v>
      </c>
      <c r="BS205" s="900" t="n">
        <f aca="false">BJ205*(1-BR205)*Tables!$C$36</f>
        <v>0</v>
      </c>
      <c r="BT205" s="883" t="n">
        <f aca="false">BS205*AL205/1000</f>
        <v>0</v>
      </c>
      <c r="BU205" s="883" t="n">
        <f aca="false">BT205*K205</f>
        <v>0</v>
      </c>
      <c r="BV205" s="188"/>
      <c r="BW205" s="901" t="n">
        <f aca="false">$BO205*(1-$BR205)*Tables!$C$36</f>
        <v>0</v>
      </c>
      <c r="BX205" s="902" t="n">
        <f aca="false">(BW205*AQ205)/1000</f>
        <v>0</v>
      </c>
      <c r="BY205" s="883" t="n">
        <f aca="false">BX205*K205</f>
        <v>0</v>
      </c>
      <c r="BZ205" s="188"/>
      <c r="CA205" s="901" t="n">
        <f aca="false">$BL205*(1-$BR205)*Tables!$C$36</f>
        <v>0</v>
      </c>
      <c r="CB205" s="902" t="n">
        <f aca="false">(CA205*AU205)/1000</f>
        <v>0</v>
      </c>
      <c r="CC205" s="883" t="n">
        <f aca="false">CB205*K205</f>
        <v>0</v>
      </c>
      <c r="CD205" s="901" t="n">
        <f aca="false">$BP205*(1-$BR205)*Tables!$C$36</f>
        <v>0</v>
      </c>
      <c r="CE205" s="902" t="n">
        <f aca="false">(CD205*AX205)/1000</f>
        <v>0</v>
      </c>
      <c r="CF205" s="883" t="n">
        <f aca="false">CE205*K205</f>
        <v>0</v>
      </c>
      <c r="CH205" s="901" t="n">
        <f aca="false">$BM205*(1-$BR205)*Tables!$C$36</f>
        <v>10368</v>
      </c>
      <c r="CI205" s="902" t="n">
        <f aca="false">(CH205*BB205)/1000</f>
        <v>200.93184</v>
      </c>
      <c r="CJ205" s="883" t="n">
        <f aca="false">CI205*K205</f>
        <v>254.145758560843</v>
      </c>
      <c r="CK205" s="292"/>
      <c r="CL205" s="292" t="n">
        <f aca="false">C205-1</f>
        <v>2016</v>
      </c>
      <c r="CM205" s="903" t="n">
        <f aca="false">INDEX(OperationalDetail,MATCH("Degraded Heat Rate",ODColumn,0),MATCH('Monthly Table'!CL205,ODRow,0))/1000</f>
        <v>11.96</v>
      </c>
      <c r="CN205" s="904" t="n">
        <f aca="false">S205*CM205</f>
        <v>6.44364661970894</v>
      </c>
      <c r="CO205" s="905" t="n">
        <f aca="false">IF(A205="January",(CO204*(1+Assumptions!$E$32)),CO204)</f>
        <v>9.24656971485096</v>
      </c>
      <c r="CP205" s="906" t="n">
        <f aca="false">CN205+CO205</f>
        <v>15.6902163345599</v>
      </c>
      <c r="CQ205" s="292"/>
      <c r="CR205" s="856" t="str">
        <f aca="false">IF(BJ205=0,"",C205)</f>
        <v/>
      </c>
      <c r="CS205" s="856" t="str">
        <f aca="false">IF(BO205=0,"",$C205)</f>
        <v/>
      </c>
      <c r="CT205" s="856" t="str">
        <f aca="false">IF(BL205=0,"",$C205)</f>
        <v/>
      </c>
      <c r="CU205" s="856" t="str">
        <f aca="false">IF(BP205=0,"",$C205)</f>
        <v/>
      </c>
      <c r="CV205" s="856" t="n">
        <f aca="false">IF(BD205=0,"",$C205)</f>
        <v>2017</v>
      </c>
      <c r="CW205" s="907" t="n">
        <f aca="false">YEAR(BF205)</f>
        <v>2017</v>
      </c>
      <c r="CX205" s="908" t="n">
        <f aca="false">INDEX('NY Curve'!$A$4:$G$256,MATCH('Monthly Table'!B205,'NY Curve'!$A$4:$A$256,0),MATCH("New York 5 X 16",'NY Curve'!$A$4:$G$4,0))</f>
        <v>29.55</v>
      </c>
      <c r="CY205" s="909" t="n">
        <f aca="false">K205</f>
        <v>1.26483567044846</v>
      </c>
      <c r="CZ205" s="910" t="n">
        <f aca="false">CX205*CY205</f>
        <v>37.375894061752</v>
      </c>
      <c r="DB205" s="911"/>
      <c r="DC205" s="911"/>
    </row>
    <row r="206" customFormat="false" ht="18.75" hidden="false" customHeight="true" outlineLevel="0" collapsed="false">
      <c r="A206" s="49" t="s">
        <v>813</v>
      </c>
      <c r="B206" s="863" t="n">
        <v>42826</v>
      </c>
      <c r="C206" s="288" t="n">
        <f aca="false">YEAR(B206)</f>
        <v>2017</v>
      </c>
      <c r="D206" s="864" t="n">
        <f aca="false">IF(A206="January",D205+1,D205)</f>
        <v>17</v>
      </c>
      <c r="E206" s="865" t="n">
        <v>20</v>
      </c>
      <c r="F206" s="866" t="n">
        <v>5</v>
      </c>
      <c r="G206" s="866" t="n">
        <v>5</v>
      </c>
      <c r="H206" s="866" t="n">
        <v>0</v>
      </c>
      <c r="I206" s="867" t="n">
        <f aca="false">SUM(E206:H206)</f>
        <v>30</v>
      </c>
      <c r="J206" s="868"/>
      <c r="K206" s="869" t="n">
        <f aca="false">INDEX(FX!$A$3:$C$362,MATCH(B206,FX!$A$3:$A$362,0),MATCH("Monthly Curve",FX!$A$2:$C$2,0))</f>
        <v>1.26424280192069</v>
      </c>
      <c r="L206" s="869"/>
      <c r="M206" s="993"/>
      <c r="N206" s="994"/>
      <c r="O206" s="986" t="n">
        <v>0.1</v>
      </c>
      <c r="P206" s="872" t="n">
        <f aca="false">N206+O206</f>
        <v>0.1</v>
      </c>
      <c r="Q206" s="873" t="n">
        <f aca="false">SUM(M206:O206)</f>
        <v>0.1</v>
      </c>
      <c r="R206" s="974" t="n">
        <f aca="false">IF(A206="January",(R205+R205*Assumptions!$E$32),R205)</f>
        <v>0.412282872730149</v>
      </c>
      <c r="S206" s="875" t="n">
        <f aca="false">(Q206*K206)+R206</f>
        <v>0.538707152922218</v>
      </c>
      <c r="T206" s="869"/>
      <c r="U206" s="187"/>
      <c r="V206" s="897"/>
      <c r="W206" s="897"/>
      <c r="X206" s="31"/>
      <c r="Y206" s="975" t="n">
        <f aca="false">Tables!$D$36</f>
        <v>312</v>
      </c>
      <c r="Z206" s="879" t="n">
        <f aca="false">IF($Z$10=$V$10,V206,IF($Z$10=$W$10,W206,IF($Z$10=$X$10,X206,0)))</f>
        <v>0</v>
      </c>
      <c r="AA206" s="880" t="n">
        <f aca="false">Y206*Z206</f>
        <v>0</v>
      </c>
      <c r="AB206" s="881" t="n">
        <f aca="false">AA206*K206</f>
        <v>0</v>
      </c>
      <c r="AC206" s="188"/>
      <c r="AD206" s="882" t="n">
        <f aca="false">IF(Tables!$E$30="Michigan",INDEX('Michigan Curve'!$A$4:$S$256,MATCH('Monthly Table'!B206,'Michigan Curve'!$A$4:$A$256,0),MATCH("Michigan Selected Option Value US$/month",'Michigan Curve'!$A$4:$S$4,0)),INDEX('NY Curve'!$A$4:$T$256,MATCH('Monthly Table'!B206,'NY Curve'!$A$4:$A$256,0),MATCH("New York Selected Option Value US$/month",'NY Curve'!$A$4:$T$4,0)))</f>
        <v>0</v>
      </c>
      <c r="AE206" s="883" t="n">
        <f aca="false">AD206*K206</f>
        <v>0</v>
      </c>
      <c r="AF206" s="188"/>
      <c r="AG206" s="884"/>
      <c r="AH206" s="49"/>
      <c r="AI206" s="885" t="n">
        <f aca="false">Assumptions!$B$50</f>
        <v>65</v>
      </c>
      <c r="AJ206" s="916"/>
      <c r="AK206" s="887" t="n">
        <f aca="false">IF(Tables!$E$30="Custom",'Monthly Table'!AI206,IF(Tables!$E$30="New York",INDEX('NY Curve'!$A$4:$G$256,MATCH('Monthly Table'!B206,'NY Curve'!$A$4:$A$256,0),MATCH("Super Peak Curve",'NY Curve'!$A$4:$G$4,0)),IF(Tables!$E$30="New York Flat",INDEX('NY Curve'!$A$4:$G$256,MATCH('Monthly Table'!B206,'NY Curve'!$A$4:$A$256,0),MATCH("Flat NY West",'NY Curve'!$A$4:$G$4,0)),INDEX('Michigan Curve'!$A$4:$F$256,MATCH('Monthly Table'!B206,'Michigan Curve'!$A$4:$A$256,0),MATCH("Michigan Super Peak Curve US$/MWhr",'Michigan Curve'!$A$4:$F$4,0)))))</f>
        <v>31.75</v>
      </c>
      <c r="AL206" s="888" t="n">
        <f aca="false">IF(D206&lt;=Tables!$B$21,IF($AL$10=$AI$10,AI206,IF($AL$10=$AJ$10,AJ206,IF($AL$10=$AK$10,AK206,0))),0)</f>
        <v>0</v>
      </c>
      <c r="AM206" s="889" t="n">
        <f aca="false">+AL206*K206</f>
        <v>0</v>
      </c>
      <c r="AN206" s="890" t="n">
        <f aca="false">IF((AL206*K206)&gt;(CP206+$BF$4),1,0)</f>
        <v>0</v>
      </c>
      <c r="AO206" s="891"/>
      <c r="AP206" s="894"/>
      <c r="AQ206" s="892" t="n">
        <f aca="false">IF(Tables!$E$30="New York",INDEX('NY Curve'!$A$4:$L$256,MATCH('Monthly Table'!B206,'NY Curve'!$A$4:$A$256,0),MATCH("New York Shoulder Hour Curve Mon-Fri",'NY Curve'!$A$4:$L$4,0)),IF(Tables!$E$30="Michigan",INDEX('Michigan Curve'!$A$4:$K$256,MATCH('Monthly Table'!B206,'Michigan Curve'!$A$4:$A$256,0),MATCH("Michigan Shoulder Hour Curve Mon-Fri",'Michigan Curve'!$A$4:$K$4,0))))</f>
        <v>31.75</v>
      </c>
      <c r="AR206" s="889" t="n">
        <f aca="false">AQ206*K206</f>
        <v>40.1397089609819</v>
      </c>
      <c r="AS206" s="893" t="n">
        <f aca="false">IF(AR206&gt;($CP206+$BF$4),1,0)</f>
        <v>1</v>
      </c>
      <c r="AU206" s="892" t="n">
        <f aca="false">IF(Tables!$E$30="New York",INDEX('NY Curve'!$A$4:$L$256,MATCH('Monthly Table'!$B206,'NY Curve'!$A$4:$A$256,0),MATCH("New York Saturday Super Peak",'NY Curve'!$A$4:$L$4,0)),IF(Tables!$E$30="Michigan",INDEX('Michigan Curve'!$A$4:$K$256,MATCH('Monthly Table'!$B206,'Michigan Curve'!$A$4:$A$256,0),MATCH("Michigan Saturday Super Peak",'Michigan Curve'!$A$4:$K$4,0))))</f>
        <v>20</v>
      </c>
      <c r="AV206" s="894" t="n">
        <f aca="false">AU206*K206</f>
        <v>25.2848560384138</v>
      </c>
      <c r="AW206" s="893" t="n">
        <f aca="false">IF(Tables!$B$21=15,0,IF(AV206&gt;($CP206+$BF$4),1,0))</f>
        <v>0</v>
      </c>
      <c r="AX206" s="892" t="n">
        <f aca="false">IF(Tables!$E$30="New York",INDEX('NY Curve'!$A$4:$L$256,MATCH('Monthly Table'!$B206,'NY Curve'!$A$4:$A$256,0),MATCH("New York Saturday Shoulder Peak",'NY Curve'!$A$4:$L$4,0)),IF(Tables!$E$30="Michigan",INDEX('Michigan Curve'!$A$4:$K$256,MATCH('Monthly Table'!$B206,'Michigan Curve'!$A$4:$A$256,0),MATCH("Michigan Saturday Shoulder Peak",'Michigan Curve'!$A$4:$K$4,0))))</f>
        <v>20</v>
      </c>
      <c r="AY206" s="895" t="n">
        <f aca="false">AX206*K206</f>
        <v>25.2848560384138</v>
      </c>
      <c r="AZ206" s="893" t="n">
        <f aca="false">IF(Tables!$B$21=15,0,IF(AY206&gt;($CP206+$BF$4),1,0))</f>
        <v>0</v>
      </c>
      <c r="BB206" s="892" t="n">
        <f aca="false">IF(Tables!$E$30="New York",INDEX('NY Curve'!$A$4:$M$256,MATCH('Monthly Table'!$B206,'NY Curve'!$A$4:$A$256,0),MATCH("NY Sunday Super Peak",'NY Curve'!$A$4:$M$4,0)),IF(Tables!$E$30="Michigan",INDEX('Michigan Curve'!$A$4:$L$256,MATCH('Monthly Table'!$B206,'Michigan Curve'!$A$4:$A$256,0),MATCH("Michigan Sunday Super Peak",'Michigan Curve'!$A$4:$L$4,0))))</f>
        <v>18.9950008392334</v>
      </c>
      <c r="BC206" s="894" t="n">
        <f aca="false">BB206*K206</f>
        <v>24.0142930834783</v>
      </c>
      <c r="BD206" s="893" t="n">
        <f aca="false">IF(BC206&gt;($CP206+$BF$4),1,0)</f>
        <v>1</v>
      </c>
      <c r="BF206" s="896" t="n">
        <f aca="false">B206</f>
        <v>42826</v>
      </c>
      <c r="BG206" s="897" t="n">
        <f aca="false">IF($AN206=1,$E206*$BF$5,0)</f>
        <v>0</v>
      </c>
      <c r="BH206" s="976" t="n">
        <f aca="false">IF(Tables!$B$36="Combined Cycle",(BF206-BF205)*24*Assumptions!$B$21,0)</f>
        <v>0</v>
      </c>
      <c r="BI206" s="714" t="n">
        <f aca="false">IF($AN206=1,$E206*$BF$5,0)</f>
        <v>0</v>
      </c>
      <c r="BJ206" s="898" t="n">
        <f aca="false">IF('Monthly Table'!D206&lt;=Tables!$B$21,IF($BJ$10=$BG$10,BG206,IF($BJ$10=$BH$10,BH206,IF($BJ$10=$BI$10,BI206,0))),0)</f>
        <v>0</v>
      </c>
      <c r="BK206" s="288"/>
      <c r="BL206" s="898" t="n">
        <f aca="false">IF($AW206=1,$F206*$BF$5,0)</f>
        <v>0</v>
      </c>
      <c r="BM206" s="898" t="n">
        <f aca="false">IF($BD206=1,($G206+H206)*$BF$5,0)</f>
        <v>40</v>
      </c>
      <c r="BO206" s="898" t="n">
        <f aca="false">IF(AS206=1,BJ206,0)</f>
        <v>0</v>
      </c>
      <c r="BP206" s="898" t="n">
        <f aca="false">IF(AZ206=1,F206*$BF$5,0)</f>
        <v>0</v>
      </c>
      <c r="BR206" s="899" t="n">
        <f aca="false">IF(BJ206&gt;0,INDEX(OperationalDetail,MATCH("Capacity Degradation",ODColumn,0),MATCH('Monthly Table'!C206,ODRow,0)),0)</f>
        <v>0</v>
      </c>
      <c r="BS206" s="900" t="n">
        <f aca="false">BJ206*(1-BR206)*Tables!$C$36</f>
        <v>0</v>
      </c>
      <c r="BT206" s="883" t="n">
        <f aca="false">BS206*AL206/1000</f>
        <v>0</v>
      </c>
      <c r="BU206" s="883" t="n">
        <f aca="false">BT206*K206</f>
        <v>0</v>
      </c>
      <c r="BV206" s="188"/>
      <c r="BW206" s="901" t="n">
        <f aca="false">$BO206*(1-$BR206)*Tables!$C$36</f>
        <v>0</v>
      </c>
      <c r="BX206" s="902" t="n">
        <f aca="false">(BW206*AQ206)/1000</f>
        <v>0</v>
      </c>
      <c r="BY206" s="883" t="n">
        <f aca="false">BX206*K206</f>
        <v>0</v>
      </c>
      <c r="BZ206" s="188"/>
      <c r="CA206" s="901" t="n">
        <f aca="false">$BL206*(1-$BR206)*Tables!$C$36</f>
        <v>0</v>
      </c>
      <c r="CB206" s="902" t="n">
        <f aca="false">(CA206*AU206)/1000</f>
        <v>0</v>
      </c>
      <c r="CC206" s="883" t="n">
        <f aca="false">CB206*K206</f>
        <v>0</v>
      </c>
      <c r="CD206" s="901" t="n">
        <f aca="false">$BP206*(1-$BR206)*Tables!$C$36</f>
        <v>0</v>
      </c>
      <c r="CE206" s="902" t="n">
        <f aca="false">(CD206*AX206)/1000</f>
        <v>0</v>
      </c>
      <c r="CF206" s="883" t="n">
        <f aca="false">CE206*K206</f>
        <v>0</v>
      </c>
      <c r="CH206" s="901" t="n">
        <f aca="false">$BM206*(1-$BR206)*Tables!$C$36</f>
        <v>12960</v>
      </c>
      <c r="CI206" s="902" t="n">
        <f aca="false">(CH206*BB206)/1000</f>
        <v>246.175210876465</v>
      </c>
      <c r="CJ206" s="883" t="n">
        <f aca="false">CI206*K206</f>
        <v>311.225238361879</v>
      </c>
      <c r="CK206" s="292"/>
      <c r="CL206" s="292" t="n">
        <f aca="false">C206-1</f>
        <v>2016</v>
      </c>
      <c r="CM206" s="903" t="n">
        <f aca="false">INDEX(OperationalDetail,MATCH("Degraded Heat Rate",ODColumn,0),MATCH('Monthly Table'!CL206,ODRow,0))/1000</f>
        <v>11.96</v>
      </c>
      <c r="CN206" s="904" t="n">
        <f aca="false">S206*CM206</f>
        <v>6.44293754894973</v>
      </c>
      <c r="CO206" s="905" t="n">
        <f aca="false">IF(A206="January",(CO205*(1+Assumptions!$E$32)),CO205)</f>
        <v>9.24656971485096</v>
      </c>
      <c r="CP206" s="906" t="n">
        <f aca="false">CN206+CO206</f>
        <v>15.6895072638007</v>
      </c>
      <c r="CQ206" s="292"/>
      <c r="CR206" s="856" t="str">
        <f aca="false">IF(BJ206=0,"",C206)</f>
        <v/>
      </c>
      <c r="CS206" s="856" t="str">
        <f aca="false">IF(BO206=0,"",$C206)</f>
        <v/>
      </c>
      <c r="CT206" s="856" t="str">
        <f aca="false">IF(BL206=0,"",$C206)</f>
        <v/>
      </c>
      <c r="CU206" s="856" t="str">
        <f aca="false">IF(BP206=0,"",$C206)</f>
        <v/>
      </c>
      <c r="CV206" s="856" t="n">
        <f aca="false">IF(BD206=0,"",$C206)</f>
        <v>2017</v>
      </c>
      <c r="CW206" s="907" t="n">
        <f aca="false">YEAR(BF206)</f>
        <v>2017</v>
      </c>
      <c r="CX206" s="908" t="n">
        <f aca="false">INDEX('NY Curve'!$A$4:$G$256,MATCH('Monthly Table'!B206,'NY Curve'!$A$4:$A$256,0),MATCH("New York 5 X 16",'NY Curve'!$A$4:$G$4,0))</f>
        <v>28.3</v>
      </c>
      <c r="CY206" s="909" t="n">
        <f aca="false">K206</f>
        <v>1.26424280192069</v>
      </c>
      <c r="CZ206" s="910" t="n">
        <f aca="false">CX206*CY206</f>
        <v>35.7780712943555</v>
      </c>
      <c r="DB206" s="911"/>
      <c r="DC206" s="911"/>
    </row>
    <row r="207" customFormat="false" ht="18.75" hidden="false" customHeight="true" outlineLevel="0" collapsed="false">
      <c r="A207" s="49" t="s">
        <v>814</v>
      </c>
      <c r="B207" s="863" t="n">
        <v>42856</v>
      </c>
      <c r="C207" s="288" t="n">
        <f aca="false">YEAR(B207)</f>
        <v>2017</v>
      </c>
      <c r="D207" s="864" t="n">
        <f aca="false">IF(A207="January",D206+1,D206)</f>
        <v>17</v>
      </c>
      <c r="E207" s="865" t="n">
        <v>22</v>
      </c>
      <c r="F207" s="866" t="n">
        <v>4</v>
      </c>
      <c r="G207" s="866" t="n">
        <v>4</v>
      </c>
      <c r="H207" s="866" t="n">
        <v>1</v>
      </c>
      <c r="I207" s="867" t="n">
        <f aca="false">SUM(E207:H207)</f>
        <v>31</v>
      </c>
      <c r="J207" s="868"/>
      <c r="K207" s="869" t="n">
        <f aca="false">INDEX(FX!$A$3:$C$362,MATCH(B207,FX!$A$3:$A$362,0),MATCH("Monthly Curve",FX!$A$2:$C$2,0))</f>
        <v>1.26367203794771</v>
      </c>
      <c r="L207" s="869"/>
      <c r="M207" s="993"/>
      <c r="N207" s="994"/>
      <c r="O207" s="986" t="n">
        <v>0.1</v>
      </c>
      <c r="P207" s="872" t="n">
        <f aca="false">N207+O207</f>
        <v>0.1</v>
      </c>
      <c r="Q207" s="873" t="n">
        <f aca="false">SUM(M207:O207)</f>
        <v>0.1</v>
      </c>
      <c r="R207" s="974" t="n">
        <f aca="false">IF(A207="January",(R206+R206*Assumptions!$E$32),R206)</f>
        <v>0.412282872730149</v>
      </c>
      <c r="S207" s="875" t="n">
        <f aca="false">(Q207*K207)+R207</f>
        <v>0.53865007652492</v>
      </c>
      <c r="T207" s="869"/>
      <c r="U207" s="187"/>
      <c r="V207" s="897"/>
      <c r="W207" s="897"/>
      <c r="X207" s="31"/>
      <c r="Y207" s="975" t="n">
        <f aca="false">Tables!$D$36</f>
        <v>312</v>
      </c>
      <c r="Z207" s="879" t="n">
        <f aca="false">IF($Z$10=$V$10,V207,IF($Z$10=$W$10,W207,IF($Z$10=$X$10,X207,0)))</f>
        <v>0</v>
      </c>
      <c r="AA207" s="880" t="n">
        <f aca="false">Y207*Z207</f>
        <v>0</v>
      </c>
      <c r="AB207" s="881" t="n">
        <f aca="false">AA207*K207</f>
        <v>0</v>
      </c>
      <c r="AC207" s="188"/>
      <c r="AD207" s="882" t="n">
        <f aca="false">IF(Tables!$E$30="Michigan",INDEX('Michigan Curve'!$A$4:$S$256,MATCH('Monthly Table'!B207,'Michigan Curve'!$A$4:$A$256,0),MATCH("Michigan Selected Option Value US$/month",'Michigan Curve'!$A$4:$S$4,0)),INDEX('NY Curve'!$A$4:$T$256,MATCH('Monthly Table'!B207,'NY Curve'!$A$4:$A$256,0),MATCH("New York Selected Option Value US$/month",'NY Curve'!$A$4:$T$4,0)))</f>
        <v>0</v>
      </c>
      <c r="AE207" s="883" t="n">
        <f aca="false">AD207*K207</f>
        <v>0</v>
      </c>
      <c r="AF207" s="188"/>
      <c r="AG207" s="884"/>
      <c r="AH207" s="49"/>
      <c r="AI207" s="885" t="n">
        <f aca="false">Assumptions!$B$50</f>
        <v>65</v>
      </c>
      <c r="AJ207" s="916"/>
      <c r="AK207" s="887" t="n">
        <f aca="false">IF(Tables!$E$30="Custom",'Monthly Table'!AI207,IF(Tables!$E$30="New York",INDEX('NY Curve'!$A$4:$G$256,MATCH('Monthly Table'!B207,'NY Curve'!$A$4:$A$256,0),MATCH("Super Peak Curve",'NY Curve'!$A$4:$G$4,0)),IF(Tables!$E$30="New York Flat",INDEX('NY Curve'!$A$4:$G$256,MATCH('Monthly Table'!B207,'NY Curve'!$A$4:$A$256,0),MATCH("Flat NY West",'NY Curve'!$A$4:$G$4,0)),INDEX('Michigan Curve'!$A$4:$F$256,MATCH('Monthly Table'!B207,'Michigan Curve'!$A$4:$A$256,0),MATCH("Michigan Super Peak Curve US$/MWhr",'Michigan Curve'!$A$4:$F$4,0)))))</f>
        <v>38.206875063479</v>
      </c>
      <c r="AL207" s="888" t="n">
        <f aca="false">IF(D207&lt;=Tables!$B$21,IF($AL$10=$AI$10,AI207,IF($AL$10=$AJ$10,AJ207,IF($AL$10=$AK$10,AK207,0))),0)</f>
        <v>0</v>
      </c>
      <c r="AM207" s="889" t="n">
        <f aca="false">+AL207*K207</f>
        <v>0</v>
      </c>
      <c r="AN207" s="890" t="n">
        <f aca="false">IF((AL207*K207)&gt;(CP207+$BF$4),1,0)</f>
        <v>0</v>
      </c>
      <c r="AO207" s="891"/>
      <c r="AP207" s="894"/>
      <c r="AQ207" s="892" t="n">
        <f aca="false">IF(Tables!$E$30="New York",INDEX('NY Curve'!$A$4:$L$256,MATCH('Monthly Table'!B207,'NY Curve'!$A$4:$A$256,0),MATCH("New York Shoulder Hour Curve Mon-Fri",'NY Curve'!$A$4:$L$4,0)),IF(Tables!$E$30="Michigan",INDEX('Michigan Curve'!$A$4:$K$256,MATCH('Monthly Table'!B207,'Michigan Curve'!$A$4:$A$256,0),MATCH("Michigan Shoulder Hour Curve Mon-Fri",'Michigan Curve'!$A$4:$K$4,0))))</f>
        <v>32.7931249365211</v>
      </c>
      <c r="AR207" s="889" t="n">
        <f aca="false">AQ207*K207</f>
        <v>41.4397550192074</v>
      </c>
      <c r="AS207" s="893" t="n">
        <f aca="false">IF(AR207&gt;($CP207+$BF$4),1,0)</f>
        <v>1</v>
      </c>
      <c r="AU207" s="892" t="n">
        <f aca="false">IF(Tables!$E$30="New York",INDEX('NY Curve'!$A$4:$L$256,MATCH('Monthly Table'!$B207,'NY Curve'!$A$4:$A$256,0),MATCH("New York Saturday Super Peak",'NY Curve'!$A$4:$L$4,0)),IF(Tables!$E$30="Michigan",INDEX('Michigan Curve'!$A$4:$K$256,MATCH('Monthly Table'!$B207,'Michigan Curve'!$A$4:$A$256,0),MATCH("Michigan Saturday Super Peak",'Michigan Curve'!$A$4:$K$4,0))))</f>
        <v>22.6012500375509</v>
      </c>
      <c r="AV207" s="894" t="n">
        <f aca="false">AU207*K207</f>
        <v>28.5605676951177</v>
      </c>
      <c r="AW207" s="893" t="n">
        <f aca="false">IF(Tables!$B$21=15,0,IF(AV207&gt;($CP207+$BF$4),1,0))</f>
        <v>0</v>
      </c>
      <c r="AX207" s="892" t="n">
        <f aca="false">IF(Tables!$E$30="New York",INDEX('NY Curve'!$A$4:$L$256,MATCH('Monthly Table'!$B207,'NY Curve'!$A$4:$A$256,0),MATCH("New York Saturday Shoulder Peak",'NY Curve'!$A$4:$L$4,0)),IF(Tables!$E$30="Michigan",INDEX('Michigan Curve'!$A$4:$K$256,MATCH('Monthly Table'!$B207,'Michigan Curve'!$A$4:$A$256,0),MATCH("Michigan Saturday Shoulder Peak",'Michigan Curve'!$A$4:$K$4,0))))</f>
        <v>19.3987499624491</v>
      </c>
      <c r="AY207" s="895" t="n">
        <f aca="false">AX207*K207</f>
        <v>24.5136578986861</v>
      </c>
      <c r="AZ207" s="893" t="n">
        <f aca="false">IF(Tables!$B$21=15,0,IF(AY207&gt;($CP207+$BF$4),1,0))</f>
        <v>0</v>
      </c>
      <c r="BB207" s="892" t="n">
        <f aca="false">IF(Tables!$E$30="New York",INDEX('NY Curve'!$A$4:$M$256,MATCH('Monthly Table'!$B207,'NY Curve'!$A$4:$A$256,0),MATCH("NY Sunday Super Peak",'NY Curve'!$A$4:$M$4,0)),IF(Tables!$E$30="Michigan",INDEX('Michigan Curve'!$A$4:$L$256,MATCH('Monthly Table'!$B207,'Michigan Curve'!$A$4:$A$256,0),MATCH("Michigan Sunday Super Peak",'Michigan Curve'!$A$4:$L$4,0))))</f>
        <v>21.5303803825468</v>
      </c>
      <c r="BC207" s="894" t="n">
        <f aca="false">BB207*K207</f>
        <v>27.2073396558023</v>
      </c>
      <c r="BD207" s="893" t="n">
        <f aca="false">IF(BC207&gt;($CP207+$BF$4),1,0)</f>
        <v>1</v>
      </c>
      <c r="BF207" s="896" t="n">
        <f aca="false">B207</f>
        <v>42856</v>
      </c>
      <c r="BG207" s="897" t="n">
        <f aca="false">IF($AN207=1,$E207*$BF$5,0)</f>
        <v>0</v>
      </c>
      <c r="BH207" s="976" t="n">
        <f aca="false">IF(Tables!$B$36="Combined Cycle",(BF207-BF206)*24*Assumptions!$B$21,0)</f>
        <v>0</v>
      </c>
      <c r="BI207" s="714" t="n">
        <f aca="false">IF($AN207=1,$E207*$BF$5,0)</f>
        <v>0</v>
      </c>
      <c r="BJ207" s="898" t="n">
        <f aca="false">IF('Monthly Table'!D207&lt;=Tables!$B$21,IF($BJ$10=$BG$10,BG207,IF($BJ$10=$BH$10,BH207,IF($BJ$10=$BI$10,BI207,0))),0)</f>
        <v>0</v>
      </c>
      <c r="BK207" s="288"/>
      <c r="BL207" s="898" t="n">
        <f aca="false">IF($AW207=1,$F207*$BF$5,0)</f>
        <v>0</v>
      </c>
      <c r="BM207" s="898" t="n">
        <f aca="false">IF($BD207=1,($G207+H207)*$BF$5,0)</f>
        <v>40</v>
      </c>
      <c r="BO207" s="898" t="n">
        <f aca="false">IF(AS207=1,BJ207,0)</f>
        <v>0</v>
      </c>
      <c r="BP207" s="898" t="n">
        <f aca="false">IF(AZ207=1,F207*$BF$5,0)</f>
        <v>0</v>
      </c>
      <c r="BR207" s="899" t="n">
        <f aca="false">IF(BJ207&gt;0,INDEX(OperationalDetail,MATCH("Capacity Degradation",ODColumn,0),MATCH('Monthly Table'!C207,ODRow,0)),0)</f>
        <v>0</v>
      </c>
      <c r="BS207" s="900" t="n">
        <f aca="false">BJ207*(1-BR207)*Tables!$C$36</f>
        <v>0</v>
      </c>
      <c r="BT207" s="883" t="n">
        <f aca="false">BS207*AL207/1000</f>
        <v>0</v>
      </c>
      <c r="BU207" s="883" t="n">
        <f aca="false">BT207*K207</f>
        <v>0</v>
      </c>
      <c r="BV207" s="188"/>
      <c r="BW207" s="901" t="n">
        <f aca="false">$BO207*(1-$BR207)*Tables!$C$36</f>
        <v>0</v>
      </c>
      <c r="BX207" s="902" t="n">
        <f aca="false">(BW207*AQ207)/1000</f>
        <v>0</v>
      </c>
      <c r="BY207" s="883" t="n">
        <f aca="false">BX207*K207</f>
        <v>0</v>
      </c>
      <c r="BZ207" s="188"/>
      <c r="CA207" s="901" t="n">
        <f aca="false">$BL207*(1-$BR207)*Tables!$C$36</f>
        <v>0</v>
      </c>
      <c r="CB207" s="902" t="n">
        <f aca="false">(CA207*AU207)/1000</f>
        <v>0</v>
      </c>
      <c r="CC207" s="883" t="n">
        <f aca="false">CB207*K207</f>
        <v>0</v>
      </c>
      <c r="CD207" s="901" t="n">
        <f aca="false">$BP207*(1-$BR207)*Tables!$C$36</f>
        <v>0</v>
      </c>
      <c r="CE207" s="902" t="n">
        <f aca="false">(CD207*AX207)/1000</f>
        <v>0</v>
      </c>
      <c r="CF207" s="883" t="n">
        <f aca="false">CE207*K207</f>
        <v>0</v>
      </c>
      <c r="CH207" s="901" t="n">
        <f aca="false">$BM207*(1-$BR207)*Tables!$C$36</f>
        <v>12960</v>
      </c>
      <c r="CI207" s="902" t="n">
        <f aca="false">(CH207*BB207)/1000</f>
        <v>279.033729757806</v>
      </c>
      <c r="CJ207" s="883" t="n">
        <f aca="false">CI207*K207</f>
        <v>352.607121939198</v>
      </c>
      <c r="CK207" s="292"/>
      <c r="CL207" s="292" t="n">
        <f aca="false">C207-1</f>
        <v>2016</v>
      </c>
      <c r="CM207" s="903" t="n">
        <f aca="false">INDEX(OperationalDetail,MATCH("Degraded Heat Rate",ODColumn,0),MATCH('Monthly Table'!CL207,ODRow,0))/1000</f>
        <v>11.96</v>
      </c>
      <c r="CN207" s="904" t="n">
        <f aca="false">S207*CM207</f>
        <v>6.44225491523805</v>
      </c>
      <c r="CO207" s="905" t="n">
        <f aca="false">IF(A207="January",(CO206*(1+Assumptions!$E$32)),CO206)</f>
        <v>9.24656971485096</v>
      </c>
      <c r="CP207" s="906" t="n">
        <f aca="false">CN207+CO207</f>
        <v>15.688824630089</v>
      </c>
      <c r="CQ207" s="292"/>
      <c r="CR207" s="856" t="str">
        <f aca="false">IF(BJ207=0,"",C207)</f>
        <v/>
      </c>
      <c r="CS207" s="856" t="str">
        <f aca="false">IF(BO207=0,"",$C207)</f>
        <v/>
      </c>
      <c r="CT207" s="856" t="str">
        <f aca="false">IF(BL207=0,"",$C207)</f>
        <v/>
      </c>
      <c r="CU207" s="856" t="str">
        <f aca="false">IF(BP207=0,"",$C207)</f>
        <v/>
      </c>
      <c r="CV207" s="856" t="n">
        <f aca="false">IF(BD207=0,"",$C207)</f>
        <v>2017</v>
      </c>
      <c r="CW207" s="907" t="n">
        <f aca="false">YEAR(BF207)</f>
        <v>2017</v>
      </c>
      <c r="CX207" s="908" t="n">
        <f aca="false">INDEX('NY Curve'!$A$4:$G$256,MATCH('Monthly Table'!B207,'NY Curve'!$A$4:$A$256,0),MATCH("New York 5 X 16",'NY Curve'!$A$4:$G$4,0))</f>
        <v>34.15</v>
      </c>
      <c r="CY207" s="909" t="n">
        <f aca="false">K207</f>
        <v>1.26367203794771</v>
      </c>
      <c r="CZ207" s="910" t="n">
        <f aca="false">CX207*CY207</f>
        <v>43.1544000959143</v>
      </c>
      <c r="DB207" s="911"/>
      <c r="DC207" s="911"/>
    </row>
    <row r="208" customFormat="false" ht="18.75" hidden="false" customHeight="true" outlineLevel="0" collapsed="false">
      <c r="A208" s="49" t="s">
        <v>815</v>
      </c>
      <c r="B208" s="863" t="n">
        <v>42887</v>
      </c>
      <c r="C208" s="288" t="n">
        <f aca="false">YEAR(B208)</f>
        <v>2017</v>
      </c>
      <c r="D208" s="864" t="n">
        <f aca="false">IF(A208="January",D207+1,D207)</f>
        <v>17</v>
      </c>
      <c r="E208" s="865" t="n">
        <v>22</v>
      </c>
      <c r="F208" s="866" t="n">
        <v>4</v>
      </c>
      <c r="G208" s="866" t="n">
        <v>4</v>
      </c>
      <c r="H208" s="866" t="n">
        <v>0</v>
      </c>
      <c r="I208" s="867" t="n">
        <f aca="false">SUM(E208:H208)</f>
        <v>30</v>
      </c>
      <c r="J208" s="868"/>
      <c r="K208" s="869" t="n">
        <f aca="false">INDEX(FX!$A$3:$C$362,MATCH(B208,FX!$A$3:$A$362,0),MATCH("Monthly Curve",FX!$A$2:$C$2,0))</f>
        <v>1.26308532356102</v>
      </c>
      <c r="L208" s="869"/>
      <c r="M208" s="993"/>
      <c r="N208" s="994"/>
      <c r="O208" s="986" t="n">
        <v>0.1</v>
      </c>
      <c r="P208" s="872" t="n">
        <f aca="false">N208+O208</f>
        <v>0.1</v>
      </c>
      <c r="Q208" s="873" t="n">
        <f aca="false">SUM(M208:O208)</f>
        <v>0.1</v>
      </c>
      <c r="R208" s="974" t="n">
        <f aca="false">IF(A208="January",(R207+R207*Assumptions!$E$32),R207)</f>
        <v>0.412282872730149</v>
      </c>
      <c r="S208" s="875" t="n">
        <f aca="false">(Q208*K208)+R208</f>
        <v>0.538591405086251</v>
      </c>
      <c r="T208" s="869"/>
      <c r="U208" s="187"/>
      <c r="V208" s="897"/>
      <c r="W208" s="897"/>
      <c r="X208" s="31"/>
      <c r="Y208" s="975" t="n">
        <f aca="false">Tables!$D$36</f>
        <v>312</v>
      </c>
      <c r="Z208" s="879" t="n">
        <f aca="false">IF($Z$10=$V$10,V208,IF($Z$10=$W$10,W208,IF($Z$10=$X$10,X208,0)))</f>
        <v>0</v>
      </c>
      <c r="AA208" s="880" t="n">
        <f aca="false">Y208*Z208</f>
        <v>0</v>
      </c>
      <c r="AB208" s="881" t="n">
        <f aca="false">AA208*K208</f>
        <v>0</v>
      </c>
      <c r="AC208" s="188"/>
      <c r="AD208" s="882" t="n">
        <f aca="false">IF(Tables!$E$30="Michigan",INDEX('Michigan Curve'!$A$4:$S$256,MATCH('Monthly Table'!B208,'Michigan Curve'!$A$4:$A$256,0),MATCH("Michigan Selected Option Value US$/month",'Michigan Curve'!$A$4:$S$4,0)),INDEX('NY Curve'!$A$4:$T$256,MATCH('Monthly Table'!B208,'NY Curve'!$A$4:$A$256,0),MATCH("New York Selected Option Value US$/month",'NY Curve'!$A$4:$T$4,0)))</f>
        <v>0</v>
      </c>
      <c r="AE208" s="883" t="n">
        <f aca="false">AD208*K208</f>
        <v>0</v>
      </c>
      <c r="AF208" s="188"/>
      <c r="AG208" s="884"/>
      <c r="AH208" s="49"/>
      <c r="AI208" s="885" t="n">
        <f aca="false">Assumptions!$B$50</f>
        <v>65</v>
      </c>
      <c r="AJ208" s="916"/>
      <c r="AK208" s="887" t="n">
        <f aca="false">IF(Tables!$E$30="Custom",'Monthly Table'!AI208,IF(Tables!$E$30="New York",INDEX('NY Curve'!$A$4:$G$256,MATCH('Monthly Table'!B208,'NY Curve'!$A$4:$A$256,0),MATCH("Super Peak Curve",'NY Curve'!$A$4:$G$4,0)),IF(Tables!$E$30="New York Flat",INDEX('NY Curve'!$A$4:$G$256,MATCH('Monthly Table'!B208,'NY Curve'!$A$4:$A$256,0),MATCH("Flat NY West",'NY Curve'!$A$4:$G$4,0)),INDEX('Michigan Curve'!$A$4:$F$256,MATCH('Monthly Table'!B208,'Michigan Curve'!$A$4:$A$256,0),MATCH("Michigan Super Peak Curve US$/MWhr",'Michigan Curve'!$A$4:$F$4,0)))))</f>
        <v>92.4523013508465</v>
      </c>
      <c r="AL208" s="888" t="n">
        <f aca="false">IF(D208&lt;=Tables!$B$21,IF($AL$10=$AI$10,AI208,IF($AL$10=$AJ$10,AJ208,IF($AL$10=$AK$10,AK208,0))),0)</f>
        <v>0</v>
      </c>
      <c r="AM208" s="889" t="n">
        <f aca="false">+AL208*K208</f>
        <v>0</v>
      </c>
      <c r="AN208" s="890" t="n">
        <f aca="false">IF((AL208*K208)&gt;(CP208+$BF$4),1,0)</f>
        <v>0</v>
      </c>
      <c r="AO208" s="891"/>
      <c r="AP208" s="894"/>
      <c r="AQ208" s="892" t="n">
        <f aca="false">IF(Tables!$E$30="New York",INDEX('NY Curve'!$A$4:$L$256,MATCH('Monthly Table'!B208,'NY Curve'!$A$4:$A$256,0),MATCH("New York Shoulder Hour Curve Mon-Fri",'NY Curve'!$A$4:$L$4,0)),IF(Tables!$E$30="Michigan",INDEX('Michigan Curve'!$A$4:$K$256,MATCH('Monthly Table'!B208,'Michigan Curve'!$A$4:$A$256,0),MATCH("Michigan Shoulder Hour Curve Mon-Fri",'Michigan Curve'!$A$4:$K$4,0))))</f>
        <v>24.0476986491535</v>
      </c>
      <c r="AR208" s="889" t="n">
        <f aca="false">AQ208*K208</f>
        <v>30.374295229164</v>
      </c>
      <c r="AS208" s="893" t="n">
        <f aca="false">IF(AR208&gt;($CP208+$BF$4),1,0)</f>
        <v>1</v>
      </c>
      <c r="AU208" s="892" t="n">
        <f aca="false">IF(Tables!$E$30="New York",INDEX('NY Curve'!$A$4:$L$256,MATCH('Monthly Table'!$B208,'NY Curve'!$A$4:$A$256,0),MATCH("New York Saturday Super Peak",'NY Curve'!$A$4:$L$4,0)),IF(Tables!$E$30="Michigan",INDEX('Michigan Curve'!$A$4:$K$256,MATCH('Monthly Table'!$B208,'Michigan Curve'!$A$4:$A$256,0),MATCH("Michigan Saturday Super Peak",'Michigan Curve'!$A$4:$K$4,0))))</f>
        <v>41.2662632638971</v>
      </c>
      <c r="AV208" s="894" t="n">
        <f aca="false">AU208*K208</f>
        <v>52.1228114868338</v>
      </c>
      <c r="AW208" s="893" t="n">
        <f aca="false">IF(Tables!$B$21=15,0,IF(AV208&gt;($CP208+$BF$4),1,0))</f>
        <v>0</v>
      </c>
      <c r="AX208" s="892" t="n">
        <f aca="false">IF(Tables!$E$30="New York",INDEX('NY Curve'!$A$4:$L$256,MATCH('Monthly Table'!$B208,'NY Curve'!$A$4:$A$256,0),MATCH("New York Saturday Shoulder Peak",'NY Curve'!$A$4:$L$4,0)),IF(Tables!$E$30="Michigan",INDEX('Michigan Curve'!$A$4:$K$256,MATCH('Monthly Table'!$B208,'Michigan Curve'!$A$4:$A$256,0),MATCH("Michigan Saturday Shoulder Peak",'Michigan Curve'!$A$4:$K$4,0))))</f>
        <v>10.7337367361029</v>
      </c>
      <c r="AY208" s="895" t="n">
        <f aca="false">AX208*K208</f>
        <v>13.5576253383393</v>
      </c>
      <c r="AZ208" s="893" t="n">
        <f aca="false">IF(Tables!$B$21=15,0,IF(AY208&gt;($CP208+$BF$4),1,0))</f>
        <v>0</v>
      </c>
      <c r="BB208" s="892" t="n">
        <f aca="false">IF(Tables!$E$30="New York",INDEX('NY Curve'!$A$4:$M$256,MATCH('Monthly Table'!$B208,'NY Curve'!$A$4:$A$256,0),MATCH("NY Sunday Super Peak",'NY Curve'!$A$4:$M$4,0)),IF(Tables!$E$30="Michigan",INDEX('Michigan Curve'!$A$4:$L$256,MATCH('Monthly Table'!$B208,'Michigan Curve'!$A$4:$A$256,0),MATCH("Michigan Sunday Super Peak",'Michigan Curve'!$A$4:$L$4,0))))</f>
        <v>38.0919353205204</v>
      </c>
      <c r="BC208" s="894" t="n">
        <f aca="false">BB208*K208</f>
        <v>48.113364449385</v>
      </c>
      <c r="BD208" s="893" t="n">
        <f aca="false">IF(BC208&gt;($CP208+$BF$4),1,0)</f>
        <v>1</v>
      </c>
      <c r="BF208" s="896" t="n">
        <f aca="false">B208</f>
        <v>42887</v>
      </c>
      <c r="BG208" s="897" t="n">
        <f aca="false">IF($AN208=1,$E208*$BF$5,0)</f>
        <v>0</v>
      </c>
      <c r="BH208" s="976" t="n">
        <f aca="false">IF(Tables!$B$36="Combined Cycle",(BF208-BF207)*24*Assumptions!$B$21,0)</f>
        <v>0</v>
      </c>
      <c r="BI208" s="714" t="n">
        <f aca="false">IF($AN208=1,$E208*$BF$5,0)</f>
        <v>0</v>
      </c>
      <c r="BJ208" s="898" t="n">
        <f aca="false">IF('Monthly Table'!D208&lt;=Tables!$B$21,IF($BJ$10=$BG$10,BG208,IF($BJ$10=$BH$10,BH208,IF($BJ$10=$BI$10,BI208,0))),0)</f>
        <v>0</v>
      </c>
      <c r="BK208" s="288"/>
      <c r="BL208" s="898" t="n">
        <f aca="false">IF($AW208=1,$F208*$BF$5,0)</f>
        <v>0</v>
      </c>
      <c r="BM208" s="898" t="n">
        <f aca="false">IF($BD208=1,($G208+H208)*$BF$5,0)</f>
        <v>32</v>
      </c>
      <c r="BO208" s="898" t="n">
        <f aca="false">IF(AS208=1,BJ208,0)</f>
        <v>0</v>
      </c>
      <c r="BP208" s="898" t="n">
        <f aca="false">IF(AZ208=1,F208*$BF$5,0)</f>
        <v>0</v>
      </c>
      <c r="BR208" s="899" t="n">
        <f aca="false">IF(BJ208&gt;0,INDEX(OperationalDetail,MATCH("Capacity Degradation",ODColumn,0),MATCH('Monthly Table'!C208,ODRow,0)),0)</f>
        <v>0</v>
      </c>
      <c r="BS208" s="900" t="n">
        <f aca="false">BJ208*(1-BR208)*Tables!$C$36</f>
        <v>0</v>
      </c>
      <c r="BT208" s="883" t="n">
        <f aca="false">BS208*AL208/1000</f>
        <v>0</v>
      </c>
      <c r="BU208" s="883" t="n">
        <f aca="false">BT208*K208</f>
        <v>0</v>
      </c>
      <c r="BV208" s="188"/>
      <c r="BW208" s="901" t="n">
        <f aca="false">$BO208*(1-$BR208)*Tables!$C$36</f>
        <v>0</v>
      </c>
      <c r="BX208" s="902" t="n">
        <f aca="false">(BW208*AQ208)/1000</f>
        <v>0</v>
      </c>
      <c r="BY208" s="883" t="n">
        <f aca="false">BX208*K208</f>
        <v>0</v>
      </c>
      <c r="BZ208" s="188"/>
      <c r="CA208" s="901" t="n">
        <f aca="false">$BL208*(1-$BR208)*Tables!$C$36</f>
        <v>0</v>
      </c>
      <c r="CB208" s="902" t="n">
        <f aca="false">(CA208*AU208)/1000</f>
        <v>0</v>
      </c>
      <c r="CC208" s="883" t="n">
        <f aca="false">CB208*K208</f>
        <v>0</v>
      </c>
      <c r="CD208" s="901" t="n">
        <f aca="false">$BP208*(1-$BR208)*Tables!$C$36</f>
        <v>0</v>
      </c>
      <c r="CE208" s="902" t="n">
        <f aca="false">(CD208*AX208)/1000</f>
        <v>0</v>
      </c>
      <c r="CF208" s="883" t="n">
        <f aca="false">CE208*K208</f>
        <v>0</v>
      </c>
      <c r="CH208" s="901" t="n">
        <f aca="false">$BM208*(1-$BR208)*Tables!$C$36</f>
        <v>10368</v>
      </c>
      <c r="CI208" s="902" t="n">
        <f aca="false">(CH208*BB208)/1000</f>
        <v>394.937185403156</v>
      </c>
      <c r="CJ208" s="883" t="n">
        <f aca="false">CI208*K208</f>
        <v>498.839362611224</v>
      </c>
      <c r="CK208" s="292"/>
      <c r="CL208" s="292" t="n">
        <f aca="false">C208-1</f>
        <v>2016</v>
      </c>
      <c r="CM208" s="903" t="n">
        <f aca="false">INDEX(OperationalDetail,MATCH("Degraded Heat Rate",ODColumn,0),MATCH('Monthly Table'!CL208,ODRow,0))/1000</f>
        <v>11.96</v>
      </c>
      <c r="CN208" s="904" t="n">
        <f aca="false">S208*CM208</f>
        <v>6.44155320483156</v>
      </c>
      <c r="CO208" s="905" t="n">
        <f aca="false">IF(A208="January",(CO207*(1+Assumptions!$E$32)),CO207)</f>
        <v>9.24656971485096</v>
      </c>
      <c r="CP208" s="906" t="n">
        <f aca="false">CN208+CO208</f>
        <v>15.6881229196825</v>
      </c>
      <c r="CQ208" s="292"/>
      <c r="CR208" s="856" t="str">
        <f aca="false">IF(BJ208=0,"",C208)</f>
        <v/>
      </c>
      <c r="CS208" s="856" t="str">
        <f aca="false">IF(BO208=0,"",$C208)</f>
        <v/>
      </c>
      <c r="CT208" s="856" t="str">
        <f aca="false">IF(BL208=0,"",$C208)</f>
        <v/>
      </c>
      <c r="CU208" s="856" t="str">
        <f aca="false">IF(BP208=0,"",$C208)</f>
        <v/>
      </c>
      <c r="CV208" s="856" t="n">
        <f aca="false">IF(BD208=0,"",$C208)</f>
        <v>2017</v>
      </c>
      <c r="CW208" s="907" t="n">
        <f aca="false">YEAR(BF208)</f>
        <v>2017</v>
      </c>
      <c r="CX208" s="908" t="n">
        <f aca="false">INDEX('NY Curve'!$A$4:$G$256,MATCH('Monthly Table'!B208,'NY Curve'!$A$4:$A$256,0),MATCH("New York 5 X 16",'NY Curve'!$A$4:$G$4,0))</f>
        <v>58.25</v>
      </c>
      <c r="CY208" s="909" t="n">
        <f aca="false">K208</f>
        <v>1.26308532356102</v>
      </c>
      <c r="CZ208" s="910" t="n">
        <f aca="false">CX208*CY208</f>
        <v>73.5747200974294</v>
      </c>
      <c r="DB208" s="911"/>
      <c r="DC208" s="911"/>
    </row>
    <row r="209" customFormat="false" ht="18.75" hidden="false" customHeight="true" outlineLevel="0" collapsed="false">
      <c r="A209" s="49" t="s">
        <v>816</v>
      </c>
      <c r="B209" s="863" t="n">
        <v>42917</v>
      </c>
      <c r="C209" s="288" t="n">
        <f aca="false">YEAR(B209)</f>
        <v>2017</v>
      </c>
      <c r="D209" s="864" t="n">
        <f aca="false">IF(A209="January",D208+1,D208)</f>
        <v>17</v>
      </c>
      <c r="E209" s="865" t="n">
        <v>20</v>
      </c>
      <c r="F209" s="866" t="n">
        <v>5</v>
      </c>
      <c r="G209" s="866" t="n">
        <v>5</v>
      </c>
      <c r="H209" s="866" t="n">
        <v>1</v>
      </c>
      <c r="I209" s="867" t="n">
        <f aca="false">SUM(E209:H209)</f>
        <v>31</v>
      </c>
      <c r="J209" s="868"/>
      <c r="K209" s="869" t="n">
        <f aca="false">INDEX(FX!$A$3:$C$362,MATCH(B209,FX!$A$3:$A$362,0),MATCH("Monthly Curve",FX!$A$2:$C$2,0))</f>
        <v>1.26252050745862</v>
      </c>
      <c r="L209" s="869"/>
      <c r="M209" s="993"/>
      <c r="N209" s="994"/>
      <c r="O209" s="986" t="n">
        <v>0.1</v>
      </c>
      <c r="P209" s="872" t="n">
        <f aca="false">N209+O209</f>
        <v>0.1</v>
      </c>
      <c r="Q209" s="873" t="n">
        <f aca="false">SUM(M209:O209)</f>
        <v>0.1</v>
      </c>
      <c r="R209" s="974" t="n">
        <f aca="false">IF(A209="January",(R208+R208*Assumptions!$E$32),R208)</f>
        <v>0.412282872730149</v>
      </c>
      <c r="S209" s="875" t="n">
        <f aca="false">(Q209*K209)+R209</f>
        <v>0.538534923476011</v>
      </c>
      <c r="T209" s="869"/>
      <c r="U209" s="187"/>
      <c r="V209" s="897"/>
      <c r="W209" s="897"/>
      <c r="X209" s="31"/>
      <c r="Y209" s="975" t="n">
        <f aca="false">Tables!$D$36</f>
        <v>312</v>
      </c>
      <c r="Z209" s="879" t="n">
        <f aca="false">IF($Z$10=$V$10,V209,IF($Z$10=$W$10,W209,IF($Z$10=$X$10,X209,0)))</f>
        <v>0</v>
      </c>
      <c r="AA209" s="880" t="n">
        <f aca="false">Y209*Z209</f>
        <v>0</v>
      </c>
      <c r="AB209" s="881" t="n">
        <f aca="false">AA209*K209</f>
        <v>0</v>
      </c>
      <c r="AC209" s="188"/>
      <c r="AD209" s="882" t="n">
        <f aca="false">IF(Tables!$E$30="Michigan",INDEX('Michigan Curve'!$A$4:$S$256,MATCH('Monthly Table'!B209,'Michigan Curve'!$A$4:$A$256,0),MATCH("Michigan Selected Option Value US$/month",'Michigan Curve'!$A$4:$S$4,0)),INDEX('NY Curve'!$A$4:$T$256,MATCH('Monthly Table'!B209,'NY Curve'!$A$4:$A$256,0),MATCH("New York Selected Option Value US$/month",'NY Curve'!$A$4:$T$4,0)))</f>
        <v>0</v>
      </c>
      <c r="AE209" s="883" t="n">
        <f aca="false">AD209*K209</f>
        <v>0</v>
      </c>
      <c r="AF209" s="188"/>
      <c r="AG209" s="884"/>
      <c r="AH209" s="49"/>
      <c r="AI209" s="885" t="n">
        <f aca="false">Assumptions!$B$50</f>
        <v>65</v>
      </c>
      <c r="AJ209" s="916"/>
      <c r="AK209" s="887" t="n">
        <f aca="false">IF(Tables!$E$30="Custom",'Monthly Table'!AI209,IF(Tables!$E$30="New York",INDEX('NY Curve'!$A$4:$G$256,MATCH('Monthly Table'!B209,'NY Curve'!$A$4:$A$256,0),MATCH("Super Peak Curve",'NY Curve'!$A$4:$G$4,0)),IF(Tables!$E$30="New York Flat",INDEX('NY Curve'!$A$4:$G$256,MATCH('Monthly Table'!B209,'NY Curve'!$A$4:$A$256,0),MATCH("Flat NY West",'NY Curve'!$A$4:$G$4,0)),INDEX('Michigan Curve'!$A$4:$F$256,MATCH('Monthly Table'!B209,'Michigan Curve'!$A$4:$A$256,0),MATCH("Michigan Super Peak Curve US$/MWhr",'Michigan Curve'!$A$4:$F$4,0)))))</f>
        <v>183.173860971667</v>
      </c>
      <c r="AL209" s="888" t="n">
        <f aca="false">IF(D209&lt;=Tables!$B$21,IF($AL$10=$AI$10,AI209,IF($AL$10=$AJ$10,AJ209,IF($AL$10=$AK$10,AK209,0))),0)</f>
        <v>0</v>
      </c>
      <c r="AM209" s="889" t="n">
        <f aca="false">+AL209*K209</f>
        <v>0</v>
      </c>
      <c r="AN209" s="890" t="n">
        <f aca="false">IF((AL209*K209)&gt;(CP209+$BF$4),1,0)</f>
        <v>0</v>
      </c>
      <c r="AO209" s="891"/>
      <c r="AP209" s="894"/>
      <c r="AQ209" s="892" t="n">
        <f aca="false">IF(Tables!$E$30="New York",INDEX('NY Curve'!$A$4:$L$256,MATCH('Monthly Table'!B209,'NY Curve'!$A$4:$A$256,0),MATCH("New York Shoulder Hour Curve Mon-Fri",'NY Curve'!$A$4:$L$4,0)),IF(Tables!$E$30="Michigan",INDEX('Michigan Curve'!$A$4:$K$256,MATCH('Monthly Table'!B209,'Michigan Curve'!$A$4:$A$256,0),MATCH("Michigan Shoulder Hour Curve Mon-Fri",'Michigan Curve'!$A$4:$K$4,0))))</f>
        <v>30.8261390283329</v>
      </c>
      <c r="AR209" s="889" t="n">
        <f aca="false">AQ209*K209</f>
        <v>38.9186326890408</v>
      </c>
      <c r="AS209" s="893" t="n">
        <f aca="false">IF(AR209&gt;($CP209+$BF$4),1,0)</f>
        <v>1</v>
      </c>
      <c r="AU209" s="892" t="n">
        <f aca="false">IF(Tables!$E$30="New York",INDEX('NY Curve'!$A$4:$L$256,MATCH('Monthly Table'!$B209,'NY Curve'!$A$4:$A$256,0),MATCH("New York Saturday Super Peak",'NY Curve'!$A$4:$L$4,0)),IF(Tables!$E$30="Michigan",INDEX('Michigan Curve'!$A$4:$K$256,MATCH('Monthly Table'!$B209,'Michigan Curve'!$A$4:$A$256,0),MATCH("Michigan Saturday Super Peak",'Michigan Curve'!$A$4:$K$4,0))))</f>
        <v>59.9166834954051</v>
      </c>
      <c r="AV209" s="894" t="n">
        <f aca="false">AU209*K209</f>
        <v>75.6460416518564</v>
      </c>
      <c r="AW209" s="893" t="n">
        <f aca="false">IF(Tables!$B$21=15,0,IF(AV209&gt;($CP209+$BF$4),1,0))</f>
        <v>0</v>
      </c>
      <c r="AX209" s="892" t="n">
        <f aca="false">IF(Tables!$E$30="New York",INDEX('NY Curve'!$A$4:$L$256,MATCH('Monthly Table'!$B209,'NY Curve'!$A$4:$A$256,0),MATCH("New York Saturday Shoulder Peak",'NY Curve'!$A$4:$L$4,0)),IF(Tables!$E$30="Michigan",INDEX('Michigan Curve'!$A$4:$K$256,MATCH('Monthly Table'!$B209,'Michigan Curve'!$A$4:$A$256,0),MATCH("Michigan Saturday Shoulder Peak",'Michigan Curve'!$A$4:$K$4,0))))</f>
        <v>10.0833165045949</v>
      </c>
      <c r="AY209" s="895" t="n">
        <f aca="false">AX209*K209</f>
        <v>12.730393870247</v>
      </c>
      <c r="AZ209" s="893" t="n">
        <f aca="false">IF(Tables!$B$21=15,0,IF(AY209&gt;($CP209+$BF$4),1,0))</f>
        <v>0</v>
      </c>
      <c r="BB209" s="892" t="n">
        <f aca="false">IF(Tables!$E$30="New York",INDEX('NY Curve'!$A$4:$M$256,MATCH('Monthly Table'!$B209,'NY Curve'!$A$4:$A$256,0),MATCH("NY Sunday Super Peak",'NY Curve'!$A$4:$M$4,0)),IF(Tables!$E$30="Michigan",INDEX('Michigan Curve'!$A$4:$L$256,MATCH('Monthly Table'!$B209,'Michigan Curve'!$A$4:$A$256,0),MATCH("Michigan Sunday Super Peak",'Michigan Curve'!$A$4:$L$4,0))))</f>
        <v>53.0690592593016</v>
      </c>
      <c r="BC209" s="894" t="n">
        <f aca="false">BB209*K209</f>
        <v>67.000775626405</v>
      </c>
      <c r="BD209" s="893" t="n">
        <f aca="false">IF(BC209&gt;($CP209+$BF$4),1,0)</f>
        <v>1</v>
      </c>
      <c r="BF209" s="896" t="n">
        <f aca="false">B209</f>
        <v>42917</v>
      </c>
      <c r="BG209" s="897" t="n">
        <f aca="false">IF($AN209=1,$E209*$BF$5,0)</f>
        <v>0</v>
      </c>
      <c r="BH209" s="976" t="n">
        <f aca="false">IF(Tables!$B$36="Combined Cycle",(BF209-BF208)*24*Assumptions!$B$21,0)</f>
        <v>0</v>
      </c>
      <c r="BI209" s="714" t="n">
        <f aca="false">IF($AN209=1,$E209*$BF$5,0)</f>
        <v>0</v>
      </c>
      <c r="BJ209" s="898" t="n">
        <f aca="false">IF('Monthly Table'!D209&lt;=Tables!$B$21,IF($BJ$10=$BG$10,BG209,IF($BJ$10=$BH$10,BH209,IF($BJ$10=$BI$10,BI209,0))),0)</f>
        <v>0</v>
      </c>
      <c r="BK209" s="288"/>
      <c r="BL209" s="898" t="n">
        <f aca="false">IF($AW209=1,$F209*$BF$5,0)</f>
        <v>0</v>
      </c>
      <c r="BM209" s="898" t="n">
        <f aca="false">IF($BD209=1,($G209+H209)*$BF$5,0)</f>
        <v>48</v>
      </c>
      <c r="BO209" s="898" t="n">
        <f aca="false">IF(AS209=1,BJ209,0)</f>
        <v>0</v>
      </c>
      <c r="BP209" s="898" t="n">
        <f aca="false">IF(AZ209=1,F209*$BF$5,0)</f>
        <v>0</v>
      </c>
      <c r="BR209" s="899" t="n">
        <f aca="false">IF(BJ209&gt;0,INDEX(OperationalDetail,MATCH("Capacity Degradation",ODColumn,0),MATCH('Monthly Table'!C209,ODRow,0)),0)</f>
        <v>0</v>
      </c>
      <c r="BS209" s="900" t="n">
        <f aca="false">BJ209*(1-BR209)*Tables!$C$36</f>
        <v>0</v>
      </c>
      <c r="BT209" s="883" t="n">
        <f aca="false">BS209*AL209/1000</f>
        <v>0</v>
      </c>
      <c r="BU209" s="883" t="n">
        <f aca="false">BT209*K209</f>
        <v>0</v>
      </c>
      <c r="BV209" s="188"/>
      <c r="BW209" s="901" t="n">
        <f aca="false">$BO209*(1-$BR209)*Tables!$C$36</f>
        <v>0</v>
      </c>
      <c r="BX209" s="902" t="n">
        <f aca="false">(BW209*AQ209)/1000</f>
        <v>0</v>
      </c>
      <c r="BY209" s="883" t="n">
        <f aca="false">BX209*K209</f>
        <v>0</v>
      </c>
      <c r="BZ209" s="188"/>
      <c r="CA209" s="901" t="n">
        <f aca="false">$BL209*(1-$BR209)*Tables!$C$36</f>
        <v>0</v>
      </c>
      <c r="CB209" s="902" t="n">
        <f aca="false">(CA209*AU209)/1000</f>
        <v>0</v>
      </c>
      <c r="CC209" s="883" t="n">
        <f aca="false">CB209*K209</f>
        <v>0</v>
      </c>
      <c r="CD209" s="901" t="n">
        <f aca="false">$BP209*(1-$BR209)*Tables!$C$36</f>
        <v>0</v>
      </c>
      <c r="CE209" s="902" t="n">
        <f aca="false">(CD209*AX209)/1000</f>
        <v>0</v>
      </c>
      <c r="CF209" s="883" t="n">
        <f aca="false">CE209*K209</f>
        <v>0</v>
      </c>
      <c r="CH209" s="901" t="n">
        <f aca="false">$BM209*(1-$BR209)*Tables!$C$36</f>
        <v>15552</v>
      </c>
      <c r="CI209" s="902" t="n">
        <f aca="false">(CH209*BB209)/1000</f>
        <v>825.330009600658</v>
      </c>
      <c r="CJ209" s="883" t="n">
        <f aca="false">CI209*K209</f>
        <v>1041.99606254185</v>
      </c>
      <c r="CK209" s="292"/>
      <c r="CL209" s="292" t="n">
        <f aca="false">C209-1</f>
        <v>2016</v>
      </c>
      <c r="CM209" s="903" t="n">
        <f aca="false">INDEX(OperationalDetail,MATCH("Degraded Heat Rate",ODColumn,0),MATCH('Monthly Table'!CL209,ODRow,0))/1000</f>
        <v>11.96</v>
      </c>
      <c r="CN209" s="904" t="n">
        <f aca="false">S209*CM209</f>
        <v>6.44087768477309</v>
      </c>
      <c r="CO209" s="905" t="n">
        <f aca="false">IF(A209="January",(CO208*(1+Assumptions!$E$32)),CO208)</f>
        <v>9.24656971485096</v>
      </c>
      <c r="CP209" s="906" t="n">
        <f aca="false">CN209+CO209</f>
        <v>15.6874473996241</v>
      </c>
      <c r="CQ209" s="292"/>
      <c r="CR209" s="856" t="str">
        <f aca="false">IF(BJ209=0,"",C209)</f>
        <v/>
      </c>
      <c r="CS209" s="856" t="str">
        <f aca="false">IF(BO209=0,"",$C209)</f>
        <v/>
      </c>
      <c r="CT209" s="856" t="str">
        <f aca="false">IF(BL209=0,"",$C209)</f>
        <v/>
      </c>
      <c r="CU209" s="856" t="str">
        <f aca="false">IF(BP209=0,"",$C209)</f>
        <v/>
      </c>
      <c r="CV209" s="856" t="n">
        <f aca="false">IF(BD209=0,"",$C209)</f>
        <v>2017</v>
      </c>
      <c r="CW209" s="907" t="n">
        <f aca="false">YEAR(BF209)</f>
        <v>2017</v>
      </c>
      <c r="CX209" s="908" t="n">
        <f aca="false">INDEX('NY Curve'!$A$4:$G$256,MATCH('Monthly Table'!B209,'NY Curve'!$A$4:$A$256,0),MATCH("New York 5 X 16",'NY Curve'!$A$4:$G$4,0))</f>
        <v>92</v>
      </c>
      <c r="CY209" s="909" t="n">
        <f aca="false">K209</f>
        <v>1.26252050745862</v>
      </c>
      <c r="CZ209" s="910" t="n">
        <f aca="false">CX209*CY209</f>
        <v>116.151886686193</v>
      </c>
      <c r="DB209" s="911"/>
      <c r="DC209" s="911"/>
    </row>
    <row r="210" customFormat="false" ht="18.75" hidden="false" customHeight="true" outlineLevel="0" collapsed="false">
      <c r="A210" s="49" t="s">
        <v>817</v>
      </c>
      <c r="B210" s="863" t="n">
        <v>42948</v>
      </c>
      <c r="C210" s="288" t="n">
        <f aca="false">YEAR(B210)</f>
        <v>2017</v>
      </c>
      <c r="D210" s="864" t="n">
        <f aca="false">IF(A210="January",D209+1,D209)</f>
        <v>17</v>
      </c>
      <c r="E210" s="865" t="n">
        <v>23</v>
      </c>
      <c r="F210" s="866" t="n">
        <v>4</v>
      </c>
      <c r="G210" s="866" t="n">
        <v>4</v>
      </c>
      <c r="H210" s="866" t="n">
        <v>0</v>
      </c>
      <c r="I210" s="867" t="n">
        <f aca="false">SUM(E210:H210)</f>
        <v>31</v>
      </c>
      <c r="J210" s="868"/>
      <c r="K210" s="869" t="n">
        <f aca="false">INDEX(FX!$A$3:$C$362,MATCH(B210,FX!$A$3:$A$362,0),MATCH("Monthly Curve",FX!$A$2:$C$2,0))</f>
        <v>1.26193993124099</v>
      </c>
      <c r="L210" s="869"/>
      <c r="M210" s="993"/>
      <c r="N210" s="994"/>
      <c r="O210" s="986" t="n">
        <v>0.1</v>
      </c>
      <c r="P210" s="872" t="n">
        <f aca="false">N210+O210</f>
        <v>0.1</v>
      </c>
      <c r="Q210" s="873" t="n">
        <f aca="false">SUM(M210:O210)</f>
        <v>0.1</v>
      </c>
      <c r="R210" s="974" t="n">
        <f aca="false">IF(A210="January",(R209+R209*Assumptions!$E$32),R209)</f>
        <v>0.412282872730149</v>
      </c>
      <c r="S210" s="875" t="n">
        <f aca="false">(Q210*K210)+R210</f>
        <v>0.538476865854248</v>
      </c>
      <c r="T210" s="869"/>
      <c r="U210" s="187"/>
      <c r="V210" s="897"/>
      <c r="W210" s="897"/>
      <c r="X210" s="31"/>
      <c r="Y210" s="975" t="n">
        <f aca="false">Tables!$D$36</f>
        <v>312</v>
      </c>
      <c r="Z210" s="879" t="n">
        <f aca="false">IF($Z$10=$V$10,V210,IF($Z$10=$W$10,W210,IF($Z$10=$X$10,X210,0)))</f>
        <v>0</v>
      </c>
      <c r="AA210" s="880" t="n">
        <f aca="false">Y210*Z210</f>
        <v>0</v>
      </c>
      <c r="AB210" s="881" t="n">
        <f aca="false">AA210*K210</f>
        <v>0</v>
      </c>
      <c r="AC210" s="188"/>
      <c r="AD210" s="882" t="n">
        <f aca="false">IF(Tables!$E$30="Michigan",INDEX('Michigan Curve'!$A$4:$S$256,MATCH('Monthly Table'!B210,'Michigan Curve'!$A$4:$A$256,0),MATCH("Michigan Selected Option Value US$/month",'Michigan Curve'!$A$4:$S$4,0)),INDEX('NY Curve'!$A$4:$T$256,MATCH('Monthly Table'!B210,'NY Curve'!$A$4:$A$256,0),MATCH("New York Selected Option Value US$/month",'NY Curve'!$A$4:$T$4,0)))</f>
        <v>0</v>
      </c>
      <c r="AE210" s="883" t="n">
        <f aca="false">AD210*K210</f>
        <v>0</v>
      </c>
      <c r="AF210" s="188"/>
      <c r="AG210" s="884"/>
      <c r="AH210" s="49"/>
      <c r="AI210" s="885" t="n">
        <f aca="false">Assumptions!$B$50</f>
        <v>65</v>
      </c>
      <c r="AJ210" s="916"/>
      <c r="AK210" s="887" t="n">
        <f aca="false">IF(Tables!$E$30="Custom",'Monthly Table'!AI210,IF(Tables!$E$30="New York",INDEX('NY Curve'!$A$4:$G$256,MATCH('Monthly Table'!B210,'NY Curve'!$A$4:$A$256,0),MATCH("Super Peak Curve",'NY Curve'!$A$4:$G$4,0)),IF(Tables!$E$30="New York Flat",INDEX('NY Curve'!$A$4:$G$256,MATCH('Monthly Table'!B210,'NY Curve'!$A$4:$A$256,0),MATCH("Flat NY West",'NY Curve'!$A$4:$G$4,0)),INDEX('Michigan Curve'!$A$4:$F$256,MATCH('Monthly Table'!B210,'Michigan Curve'!$A$4:$A$256,0),MATCH("Michigan Super Peak Curve US$/MWhr",'Michigan Curve'!$A$4:$F$4,0)))))</f>
        <v>183.173860971667</v>
      </c>
      <c r="AL210" s="888" t="n">
        <f aca="false">IF(D210&lt;=Tables!$B$21,IF($AL$10=$AI$10,AI210,IF($AL$10=$AJ$10,AJ210,IF($AL$10=$AK$10,AK210,0))),0)</f>
        <v>0</v>
      </c>
      <c r="AM210" s="889" t="n">
        <f aca="false">+AL210*K210</f>
        <v>0</v>
      </c>
      <c r="AN210" s="890" t="n">
        <f aca="false">IF((AL210*K210)&gt;(CP210+$BF$4),1,0)</f>
        <v>0</v>
      </c>
      <c r="AO210" s="891"/>
      <c r="AP210" s="894"/>
      <c r="AQ210" s="892" t="n">
        <f aca="false">IF(Tables!$E$30="New York",INDEX('NY Curve'!$A$4:$L$256,MATCH('Monthly Table'!B210,'NY Curve'!$A$4:$A$256,0),MATCH("New York Shoulder Hour Curve Mon-Fri",'NY Curve'!$A$4:$L$4,0)),IF(Tables!$E$30="Michigan",INDEX('Michigan Curve'!$A$4:$K$256,MATCH('Monthly Table'!B210,'Michigan Curve'!$A$4:$A$256,0),MATCH("Michigan Shoulder Hour Curve Mon-Fri",'Michigan Curve'!$A$4:$K$4,0))))</f>
        <v>30.8261390283329</v>
      </c>
      <c r="AR210" s="889" t="n">
        <f aca="false">AQ210*K210</f>
        <v>38.9007357658396</v>
      </c>
      <c r="AS210" s="893" t="n">
        <f aca="false">IF(AR210&gt;($CP210+$BF$4),1,0)</f>
        <v>1</v>
      </c>
      <c r="AU210" s="892" t="n">
        <f aca="false">IF(Tables!$E$30="New York",INDEX('NY Curve'!$A$4:$L$256,MATCH('Monthly Table'!$B210,'NY Curve'!$A$4:$A$256,0),MATCH("New York Saturday Super Peak",'NY Curve'!$A$4:$L$4,0)),IF(Tables!$E$30="Michigan",INDEX('Michigan Curve'!$A$4:$K$256,MATCH('Monthly Table'!$B210,'Michigan Curve'!$A$4:$A$256,0),MATCH("Michigan Saturday Super Peak",'Michigan Curve'!$A$4:$K$4,0))))</f>
        <v>59.9166900258054</v>
      </c>
      <c r="AV210" s="894" t="n">
        <f aca="false">AU210*K210</f>
        <v>75.6112636913526</v>
      </c>
      <c r="AW210" s="893" t="n">
        <f aca="false">IF(Tables!$B$21=15,0,IF(AV210&gt;($CP210+$BF$4),1,0))</f>
        <v>0</v>
      </c>
      <c r="AX210" s="892" t="n">
        <f aca="false">IF(Tables!$E$30="New York",INDEX('NY Curve'!$A$4:$L$256,MATCH('Monthly Table'!$B210,'NY Curve'!$A$4:$A$256,0),MATCH("New York Saturday Shoulder Peak",'NY Curve'!$A$4:$L$4,0)),IF(Tables!$E$30="Michigan",INDEX('Michigan Curve'!$A$4:$K$256,MATCH('Monthly Table'!$B210,'Michigan Curve'!$A$4:$A$256,0),MATCH("Michigan Saturday Shoulder Peak",'Michigan Curve'!$A$4:$K$4,0))))</f>
        <v>10.0833176035891</v>
      </c>
      <c r="AY210" s="895" t="n">
        <f aca="false">AX210*K210</f>
        <v>12.7245411233543</v>
      </c>
      <c r="AZ210" s="893" t="n">
        <f aca="false">IF(Tables!$B$21=15,0,IF(AY210&gt;($CP210+$BF$4),1,0))</f>
        <v>0</v>
      </c>
      <c r="BB210" s="892" t="n">
        <f aca="false">IF(Tables!$E$30="New York",INDEX('NY Curve'!$A$4:$M$256,MATCH('Monthly Table'!$B210,'NY Curve'!$A$4:$A$256,0),MATCH("NY Sunday Super Peak",'NY Curve'!$A$4:$M$4,0)),IF(Tables!$E$30="Michigan",INDEX('Michigan Curve'!$A$4:$L$256,MATCH('Monthly Table'!$B210,'Michigan Curve'!$A$4:$A$256,0),MATCH("Michigan Sunday Super Peak",'Michigan Curve'!$A$4:$L$4,0))))</f>
        <v>53.0690625245017</v>
      </c>
      <c r="BC210" s="894" t="n">
        <f aca="false">BB210*K210</f>
        <v>66.9699691131935</v>
      </c>
      <c r="BD210" s="893" t="n">
        <f aca="false">IF(BC210&gt;($CP210+$BF$4),1,0)</f>
        <v>1</v>
      </c>
      <c r="BF210" s="896" t="n">
        <f aca="false">B210</f>
        <v>42948</v>
      </c>
      <c r="BG210" s="897" t="n">
        <f aca="false">IF($AN210=1,$E210*$BF$5,0)</f>
        <v>0</v>
      </c>
      <c r="BH210" s="976" t="n">
        <f aca="false">IF(Tables!$B$36="Combined Cycle",(BF210-BF209)*24*Assumptions!$B$21,0)</f>
        <v>0</v>
      </c>
      <c r="BI210" s="714" t="n">
        <f aca="false">IF($AN210=1,$E210*$BF$5,0)</f>
        <v>0</v>
      </c>
      <c r="BJ210" s="898" t="n">
        <f aca="false">IF('Monthly Table'!D210&lt;=Tables!$B$21,IF($BJ$10=$BG$10,BG210,IF($BJ$10=$BH$10,BH210,IF($BJ$10=$BI$10,BI210,0))),0)</f>
        <v>0</v>
      </c>
      <c r="BK210" s="288"/>
      <c r="BL210" s="898" t="n">
        <f aca="false">IF($AW210=1,$F210*$BF$5,0)</f>
        <v>0</v>
      </c>
      <c r="BM210" s="898" t="n">
        <f aca="false">IF($BD210=1,($G210+H210)*$BF$5,0)</f>
        <v>32</v>
      </c>
      <c r="BO210" s="898" t="n">
        <f aca="false">IF(AS210=1,BJ210,0)</f>
        <v>0</v>
      </c>
      <c r="BP210" s="898" t="n">
        <f aca="false">IF(AZ210=1,F210*$BF$5,0)</f>
        <v>0</v>
      </c>
      <c r="BR210" s="899" t="n">
        <f aca="false">IF(BJ210&gt;0,INDEX(OperationalDetail,MATCH("Capacity Degradation",ODColumn,0),MATCH('Monthly Table'!C210,ODRow,0)),0)</f>
        <v>0</v>
      </c>
      <c r="BS210" s="900" t="n">
        <f aca="false">BJ210*(1-BR210)*Tables!$C$36</f>
        <v>0</v>
      </c>
      <c r="BT210" s="883" t="n">
        <f aca="false">BS210*AL210/1000</f>
        <v>0</v>
      </c>
      <c r="BU210" s="883" t="n">
        <f aca="false">BT210*K210</f>
        <v>0</v>
      </c>
      <c r="BV210" s="188"/>
      <c r="BW210" s="901" t="n">
        <f aca="false">$BO210*(1-$BR210)*Tables!$C$36</f>
        <v>0</v>
      </c>
      <c r="BX210" s="902" t="n">
        <f aca="false">(BW210*AQ210)/1000</f>
        <v>0</v>
      </c>
      <c r="BY210" s="883" t="n">
        <f aca="false">BX210*K210</f>
        <v>0</v>
      </c>
      <c r="BZ210" s="188"/>
      <c r="CA210" s="901" t="n">
        <f aca="false">$BL210*(1-$BR210)*Tables!$C$36</f>
        <v>0</v>
      </c>
      <c r="CB210" s="902" t="n">
        <f aca="false">(CA210*AU210)/1000</f>
        <v>0</v>
      </c>
      <c r="CC210" s="883" t="n">
        <f aca="false">CB210*K210</f>
        <v>0</v>
      </c>
      <c r="CD210" s="901" t="n">
        <f aca="false">$BP210*(1-$BR210)*Tables!$C$36</f>
        <v>0</v>
      </c>
      <c r="CE210" s="902" t="n">
        <f aca="false">(CD210*AX210)/1000</f>
        <v>0</v>
      </c>
      <c r="CF210" s="883" t="n">
        <f aca="false">CE210*K210</f>
        <v>0</v>
      </c>
      <c r="CH210" s="901" t="n">
        <f aca="false">$BM210*(1-$BR210)*Tables!$C$36</f>
        <v>10368</v>
      </c>
      <c r="CI210" s="902" t="n">
        <f aca="false">(CH210*BB210)/1000</f>
        <v>550.220040254034</v>
      </c>
      <c r="CJ210" s="883" t="n">
        <f aca="false">CI210*K210</f>
        <v>694.34463976559</v>
      </c>
      <c r="CK210" s="292"/>
      <c r="CL210" s="292" t="n">
        <f aca="false">C210-1</f>
        <v>2016</v>
      </c>
      <c r="CM210" s="903" t="n">
        <f aca="false">INDEX(OperationalDetail,MATCH("Degraded Heat Rate",ODColumn,0),MATCH('Monthly Table'!CL210,ODRow,0))/1000</f>
        <v>11.96</v>
      </c>
      <c r="CN210" s="904" t="n">
        <f aca="false">S210*CM210</f>
        <v>6.44018331561681</v>
      </c>
      <c r="CO210" s="905" t="n">
        <f aca="false">IF(A210="January",(CO209*(1+Assumptions!$E$32)),CO209)</f>
        <v>9.24656971485096</v>
      </c>
      <c r="CP210" s="906" t="n">
        <f aca="false">CN210+CO210</f>
        <v>15.6867530304678</v>
      </c>
      <c r="CQ210" s="292"/>
      <c r="CR210" s="856" t="str">
        <f aca="false">IF(BJ210=0,"",C210)</f>
        <v/>
      </c>
      <c r="CS210" s="856" t="str">
        <f aca="false">IF(BO210=0,"",$C210)</f>
        <v/>
      </c>
      <c r="CT210" s="856" t="str">
        <f aca="false">IF(BL210=0,"",$C210)</f>
        <v/>
      </c>
      <c r="CU210" s="856" t="str">
        <f aca="false">IF(BP210=0,"",$C210)</f>
        <v/>
      </c>
      <c r="CV210" s="856" t="n">
        <f aca="false">IF(BD210=0,"",$C210)</f>
        <v>2017</v>
      </c>
      <c r="CW210" s="907" t="n">
        <f aca="false">YEAR(BF210)</f>
        <v>2017</v>
      </c>
      <c r="CX210" s="908" t="n">
        <f aca="false">INDEX('NY Curve'!$A$4:$G$256,MATCH('Monthly Table'!B210,'NY Curve'!$A$4:$A$256,0),MATCH("New York 5 X 16",'NY Curve'!$A$4:$G$4,0))</f>
        <v>84.5</v>
      </c>
      <c r="CY210" s="909" t="n">
        <f aca="false">K210</f>
        <v>1.26193993124099</v>
      </c>
      <c r="CZ210" s="910" t="n">
        <f aca="false">CX210*CY210</f>
        <v>106.633924189864</v>
      </c>
      <c r="DB210" s="911"/>
      <c r="DC210" s="911"/>
    </row>
    <row r="211" customFormat="false" ht="18.75" hidden="false" customHeight="true" outlineLevel="0" collapsed="false">
      <c r="A211" s="49" t="s">
        <v>818</v>
      </c>
      <c r="B211" s="863" t="n">
        <v>42979</v>
      </c>
      <c r="C211" s="288" t="n">
        <f aca="false">YEAR(B211)</f>
        <v>2017</v>
      </c>
      <c r="D211" s="864" t="n">
        <f aca="false">IF(A211="January",D210+1,D210)</f>
        <v>17</v>
      </c>
      <c r="E211" s="865" t="n">
        <v>20</v>
      </c>
      <c r="F211" s="866" t="n">
        <v>5</v>
      </c>
      <c r="G211" s="866" t="n">
        <v>4</v>
      </c>
      <c r="H211" s="866" t="n">
        <v>1</v>
      </c>
      <c r="I211" s="867" t="n">
        <f aca="false">SUM(E211:H211)</f>
        <v>30</v>
      </c>
      <c r="J211" s="868"/>
      <c r="K211" s="869" t="n">
        <f aca="false">INDEX(FX!$A$3:$C$362,MATCH(B211,FX!$A$3:$A$362,0),MATCH("Monthly Curve",FX!$A$2:$C$2,0))</f>
        <v>1.26136246835609</v>
      </c>
      <c r="L211" s="869"/>
      <c r="M211" s="993"/>
      <c r="N211" s="994"/>
      <c r="O211" s="986" t="n">
        <v>0.1</v>
      </c>
      <c r="P211" s="872" t="n">
        <f aca="false">N211+O211</f>
        <v>0.1</v>
      </c>
      <c r="Q211" s="873" t="n">
        <f aca="false">SUM(M211:O211)</f>
        <v>0.1</v>
      </c>
      <c r="R211" s="974" t="n">
        <f aca="false">IF(A211="January",(R210+R210*Assumptions!$E$32),R210)</f>
        <v>0.412282872730149</v>
      </c>
      <c r="S211" s="875" t="n">
        <f aca="false">(Q211*K211)+R211</f>
        <v>0.538419119565758</v>
      </c>
      <c r="T211" s="869"/>
      <c r="U211" s="187"/>
      <c r="V211" s="897"/>
      <c r="W211" s="897"/>
      <c r="X211" s="31"/>
      <c r="Y211" s="975" t="n">
        <f aca="false">Tables!$D$36</f>
        <v>312</v>
      </c>
      <c r="Z211" s="879" t="n">
        <f aca="false">IF($Z$10=$V$10,V211,IF($Z$10=$W$10,W211,IF($Z$10=$X$10,X211,0)))</f>
        <v>0</v>
      </c>
      <c r="AA211" s="880" t="n">
        <f aca="false">Y211*Z211</f>
        <v>0</v>
      </c>
      <c r="AB211" s="881" t="n">
        <f aca="false">AA211*K211</f>
        <v>0</v>
      </c>
      <c r="AC211" s="188"/>
      <c r="AD211" s="882" t="n">
        <f aca="false">IF(Tables!$E$30="Michigan",INDEX('Michigan Curve'!$A$4:$S$256,MATCH('Monthly Table'!B211,'Michigan Curve'!$A$4:$A$256,0),MATCH("Michigan Selected Option Value US$/month",'Michigan Curve'!$A$4:$S$4,0)),INDEX('NY Curve'!$A$4:$T$256,MATCH('Monthly Table'!B211,'NY Curve'!$A$4:$A$256,0),MATCH("New York Selected Option Value US$/month",'NY Curve'!$A$4:$T$4,0)))</f>
        <v>0</v>
      </c>
      <c r="AE211" s="883" t="n">
        <f aca="false">AD211*K211</f>
        <v>0</v>
      </c>
      <c r="AF211" s="188"/>
      <c r="AG211" s="884"/>
      <c r="AH211" s="49"/>
      <c r="AI211" s="885" t="n">
        <f aca="false">Assumptions!$B$50</f>
        <v>65</v>
      </c>
      <c r="AJ211" s="916"/>
      <c r="AK211" s="887" t="n">
        <f aca="false">IF(Tables!$E$30="Custom",'Monthly Table'!AI211,IF(Tables!$E$30="New York",INDEX('NY Curve'!$A$4:$G$256,MATCH('Monthly Table'!B211,'NY Curve'!$A$4:$A$256,0),MATCH("Super Peak Curve",'NY Curve'!$A$4:$G$4,0)),IF(Tables!$E$30="New York Flat",INDEX('NY Curve'!$A$4:$G$256,MATCH('Monthly Table'!B211,'NY Curve'!$A$4:$A$256,0),MATCH("Flat NY West",'NY Curve'!$A$4:$G$4,0)),INDEX('Michigan Curve'!$A$4:$F$256,MATCH('Monthly Table'!B211,'Michigan Curve'!$A$4:$A$256,0),MATCH("Michigan Super Peak Curve US$/MWhr",'Michigan Curve'!$A$4:$F$4,0)))))</f>
        <v>51.6853122264147</v>
      </c>
      <c r="AL211" s="888" t="n">
        <f aca="false">IF(D211&lt;=Tables!$B$21,IF($AL$10=$AI$10,AI211,IF($AL$10=$AJ$10,AJ211,IF($AL$10=$AK$10,AK211,0))),0)</f>
        <v>0</v>
      </c>
      <c r="AM211" s="889" t="n">
        <f aca="false">+AL211*K211</f>
        <v>0</v>
      </c>
      <c r="AN211" s="890" t="n">
        <f aca="false">IF((AL211*K211)&gt;(CP211+$BF$4),1,0)</f>
        <v>0</v>
      </c>
      <c r="AO211" s="891"/>
      <c r="AP211" s="894"/>
      <c r="AQ211" s="892" t="n">
        <f aca="false">IF(Tables!$E$30="New York",INDEX('NY Curve'!$A$4:$L$256,MATCH('Monthly Table'!B211,'NY Curve'!$A$4:$A$256,0),MATCH("New York Shoulder Hour Curve Mon-Fri",'NY Curve'!$A$4:$L$4,0)),IF(Tables!$E$30="Michigan",INDEX('Michigan Curve'!$A$4:$K$256,MATCH('Monthly Table'!B211,'Michigan Curve'!$A$4:$A$256,0),MATCH("Michigan Shoulder Hour Curve Mon-Fri",'Michigan Curve'!$A$4:$K$4,0))))</f>
        <v>24.8146877735853</v>
      </c>
      <c r="AR211" s="889" t="n">
        <f aca="false">AQ211*K211</f>
        <v>31.3003158215753</v>
      </c>
      <c r="AS211" s="893" t="n">
        <f aca="false">IF(AR211&gt;($CP211+$BF$4),1,0)</f>
        <v>1</v>
      </c>
      <c r="AU211" s="892" t="n">
        <f aca="false">IF(Tables!$E$30="New York",INDEX('NY Curve'!$A$4:$L$256,MATCH('Monthly Table'!$B211,'NY Curve'!$A$4:$A$256,0),MATCH("New York Saturday Super Peak",'NY Curve'!$A$4:$L$4,0)),IF(Tables!$E$30="Michigan",INDEX('Michigan Curve'!$A$4:$K$256,MATCH('Monthly Table'!$B211,'Michigan Curve'!$A$4:$A$256,0),MATCH("Michigan Saturday Super Peak",'Michigan Curve'!$A$4:$K$4,0))))</f>
        <v>33.7812498211861</v>
      </c>
      <c r="AV211" s="894" t="n">
        <f aca="false">AU211*K211</f>
        <v>42.610400658605</v>
      </c>
      <c r="AW211" s="893" t="n">
        <f aca="false">IF(Tables!$B$21=15,0,IF(AV211&gt;($CP211+$BF$4),1,0))</f>
        <v>0</v>
      </c>
      <c r="AX211" s="892" t="n">
        <f aca="false">IF(Tables!$E$30="New York",INDEX('NY Curve'!$A$4:$L$256,MATCH('Monthly Table'!$B211,'NY Curve'!$A$4:$A$256,0),MATCH("New York Saturday Shoulder Peak",'NY Curve'!$A$4:$L$4,0)),IF(Tables!$E$30="Michigan",INDEX('Michigan Curve'!$A$4:$K$256,MATCH('Monthly Table'!$B211,'Michigan Curve'!$A$4:$A$256,0),MATCH("Michigan Saturday Shoulder Peak",'Michigan Curve'!$A$4:$K$4,0))))</f>
        <v>16.2187501788139</v>
      </c>
      <c r="AY211" s="895" t="n">
        <f aca="false">AX211*K211</f>
        <v>20.4577227591995</v>
      </c>
      <c r="AZ211" s="893" t="n">
        <f aca="false">IF(Tables!$B$21=15,0,IF(AY211&gt;($CP211+$BF$4),1,0))</f>
        <v>0</v>
      </c>
      <c r="BB211" s="892" t="n">
        <f aca="false">IF(Tables!$E$30="New York",INDEX('NY Curve'!$A$4:$M$256,MATCH('Monthly Table'!$B211,'NY Curve'!$A$4:$A$256,0),MATCH("NY Sunday Super Peak",'NY Curve'!$A$4:$M$4,0)),IF(Tables!$E$30="Michigan",INDEX('Michigan Curve'!$A$4:$L$256,MATCH('Monthly Table'!$B211,'Michigan Curve'!$A$4:$A$256,0),MATCH("Michigan Sunday Super Peak",'Michigan Curve'!$A$4:$L$4,0))))</f>
        <v>32.4299998283386</v>
      </c>
      <c r="BC211" s="894" t="n">
        <f aca="false">BB211*K211</f>
        <v>40.9059846322608</v>
      </c>
      <c r="BD211" s="893" t="n">
        <f aca="false">IF(BC211&gt;($CP211+$BF$4),1,0)</f>
        <v>1</v>
      </c>
      <c r="BF211" s="896" t="n">
        <f aca="false">B211</f>
        <v>42979</v>
      </c>
      <c r="BG211" s="897" t="n">
        <f aca="false">IF($AN211=1,$E211*$BF$5,0)</f>
        <v>0</v>
      </c>
      <c r="BH211" s="976" t="n">
        <f aca="false">IF(Tables!$B$36="Combined Cycle",(BF211-BF210)*24*Assumptions!$B$21,0)</f>
        <v>0</v>
      </c>
      <c r="BI211" s="714" t="n">
        <f aca="false">IF($AN211=1,$E211*$BF$5,0)</f>
        <v>0</v>
      </c>
      <c r="BJ211" s="898" t="n">
        <f aca="false">IF('Monthly Table'!D211&lt;=Tables!$B$21,IF($BJ$10=$BG$10,BG211,IF($BJ$10=$BH$10,BH211,IF($BJ$10=$BI$10,BI211,0))),0)</f>
        <v>0</v>
      </c>
      <c r="BK211" s="288"/>
      <c r="BL211" s="898" t="n">
        <f aca="false">IF($AW211=1,$F211*$BF$5,0)</f>
        <v>0</v>
      </c>
      <c r="BM211" s="898" t="n">
        <f aca="false">IF($BD211=1,($G211+H211)*$BF$5,0)</f>
        <v>40</v>
      </c>
      <c r="BO211" s="898" t="n">
        <f aca="false">IF(AS211=1,BJ211,0)</f>
        <v>0</v>
      </c>
      <c r="BP211" s="898" t="n">
        <f aca="false">IF(AZ211=1,F211*$BF$5,0)</f>
        <v>0</v>
      </c>
      <c r="BR211" s="899" t="n">
        <f aca="false">IF(BJ211&gt;0,INDEX(OperationalDetail,MATCH("Capacity Degradation",ODColumn,0),MATCH('Monthly Table'!C211,ODRow,0)),0)</f>
        <v>0</v>
      </c>
      <c r="BS211" s="900" t="n">
        <f aca="false">BJ211*(1-BR211)*Tables!$C$36</f>
        <v>0</v>
      </c>
      <c r="BT211" s="883" t="n">
        <f aca="false">BS211*AL211/1000</f>
        <v>0</v>
      </c>
      <c r="BU211" s="883" t="n">
        <f aca="false">BT211*K211</f>
        <v>0</v>
      </c>
      <c r="BV211" s="188"/>
      <c r="BW211" s="901" t="n">
        <f aca="false">$BO211*(1-$BR211)*Tables!$C$36</f>
        <v>0</v>
      </c>
      <c r="BX211" s="902" t="n">
        <f aca="false">(BW211*AQ211)/1000</f>
        <v>0</v>
      </c>
      <c r="BY211" s="883" t="n">
        <f aca="false">BX211*K211</f>
        <v>0</v>
      </c>
      <c r="BZ211" s="188"/>
      <c r="CA211" s="901" t="n">
        <f aca="false">$BL211*(1-$BR211)*Tables!$C$36</f>
        <v>0</v>
      </c>
      <c r="CB211" s="902" t="n">
        <f aca="false">(CA211*AU211)/1000</f>
        <v>0</v>
      </c>
      <c r="CC211" s="883" t="n">
        <f aca="false">CB211*K211</f>
        <v>0</v>
      </c>
      <c r="CD211" s="901" t="n">
        <f aca="false">$BP211*(1-$BR211)*Tables!$C$36</f>
        <v>0</v>
      </c>
      <c r="CE211" s="902" t="n">
        <f aca="false">(CD211*AX211)/1000</f>
        <v>0</v>
      </c>
      <c r="CF211" s="883" t="n">
        <f aca="false">CE211*K211</f>
        <v>0</v>
      </c>
      <c r="CH211" s="901" t="n">
        <f aca="false">$BM211*(1-$BR211)*Tables!$C$36</f>
        <v>12960</v>
      </c>
      <c r="CI211" s="902" t="n">
        <f aca="false">(CH211*BB211)/1000</f>
        <v>420.292797775269</v>
      </c>
      <c r="CJ211" s="883" t="n">
        <f aca="false">CI211*K211</f>
        <v>530.1415608341</v>
      </c>
      <c r="CK211" s="292"/>
      <c r="CL211" s="292" t="n">
        <f aca="false">C211-1</f>
        <v>2016</v>
      </c>
      <c r="CM211" s="903" t="n">
        <f aca="false">INDEX(OperationalDetail,MATCH("Degraded Heat Rate",ODColumn,0),MATCH('Monthly Table'!CL211,ODRow,0))/1000</f>
        <v>11.96</v>
      </c>
      <c r="CN211" s="904" t="n">
        <f aca="false">S211*CM211</f>
        <v>6.43949267000647</v>
      </c>
      <c r="CO211" s="905" t="n">
        <f aca="false">IF(A211="January",(CO210*(1+Assumptions!$E$32)),CO210)</f>
        <v>9.24656971485096</v>
      </c>
      <c r="CP211" s="906" t="n">
        <f aca="false">CN211+CO211</f>
        <v>15.6860623848574</v>
      </c>
      <c r="CQ211" s="292"/>
      <c r="CR211" s="856" t="str">
        <f aca="false">IF(BJ211=0,"",C211)</f>
        <v/>
      </c>
      <c r="CS211" s="856" t="str">
        <f aca="false">IF(BO211=0,"",$C211)</f>
        <v/>
      </c>
      <c r="CT211" s="856" t="str">
        <f aca="false">IF(BL211=0,"",$C211)</f>
        <v/>
      </c>
      <c r="CU211" s="856" t="str">
        <f aca="false">IF(BP211=0,"",$C211)</f>
        <v/>
      </c>
      <c r="CV211" s="856" t="n">
        <f aca="false">IF(BD211=0,"",$C211)</f>
        <v>2017</v>
      </c>
      <c r="CW211" s="907" t="n">
        <f aca="false">YEAR(BF211)</f>
        <v>2017</v>
      </c>
      <c r="CX211" s="908" t="n">
        <f aca="false">INDEX('NY Curve'!$A$4:$G$256,MATCH('Monthly Table'!B211,'NY Curve'!$A$4:$A$256,0),MATCH("New York 5 X 16",'NY Curve'!$A$4:$G$4,0))</f>
        <v>32.55</v>
      </c>
      <c r="CY211" s="909" t="n">
        <f aca="false">K211</f>
        <v>1.26136246835609</v>
      </c>
      <c r="CZ211" s="910" t="n">
        <f aca="false">CX211*CY211</f>
        <v>41.0573483449907</v>
      </c>
      <c r="DB211" s="911"/>
      <c r="DC211" s="911"/>
    </row>
    <row r="212" customFormat="false" ht="18.75" hidden="false" customHeight="true" outlineLevel="0" collapsed="false">
      <c r="A212" s="49" t="s">
        <v>819</v>
      </c>
      <c r="B212" s="863" t="n">
        <v>43009</v>
      </c>
      <c r="C212" s="288" t="n">
        <f aca="false">YEAR(B212)</f>
        <v>2017</v>
      </c>
      <c r="D212" s="864" t="n">
        <f aca="false">IF(A212="January",D211+1,D211)</f>
        <v>17</v>
      </c>
      <c r="E212" s="865" t="n">
        <v>22</v>
      </c>
      <c r="F212" s="866" t="n">
        <v>4</v>
      </c>
      <c r="G212" s="866" t="n">
        <v>5</v>
      </c>
      <c r="H212" s="866" t="n">
        <v>0</v>
      </c>
      <c r="I212" s="867" t="n">
        <f aca="false">SUM(E212:H212)</f>
        <v>31</v>
      </c>
      <c r="J212" s="868"/>
      <c r="K212" s="869" t="n">
        <f aca="false">INDEX(FX!$A$3:$C$362,MATCH(B212,FX!$A$3:$A$362,0),MATCH("Monthly Curve",FX!$A$2:$C$2,0))</f>
        <v>1.26080659379251</v>
      </c>
      <c r="L212" s="869"/>
      <c r="M212" s="993"/>
      <c r="N212" s="994"/>
      <c r="O212" s="986" t="n">
        <v>0.1</v>
      </c>
      <c r="P212" s="872" t="n">
        <f aca="false">N212+O212</f>
        <v>0.1</v>
      </c>
      <c r="Q212" s="873" t="n">
        <f aca="false">SUM(M212:O212)</f>
        <v>0.1</v>
      </c>
      <c r="R212" s="974" t="n">
        <f aca="false">IF(A212="January",(R211+R211*Assumptions!$E$32),R211)</f>
        <v>0.412282872730149</v>
      </c>
      <c r="S212" s="875" t="n">
        <f aca="false">(Q212*K212)+R212</f>
        <v>0.5383635321094</v>
      </c>
      <c r="T212" s="869"/>
      <c r="U212" s="187"/>
      <c r="V212" s="897"/>
      <c r="W212" s="897"/>
      <c r="X212" s="31"/>
      <c r="Y212" s="975" t="n">
        <f aca="false">Tables!$D$36</f>
        <v>312</v>
      </c>
      <c r="Z212" s="879" t="n">
        <f aca="false">IF($Z$10=$V$10,V212,IF($Z$10=$W$10,W212,IF($Z$10=$X$10,X212,0)))</f>
        <v>0</v>
      </c>
      <c r="AA212" s="880" t="n">
        <f aca="false">Y212*Z212</f>
        <v>0</v>
      </c>
      <c r="AB212" s="881" t="n">
        <f aca="false">AA212*K212</f>
        <v>0</v>
      </c>
      <c r="AC212" s="188"/>
      <c r="AD212" s="882" t="n">
        <f aca="false">IF(Tables!$E$30="Michigan",INDEX('Michigan Curve'!$A$4:$S$256,MATCH('Monthly Table'!B212,'Michigan Curve'!$A$4:$A$256,0),MATCH("Michigan Selected Option Value US$/month",'Michigan Curve'!$A$4:$S$4,0)),INDEX('NY Curve'!$A$4:$T$256,MATCH('Monthly Table'!B212,'NY Curve'!$A$4:$A$256,0),MATCH("New York Selected Option Value US$/month",'NY Curve'!$A$4:$T$4,0)))</f>
        <v>0</v>
      </c>
      <c r="AE212" s="883" t="n">
        <f aca="false">AD212*K212</f>
        <v>0</v>
      </c>
      <c r="AF212" s="188"/>
      <c r="AG212" s="884"/>
      <c r="AH212" s="49"/>
      <c r="AI212" s="885" t="n">
        <f aca="false">Assumptions!$B$50</f>
        <v>65</v>
      </c>
      <c r="AJ212" s="916"/>
      <c r="AK212" s="887" t="n">
        <f aca="false">IF(Tables!$E$30="Custom",'Monthly Table'!AI212,IF(Tables!$E$30="New York",INDEX('NY Curve'!$A$4:$G$256,MATCH('Monthly Table'!B212,'NY Curve'!$A$4:$A$256,0),MATCH("Super Peak Curve",'NY Curve'!$A$4:$G$4,0)),IF(Tables!$E$30="New York Flat",INDEX('NY Curve'!$A$4:$G$256,MATCH('Monthly Table'!B212,'NY Curve'!$A$4:$A$256,0),MATCH("Flat NY West",'NY Curve'!$A$4:$G$4,0)),INDEX('Michigan Curve'!$A$4:$F$256,MATCH('Monthly Table'!B212,'Michigan Curve'!$A$4:$A$256,0),MATCH("Michigan Super Peak Curve US$/MWhr",'Michigan Curve'!$A$4:$F$4,0)))))</f>
        <v>31.3499946594238</v>
      </c>
      <c r="AL212" s="888" t="n">
        <f aca="false">IF(D212&lt;=Tables!$B$21,IF($AL$10=$AI$10,AI212,IF($AL$10=$AJ$10,AJ212,IF($AL$10=$AK$10,AK212,0))),0)</f>
        <v>0</v>
      </c>
      <c r="AM212" s="889" t="n">
        <f aca="false">+AL212*K212</f>
        <v>0</v>
      </c>
      <c r="AN212" s="890" t="n">
        <f aca="false">IF((AL212*K212)&gt;(CP212+$BF$4),1,0)</f>
        <v>0</v>
      </c>
      <c r="AO212" s="891"/>
      <c r="AP212" s="894"/>
      <c r="AQ212" s="892" t="n">
        <f aca="false">IF(Tables!$E$30="New York",INDEX('NY Curve'!$A$4:$L$256,MATCH('Monthly Table'!B212,'NY Curve'!$A$4:$A$256,0),MATCH("New York Shoulder Hour Curve Mon-Fri",'NY Curve'!$A$4:$L$4,0)),IF(Tables!$E$30="Michigan",INDEX('Michigan Curve'!$A$4:$K$256,MATCH('Monthly Table'!B212,'Michigan Curve'!$A$4:$A$256,0),MATCH("Michigan Shoulder Hour Curve Mon-Fri",'Michigan Curve'!$A$4:$K$4,0))))</f>
        <v>31.3499946594238</v>
      </c>
      <c r="AR212" s="889" t="n">
        <f aca="false">AQ212*K212</f>
        <v>39.5262799819615</v>
      </c>
      <c r="AS212" s="893" t="n">
        <f aca="false">IF(AR212&gt;($CP212+$BF$4),1,0)</f>
        <v>1</v>
      </c>
      <c r="AU212" s="892" t="n">
        <f aca="false">IF(Tables!$E$30="New York",INDEX('NY Curve'!$A$4:$L$256,MATCH('Monthly Table'!$B212,'NY Curve'!$A$4:$A$256,0),MATCH("New York Saturday Super Peak",'NY Curve'!$A$4:$L$4,0)),IF(Tables!$E$30="Michigan",INDEX('Michigan Curve'!$A$4:$K$256,MATCH('Monthly Table'!$B212,'Michigan Curve'!$A$4:$A$256,0),MATCH("Michigan Saturday Super Peak",'Michigan Curve'!$A$4:$K$4,0))))</f>
        <v>19.996000289917</v>
      </c>
      <c r="AV212" s="894" t="n">
        <f aca="false">AU212*K212</f>
        <v>25.2110890150043</v>
      </c>
      <c r="AW212" s="893" t="n">
        <f aca="false">IF(Tables!$B$21=15,0,IF(AV212&gt;($CP212+$BF$4),1,0))</f>
        <v>0</v>
      </c>
      <c r="AX212" s="892" t="n">
        <f aca="false">IF(Tables!$E$30="New York",INDEX('NY Curve'!$A$4:$L$256,MATCH('Monthly Table'!$B212,'NY Curve'!$A$4:$A$256,0),MATCH("New York Saturday Shoulder Peak",'NY Curve'!$A$4:$L$4,0)),IF(Tables!$E$30="Michigan",INDEX('Michigan Curve'!$A$4:$K$256,MATCH('Monthly Table'!$B212,'Michigan Curve'!$A$4:$A$256,0),MATCH("Michigan Saturday Shoulder Peak",'Michigan Curve'!$A$4:$K$4,0))))</f>
        <v>19.996000289917</v>
      </c>
      <c r="AY212" s="895" t="n">
        <f aca="false">AX212*K212</f>
        <v>25.2110890150043</v>
      </c>
      <c r="AZ212" s="893" t="n">
        <f aca="false">IF(Tables!$B$21=15,0,IF(AY212&gt;($CP212+$BF$4),1,0))</f>
        <v>0</v>
      </c>
      <c r="BB212" s="892" t="n">
        <f aca="false">IF(Tables!$E$30="New York",INDEX('NY Curve'!$A$4:$M$256,MATCH('Monthly Table'!$B212,'NY Curve'!$A$4:$A$256,0),MATCH("NY Sunday Super Peak",'NY Curve'!$A$4:$M$4,0)),IF(Tables!$E$30="Michigan",INDEX('Michigan Curve'!$A$4:$L$256,MATCH('Monthly Table'!$B212,'Michigan Curve'!$A$4:$A$256,0),MATCH("Michigan Sunday Super Peak",'Michigan Curve'!$A$4:$L$4,0))))</f>
        <v>18.9965000152588</v>
      </c>
      <c r="BC212" s="894" t="n">
        <f aca="false">BB212*K212</f>
        <v>23.9509124782178</v>
      </c>
      <c r="BD212" s="893" t="n">
        <f aca="false">IF(BC212&gt;($CP212+$BF$4),1,0)</f>
        <v>1</v>
      </c>
      <c r="BF212" s="896" t="n">
        <f aca="false">B212</f>
        <v>43009</v>
      </c>
      <c r="BG212" s="897" t="n">
        <f aca="false">IF($AN212=1,$E212*$BF$5,0)</f>
        <v>0</v>
      </c>
      <c r="BH212" s="976" t="n">
        <f aca="false">IF(Tables!$B$36="Combined Cycle",(BF212-BF211)*24*Assumptions!$B$21,0)</f>
        <v>0</v>
      </c>
      <c r="BI212" s="714" t="n">
        <f aca="false">IF($AN212=1,$E212*$BF$5,0)</f>
        <v>0</v>
      </c>
      <c r="BJ212" s="898" t="n">
        <f aca="false">IF('Monthly Table'!D212&lt;=Tables!$B$21,IF($BJ$10=$BG$10,BG212,IF($BJ$10=$BH$10,BH212,IF($BJ$10=$BI$10,BI212,0))),0)</f>
        <v>0</v>
      </c>
      <c r="BK212" s="288"/>
      <c r="BL212" s="898" t="n">
        <f aca="false">IF($AW212=1,$F212*$BF$5,0)</f>
        <v>0</v>
      </c>
      <c r="BM212" s="898" t="n">
        <f aca="false">IF($BD212=1,($G212+H212)*$BF$5,0)</f>
        <v>40</v>
      </c>
      <c r="BO212" s="898" t="n">
        <f aca="false">IF(AS212=1,BJ212,0)</f>
        <v>0</v>
      </c>
      <c r="BP212" s="898" t="n">
        <f aca="false">IF(AZ212=1,F212*$BF$5,0)</f>
        <v>0</v>
      </c>
      <c r="BR212" s="899" t="n">
        <f aca="false">IF(BJ212&gt;0,INDEX(OperationalDetail,MATCH("Capacity Degradation",ODColumn,0),MATCH('Monthly Table'!C212,ODRow,0)),0)</f>
        <v>0</v>
      </c>
      <c r="BS212" s="900" t="n">
        <f aca="false">BJ212*(1-BR212)*Tables!$C$36</f>
        <v>0</v>
      </c>
      <c r="BT212" s="883" t="n">
        <f aca="false">BS212*AL212/1000</f>
        <v>0</v>
      </c>
      <c r="BU212" s="883" t="n">
        <f aca="false">BT212*K212</f>
        <v>0</v>
      </c>
      <c r="BV212" s="188"/>
      <c r="BW212" s="901" t="n">
        <f aca="false">$BO212*(1-$BR212)*Tables!$C$36</f>
        <v>0</v>
      </c>
      <c r="BX212" s="902" t="n">
        <f aca="false">(BW212*AQ212)/1000</f>
        <v>0</v>
      </c>
      <c r="BY212" s="883" t="n">
        <f aca="false">BX212*K212</f>
        <v>0</v>
      </c>
      <c r="BZ212" s="188"/>
      <c r="CA212" s="901" t="n">
        <f aca="false">$BL212*(1-$BR212)*Tables!$C$36</f>
        <v>0</v>
      </c>
      <c r="CB212" s="902" t="n">
        <f aca="false">(CA212*AU212)/1000</f>
        <v>0</v>
      </c>
      <c r="CC212" s="883" t="n">
        <f aca="false">CB212*K212</f>
        <v>0</v>
      </c>
      <c r="CD212" s="901" t="n">
        <f aca="false">$BP212*(1-$BR212)*Tables!$C$36</f>
        <v>0</v>
      </c>
      <c r="CE212" s="902" t="n">
        <f aca="false">(CD212*AX212)/1000</f>
        <v>0</v>
      </c>
      <c r="CF212" s="883" t="n">
        <f aca="false">CE212*K212</f>
        <v>0</v>
      </c>
      <c r="CH212" s="901" t="n">
        <f aca="false">$BM212*(1-$BR212)*Tables!$C$36</f>
        <v>12960</v>
      </c>
      <c r="CI212" s="902" t="n">
        <f aca="false">(CH212*BB212)/1000</f>
        <v>246.194640197754</v>
      </c>
      <c r="CJ212" s="883" t="n">
        <f aca="false">CI212*K212</f>
        <v>310.403825717703</v>
      </c>
      <c r="CK212" s="292"/>
      <c r="CL212" s="292" t="n">
        <f aca="false">C212-1</f>
        <v>2016</v>
      </c>
      <c r="CM212" s="903" t="n">
        <f aca="false">INDEX(OperationalDetail,MATCH("Degraded Heat Rate",ODColumn,0),MATCH('Monthly Table'!CL212,ODRow,0))/1000</f>
        <v>11.96</v>
      </c>
      <c r="CN212" s="904" t="n">
        <f aca="false">S212*CM212</f>
        <v>6.43882784402843</v>
      </c>
      <c r="CO212" s="905" t="n">
        <f aca="false">IF(A212="January",(CO211*(1+Assumptions!$E$32)),CO211)</f>
        <v>9.24656971485096</v>
      </c>
      <c r="CP212" s="906" t="n">
        <f aca="false">CN212+CO212</f>
        <v>15.6853975588794</v>
      </c>
      <c r="CQ212" s="292"/>
      <c r="CR212" s="856" t="str">
        <f aca="false">IF(BJ212=0,"",C212)</f>
        <v/>
      </c>
      <c r="CS212" s="856" t="str">
        <f aca="false">IF(BO212=0,"",$C212)</f>
        <v/>
      </c>
      <c r="CT212" s="856" t="str">
        <f aca="false">IF(BL212=0,"",$C212)</f>
        <v/>
      </c>
      <c r="CU212" s="856" t="str">
        <f aca="false">IF(BP212=0,"",$C212)</f>
        <v/>
      </c>
      <c r="CV212" s="856" t="n">
        <f aca="false">IF(BD212=0,"",$C212)</f>
        <v>2017</v>
      </c>
      <c r="CW212" s="907" t="n">
        <f aca="false">YEAR(BF212)</f>
        <v>2017</v>
      </c>
      <c r="CX212" s="908" t="n">
        <f aca="false">INDEX('NY Curve'!$A$4:$G$256,MATCH('Monthly Table'!B212,'NY Curve'!$A$4:$A$256,0),MATCH("New York 5 X 16",'NY Curve'!$A$4:$G$4,0))</f>
        <v>28.3</v>
      </c>
      <c r="CY212" s="909" t="n">
        <f aca="false">K212</f>
        <v>1.26080659379251</v>
      </c>
      <c r="CZ212" s="910" t="n">
        <f aca="false">CX212*CY212</f>
        <v>35.680826604328</v>
      </c>
      <c r="DB212" s="911"/>
      <c r="DC212" s="911"/>
    </row>
    <row r="213" customFormat="false" ht="18.75" hidden="false" customHeight="true" outlineLevel="0" collapsed="false">
      <c r="A213" s="49" t="s">
        <v>820</v>
      </c>
      <c r="B213" s="863" t="n">
        <v>43040</v>
      </c>
      <c r="C213" s="288" t="n">
        <f aca="false">YEAR(B213)</f>
        <v>2017</v>
      </c>
      <c r="D213" s="864" t="n">
        <f aca="false">IF(A213="January",D212+1,D212)</f>
        <v>17</v>
      </c>
      <c r="E213" s="865" t="n">
        <v>21</v>
      </c>
      <c r="F213" s="866" t="n">
        <v>4</v>
      </c>
      <c r="G213" s="866" t="n">
        <v>4</v>
      </c>
      <c r="H213" s="866" t="n">
        <v>1</v>
      </c>
      <c r="I213" s="867" t="n">
        <f aca="false">SUM(E213:H213)</f>
        <v>30</v>
      </c>
      <c r="J213" s="868"/>
      <c r="K213" s="869" t="n">
        <f aca="false">INDEX(FX!$A$3:$C$362,MATCH(B213,FX!$A$3:$A$362,0),MATCH("Monthly Curve",FX!$A$2:$C$2,0))</f>
        <v>1.26023524531968</v>
      </c>
      <c r="L213" s="869"/>
      <c r="M213" s="993"/>
      <c r="N213" s="994"/>
      <c r="O213" s="986" t="n">
        <v>0.1</v>
      </c>
      <c r="P213" s="872" t="n">
        <f aca="false">N213+O213</f>
        <v>0.1</v>
      </c>
      <c r="Q213" s="873" t="n">
        <f aca="false">SUM(M213:O213)</f>
        <v>0.1</v>
      </c>
      <c r="R213" s="974" t="n">
        <f aca="false">IF(A213="January",(R212+R212*Assumptions!$E$32),R212)</f>
        <v>0.412282872730149</v>
      </c>
      <c r="S213" s="875" t="n">
        <f aca="false">(Q213*K213)+R213</f>
        <v>0.538306397262117</v>
      </c>
      <c r="T213" s="869"/>
      <c r="U213" s="187"/>
      <c r="V213" s="897"/>
      <c r="W213" s="897"/>
      <c r="X213" s="31"/>
      <c r="Y213" s="975" t="n">
        <f aca="false">Tables!$D$36</f>
        <v>312</v>
      </c>
      <c r="Z213" s="879" t="n">
        <f aca="false">IF($Z$10=$V$10,V213,IF($Z$10=$W$10,W213,IF($Z$10=$X$10,X213,0)))</f>
        <v>0</v>
      </c>
      <c r="AA213" s="880" t="n">
        <f aca="false">Y213*Z213</f>
        <v>0</v>
      </c>
      <c r="AB213" s="881" t="n">
        <f aca="false">AA213*K213</f>
        <v>0</v>
      </c>
      <c r="AC213" s="188"/>
      <c r="AD213" s="882" t="n">
        <f aca="false">IF(Tables!$E$30="Michigan",INDEX('Michigan Curve'!$A$4:$S$256,MATCH('Monthly Table'!B213,'Michigan Curve'!$A$4:$A$256,0),MATCH("Michigan Selected Option Value US$/month",'Michigan Curve'!$A$4:$S$4,0)),INDEX('NY Curve'!$A$4:$T$256,MATCH('Monthly Table'!B213,'NY Curve'!$A$4:$A$256,0),MATCH("New York Selected Option Value US$/month",'NY Curve'!$A$4:$T$4,0)))</f>
        <v>0</v>
      </c>
      <c r="AE213" s="883" t="n">
        <f aca="false">AD213*K213</f>
        <v>0</v>
      </c>
      <c r="AF213" s="188"/>
      <c r="AG213" s="884"/>
      <c r="AH213" s="49"/>
      <c r="AI213" s="885" t="n">
        <f aca="false">Assumptions!$B$50</f>
        <v>65</v>
      </c>
      <c r="AJ213" s="916"/>
      <c r="AK213" s="887" t="n">
        <f aca="false">IF(Tables!$E$30="Custom",'Monthly Table'!AI213,IF(Tables!$E$30="New York",INDEX('NY Curve'!$A$4:$G$256,MATCH('Monthly Table'!B213,'NY Curve'!$A$4:$A$256,0),MATCH("Super Peak Curve",'NY Curve'!$A$4:$G$4,0)),IF(Tables!$E$30="New York Flat",INDEX('NY Curve'!$A$4:$G$256,MATCH('Monthly Table'!B213,'NY Curve'!$A$4:$A$256,0),MATCH("Flat NY West",'NY Curve'!$A$4:$G$4,0)),INDEX('Michigan Curve'!$A$4:$F$256,MATCH('Monthly Table'!B213,'Michigan Curve'!$A$4:$A$256,0),MATCH("Michigan Super Peak Curve US$/MWhr",'Michigan Curve'!$A$4:$F$4,0)))))</f>
        <v>33.7283953857422</v>
      </c>
      <c r="AL213" s="888" t="n">
        <f aca="false">IF(D213&lt;=Tables!$B$21,IF($AL$10=$AI$10,AI213,IF($AL$10=$AJ$10,AJ213,IF($AL$10=$AK$10,AK213,0))),0)</f>
        <v>0</v>
      </c>
      <c r="AM213" s="889" t="n">
        <f aca="false">+AL213*K213</f>
        <v>0</v>
      </c>
      <c r="AN213" s="890" t="n">
        <f aca="false">IF((AL213*K213)&gt;(CP213+$BF$4),1,0)</f>
        <v>0</v>
      </c>
      <c r="AO213" s="891"/>
      <c r="AP213" s="894"/>
      <c r="AQ213" s="892" t="n">
        <f aca="false">IF(Tables!$E$30="New York",INDEX('NY Curve'!$A$4:$L$256,MATCH('Monthly Table'!B213,'NY Curve'!$A$4:$A$256,0),MATCH("New York Shoulder Hour Curve Mon-Fri",'NY Curve'!$A$4:$L$4,0)),IF(Tables!$E$30="Michigan",INDEX('Michigan Curve'!$A$4:$K$256,MATCH('Monthly Table'!B213,'Michigan Curve'!$A$4:$A$256,0),MATCH("Michigan Shoulder Hour Curve Mon-Fri",'Michigan Curve'!$A$4:$K$4,0))))</f>
        <v>28.7315960693359</v>
      </c>
      <c r="AR213" s="889" t="n">
        <f aca="false">AQ213*K213</f>
        <v>36.2085700208655</v>
      </c>
      <c r="AS213" s="893" t="n">
        <f aca="false">IF(AR213&gt;($CP213+$BF$4),1,0)</f>
        <v>1</v>
      </c>
      <c r="AU213" s="892" t="n">
        <f aca="false">IF(Tables!$E$30="New York",INDEX('NY Curve'!$A$4:$L$256,MATCH('Monthly Table'!$B213,'NY Curve'!$A$4:$A$256,0),MATCH("New York Saturday Super Peak",'NY Curve'!$A$4:$L$4,0)),IF(Tables!$E$30="Michigan",INDEX('Michigan Curve'!$A$4:$K$256,MATCH('Monthly Table'!$B213,'Michigan Curve'!$A$4:$A$256,0),MATCH("Michigan Saturday Super Peak",'Michigan Curve'!$A$4:$K$4,0))))</f>
        <v>21.6</v>
      </c>
      <c r="AV213" s="894" t="n">
        <f aca="false">AU213*K213</f>
        <v>27.2210812989051</v>
      </c>
      <c r="AW213" s="893" t="n">
        <f aca="false">IF(Tables!$B$21=15,0,IF(AV213&gt;($CP213+$BF$4),1,0))</f>
        <v>0</v>
      </c>
      <c r="AX213" s="892" t="n">
        <f aca="false">IF(Tables!$E$30="New York",INDEX('NY Curve'!$A$4:$L$256,MATCH('Monthly Table'!$B213,'NY Curve'!$A$4:$A$256,0),MATCH("New York Saturday Shoulder Peak",'NY Curve'!$A$4:$L$4,0)),IF(Tables!$E$30="Michigan",INDEX('Michigan Curve'!$A$4:$K$256,MATCH('Monthly Table'!$B213,'Michigan Curve'!$A$4:$A$256,0),MATCH("Michigan Saturday Shoulder Peak",'Michigan Curve'!$A$4:$K$4,0))))</f>
        <v>18.4</v>
      </c>
      <c r="AY213" s="895" t="n">
        <f aca="false">AX213*K213</f>
        <v>23.1883285138821</v>
      </c>
      <c r="AZ213" s="893" t="n">
        <f aca="false">IF(Tables!$B$21=15,0,IF(AY213&gt;($CP213+$BF$4),1,0))</f>
        <v>0</v>
      </c>
      <c r="BB213" s="892" t="n">
        <f aca="false">IF(Tables!$E$30="New York",INDEX('NY Curve'!$A$4:$M$256,MATCH('Monthly Table'!$B213,'NY Curve'!$A$4:$A$256,0),MATCH("NY Sunday Super Peak",'NY Curve'!$A$4:$M$4,0)),IF(Tables!$E$30="Michigan",INDEX('Michigan Curve'!$A$4:$L$256,MATCH('Monthly Table'!$B213,'Michigan Curve'!$A$4:$A$256,0),MATCH("Michigan Sunday Super Peak",'Michigan Curve'!$A$4:$L$4,0))))</f>
        <v>20.52</v>
      </c>
      <c r="BC213" s="894" t="n">
        <f aca="false">BB213*K213</f>
        <v>25.8600272339598</v>
      </c>
      <c r="BD213" s="893" t="n">
        <f aca="false">IF(BC213&gt;($CP213+$BF$4),1,0)</f>
        <v>1</v>
      </c>
      <c r="BF213" s="896" t="n">
        <f aca="false">B213</f>
        <v>43040</v>
      </c>
      <c r="BG213" s="897" t="n">
        <f aca="false">IF($AN213=1,$E213*$BF$5,0)</f>
        <v>0</v>
      </c>
      <c r="BH213" s="976" t="n">
        <f aca="false">IF(Tables!$B$36="Combined Cycle",(BF213-BF212)*24*Assumptions!$B$21,0)</f>
        <v>0</v>
      </c>
      <c r="BI213" s="714" t="n">
        <f aca="false">IF($AN213=1,$E213*$BF$5,0)</f>
        <v>0</v>
      </c>
      <c r="BJ213" s="898" t="n">
        <f aca="false">IF('Monthly Table'!D213&lt;=Tables!$B$21,IF($BJ$10=$BG$10,BG213,IF($BJ$10=$BH$10,BH213,IF($BJ$10=$BI$10,BI213,0))),0)</f>
        <v>0</v>
      </c>
      <c r="BK213" s="288"/>
      <c r="BL213" s="898" t="n">
        <f aca="false">IF($AW213=1,$F213*$BF$5,0)</f>
        <v>0</v>
      </c>
      <c r="BM213" s="898" t="n">
        <f aca="false">IF($BD213=1,($G213+H213)*$BF$5,0)</f>
        <v>40</v>
      </c>
      <c r="BO213" s="898" t="n">
        <f aca="false">IF(AS213=1,BJ213,0)</f>
        <v>0</v>
      </c>
      <c r="BP213" s="898" t="n">
        <f aca="false">IF(AZ213=1,F213*$BF$5,0)</f>
        <v>0</v>
      </c>
      <c r="BR213" s="899" t="n">
        <f aca="false">IF(BJ213&gt;0,INDEX(OperationalDetail,MATCH("Capacity Degradation",ODColumn,0),MATCH('Monthly Table'!C213,ODRow,0)),0)</f>
        <v>0</v>
      </c>
      <c r="BS213" s="900" t="n">
        <f aca="false">BJ213*(1-BR213)*Tables!$C$36</f>
        <v>0</v>
      </c>
      <c r="BT213" s="883" t="n">
        <f aca="false">BS213*AL213/1000</f>
        <v>0</v>
      </c>
      <c r="BU213" s="883" t="n">
        <f aca="false">BT213*K213</f>
        <v>0</v>
      </c>
      <c r="BV213" s="188"/>
      <c r="BW213" s="901" t="n">
        <f aca="false">$BO213*(1-$BR213)*Tables!$C$36</f>
        <v>0</v>
      </c>
      <c r="BX213" s="902" t="n">
        <f aca="false">(BW213*AQ213)/1000</f>
        <v>0</v>
      </c>
      <c r="BY213" s="883" t="n">
        <f aca="false">BX213*K213</f>
        <v>0</v>
      </c>
      <c r="BZ213" s="188"/>
      <c r="CA213" s="901" t="n">
        <f aca="false">$BL213*(1-$BR213)*Tables!$C$36</f>
        <v>0</v>
      </c>
      <c r="CB213" s="902" t="n">
        <f aca="false">(CA213*AU213)/1000</f>
        <v>0</v>
      </c>
      <c r="CC213" s="883" t="n">
        <f aca="false">CB213*K213</f>
        <v>0</v>
      </c>
      <c r="CD213" s="901" t="n">
        <f aca="false">$BP213*(1-$BR213)*Tables!$C$36</f>
        <v>0</v>
      </c>
      <c r="CE213" s="902" t="n">
        <f aca="false">(CD213*AX213)/1000</f>
        <v>0</v>
      </c>
      <c r="CF213" s="883" t="n">
        <f aca="false">CE213*K213</f>
        <v>0</v>
      </c>
      <c r="CH213" s="901" t="n">
        <f aca="false">$BM213*(1-$BR213)*Tables!$C$36</f>
        <v>12960</v>
      </c>
      <c r="CI213" s="902" t="n">
        <f aca="false">(CH213*BB213)/1000</f>
        <v>265.9392</v>
      </c>
      <c r="CJ213" s="883" t="n">
        <f aca="false">CI213*K213</f>
        <v>335.145952952119</v>
      </c>
      <c r="CK213" s="292"/>
      <c r="CL213" s="292" t="n">
        <f aca="false">C213-1</f>
        <v>2016</v>
      </c>
      <c r="CM213" s="903" t="n">
        <f aca="false">INDEX(OperationalDetail,MATCH("Degraded Heat Rate",ODColumn,0),MATCH('Monthly Table'!CL213,ODRow,0))/1000</f>
        <v>11.96</v>
      </c>
      <c r="CN213" s="904" t="n">
        <f aca="false">S213*CM213</f>
        <v>6.43814451125492</v>
      </c>
      <c r="CO213" s="905" t="n">
        <f aca="false">IF(A213="January",(CO212*(1+Assumptions!$E$32)),CO212)</f>
        <v>9.24656971485096</v>
      </c>
      <c r="CP213" s="906" t="n">
        <f aca="false">CN213+CO213</f>
        <v>15.6847142261059</v>
      </c>
      <c r="CQ213" s="292"/>
      <c r="CR213" s="856" t="str">
        <f aca="false">IF(BJ213=0,"",C213)</f>
        <v/>
      </c>
      <c r="CS213" s="856" t="str">
        <f aca="false">IF(BO213=0,"",$C213)</f>
        <v/>
      </c>
      <c r="CT213" s="856" t="str">
        <f aca="false">IF(BL213=0,"",$C213)</f>
        <v/>
      </c>
      <c r="CU213" s="856" t="str">
        <f aca="false">IF(BP213=0,"",$C213)</f>
        <v/>
      </c>
      <c r="CV213" s="856" t="n">
        <f aca="false">IF(BD213=0,"",$C213)</f>
        <v>2017</v>
      </c>
      <c r="CW213" s="907" t="n">
        <f aca="false">YEAR(BF213)</f>
        <v>2017</v>
      </c>
      <c r="CX213" s="908" t="n">
        <f aca="false">INDEX('NY Curve'!$A$4:$G$256,MATCH('Monthly Table'!B213,'NY Curve'!$A$4:$A$256,0),MATCH("New York 5 X 16",'NY Curve'!$A$4:$G$4,0))</f>
        <v>28.8</v>
      </c>
      <c r="CY213" s="909" t="n">
        <f aca="false">K213</f>
        <v>1.26023524531968</v>
      </c>
      <c r="CZ213" s="910" t="n">
        <f aca="false">CX213*CY213</f>
        <v>36.2947750652068</v>
      </c>
      <c r="DB213" s="911"/>
      <c r="DC213" s="911"/>
    </row>
    <row r="214" customFormat="false" ht="18.75" hidden="false" customHeight="true" outlineLevel="0" collapsed="false">
      <c r="A214" s="110" t="s">
        <v>821</v>
      </c>
      <c r="B214" s="918" t="n">
        <v>43070</v>
      </c>
      <c r="C214" s="917" t="n">
        <f aca="false">YEAR(B214)</f>
        <v>2017</v>
      </c>
      <c r="D214" s="919" t="n">
        <f aca="false">IF(A214="January",D213+1,D213)</f>
        <v>17</v>
      </c>
      <c r="E214" s="865" t="n">
        <v>20</v>
      </c>
      <c r="F214" s="866" t="n">
        <v>5</v>
      </c>
      <c r="G214" s="866" t="n">
        <v>5</v>
      </c>
      <c r="H214" s="866" t="n">
        <v>1</v>
      </c>
      <c r="I214" s="867" t="n">
        <f aca="false">SUM(E214:H214)</f>
        <v>31</v>
      </c>
      <c r="J214" s="923"/>
      <c r="K214" s="924" t="n">
        <f aca="false">INDEX(FX!$A$3:$C$362,MATCH(B214,FX!$A$3:$A$362,0),MATCH("Monthly Curve",FX!$A$2:$C$2,0))</f>
        <v>1.25968528039199</v>
      </c>
      <c r="L214" s="924"/>
      <c r="M214" s="995"/>
      <c r="N214" s="996"/>
      <c r="O214" s="991" t="n">
        <v>0.1</v>
      </c>
      <c r="P214" s="928" t="n">
        <f aca="false">N214+O214</f>
        <v>0.1</v>
      </c>
      <c r="Q214" s="929" t="n">
        <f aca="false">SUM(M214:O214)</f>
        <v>0.1</v>
      </c>
      <c r="R214" s="979" t="n">
        <f aca="false">IF(A214="January",(R213+R213*Assumptions!$E$32),R213)</f>
        <v>0.412282872730149</v>
      </c>
      <c r="S214" s="931" t="n">
        <f aca="false">(Q214*K214)+R214</f>
        <v>0.538251400769348</v>
      </c>
      <c r="T214" s="924"/>
      <c r="U214" s="938"/>
      <c r="V214" s="949"/>
      <c r="W214" s="949"/>
      <c r="X214" s="992"/>
      <c r="Y214" s="981" t="n">
        <f aca="false">Tables!$D$36</f>
        <v>312</v>
      </c>
      <c r="Z214" s="935" t="n">
        <f aca="false">IF($Z$10=$V$10,V214,IF($Z$10=$W$10,W214,IF($Z$10=$X$10,X214,0)))</f>
        <v>0</v>
      </c>
      <c r="AA214" s="936" t="n">
        <f aca="false">Y214*Z214</f>
        <v>0</v>
      </c>
      <c r="AB214" s="937" t="n">
        <f aca="false">AA214*K214</f>
        <v>0</v>
      </c>
      <c r="AC214" s="938"/>
      <c r="AD214" s="882" t="n">
        <f aca="false">IF(Tables!$E$30="Michigan",INDEX('Michigan Curve'!$A$4:$S$256,MATCH('Monthly Table'!B214,'Michigan Curve'!$A$4:$A$256,0),MATCH("Michigan Selected Option Value US$/month",'Michigan Curve'!$A$4:$S$4,0)),INDEX('NY Curve'!$A$4:$T$256,MATCH('Monthly Table'!B214,'NY Curve'!$A$4:$A$256,0),MATCH("New York Selected Option Value US$/month",'NY Curve'!$A$4:$T$4,0)))</f>
        <v>0</v>
      </c>
      <c r="AE214" s="883" t="n">
        <f aca="false">AD214*K214</f>
        <v>0</v>
      </c>
      <c r="AF214" s="938"/>
      <c r="AG214" s="939"/>
      <c r="AH214" s="110"/>
      <c r="AI214" s="885" t="n">
        <f aca="false">Assumptions!$B$50</f>
        <v>65</v>
      </c>
      <c r="AJ214" s="940"/>
      <c r="AK214" s="887" t="n">
        <f aca="false">IF(Tables!$E$30="Custom",'Monthly Table'!AI214,IF(Tables!$E$30="New York",INDEX('NY Curve'!$A$4:$G$256,MATCH('Monthly Table'!B214,'NY Curve'!$A$4:$A$256,0),MATCH("Super Peak Curve",'NY Curve'!$A$4:$G$4,0)),IF(Tables!$E$30="New York Flat",INDEX('NY Curve'!$A$4:$G$256,MATCH('Monthly Table'!B214,'NY Curve'!$A$4:$A$256,0),MATCH("Flat NY West",'NY Curve'!$A$4:$G$4,0)),INDEX('Michigan Curve'!$A$4:$F$256,MATCH('Monthly Table'!B214,'Michigan Curve'!$A$4:$A$256,0),MATCH("Michigan Super Peak Curve US$/MWhr",'Michigan Curve'!$A$4:$F$4,0)))))</f>
        <v>32.3339949417114</v>
      </c>
      <c r="AL214" s="941" t="n">
        <f aca="false">IF(D214&lt;=Tables!$B$21,IF($AL$10=$AI$10,AI214,IF($AL$10=$AJ$10,AJ214,IF($AL$10=$AK$10,AK214,0))),0)</f>
        <v>0</v>
      </c>
      <c r="AM214" s="889" t="n">
        <f aca="false">+AL214*K214</f>
        <v>0</v>
      </c>
      <c r="AN214" s="943" t="n">
        <f aca="false">IF((AL214*K214)&gt;(CP214+$BF$4),1,0)</f>
        <v>0</v>
      </c>
      <c r="AO214" s="944"/>
      <c r="AP214" s="894"/>
      <c r="AQ214" s="892" t="n">
        <f aca="false">IF(Tables!$E$30="New York",INDEX('NY Curve'!$A$4:$L$256,MATCH('Monthly Table'!B214,'NY Curve'!$A$4:$A$256,0),MATCH("New York Shoulder Hour Curve Mon-Fri",'NY Curve'!$A$4:$L$4,0)),IF(Tables!$E$30="Michigan",INDEX('Michigan Curve'!$A$4:$K$256,MATCH('Monthly Table'!B214,'Michigan Curve'!$A$4:$A$256,0),MATCH("Michigan Shoulder Hour Curve Mon-Fri",'Michigan Curve'!$A$4:$K$4,0))))</f>
        <v>31.0659951400757</v>
      </c>
      <c r="AR214" s="889" t="n">
        <f aca="false">AQ214*K214</f>
        <v>39.1333767986824</v>
      </c>
      <c r="AS214" s="893" t="n">
        <f aca="false">IF(AR214&gt;($CP214+$BF$4),1,0)</f>
        <v>1</v>
      </c>
      <c r="AT214" s="917"/>
      <c r="AU214" s="892" t="n">
        <f aca="false">IF(Tables!$E$30="New York",INDEX('NY Curve'!$A$4:$L$256,MATCH('Monthly Table'!$B214,'NY Curve'!$A$4:$A$256,0),MATCH("New York Saturday Super Peak",'NY Curve'!$A$4:$L$4,0)),IF(Tables!$E$30="Michigan",INDEX('Michigan Curve'!$A$4:$K$256,MATCH('Monthly Table'!$B214,'Michigan Curve'!$A$4:$A$256,0),MATCH("Michigan Saturday Super Peak",'Michigan Curve'!$A$4:$K$4,0))))</f>
        <v>20.4</v>
      </c>
      <c r="AV214" s="894" t="n">
        <f aca="false">AU214*K214</f>
        <v>25.6975797199966</v>
      </c>
      <c r="AW214" s="893" t="n">
        <f aca="false">IF(Tables!$B$21=15,0,IF(AV214&gt;($CP214+$BF$4),1,0))</f>
        <v>0</v>
      </c>
      <c r="AX214" s="892" t="n">
        <f aca="false">IF(Tables!$E$30="New York",INDEX('NY Curve'!$A$4:$L$256,MATCH('Monthly Table'!$B214,'NY Curve'!$A$4:$A$256,0),MATCH("New York Saturday Shoulder Peak",'NY Curve'!$A$4:$L$4,0)),IF(Tables!$E$30="Michigan",INDEX('Michigan Curve'!$A$4:$K$256,MATCH('Monthly Table'!$B214,'Michigan Curve'!$A$4:$A$256,0),MATCH("Michigan Saturday Shoulder Peak",'Michigan Curve'!$A$4:$K$4,0))))</f>
        <v>19.6</v>
      </c>
      <c r="AY214" s="895" t="n">
        <f aca="false">AX214*K214</f>
        <v>24.689831495683</v>
      </c>
      <c r="AZ214" s="893" t="n">
        <f aca="false">IF(Tables!$B$21=15,0,IF(AY214&gt;($CP214+$BF$4),1,0))</f>
        <v>0</v>
      </c>
      <c r="BA214" s="917"/>
      <c r="BB214" s="892" t="n">
        <f aca="false">IF(Tables!$E$30="New York",INDEX('NY Curve'!$A$4:$M$256,MATCH('Monthly Table'!$B214,'NY Curve'!$A$4:$A$256,0),MATCH("NY Sunday Super Peak",'NY Curve'!$A$4:$M$4,0)),IF(Tables!$E$30="Michigan",INDEX('Michigan Curve'!$A$4:$L$256,MATCH('Monthly Table'!$B214,'Michigan Curve'!$A$4:$A$256,0),MATCH("Michigan Sunday Super Peak",'Michigan Curve'!$A$4:$L$4,0))))</f>
        <v>19.38</v>
      </c>
      <c r="BC214" s="894" t="n">
        <f aca="false">BB214*K214</f>
        <v>24.4127007339968</v>
      </c>
      <c r="BD214" s="893" t="n">
        <f aca="false">IF(BC214&gt;($CP214+$BF$4),1,0)</f>
        <v>1</v>
      </c>
      <c r="BE214" s="917"/>
      <c r="BF214" s="948" t="n">
        <f aca="false">B214</f>
        <v>43070</v>
      </c>
      <c r="BG214" s="897" t="n">
        <f aca="false">IF($AN214=1,$E214*$BF$5,0)</f>
        <v>0</v>
      </c>
      <c r="BH214" s="982" t="n">
        <f aca="false">IF(Tables!$B$36="Combined Cycle",(BF214-BF213)*24*Assumptions!$B$21,0)</f>
        <v>0</v>
      </c>
      <c r="BI214" s="714" t="n">
        <f aca="false">IF($AN214=1,$E214*$BF$5,0)</f>
        <v>0</v>
      </c>
      <c r="BJ214" s="950" t="n">
        <f aca="false">IF('Monthly Table'!D214&lt;=Tables!$B$21,IF($BJ$10=$BG$10,BG214,IF($BJ$10=$BH$10,BH214,IF($BJ$10=$BI$10,BI214,0))),0)</f>
        <v>0</v>
      </c>
      <c r="BK214" s="288"/>
      <c r="BL214" s="898" t="n">
        <f aca="false">IF($AW214=1,$F214*$BF$5,0)</f>
        <v>0</v>
      </c>
      <c r="BM214" s="898" t="n">
        <f aca="false">IF($BD214=1,($G214+H214)*$BF$5,0)</f>
        <v>48</v>
      </c>
      <c r="BO214" s="898" t="n">
        <f aca="false">IF(AS214=1,BJ214,0)</f>
        <v>0</v>
      </c>
      <c r="BP214" s="898" t="n">
        <f aca="false">IF(AZ214=1,F214*$BF$5,0)</f>
        <v>0</v>
      </c>
      <c r="BR214" s="951" t="n">
        <f aca="false">IF(BJ214&gt;0,INDEX(OperationalDetail,MATCH("Capacity Degradation",ODColumn,0),MATCH('Monthly Table'!C214,ODRow,0)),0)</f>
        <v>0</v>
      </c>
      <c r="BS214" s="900" t="n">
        <f aca="false">BJ214*(1-BR214)*Tables!$C$36</f>
        <v>0</v>
      </c>
      <c r="BT214" s="953" t="n">
        <f aca="false">BS214*AL214/1000</f>
        <v>0</v>
      </c>
      <c r="BU214" s="953" t="n">
        <f aca="false">BT214*K214</f>
        <v>0</v>
      </c>
      <c r="BV214" s="188"/>
      <c r="BW214" s="901" t="n">
        <f aca="false">$BO214*(1-$BR214)*Tables!$C$36</f>
        <v>0</v>
      </c>
      <c r="BX214" s="902" t="n">
        <f aca="false">(BW214*AQ214)/1000</f>
        <v>0</v>
      </c>
      <c r="BY214" s="883" t="n">
        <f aca="false">BX214*K214</f>
        <v>0</v>
      </c>
      <c r="BZ214" s="938"/>
      <c r="CA214" s="901" t="n">
        <f aca="false">$BL214*(1-$BR214)*Tables!$C$36</f>
        <v>0</v>
      </c>
      <c r="CB214" s="902" t="n">
        <f aca="false">(CA214*AU214)/1000</f>
        <v>0</v>
      </c>
      <c r="CC214" s="883" t="n">
        <f aca="false">CB214*K214</f>
        <v>0</v>
      </c>
      <c r="CD214" s="901" t="n">
        <f aca="false">$BP214*(1-$BR214)*Tables!$C$36</f>
        <v>0</v>
      </c>
      <c r="CE214" s="902" t="n">
        <f aca="false">(CD214*AX214)/1000</f>
        <v>0</v>
      </c>
      <c r="CF214" s="883" t="n">
        <f aca="false">CE214*K214</f>
        <v>0</v>
      </c>
      <c r="CG214" s="110"/>
      <c r="CH214" s="901" t="n">
        <f aca="false">$BM214*(1-$BR214)*Tables!$C$36</f>
        <v>15552</v>
      </c>
      <c r="CI214" s="902" t="n">
        <f aca="false">(CH214*BB214)/1000</f>
        <v>301.39776</v>
      </c>
      <c r="CJ214" s="883" t="n">
        <f aca="false">CI214*K214</f>
        <v>379.666321815118</v>
      </c>
      <c r="CK214" s="292"/>
      <c r="CL214" s="292" t="n">
        <f aca="false">C214-1</f>
        <v>2016</v>
      </c>
      <c r="CM214" s="903" t="n">
        <f aca="false">INDEX(OperationalDetail,MATCH("Degraded Heat Rate",ODColumn,0),MATCH('Monthly Table'!CL214,ODRow,0))/1000</f>
        <v>11.96</v>
      </c>
      <c r="CN214" s="958" t="n">
        <f aca="false">S214*CM214</f>
        <v>6.43748675320141</v>
      </c>
      <c r="CO214" s="959" t="n">
        <f aca="false">IF(A214="January",(CO213*(1+Assumptions!$E$32)),CO213)</f>
        <v>9.24656971485096</v>
      </c>
      <c r="CP214" s="960" t="n">
        <f aca="false">CN214+CO214</f>
        <v>15.6840564680524</v>
      </c>
      <c r="CQ214" s="292"/>
      <c r="CR214" s="961" t="str">
        <f aca="false">IF(BJ214=0,"",C214)</f>
        <v/>
      </c>
      <c r="CS214" s="856" t="str">
        <f aca="false">IF(BO214=0,"",$C214)</f>
        <v/>
      </c>
      <c r="CT214" s="856" t="str">
        <f aca="false">IF(BL214=0,"",$C214)</f>
        <v/>
      </c>
      <c r="CU214" s="856" t="str">
        <f aca="false">IF(BP214=0,"",$C214)</f>
        <v/>
      </c>
      <c r="CV214" s="856" t="n">
        <f aca="false">IF(BD214=0,"",$C214)</f>
        <v>2017</v>
      </c>
      <c r="CW214" s="962" t="n">
        <f aca="false">YEAR(BF214)</f>
        <v>2017</v>
      </c>
      <c r="CX214" s="963" t="n">
        <f aca="false">INDEX('NY Curve'!$A$4:$G$256,MATCH('Monthly Table'!B214,'NY Curve'!$A$4:$A$256,0),MATCH("New York 5 X 16",'NY Curve'!$A$4:$G$4,0))</f>
        <v>29.3</v>
      </c>
      <c r="CY214" s="964" t="n">
        <f aca="false">K214</f>
        <v>1.25968528039199</v>
      </c>
      <c r="CZ214" s="965" t="n">
        <f aca="false">CX214*CY214</f>
        <v>36.9087787154853</v>
      </c>
      <c r="DA214" s="110"/>
      <c r="DB214" s="911"/>
      <c r="DC214" s="911"/>
      <c r="DD214" s="110"/>
      <c r="DE214" s="110"/>
      <c r="DF214" s="110"/>
      <c r="DG214" s="110"/>
      <c r="DH214" s="110"/>
    </row>
    <row r="215" customFormat="false" ht="18.75" hidden="false" customHeight="true" outlineLevel="0" collapsed="false">
      <c r="A215" s="49" t="s">
        <v>810</v>
      </c>
      <c r="B215" s="863" t="n">
        <v>43101</v>
      </c>
      <c r="C215" s="288" t="n">
        <f aca="false">YEAR(B215)</f>
        <v>2018</v>
      </c>
      <c r="D215" s="864" t="n">
        <f aca="false">IF(A215="January",D214+1,D214)</f>
        <v>18</v>
      </c>
      <c r="E215" s="865" t="n">
        <v>22</v>
      </c>
      <c r="F215" s="866" t="n">
        <v>4</v>
      </c>
      <c r="G215" s="866" t="n">
        <v>4</v>
      </c>
      <c r="H215" s="866" t="n">
        <v>1</v>
      </c>
      <c r="I215" s="867" t="n">
        <f aca="false">SUM(E215:H215)</f>
        <v>31</v>
      </c>
      <c r="J215" s="868"/>
      <c r="K215" s="869" t="n">
        <f aca="false">INDEX(FX!$A$3:$C$362,MATCH(B215,FX!$A$3:$A$362,0),MATCH("Monthly Curve",FX!$A$2:$C$2,0))</f>
        <v>1.25912003079837</v>
      </c>
      <c r="L215" s="869"/>
      <c r="M215" s="993"/>
      <c r="N215" s="994"/>
      <c r="O215" s="986" t="n">
        <v>0.1</v>
      </c>
      <c r="P215" s="872" t="n">
        <f aca="false">N215+O215</f>
        <v>0.1</v>
      </c>
      <c r="Q215" s="873" t="n">
        <f aca="false">SUM(M215:O215)</f>
        <v>0.1</v>
      </c>
      <c r="R215" s="974" t="n">
        <f aca="false">IF(A215="January",(R214+R214*Assumptions!$E$32),R214)</f>
        <v>0.420528530184752</v>
      </c>
      <c r="S215" s="875" t="n">
        <f aca="false">(Q215*K215)+R215</f>
        <v>0.546440533264589</v>
      </c>
      <c r="T215" s="869"/>
      <c r="U215" s="187"/>
      <c r="V215" s="897"/>
      <c r="W215" s="897"/>
      <c r="X215" s="31"/>
      <c r="Y215" s="975" t="n">
        <f aca="false">Tables!$D$36</f>
        <v>312</v>
      </c>
      <c r="Z215" s="879" t="n">
        <f aca="false">IF($Z$10=$V$10,V215,IF($Z$10=$W$10,W215,IF($Z$10=$X$10,X215,0)))</f>
        <v>0</v>
      </c>
      <c r="AA215" s="880" t="n">
        <f aca="false">Y215*Z215</f>
        <v>0</v>
      </c>
      <c r="AB215" s="881" t="n">
        <f aca="false">AA215*K215</f>
        <v>0</v>
      </c>
      <c r="AC215" s="188"/>
      <c r="AD215" s="882" t="n">
        <f aca="false">IF(Tables!$E$30="Michigan",INDEX('Michigan Curve'!$A$4:$S$256,MATCH('Monthly Table'!B215,'Michigan Curve'!$A$4:$A$256,0),MATCH("Michigan Selected Option Value US$/month",'Michigan Curve'!$A$4:$S$4,0)),INDEX('NY Curve'!$A$4:$T$256,MATCH('Monthly Table'!B215,'NY Curve'!$A$4:$A$256,0),MATCH("New York Selected Option Value US$/month",'NY Curve'!$A$4:$T$4,0)))</f>
        <v>0</v>
      </c>
      <c r="AE215" s="883" t="n">
        <f aca="false">AD215*K215</f>
        <v>0</v>
      </c>
      <c r="AF215" s="188"/>
      <c r="AG215" s="884"/>
      <c r="AH215" s="49"/>
      <c r="AI215" s="885" t="n">
        <f aca="false">Assumptions!$B$50</f>
        <v>65</v>
      </c>
      <c r="AJ215" s="916"/>
      <c r="AK215" s="887" t="n">
        <f aca="false">IF(Tables!$E$30="Custom",'Monthly Table'!AI215,IF(Tables!$E$30="New York",INDEX('NY Curve'!$A$4:$G$256,MATCH('Monthly Table'!B215,'NY Curve'!$A$4:$A$256,0),MATCH("Super Peak Curve",'NY Curve'!$A$4:$G$4,0)),IF(Tables!$E$30="New York Flat",INDEX('NY Curve'!$A$4:$G$256,MATCH('Monthly Table'!B215,'NY Curve'!$A$4:$A$256,0),MATCH("Flat NY West",'NY Curve'!$A$4:$G$4,0)),INDEX('Michigan Curve'!$A$4:$F$256,MATCH('Monthly Table'!B215,'Michigan Curve'!$A$4:$A$256,0),MATCH("Michigan Super Peak Curve US$/MWhr",'Michigan Curve'!$A$4:$F$4,0)))))</f>
        <v>37.9440003890991</v>
      </c>
      <c r="AL215" s="888" t="n">
        <f aca="false">IF(D215&lt;=Tables!$B$21,IF($AL$10=$AI$10,AI215,IF($AL$10=$AJ$10,AJ215,IF($AL$10=$AK$10,AK215,0))),0)</f>
        <v>0</v>
      </c>
      <c r="AM215" s="889" t="n">
        <f aca="false">+AL215*K215</f>
        <v>0</v>
      </c>
      <c r="AN215" s="890" t="n">
        <f aca="false">IF((AL215*K215)&gt;(CP215+$BF$4),1,0)</f>
        <v>0</v>
      </c>
      <c r="AO215" s="891"/>
      <c r="AP215" s="894"/>
      <c r="AQ215" s="892" t="n">
        <f aca="false">IF(Tables!$E$30="New York",INDEX('NY Curve'!$A$4:$L$256,MATCH('Monthly Table'!B215,'NY Curve'!$A$4:$A$256,0),MATCH("New York Shoulder Hour Curve Mon-Fri",'NY Curve'!$A$4:$L$4,0)),IF(Tables!$E$30="Michigan",INDEX('Michigan Curve'!$A$4:$K$256,MATCH('Monthly Table'!B215,'Michigan Curve'!$A$4:$A$256,0),MATCH("Michigan Shoulder Hour Curve Mon-Fri",'Michigan Curve'!$A$4:$K$4,0))))</f>
        <v>36.4560003738403</v>
      </c>
      <c r="AR215" s="889" t="n">
        <f aca="false">AQ215*K215</f>
        <v>45.9024803134952</v>
      </c>
      <c r="AS215" s="893" t="n">
        <f aca="false">IF(AR215&gt;($CP215+$BF$4),1,0)</f>
        <v>1</v>
      </c>
      <c r="AU215" s="892" t="n">
        <f aca="false">IF(Tables!$E$30="New York",INDEX('NY Curve'!$A$4:$L$256,MATCH('Monthly Table'!$B215,'NY Curve'!$A$4:$A$256,0),MATCH("New York Saturday Super Peak",'NY Curve'!$A$4:$L$4,0)),IF(Tables!$E$30="Michigan",INDEX('Michigan Curve'!$A$4:$K$256,MATCH('Monthly Table'!$B215,'Michigan Curve'!$A$4:$A$256,0),MATCH("Michigan Saturday Super Peak",'Michigan Curve'!$A$4:$K$4,0))))</f>
        <v>22.44</v>
      </c>
      <c r="AV215" s="894" t="n">
        <f aca="false">AU215*K215</f>
        <v>28.2546534911154</v>
      </c>
      <c r="AW215" s="893" t="n">
        <f aca="false">IF(Tables!$B$21=15,0,IF(AV215&gt;($CP215+$BF$4),1,0))</f>
        <v>0</v>
      </c>
      <c r="AX215" s="892" t="n">
        <f aca="false">IF(Tables!$E$30="New York",INDEX('NY Curve'!$A$4:$L$256,MATCH('Monthly Table'!$B215,'NY Curve'!$A$4:$A$256,0),MATCH("New York Saturday Shoulder Peak",'NY Curve'!$A$4:$L$4,0)),IF(Tables!$E$30="Michigan",INDEX('Michigan Curve'!$A$4:$K$256,MATCH('Monthly Table'!$B215,'Michigan Curve'!$A$4:$A$256,0),MATCH("Michigan Saturday Shoulder Peak",'Michigan Curve'!$A$4:$K$4,0))))</f>
        <v>21.56</v>
      </c>
      <c r="AY215" s="895" t="n">
        <f aca="false">AX215*K215</f>
        <v>27.1466278640129</v>
      </c>
      <c r="AZ215" s="893" t="n">
        <f aca="false">IF(Tables!$B$21=15,0,IF(AY215&gt;($CP215+$BF$4),1,0))</f>
        <v>0</v>
      </c>
      <c r="BB215" s="892" t="n">
        <f aca="false">IF(Tables!$E$30="New York",INDEX('NY Curve'!$A$4:$M$256,MATCH('Monthly Table'!$B215,'NY Curve'!$A$4:$A$256,0),MATCH("NY Sunday Super Peak",'NY Curve'!$A$4:$M$4,0)),IF(Tables!$E$30="Michigan",INDEX('Michigan Curve'!$A$4:$L$256,MATCH('Monthly Table'!$B215,'Michigan Curve'!$A$4:$A$256,0),MATCH("Michigan Sunday Super Peak",'Michigan Curve'!$A$4:$L$4,0))))</f>
        <v>21.42</v>
      </c>
      <c r="BC215" s="894" t="n">
        <f aca="false">BB215*K215</f>
        <v>26.9703510597011</v>
      </c>
      <c r="BD215" s="893" t="n">
        <f aca="false">IF(BC215&gt;($CP215+$BF$4),1,0)</f>
        <v>1</v>
      </c>
      <c r="BF215" s="896" t="n">
        <f aca="false">B215</f>
        <v>43101</v>
      </c>
      <c r="BG215" s="897" t="n">
        <f aca="false">IF($AN215=1,$E215*$BF$5,0)</f>
        <v>0</v>
      </c>
      <c r="BH215" s="976" t="n">
        <f aca="false">IF(Tables!$B$36="Combined Cycle",(BF215-BF214)*24*Assumptions!$B$21,0)</f>
        <v>0</v>
      </c>
      <c r="BI215" s="714" t="n">
        <f aca="false">IF($AN215=1,$E215*$BF$5,0)</f>
        <v>0</v>
      </c>
      <c r="BJ215" s="898" t="n">
        <f aca="false">IF('Monthly Table'!D215&lt;=Tables!$B$21,IF($BJ$10=$BG$10,BG215,IF($BJ$10=$BH$10,BH215,IF($BJ$10=$BI$10,BI215,0))),0)</f>
        <v>0</v>
      </c>
      <c r="BK215" s="288"/>
      <c r="BL215" s="898" t="n">
        <f aca="false">IF($AW215=1,$F215*$BF$5,0)</f>
        <v>0</v>
      </c>
      <c r="BM215" s="898" t="n">
        <f aca="false">IF($BD215=1,($G215+H215)*$BF$5,0)</f>
        <v>40</v>
      </c>
      <c r="BO215" s="898" t="n">
        <f aca="false">IF(AS215=1,BJ215,0)</f>
        <v>0</v>
      </c>
      <c r="BP215" s="898" t="n">
        <f aca="false">IF(AZ215=1,F215*$BF$5,0)</f>
        <v>0</v>
      </c>
      <c r="BR215" s="899" t="n">
        <f aca="false">IF(BJ215&gt;0,INDEX(OperationalDetail,MATCH("Capacity Degradation",ODColumn,0),MATCH('Monthly Table'!C215,ODRow,0)),0)</f>
        <v>0</v>
      </c>
      <c r="BS215" s="900" t="n">
        <f aca="false">BJ215*(1-BR215)*Tables!$C$36</f>
        <v>0</v>
      </c>
      <c r="BT215" s="883" t="n">
        <f aca="false">BS215*AL215/1000</f>
        <v>0</v>
      </c>
      <c r="BU215" s="883" t="n">
        <f aca="false">BT215*K215</f>
        <v>0</v>
      </c>
      <c r="BV215" s="188"/>
      <c r="BW215" s="901" t="n">
        <f aca="false">$BO215*(1-$BR215)*Tables!$C$36</f>
        <v>0</v>
      </c>
      <c r="BX215" s="902" t="n">
        <f aca="false">(BW215*AQ215)/1000</f>
        <v>0</v>
      </c>
      <c r="BY215" s="883" t="n">
        <f aca="false">BX215*K215</f>
        <v>0</v>
      </c>
      <c r="BZ215" s="188"/>
      <c r="CA215" s="901" t="n">
        <f aca="false">$BL215*(1-$BR215)*Tables!$C$36</f>
        <v>0</v>
      </c>
      <c r="CB215" s="902" t="n">
        <f aca="false">(CA215*AU215)/1000</f>
        <v>0</v>
      </c>
      <c r="CC215" s="883" t="n">
        <f aca="false">CB215*K215</f>
        <v>0</v>
      </c>
      <c r="CD215" s="901" t="n">
        <f aca="false">$BP215*(1-$BR215)*Tables!$C$36</f>
        <v>0</v>
      </c>
      <c r="CE215" s="902" t="n">
        <f aca="false">(CD215*AX215)/1000</f>
        <v>0</v>
      </c>
      <c r="CF215" s="883" t="n">
        <f aca="false">CE215*K215</f>
        <v>0</v>
      </c>
      <c r="CH215" s="901" t="n">
        <f aca="false">$BM215*(1-$BR215)*Tables!$C$36</f>
        <v>12960</v>
      </c>
      <c r="CI215" s="902" t="n">
        <f aca="false">(CH215*BB215)/1000</f>
        <v>277.6032</v>
      </c>
      <c r="CJ215" s="883" t="n">
        <f aca="false">CI215*K215</f>
        <v>349.535749733726</v>
      </c>
      <c r="CK215" s="292"/>
      <c r="CL215" s="292" t="n">
        <f aca="false">C215-1</f>
        <v>2017</v>
      </c>
      <c r="CM215" s="903" t="n">
        <f aca="false">INDEX(OperationalDetail,MATCH("Degraded Heat Rate",ODColumn,0),MATCH('Monthly Table'!CL215,ODRow,0))/1000</f>
        <v>11.96</v>
      </c>
      <c r="CN215" s="904" t="n">
        <f aca="false">S215*CM215</f>
        <v>6.53542877784449</v>
      </c>
      <c r="CO215" s="905" t="n">
        <f aca="false">IF(A215="January",(CO214*(1+Assumptions!$E$32)),CO214)</f>
        <v>9.43150110914798</v>
      </c>
      <c r="CP215" s="906" t="n">
        <f aca="false">CN215+CO215</f>
        <v>15.9669298869925</v>
      </c>
      <c r="CQ215" s="292"/>
      <c r="CR215" s="856" t="str">
        <f aca="false">IF(BJ215=0,"",C215)</f>
        <v/>
      </c>
      <c r="CS215" s="856" t="str">
        <f aca="false">IF(BO215=0,"",$C215)</f>
        <v/>
      </c>
      <c r="CT215" s="856" t="str">
        <f aca="false">IF(BL215=0,"",$C215)</f>
        <v/>
      </c>
      <c r="CU215" s="856" t="str">
        <f aca="false">IF(BP215=0,"",$C215)</f>
        <v/>
      </c>
      <c r="CV215" s="856" t="n">
        <f aca="false">IF(BD215=0,"",$C215)</f>
        <v>2018</v>
      </c>
      <c r="CW215" s="907" t="n">
        <f aca="false">YEAR(BF215)</f>
        <v>2018</v>
      </c>
      <c r="CX215" s="908" t="n">
        <f aca="false">INDEX('NY Curve'!$A$4:$G$256,MATCH('Monthly Table'!B215,'NY Curve'!$A$4:$A$256,0),MATCH("New York 5 X 16",'NY Curve'!$A$4:$G$4,0))</f>
        <v>34.85</v>
      </c>
      <c r="CY215" s="909" t="n">
        <f aca="false">K215</f>
        <v>1.25912003079837</v>
      </c>
      <c r="CZ215" s="910" t="n">
        <f aca="false">CX215*CY215</f>
        <v>43.8803330733232</v>
      </c>
      <c r="DB215" s="911"/>
      <c r="DC215" s="911"/>
    </row>
    <row r="216" customFormat="false" ht="18.75" hidden="false" customHeight="true" outlineLevel="0" collapsed="false">
      <c r="A216" s="49" t="s">
        <v>811</v>
      </c>
      <c r="B216" s="863" t="n">
        <v>43132</v>
      </c>
      <c r="C216" s="288" t="n">
        <f aca="false">YEAR(B216)</f>
        <v>2018</v>
      </c>
      <c r="D216" s="864" t="n">
        <f aca="false">IF(A216="January",D215+1,D215)</f>
        <v>18</v>
      </c>
      <c r="E216" s="865" t="n">
        <v>20</v>
      </c>
      <c r="F216" s="866" t="n">
        <v>4</v>
      </c>
      <c r="G216" s="866" t="n">
        <v>4</v>
      </c>
      <c r="H216" s="866" t="n">
        <v>0</v>
      </c>
      <c r="I216" s="867" t="n">
        <f aca="false">SUM(E216:H216)</f>
        <v>28</v>
      </c>
      <c r="J216" s="868"/>
      <c r="K216" s="869" t="n">
        <f aca="false">INDEX(FX!$A$3:$C$362,MATCH(B216,FX!$A$3:$A$362,0),MATCH("Monthly Curve",FX!$A$2:$C$2,0))</f>
        <v>1.25855787473825</v>
      </c>
      <c r="L216" s="869"/>
      <c r="M216" s="993"/>
      <c r="N216" s="994"/>
      <c r="O216" s="986" t="n">
        <v>0.1</v>
      </c>
      <c r="P216" s="872" t="n">
        <f aca="false">N216+O216</f>
        <v>0.1</v>
      </c>
      <c r="Q216" s="873" t="n">
        <f aca="false">SUM(M216:O216)</f>
        <v>0.1</v>
      </c>
      <c r="R216" s="974" t="n">
        <f aca="false">IF(A216="January",(R215+R215*Assumptions!$E$32),R215)</f>
        <v>0.420528530184752</v>
      </c>
      <c r="S216" s="875" t="n">
        <f aca="false">(Q216*K216)+R216</f>
        <v>0.546384317658577</v>
      </c>
      <c r="T216" s="869"/>
      <c r="U216" s="187"/>
      <c r="V216" s="897"/>
      <c r="W216" s="897"/>
      <c r="X216" s="31"/>
      <c r="Y216" s="975" t="n">
        <f aca="false">Tables!$D$36</f>
        <v>312</v>
      </c>
      <c r="Z216" s="879" t="n">
        <f aca="false">IF($Z$10=$V$10,V216,IF($Z$10=$W$10,W216,IF($Z$10=$X$10,X216,0)))</f>
        <v>0</v>
      </c>
      <c r="AA216" s="880" t="n">
        <f aca="false">Y216*Z216</f>
        <v>0</v>
      </c>
      <c r="AB216" s="881" t="n">
        <f aca="false">AA216*K216</f>
        <v>0</v>
      </c>
      <c r="AC216" s="188"/>
      <c r="AD216" s="882" t="n">
        <f aca="false">IF(Tables!$E$30="Michigan",INDEX('Michigan Curve'!$A$4:$S$256,MATCH('Monthly Table'!B216,'Michigan Curve'!$A$4:$A$256,0),MATCH("Michigan Selected Option Value US$/month",'Michigan Curve'!$A$4:$S$4,0)),INDEX('NY Curve'!$A$4:$T$256,MATCH('Monthly Table'!B216,'NY Curve'!$A$4:$A$256,0),MATCH("New York Selected Option Value US$/month",'NY Curve'!$A$4:$T$4,0)))</f>
        <v>0</v>
      </c>
      <c r="AE216" s="883" t="n">
        <f aca="false">AD216*K216</f>
        <v>0</v>
      </c>
      <c r="AF216" s="188"/>
      <c r="AG216" s="884"/>
      <c r="AH216" s="49"/>
      <c r="AI216" s="885" t="n">
        <f aca="false">Assumptions!$B$50</f>
        <v>65</v>
      </c>
      <c r="AJ216" s="916"/>
      <c r="AK216" s="887" t="n">
        <f aca="false">IF(Tables!$E$30="Custom",'Monthly Table'!AI216,IF(Tables!$E$30="New York",INDEX('NY Curve'!$A$4:$G$256,MATCH('Monthly Table'!B216,'NY Curve'!$A$4:$A$256,0),MATCH("Super Peak Curve",'NY Curve'!$A$4:$G$4,0)),IF(Tables!$E$30="New York Flat",INDEX('NY Curve'!$A$4:$G$256,MATCH('Monthly Table'!B216,'NY Curve'!$A$4:$A$256,0),MATCH("Flat NY West",'NY Curve'!$A$4:$G$4,0)),INDEX('Michigan Curve'!$A$4:$F$256,MATCH('Monthly Table'!B216,'Michigan Curve'!$A$4:$A$256,0),MATCH("Michigan Super Peak Curve US$/MWhr",'Michigan Curve'!$A$4:$F$4,0)))))</f>
        <v>37.9439984436035</v>
      </c>
      <c r="AL216" s="888" t="n">
        <f aca="false">IF(D216&lt;=Tables!$B$21,IF($AL$10=$AI$10,AI216,IF($AL$10=$AJ$10,AJ216,IF($AL$10=$AK$10,AK216,0))),0)</f>
        <v>0</v>
      </c>
      <c r="AM216" s="889" t="n">
        <f aca="false">+AL216*K216</f>
        <v>0</v>
      </c>
      <c r="AN216" s="890" t="n">
        <f aca="false">IF((AL216*K216)&gt;(CP216+$BF$4),1,0)</f>
        <v>0</v>
      </c>
      <c r="AO216" s="891"/>
      <c r="AP216" s="894"/>
      <c r="AQ216" s="892" t="n">
        <f aca="false">IF(Tables!$E$30="New York",INDEX('NY Curve'!$A$4:$L$256,MATCH('Monthly Table'!B216,'NY Curve'!$A$4:$A$256,0),MATCH("New York Shoulder Hour Curve Mon-Fri",'NY Curve'!$A$4:$L$4,0)),IF(Tables!$E$30="Michigan",INDEX('Michigan Curve'!$A$4:$K$256,MATCH('Monthly Table'!B216,'Michigan Curve'!$A$4:$A$256,0),MATCH("Michigan Shoulder Hour Curve Mon-Fri",'Michigan Curve'!$A$4:$K$4,0))))</f>
        <v>36.4559985046387</v>
      </c>
      <c r="AR216" s="889" t="n">
        <f aca="false">AQ216*K216</f>
        <v>45.8819839994589</v>
      </c>
      <c r="AS216" s="893" t="n">
        <f aca="false">IF(AR216&gt;($CP216+$BF$4),1,0)</f>
        <v>1</v>
      </c>
      <c r="AU216" s="892" t="n">
        <f aca="false">IF(Tables!$E$30="New York",INDEX('NY Curve'!$A$4:$L$256,MATCH('Monthly Table'!$B216,'NY Curve'!$A$4:$A$256,0),MATCH("New York Saturday Super Peak",'NY Curve'!$A$4:$L$4,0)),IF(Tables!$E$30="Michigan",INDEX('Michigan Curve'!$A$4:$K$256,MATCH('Monthly Table'!$B216,'Michigan Curve'!$A$4:$A$256,0),MATCH("Michigan Saturday Super Peak",'Michigan Curve'!$A$4:$K$4,0))))</f>
        <v>22.4359202957153</v>
      </c>
      <c r="AV216" s="894" t="n">
        <f aca="false">AU216*K216</f>
        <v>28.2369041651723</v>
      </c>
      <c r="AW216" s="893" t="n">
        <f aca="false">IF(Tables!$B$21=15,0,IF(AV216&gt;($CP216+$BF$4),1,0))</f>
        <v>0</v>
      </c>
      <c r="AX216" s="892" t="n">
        <f aca="false">IF(Tables!$E$30="New York",INDEX('NY Curve'!$A$4:$L$256,MATCH('Monthly Table'!$B216,'NY Curve'!$A$4:$A$256,0),MATCH("New York Saturday Shoulder Peak",'NY Curve'!$A$4:$L$4,0)),IF(Tables!$E$30="Michigan",INDEX('Michigan Curve'!$A$4:$K$256,MATCH('Monthly Table'!$B216,'Michigan Curve'!$A$4:$A$256,0),MATCH("Michigan Saturday Shoulder Peak",'Michigan Curve'!$A$4:$K$4,0))))</f>
        <v>21.5560802841187</v>
      </c>
      <c r="AY216" s="895" t="n">
        <f aca="false">AX216*K216</f>
        <v>27.1295745900675</v>
      </c>
      <c r="AZ216" s="893" t="n">
        <f aca="false">IF(Tables!$B$21=15,0,IF(AY216&gt;($CP216+$BF$4),1,0))</f>
        <v>0</v>
      </c>
      <c r="BB216" s="892" t="n">
        <f aca="false">IF(Tables!$E$30="New York",INDEX('NY Curve'!$A$4:$M$256,MATCH('Monthly Table'!$B216,'NY Curve'!$A$4:$A$256,0),MATCH("NY Sunday Super Peak",'NY Curve'!$A$4:$M$4,0)),IF(Tables!$E$30="Michigan",INDEX('Michigan Curve'!$A$4:$L$256,MATCH('Monthly Table'!$B216,'Michigan Curve'!$A$4:$A$256,0),MATCH("Michigan Sunday Super Peak",'Michigan Curve'!$A$4:$L$4,0))))</f>
        <v>21.4164319610596</v>
      </c>
      <c r="BC216" s="894" t="n">
        <f aca="false">BB216*K216</f>
        <v>26.9538190933875</v>
      </c>
      <c r="BD216" s="893" t="n">
        <f aca="false">IF(BC216&gt;($CP216+$BF$4),1,0)</f>
        <v>1</v>
      </c>
      <c r="BF216" s="896" t="n">
        <f aca="false">B216</f>
        <v>43132</v>
      </c>
      <c r="BG216" s="897" t="n">
        <f aca="false">IF($AN216=1,$E216*$BF$5,0)</f>
        <v>0</v>
      </c>
      <c r="BH216" s="976" t="n">
        <f aca="false">IF(Tables!$B$36="Combined Cycle",(BF216-BF215)*24*Assumptions!$B$21,0)</f>
        <v>0</v>
      </c>
      <c r="BI216" s="714" t="n">
        <f aca="false">IF($AN216=1,$E216*$BF$5,0)</f>
        <v>0</v>
      </c>
      <c r="BJ216" s="898" t="n">
        <f aca="false">IF('Monthly Table'!D216&lt;=Tables!$B$21,IF($BJ$10=$BG$10,BG216,IF($BJ$10=$BH$10,BH216,IF($BJ$10=$BI$10,BI216,0))),0)</f>
        <v>0</v>
      </c>
      <c r="BK216" s="288"/>
      <c r="BL216" s="898" t="n">
        <f aca="false">IF($AW216=1,$F216*$BF$5,0)</f>
        <v>0</v>
      </c>
      <c r="BM216" s="898" t="n">
        <f aca="false">IF($BD216=1,($G216+H216)*$BF$5,0)</f>
        <v>32</v>
      </c>
      <c r="BO216" s="898" t="n">
        <f aca="false">IF(AS216=1,BJ216,0)</f>
        <v>0</v>
      </c>
      <c r="BP216" s="898" t="n">
        <f aca="false">IF(AZ216=1,F216*$BF$5,0)</f>
        <v>0</v>
      </c>
      <c r="BR216" s="899" t="n">
        <f aca="false">IF(BJ216&gt;0,INDEX(OperationalDetail,MATCH("Capacity Degradation",ODColumn,0),MATCH('Monthly Table'!C216,ODRow,0)),0)</f>
        <v>0</v>
      </c>
      <c r="BS216" s="900" t="n">
        <f aca="false">BJ216*(1-BR216)*Tables!$C$36</f>
        <v>0</v>
      </c>
      <c r="BT216" s="883" t="n">
        <f aca="false">BS216*AL216/1000</f>
        <v>0</v>
      </c>
      <c r="BU216" s="883" t="n">
        <f aca="false">BT216*K216</f>
        <v>0</v>
      </c>
      <c r="BV216" s="188"/>
      <c r="BW216" s="901" t="n">
        <f aca="false">$BO216*(1-$BR216)*Tables!$C$36</f>
        <v>0</v>
      </c>
      <c r="BX216" s="902" t="n">
        <f aca="false">(BW216*AQ216)/1000</f>
        <v>0</v>
      </c>
      <c r="BY216" s="883" t="n">
        <f aca="false">BX216*K216</f>
        <v>0</v>
      </c>
      <c r="BZ216" s="188"/>
      <c r="CA216" s="901" t="n">
        <f aca="false">$BL216*(1-$BR216)*Tables!$C$36</f>
        <v>0</v>
      </c>
      <c r="CB216" s="902" t="n">
        <f aca="false">(CA216*AU216)/1000</f>
        <v>0</v>
      </c>
      <c r="CC216" s="883" t="n">
        <f aca="false">CB216*K216</f>
        <v>0</v>
      </c>
      <c r="CD216" s="901" t="n">
        <f aca="false">$BP216*(1-$BR216)*Tables!$C$36</f>
        <v>0</v>
      </c>
      <c r="CE216" s="902" t="n">
        <f aca="false">(CD216*AX216)/1000</f>
        <v>0</v>
      </c>
      <c r="CF216" s="883" t="n">
        <f aca="false">CE216*K216</f>
        <v>0</v>
      </c>
      <c r="CH216" s="901" t="n">
        <f aca="false">$BM216*(1-$BR216)*Tables!$C$36</f>
        <v>10368</v>
      </c>
      <c r="CI216" s="902" t="n">
        <f aca="false">(CH216*BB216)/1000</f>
        <v>222.045566572266</v>
      </c>
      <c r="CJ216" s="883" t="n">
        <f aca="false">CI216*K216</f>
        <v>279.457196360241</v>
      </c>
      <c r="CK216" s="292"/>
      <c r="CL216" s="292" t="n">
        <f aca="false">C216-1</f>
        <v>2017</v>
      </c>
      <c r="CM216" s="903" t="n">
        <f aca="false">INDEX(OperationalDetail,MATCH("Degraded Heat Rate",ODColumn,0),MATCH('Monthly Table'!CL216,ODRow,0))/1000</f>
        <v>11.96</v>
      </c>
      <c r="CN216" s="904" t="n">
        <f aca="false">S216*CM216</f>
        <v>6.53475643919658</v>
      </c>
      <c r="CO216" s="905" t="n">
        <f aca="false">IF(A216="January",(CO215*(1+Assumptions!$E$32)),CO215)</f>
        <v>9.43150110914798</v>
      </c>
      <c r="CP216" s="906" t="n">
        <f aca="false">CN216+CO216</f>
        <v>15.9662575483446</v>
      </c>
      <c r="CQ216" s="292"/>
      <c r="CR216" s="856" t="str">
        <f aca="false">IF(BJ216=0,"",C216)</f>
        <v/>
      </c>
      <c r="CS216" s="856" t="str">
        <f aca="false">IF(BO216=0,"",$C216)</f>
        <v/>
      </c>
      <c r="CT216" s="856" t="str">
        <f aca="false">IF(BL216=0,"",$C216)</f>
        <v/>
      </c>
      <c r="CU216" s="856" t="str">
        <f aca="false">IF(BP216=0,"",$C216)</f>
        <v/>
      </c>
      <c r="CV216" s="856" t="n">
        <f aca="false">IF(BD216=0,"",$C216)</f>
        <v>2018</v>
      </c>
      <c r="CW216" s="907" t="n">
        <f aca="false">YEAR(BF216)</f>
        <v>2018</v>
      </c>
      <c r="CX216" s="908" t="n">
        <f aca="false">INDEX('NY Curve'!$A$4:$G$256,MATCH('Monthly Table'!B216,'NY Curve'!$A$4:$A$256,0),MATCH("New York 5 X 16",'NY Curve'!$A$4:$G$4,0))</f>
        <v>34.85</v>
      </c>
      <c r="CY216" s="909" t="n">
        <f aca="false">K216</f>
        <v>1.25855787473825</v>
      </c>
      <c r="CZ216" s="910" t="n">
        <f aca="false">CX216*CY216</f>
        <v>43.860741934628</v>
      </c>
      <c r="DB216" s="911"/>
      <c r="DC216" s="911"/>
    </row>
    <row r="217" customFormat="false" ht="18.75" hidden="false" customHeight="true" outlineLevel="0" collapsed="false">
      <c r="A217" s="49" t="s">
        <v>812</v>
      </c>
      <c r="B217" s="863" t="n">
        <v>43160</v>
      </c>
      <c r="C217" s="288" t="n">
        <f aca="false">YEAR(B217)</f>
        <v>2018</v>
      </c>
      <c r="D217" s="864" t="n">
        <f aca="false">IF(A217="January",D216+1,D216)</f>
        <v>18</v>
      </c>
      <c r="E217" s="865" t="n">
        <v>22</v>
      </c>
      <c r="F217" s="866" t="n">
        <v>5</v>
      </c>
      <c r="G217" s="866" t="n">
        <v>4</v>
      </c>
      <c r="H217" s="866" t="n">
        <v>0</v>
      </c>
      <c r="I217" s="867" t="n">
        <f aca="false">SUM(E217:H217)</f>
        <v>31</v>
      </c>
      <c r="J217" s="868"/>
      <c r="K217" s="869" t="n">
        <f aca="false">INDEX(FX!$A$3:$C$362,MATCH(B217,FX!$A$3:$A$362,0),MATCH("Monthly Curve",FX!$A$2:$C$2,0))</f>
        <v>1.25805277655453</v>
      </c>
      <c r="L217" s="869"/>
      <c r="M217" s="993"/>
      <c r="N217" s="994"/>
      <c r="O217" s="986" t="n">
        <v>0.1</v>
      </c>
      <c r="P217" s="872" t="n">
        <f aca="false">N217+O217</f>
        <v>0.1</v>
      </c>
      <c r="Q217" s="873" t="n">
        <f aca="false">SUM(M217:O217)</f>
        <v>0.1</v>
      </c>
      <c r="R217" s="974" t="n">
        <f aca="false">IF(A217="January",(R216+R216*Assumptions!$E$32),R216)</f>
        <v>0.420528530184752</v>
      </c>
      <c r="S217" s="875" t="n">
        <f aca="false">(Q217*K217)+R217</f>
        <v>0.546333807840205</v>
      </c>
      <c r="T217" s="869"/>
      <c r="U217" s="187"/>
      <c r="V217" s="897"/>
      <c r="W217" s="897"/>
      <c r="X217" s="31"/>
      <c r="Y217" s="975" t="n">
        <f aca="false">Tables!$D$36</f>
        <v>312</v>
      </c>
      <c r="Z217" s="879" t="n">
        <f aca="false">IF($Z$10=$V$10,V217,IF($Z$10=$W$10,W217,IF($Z$10=$X$10,X217,0)))</f>
        <v>0</v>
      </c>
      <c r="AA217" s="880" t="n">
        <f aca="false">Y217*Z217</f>
        <v>0</v>
      </c>
      <c r="AB217" s="881" t="n">
        <f aca="false">AA217*K217</f>
        <v>0</v>
      </c>
      <c r="AC217" s="188"/>
      <c r="AD217" s="882" t="n">
        <f aca="false">IF(Tables!$E$30="Michigan",INDEX('Michigan Curve'!$A$4:$S$256,MATCH('Monthly Table'!B217,'Michigan Curve'!$A$4:$A$256,0),MATCH("Michigan Selected Option Value US$/month",'Michigan Curve'!$A$4:$S$4,0)),INDEX('NY Curve'!$A$4:$T$256,MATCH('Monthly Table'!B217,'NY Curve'!$A$4:$A$256,0),MATCH("New York Selected Option Value US$/month",'NY Curve'!$A$4:$T$4,0)))</f>
        <v>0</v>
      </c>
      <c r="AE217" s="883" t="n">
        <f aca="false">AD217*K217</f>
        <v>0</v>
      </c>
      <c r="AF217" s="188"/>
      <c r="AG217" s="884"/>
      <c r="AH217" s="49"/>
      <c r="AI217" s="885" t="n">
        <f aca="false">Assumptions!$B$50</f>
        <v>65</v>
      </c>
      <c r="AJ217" s="916"/>
      <c r="AK217" s="887" t="n">
        <f aca="false">IF(Tables!$E$30="Custom",'Monthly Table'!AI217,IF(Tables!$E$30="New York",INDEX('NY Curve'!$A$4:$G$256,MATCH('Monthly Table'!B217,'NY Curve'!$A$4:$A$256,0),MATCH("Super Peak Curve",'NY Curve'!$A$4:$G$4,0)),IF(Tables!$E$30="New York Flat",INDEX('NY Curve'!$A$4:$G$256,MATCH('Monthly Table'!B217,'NY Curve'!$A$4:$A$256,0),MATCH("Flat NY West",'NY Curve'!$A$4:$G$4,0)),INDEX('Michigan Curve'!$A$4:$F$256,MATCH('Monthly Table'!B217,'Michigan Curve'!$A$4:$A$256,0),MATCH("Michigan Super Peak Curve US$/MWhr",'Michigan Curve'!$A$4:$F$4,0)))))</f>
        <v>32.64</v>
      </c>
      <c r="AL217" s="888" t="n">
        <f aca="false">IF(D217&lt;=Tables!$B$21,IF($AL$10=$AI$10,AI217,IF($AL$10=$AJ$10,AJ217,IF($AL$10=$AK$10,AK217,0))),0)</f>
        <v>0</v>
      </c>
      <c r="AM217" s="889" t="n">
        <f aca="false">+AL217*K217</f>
        <v>0</v>
      </c>
      <c r="AN217" s="890" t="n">
        <f aca="false">IF((AL217*K217)&gt;(CP217+$BF$4),1,0)</f>
        <v>0</v>
      </c>
      <c r="AO217" s="891"/>
      <c r="AP217" s="894"/>
      <c r="AQ217" s="892" t="n">
        <f aca="false">IF(Tables!$E$30="New York",INDEX('NY Curve'!$A$4:$L$256,MATCH('Monthly Table'!B217,'NY Curve'!$A$4:$A$256,0),MATCH("New York Shoulder Hour Curve Mon-Fri",'NY Curve'!$A$4:$L$4,0)),IF(Tables!$E$30="Michigan",INDEX('Michigan Curve'!$A$4:$K$256,MATCH('Monthly Table'!B217,'Michigan Curve'!$A$4:$A$256,0),MATCH("Michigan Shoulder Hour Curve Mon-Fri",'Michigan Curve'!$A$4:$K$4,0))))</f>
        <v>31.36</v>
      </c>
      <c r="AR217" s="889" t="n">
        <f aca="false">AQ217*K217</f>
        <v>39.4525350727501</v>
      </c>
      <c r="AS217" s="893" t="n">
        <f aca="false">IF(AR217&gt;($CP217+$BF$4),1,0)</f>
        <v>1</v>
      </c>
      <c r="AU217" s="892" t="n">
        <f aca="false">IF(Tables!$E$30="New York",INDEX('NY Curve'!$A$4:$L$256,MATCH('Monthly Table'!$B217,'NY Curve'!$A$4:$A$256,0),MATCH("New York Saturday Super Peak",'NY Curve'!$A$4:$L$4,0)),IF(Tables!$E$30="Michigan",INDEX('Michigan Curve'!$A$4:$K$256,MATCH('Monthly Table'!$B217,'Michigan Curve'!$A$4:$A$256,0),MATCH("Michigan Saturday Super Peak",'Michigan Curve'!$A$4:$K$4,0))))</f>
        <v>20.4</v>
      </c>
      <c r="AV217" s="894" t="n">
        <f aca="false">AU217*K217</f>
        <v>25.6642766417124</v>
      </c>
      <c r="AW217" s="893" t="n">
        <f aca="false">IF(Tables!$B$21=15,0,IF(AV217&gt;($CP217+$BF$4),1,0))</f>
        <v>0</v>
      </c>
      <c r="AX217" s="892" t="n">
        <f aca="false">IF(Tables!$E$30="New York",INDEX('NY Curve'!$A$4:$L$256,MATCH('Monthly Table'!$B217,'NY Curve'!$A$4:$A$256,0),MATCH("New York Saturday Shoulder Peak",'NY Curve'!$A$4:$L$4,0)),IF(Tables!$E$30="Michigan",INDEX('Michigan Curve'!$A$4:$K$256,MATCH('Monthly Table'!$B217,'Michigan Curve'!$A$4:$A$256,0),MATCH("Michigan Saturday Shoulder Peak",'Michigan Curve'!$A$4:$K$4,0))))</f>
        <v>19.6</v>
      </c>
      <c r="AY217" s="895" t="n">
        <f aca="false">AX217*K217</f>
        <v>24.6578344204688</v>
      </c>
      <c r="AZ217" s="893" t="n">
        <f aca="false">IF(Tables!$B$21=15,0,IF(AY217&gt;($CP217+$BF$4),1,0))</f>
        <v>0</v>
      </c>
      <c r="BB217" s="892" t="n">
        <f aca="false">IF(Tables!$E$30="New York",INDEX('NY Curve'!$A$4:$M$256,MATCH('Monthly Table'!$B217,'NY Curve'!$A$4:$A$256,0),MATCH("NY Sunday Super Peak",'NY Curve'!$A$4:$M$4,0)),IF(Tables!$E$30="Michigan",INDEX('Michigan Curve'!$A$4:$L$256,MATCH('Monthly Table'!$B217,'Michigan Curve'!$A$4:$A$256,0),MATCH("Michigan Sunday Super Peak",'Michigan Curve'!$A$4:$L$4,0))))</f>
        <v>19.38</v>
      </c>
      <c r="BC217" s="894" t="n">
        <f aca="false">BB217*K217</f>
        <v>24.3810628096268</v>
      </c>
      <c r="BD217" s="893" t="n">
        <f aca="false">IF(BC217&gt;($CP217+$BF$4),1,0)</f>
        <v>1</v>
      </c>
      <c r="BF217" s="896" t="n">
        <f aca="false">B217</f>
        <v>43160</v>
      </c>
      <c r="BG217" s="897" t="n">
        <f aca="false">IF($AN217=1,$E217*$BF$5,0)</f>
        <v>0</v>
      </c>
      <c r="BH217" s="976" t="n">
        <f aca="false">IF(Tables!$B$36="Combined Cycle",(BF217-BF216)*24*Assumptions!$B$21,0)</f>
        <v>0</v>
      </c>
      <c r="BI217" s="714" t="n">
        <f aca="false">IF($AN217=1,$E217*$BF$5,0)</f>
        <v>0</v>
      </c>
      <c r="BJ217" s="898" t="n">
        <f aca="false">IF('Monthly Table'!D217&lt;=Tables!$B$21,IF($BJ$10=$BG$10,BG217,IF($BJ$10=$BH$10,BH217,IF($BJ$10=$BI$10,BI217,0))),0)</f>
        <v>0</v>
      </c>
      <c r="BK217" s="288"/>
      <c r="BL217" s="898" t="n">
        <f aca="false">IF($AW217=1,$F217*$BF$5,0)</f>
        <v>0</v>
      </c>
      <c r="BM217" s="898" t="n">
        <f aca="false">IF($BD217=1,($G217+H217)*$BF$5,0)</f>
        <v>32</v>
      </c>
      <c r="BO217" s="898" t="n">
        <f aca="false">IF(AS217=1,BJ217,0)</f>
        <v>0</v>
      </c>
      <c r="BP217" s="898" t="n">
        <f aca="false">IF(AZ217=1,F217*$BF$5,0)</f>
        <v>0</v>
      </c>
      <c r="BR217" s="899" t="n">
        <f aca="false">IF(BJ217&gt;0,INDEX(OperationalDetail,MATCH("Capacity Degradation",ODColumn,0),MATCH('Monthly Table'!C217,ODRow,0)),0)</f>
        <v>0</v>
      </c>
      <c r="BS217" s="900" t="n">
        <f aca="false">BJ217*(1-BR217)*Tables!$C$36</f>
        <v>0</v>
      </c>
      <c r="BT217" s="883" t="n">
        <f aca="false">BS217*AL217/1000</f>
        <v>0</v>
      </c>
      <c r="BU217" s="883" t="n">
        <f aca="false">BT217*K217</f>
        <v>0</v>
      </c>
      <c r="BV217" s="188"/>
      <c r="BW217" s="901" t="n">
        <f aca="false">$BO217*(1-$BR217)*Tables!$C$36</f>
        <v>0</v>
      </c>
      <c r="BX217" s="902" t="n">
        <f aca="false">(BW217*AQ217)/1000</f>
        <v>0</v>
      </c>
      <c r="BY217" s="883" t="n">
        <f aca="false">BX217*K217</f>
        <v>0</v>
      </c>
      <c r="BZ217" s="188"/>
      <c r="CA217" s="901" t="n">
        <f aca="false">$BL217*(1-$BR217)*Tables!$C$36</f>
        <v>0</v>
      </c>
      <c r="CB217" s="902" t="n">
        <f aca="false">(CA217*AU217)/1000</f>
        <v>0</v>
      </c>
      <c r="CC217" s="883" t="n">
        <f aca="false">CB217*K217</f>
        <v>0</v>
      </c>
      <c r="CD217" s="901" t="n">
        <f aca="false">$BP217*(1-$BR217)*Tables!$C$36</f>
        <v>0</v>
      </c>
      <c r="CE217" s="902" t="n">
        <f aca="false">(CD217*AX217)/1000</f>
        <v>0</v>
      </c>
      <c r="CF217" s="883" t="n">
        <f aca="false">CE217*K217</f>
        <v>0</v>
      </c>
      <c r="CH217" s="901" t="n">
        <f aca="false">$BM217*(1-$BR217)*Tables!$C$36</f>
        <v>10368</v>
      </c>
      <c r="CI217" s="902" t="n">
        <f aca="false">(CH217*BB217)/1000</f>
        <v>200.93184</v>
      </c>
      <c r="CJ217" s="883" t="n">
        <f aca="false">CI217*K217</f>
        <v>252.782859210211</v>
      </c>
      <c r="CK217" s="292"/>
      <c r="CL217" s="292" t="n">
        <f aca="false">C217-1</f>
        <v>2017</v>
      </c>
      <c r="CM217" s="903" t="n">
        <f aca="false">INDEX(OperationalDetail,MATCH("Degraded Heat Rate",ODColumn,0),MATCH('Monthly Table'!CL217,ODRow,0))/1000</f>
        <v>11.96</v>
      </c>
      <c r="CN217" s="904" t="n">
        <f aca="false">S217*CM217</f>
        <v>6.53415234176885</v>
      </c>
      <c r="CO217" s="905" t="n">
        <f aca="false">IF(A217="January",(CO216*(1+Assumptions!$E$32)),CO216)</f>
        <v>9.43150110914798</v>
      </c>
      <c r="CP217" s="906" t="n">
        <f aca="false">CN217+CO217</f>
        <v>15.9656534509168</v>
      </c>
      <c r="CQ217" s="292"/>
      <c r="CR217" s="856" t="str">
        <f aca="false">IF(BJ217=0,"",C217)</f>
        <v/>
      </c>
      <c r="CS217" s="856" t="str">
        <f aca="false">IF(BO217=0,"",$C217)</f>
        <v/>
      </c>
      <c r="CT217" s="856" t="str">
        <f aca="false">IF(BL217=0,"",$C217)</f>
        <v/>
      </c>
      <c r="CU217" s="856" t="str">
        <f aca="false">IF(BP217=0,"",$C217)</f>
        <v/>
      </c>
      <c r="CV217" s="856" t="n">
        <f aca="false">IF(BD217=0,"",$C217)</f>
        <v>2018</v>
      </c>
      <c r="CW217" s="907" t="n">
        <f aca="false">YEAR(BF217)</f>
        <v>2018</v>
      </c>
      <c r="CX217" s="908" t="n">
        <f aca="false">INDEX('NY Curve'!$A$4:$G$256,MATCH('Monthly Table'!B217,'NY Curve'!$A$4:$A$256,0),MATCH("New York 5 X 16",'NY Curve'!$A$4:$G$4,0))</f>
        <v>29.85</v>
      </c>
      <c r="CY217" s="909" t="n">
        <f aca="false">K217</f>
        <v>1.25805277655453</v>
      </c>
      <c r="CZ217" s="910" t="n">
        <f aca="false">CX217*CY217</f>
        <v>37.5528753801527</v>
      </c>
      <c r="DB217" s="911"/>
      <c r="DC217" s="911"/>
    </row>
    <row r="218" customFormat="false" ht="18.75" hidden="false" customHeight="true" outlineLevel="0" collapsed="false">
      <c r="A218" s="49" t="s">
        <v>813</v>
      </c>
      <c r="B218" s="863" t="n">
        <v>43191</v>
      </c>
      <c r="C218" s="288" t="n">
        <f aca="false">YEAR(B218)</f>
        <v>2018</v>
      </c>
      <c r="D218" s="864" t="n">
        <f aca="false">IF(A218="January",D217+1,D217)</f>
        <v>18</v>
      </c>
      <c r="E218" s="865" t="n">
        <v>21</v>
      </c>
      <c r="F218" s="866" t="n">
        <v>4</v>
      </c>
      <c r="G218" s="866" t="n">
        <v>5</v>
      </c>
      <c r="H218" s="866" t="n">
        <v>0</v>
      </c>
      <c r="I218" s="867" t="n">
        <f aca="false">SUM(E218:H218)</f>
        <v>30</v>
      </c>
      <c r="J218" s="868"/>
      <c r="K218" s="869" t="n">
        <f aca="false">INDEX(FX!$A$3:$C$362,MATCH(B218,FX!$A$3:$A$362,0),MATCH("Monthly Curve",FX!$A$2:$C$2,0))</f>
        <v>1.25749649731001</v>
      </c>
      <c r="L218" s="869"/>
      <c r="M218" s="993"/>
      <c r="N218" s="994"/>
      <c r="O218" s="986" t="n">
        <v>0.1</v>
      </c>
      <c r="P218" s="872" t="n">
        <f aca="false">N218+O218</f>
        <v>0.1</v>
      </c>
      <c r="Q218" s="873" t="n">
        <f aca="false">SUM(M218:O218)</f>
        <v>0.1</v>
      </c>
      <c r="R218" s="974" t="n">
        <f aca="false">IF(A218="January",(R217+R217*Assumptions!$E$32),R217)</f>
        <v>0.420528530184752</v>
      </c>
      <c r="S218" s="875" t="n">
        <f aca="false">(Q218*K218)+R218</f>
        <v>0.546278179915753</v>
      </c>
      <c r="T218" s="869"/>
      <c r="U218" s="187"/>
      <c r="V218" s="897"/>
      <c r="W218" s="897"/>
      <c r="X218" s="31"/>
      <c r="Y218" s="975" t="n">
        <f aca="false">Tables!$D$36</f>
        <v>312</v>
      </c>
      <c r="Z218" s="879" t="n">
        <f aca="false">IF($Z$10=$V$10,V218,IF($Z$10=$W$10,W218,IF($Z$10=$X$10,X218,0)))</f>
        <v>0</v>
      </c>
      <c r="AA218" s="880" t="n">
        <f aca="false">Y218*Z218</f>
        <v>0</v>
      </c>
      <c r="AB218" s="881" t="n">
        <f aca="false">AA218*K218</f>
        <v>0</v>
      </c>
      <c r="AC218" s="188"/>
      <c r="AD218" s="882" t="n">
        <f aca="false">IF(Tables!$E$30="Michigan",INDEX('Michigan Curve'!$A$4:$S$256,MATCH('Monthly Table'!B218,'Michigan Curve'!$A$4:$A$256,0),MATCH("Michigan Selected Option Value US$/month",'Michigan Curve'!$A$4:$S$4,0)),INDEX('NY Curve'!$A$4:$T$256,MATCH('Monthly Table'!B218,'NY Curve'!$A$4:$A$256,0),MATCH("New York Selected Option Value US$/month",'NY Curve'!$A$4:$T$4,0)))</f>
        <v>0</v>
      </c>
      <c r="AE218" s="883" t="n">
        <f aca="false">AD218*K218</f>
        <v>0</v>
      </c>
      <c r="AF218" s="188"/>
      <c r="AG218" s="884"/>
      <c r="AH218" s="49"/>
      <c r="AI218" s="885" t="n">
        <f aca="false">Assumptions!$B$50</f>
        <v>65</v>
      </c>
      <c r="AJ218" s="916"/>
      <c r="AK218" s="887" t="n">
        <f aca="false">IF(Tables!$E$30="Custom",'Monthly Table'!AI218,IF(Tables!$E$30="New York",INDEX('NY Curve'!$A$4:$G$256,MATCH('Monthly Table'!B218,'NY Curve'!$A$4:$A$256,0),MATCH("Super Peak Curve",'NY Curve'!$A$4:$G$4,0)),IF(Tables!$E$30="New York Flat",INDEX('NY Curve'!$A$4:$G$256,MATCH('Monthly Table'!B218,'NY Curve'!$A$4:$A$256,0),MATCH("Flat NY West",'NY Curve'!$A$4:$G$4,0)),INDEX('Michigan Curve'!$A$4:$F$256,MATCH('Monthly Table'!B218,'Michigan Curve'!$A$4:$A$256,0),MATCH("Michigan Super Peak Curve US$/MWhr",'Michigan Curve'!$A$4:$F$4,0)))))</f>
        <v>32.25</v>
      </c>
      <c r="AL218" s="888" t="n">
        <f aca="false">IF(D218&lt;=Tables!$B$21,IF($AL$10=$AI$10,AI218,IF($AL$10=$AJ$10,AJ218,IF($AL$10=$AK$10,AK218,0))),0)</f>
        <v>0</v>
      </c>
      <c r="AM218" s="889" t="n">
        <f aca="false">+AL218*K218</f>
        <v>0</v>
      </c>
      <c r="AN218" s="890" t="n">
        <f aca="false">IF((AL218*K218)&gt;(CP218+$BF$4),1,0)</f>
        <v>0</v>
      </c>
      <c r="AO218" s="891"/>
      <c r="AP218" s="894"/>
      <c r="AQ218" s="892" t="n">
        <f aca="false">IF(Tables!$E$30="New York",INDEX('NY Curve'!$A$4:$L$256,MATCH('Monthly Table'!B218,'NY Curve'!$A$4:$A$256,0),MATCH("New York Shoulder Hour Curve Mon-Fri",'NY Curve'!$A$4:$L$4,0)),IF(Tables!$E$30="Michigan",INDEX('Michigan Curve'!$A$4:$K$256,MATCH('Monthly Table'!B218,'Michigan Curve'!$A$4:$A$256,0),MATCH("Michigan Shoulder Hour Curve Mon-Fri",'Michigan Curve'!$A$4:$K$4,0))))</f>
        <v>32.25</v>
      </c>
      <c r="AR218" s="889" t="n">
        <f aca="false">AQ218*K218</f>
        <v>40.5542620382478</v>
      </c>
      <c r="AS218" s="893" t="n">
        <f aca="false">IF(AR218&gt;($CP218+$BF$4),1,0)</f>
        <v>1</v>
      </c>
      <c r="AU218" s="892" t="n">
        <f aca="false">IF(Tables!$E$30="New York",INDEX('NY Curve'!$A$4:$L$256,MATCH('Monthly Table'!$B218,'NY Curve'!$A$4:$A$256,0),MATCH("New York Saturday Super Peak",'NY Curve'!$A$4:$L$4,0)),IF(Tables!$E$30="Michigan",INDEX('Michigan Curve'!$A$4:$K$256,MATCH('Monthly Table'!$B218,'Michigan Curve'!$A$4:$A$256,0),MATCH("Michigan Saturday Super Peak",'Michigan Curve'!$A$4:$K$4,0))))</f>
        <v>20</v>
      </c>
      <c r="AV218" s="894" t="n">
        <f aca="false">AU218*K218</f>
        <v>25.1499299462002</v>
      </c>
      <c r="AW218" s="893" t="n">
        <f aca="false">IF(Tables!$B$21=15,0,IF(AV218&gt;($CP218+$BF$4),1,0))</f>
        <v>0</v>
      </c>
      <c r="AX218" s="892" t="n">
        <f aca="false">IF(Tables!$E$30="New York",INDEX('NY Curve'!$A$4:$L$256,MATCH('Monthly Table'!$B218,'NY Curve'!$A$4:$A$256,0),MATCH("New York Saturday Shoulder Peak",'NY Curve'!$A$4:$L$4,0)),IF(Tables!$E$30="Michigan",INDEX('Michigan Curve'!$A$4:$K$256,MATCH('Monthly Table'!$B218,'Michigan Curve'!$A$4:$A$256,0),MATCH("Michigan Saturday Shoulder Peak",'Michigan Curve'!$A$4:$K$4,0))))</f>
        <v>20</v>
      </c>
      <c r="AY218" s="895" t="n">
        <f aca="false">AX218*K218</f>
        <v>25.1499299462002</v>
      </c>
      <c r="AZ218" s="893" t="n">
        <f aca="false">IF(Tables!$B$21=15,0,IF(AY218&gt;($CP218+$BF$4),1,0))</f>
        <v>0</v>
      </c>
      <c r="BB218" s="892" t="n">
        <f aca="false">IF(Tables!$E$30="New York",INDEX('NY Curve'!$A$4:$M$256,MATCH('Monthly Table'!$B218,'NY Curve'!$A$4:$A$256,0),MATCH("NY Sunday Super Peak",'NY Curve'!$A$4:$M$4,0)),IF(Tables!$E$30="Michigan",INDEX('Michigan Curve'!$A$4:$L$256,MATCH('Monthly Table'!$B218,'Michigan Curve'!$A$4:$A$256,0),MATCH("Michigan Sunday Super Peak",'Michigan Curve'!$A$4:$L$4,0))))</f>
        <v>18.9950008392334</v>
      </c>
      <c r="BC218" s="894" t="n">
        <f aca="false">BB218*K218</f>
        <v>23.8861470217367</v>
      </c>
      <c r="BD218" s="893" t="n">
        <f aca="false">IF(BC218&gt;($CP218+$BF$4),1,0)</f>
        <v>1</v>
      </c>
      <c r="BF218" s="896" t="n">
        <f aca="false">B218</f>
        <v>43191</v>
      </c>
      <c r="BG218" s="897" t="n">
        <f aca="false">IF($AN218=1,$E218*$BF$5,0)</f>
        <v>0</v>
      </c>
      <c r="BH218" s="976" t="n">
        <f aca="false">IF(Tables!$B$36="Combined Cycle",(BF218-BF217)*24*Assumptions!$B$21,0)</f>
        <v>0</v>
      </c>
      <c r="BI218" s="714" t="n">
        <f aca="false">IF($AN218=1,$E218*$BF$5,0)</f>
        <v>0</v>
      </c>
      <c r="BJ218" s="898" t="n">
        <f aca="false">IF('Monthly Table'!D218&lt;=Tables!$B$21,IF($BJ$10=$BG$10,BG218,IF($BJ$10=$BH$10,BH218,IF($BJ$10=$BI$10,BI218,0))),0)</f>
        <v>0</v>
      </c>
      <c r="BK218" s="288"/>
      <c r="BL218" s="898" t="n">
        <f aca="false">IF($AW218=1,$F218*$BF$5,0)</f>
        <v>0</v>
      </c>
      <c r="BM218" s="898" t="n">
        <f aca="false">IF($BD218=1,($G218+H218)*$BF$5,0)</f>
        <v>40</v>
      </c>
      <c r="BO218" s="898" t="n">
        <f aca="false">IF(AS218=1,BJ218,0)</f>
        <v>0</v>
      </c>
      <c r="BP218" s="898" t="n">
        <f aca="false">IF(AZ218=1,F218*$BF$5,0)</f>
        <v>0</v>
      </c>
      <c r="BR218" s="899" t="n">
        <f aca="false">IF(BJ218&gt;0,INDEX(OperationalDetail,MATCH("Capacity Degradation",ODColumn,0),MATCH('Monthly Table'!C218,ODRow,0)),0)</f>
        <v>0</v>
      </c>
      <c r="BS218" s="900" t="n">
        <f aca="false">BJ218*(1-BR218)*Tables!$C$36</f>
        <v>0</v>
      </c>
      <c r="BT218" s="883" t="n">
        <f aca="false">BS218*AL218/1000</f>
        <v>0</v>
      </c>
      <c r="BU218" s="883" t="n">
        <f aca="false">BT218*K218</f>
        <v>0</v>
      </c>
      <c r="BV218" s="188"/>
      <c r="BW218" s="901" t="n">
        <f aca="false">$BO218*(1-$BR218)*Tables!$C$36</f>
        <v>0</v>
      </c>
      <c r="BX218" s="902" t="n">
        <f aca="false">(BW218*AQ218)/1000</f>
        <v>0</v>
      </c>
      <c r="BY218" s="883" t="n">
        <f aca="false">BX218*K218</f>
        <v>0</v>
      </c>
      <c r="BZ218" s="188"/>
      <c r="CA218" s="901" t="n">
        <f aca="false">$BL218*(1-$BR218)*Tables!$C$36</f>
        <v>0</v>
      </c>
      <c r="CB218" s="902" t="n">
        <f aca="false">(CA218*AU218)/1000</f>
        <v>0</v>
      </c>
      <c r="CC218" s="883" t="n">
        <f aca="false">CB218*K218</f>
        <v>0</v>
      </c>
      <c r="CD218" s="901" t="n">
        <f aca="false">$BP218*(1-$BR218)*Tables!$C$36</f>
        <v>0</v>
      </c>
      <c r="CE218" s="902" t="n">
        <f aca="false">(CD218*AX218)/1000</f>
        <v>0</v>
      </c>
      <c r="CF218" s="883" t="n">
        <f aca="false">CE218*K218</f>
        <v>0</v>
      </c>
      <c r="CH218" s="901" t="n">
        <f aca="false">$BM218*(1-$BR218)*Tables!$C$36</f>
        <v>12960</v>
      </c>
      <c r="CI218" s="902" t="n">
        <f aca="false">(CH218*BB218)/1000</f>
        <v>246.175210876465</v>
      </c>
      <c r="CJ218" s="883" t="n">
        <f aca="false">CI218*K218</f>
        <v>309.564465401708</v>
      </c>
      <c r="CK218" s="292"/>
      <c r="CL218" s="292" t="n">
        <f aca="false">C218-1</f>
        <v>2017</v>
      </c>
      <c r="CM218" s="903" t="n">
        <f aca="false">INDEX(OperationalDetail,MATCH("Degraded Heat Rate",ODColumn,0),MATCH('Monthly Table'!CL218,ODRow,0))/1000</f>
        <v>11.96</v>
      </c>
      <c r="CN218" s="904" t="n">
        <f aca="false">S218*CM218</f>
        <v>6.53348703179241</v>
      </c>
      <c r="CO218" s="905" t="n">
        <f aca="false">IF(A218="January",(CO217*(1+Assumptions!$E$32)),CO217)</f>
        <v>9.43150110914798</v>
      </c>
      <c r="CP218" s="906" t="n">
        <f aca="false">CN218+CO218</f>
        <v>15.9649881409404</v>
      </c>
      <c r="CQ218" s="292"/>
      <c r="CR218" s="856" t="str">
        <f aca="false">IF(BJ218=0,"",C218)</f>
        <v/>
      </c>
      <c r="CS218" s="856" t="str">
        <f aca="false">IF(BO218=0,"",$C218)</f>
        <v/>
      </c>
      <c r="CT218" s="856" t="str">
        <f aca="false">IF(BL218=0,"",$C218)</f>
        <v/>
      </c>
      <c r="CU218" s="856" t="str">
        <f aca="false">IF(BP218=0,"",$C218)</f>
        <v/>
      </c>
      <c r="CV218" s="856" t="n">
        <f aca="false">IF(BD218=0,"",$C218)</f>
        <v>2018</v>
      </c>
      <c r="CW218" s="907" t="n">
        <f aca="false">YEAR(BF218)</f>
        <v>2018</v>
      </c>
      <c r="CX218" s="908" t="n">
        <f aca="false">INDEX('NY Curve'!$A$4:$G$256,MATCH('Monthly Table'!B218,'NY Curve'!$A$4:$A$256,0),MATCH("New York 5 X 16",'NY Curve'!$A$4:$G$4,0))</f>
        <v>28.6</v>
      </c>
      <c r="CY218" s="909" t="n">
        <f aca="false">K218</f>
        <v>1.25749649731001</v>
      </c>
      <c r="CZ218" s="910" t="n">
        <f aca="false">CX218*CY218</f>
        <v>35.9643998230663</v>
      </c>
      <c r="DB218" s="911"/>
      <c r="DC218" s="911"/>
    </row>
    <row r="219" customFormat="false" ht="18.75" hidden="false" customHeight="true" outlineLevel="0" collapsed="false">
      <c r="A219" s="49" t="s">
        <v>814</v>
      </c>
      <c r="B219" s="863" t="n">
        <v>43221</v>
      </c>
      <c r="C219" s="288" t="n">
        <f aca="false">YEAR(B219)</f>
        <v>2018</v>
      </c>
      <c r="D219" s="864" t="n">
        <f aca="false">IF(A219="January",D218+1,D218)</f>
        <v>18</v>
      </c>
      <c r="E219" s="865" t="n">
        <v>22</v>
      </c>
      <c r="F219" s="866" t="n">
        <v>4</v>
      </c>
      <c r="G219" s="866" t="n">
        <v>4</v>
      </c>
      <c r="H219" s="866" t="n">
        <v>1</v>
      </c>
      <c r="I219" s="867" t="n">
        <f aca="false">SUM(E219:H219)</f>
        <v>31</v>
      </c>
      <c r="J219" s="868"/>
      <c r="K219" s="869" t="n">
        <f aca="false">INDEX(FX!$A$3:$C$362,MATCH(B219,FX!$A$3:$A$362,0),MATCH("Monthly Curve",FX!$A$2:$C$2,0))</f>
        <v>1.25696109721058</v>
      </c>
      <c r="L219" s="869"/>
      <c r="M219" s="993"/>
      <c r="N219" s="994"/>
      <c r="O219" s="986" t="n">
        <v>0.1</v>
      </c>
      <c r="P219" s="872" t="n">
        <f aca="false">N219+O219</f>
        <v>0.1</v>
      </c>
      <c r="Q219" s="873" t="n">
        <f aca="false">SUM(M219:O219)</f>
        <v>0.1</v>
      </c>
      <c r="R219" s="974" t="n">
        <f aca="false">IF(A219="January",(R218+R218*Assumptions!$E$32),R218)</f>
        <v>0.420528530184752</v>
      </c>
      <c r="S219" s="875" t="n">
        <f aca="false">(Q219*K219)+R219</f>
        <v>0.54622463990581</v>
      </c>
      <c r="T219" s="869"/>
      <c r="U219" s="187"/>
      <c r="V219" s="897"/>
      <c r="W219" s="897"/>
      <c r="X219" s="31"/>
      <c r="Y219" s="975" t="n">
        <f aca="false">Tables!$D$36</f>
        <v>312</v>
      </c>
      <c r="Z219" s="879" t="n">
        <f aca="false">IF($Z$10=$V$10,V219,IF($Z$10=$W$10,W219,IF($Z$10=$X$10,X219,0)))</f>
        <v>0</v>
      </c>
      <c r="AA219" s="880" t="n">
        <f aca="false">Y219*Z219</f>
        <v>0</v>
      </c>
      <c r="AB219" s="881" t="n">
        <f aca="false">AA219*K219</f>
        <v>0</v>
      </c>
      <c r="AC219" s="188"/>
      <c r="AD219" s="882" t="n">
        <f aca="false">IF(Tables!$E$30="Michigan",INDEX('Michigan Curve'!$A$4:$S$256,MATCH('Monthly Table'!B219,'Michigan Curve'!$A$4:$A$256,0),MATCH("Michigan Selected Option Value US$/month",'Michigan Curve'!$A$4:$S$4,0)),INDEX('NY Curve'!$A$4:$T$256,MATCH('Monthly Table'!B219,'NY Curve'!$A$4:$A$256,0),MATCH("New York Selected Option Value US$/month",'NY Curve'!$A$4:$T$4,0)))</f>
        <v>0</v>
      </c>
      <c r="AE219" s="883" t="n">
        <f aca="false">AD219*K219</f>
        <v>0</v>
      </c>
      <c r="AF219" s="188"/>
      <c r="AG219" s="884"/>
      <c r="AH219" s="49"/>
      <c r="AI219" s="885" t="n">
        <f aca="false">Assumptions!$B$50</f>
        <v>65</v>
      </c>
      <c r="AJ219" s="916"/>
      <c r="AK219" s="887" t="n">
        <f aca="false">IF(Tables!$E$30="Custom",'Monthly Table'!AI219,IF(Tables!$E$30="New York",INDEX('NY Curve'!$A$4:$G$256,MATCH('Monthly Table'!B219,'NY Curve'!$A$4:$A$256,0),MATCH("Super Peak Curve",'NY Curve'!$A$4:$G$4,0)),IF(Tables!$E$30="New York Flat",INDEX('NY Curve'!$A$4:$G$256,MATCH('Monthly Table'!B219,'NY Curve'!$A$4:$A$256,0),MATCH("Flat NY West",'NY Curve'!$A$4:$G$4,0)),INDEX('Michigan Curve'!$A$4:$F$256,MATCH('Monthly Table'!B219,'Michigan Curve'!$A$4:$A$256,0),MATCH("Michigan Super Peak Curve US$/MWhr",'Michigan Curve'!$A$4:$F$4,0)))))</f>
        <v>38.745000064373</v>
      </c>
      <c r="AL219" s="888" t="n">
        <f aca="false">IF(D219&lt;=Tables!$B$21,IF($AL$10=$AI$10,AI219,IF($AL$10=$AJ$10,AJ219,IF($AL$10=$AK$10,AK219,0))),0)</f>
        <v>0</v>
      </c>
      <c r="AM219" s="889" t="n">
        <f aca="false">+AL219*K219</f>
        <v>0</v>
      </c>
      <c r="AN219" s="890" t="n">
        <f aca="false">IF((AL219*K219)&gt;(CP219+$BF$4),1,0)</f>
        <v>0</v>
      </c>
      <c r="AO219" s="891"/>
      <c r="AP219" s="894"/>
      <c r="AQ219" s="892" t="n">
        <f aca="false">IF(Tables!$E$30="New York",INDEX('NY Curve'!$A$4:$L$256,MATCH('Monthly Table'!B219,'NY Curve'!$A$4:$A$256,0),MATCH("New York Shoulder Hour Curve Mon-Fri",'NY Curve'!$A$4:$L$4,0)),IF(Tables!$E$30="Michigan",INDEX('Michigan Curve'!$A$4:$K$256,MATCH('Monthly Table'!B219,'Michigan Curve'!$A$4:$A$256,0),MATCH("Michigan Shoulder Hour Curve Mon-Fri",'Michigan Curve'!$A$4:$K$4,0))))</f>
        <v>33.254999935627</v>
      </c>
      <c r="AR219" s="889" t="n">
        <f aca="false">AQ219*K219</f>
        <v>41.8002412068235</v>
      </c>
      <c r="AS219" s="893" t="n">
        <f aca="false">IF(AR219&gt;($CP219+$BF$4),1,0)</f>
        <v>1</v>
      </c>
      <c r="AU219" s="892" t="n">
        <f aca="false">IF(Tables!$E$30="New York",INDEX('NY Curve'!$A$4:$L$256,MATCH('Monthly Table'!$B219,'NY Curve'!$A$4:$A$256,0),MATCH("New York Saturday Super Peak",'NY Curve'!$A$4:$L$4,0)),IF(Tables!$E$30="Michigan",INDEX('Michigan Curve'!$A$4:$K$256,MATCH('Monthly Table'!$B219,'Michigan Curve'!$A$4:$A$256,0),MATCH("Michigan Saturday Super Peak",'Michigan Curve'!$A$4:$K$4,0))))</f>
        <v>22.6012500375509</v>
      </c>
      <c r="AV219" s="894" t="n">
        <f aca="false">AU219*K219</f>
        <v>28.4088920455307</v>
      </c>
      <c r="AW219" s="893" t="n">
        <f aca="false">IF(Tables!$B$21=15,0,IF(AV219&gt;($CP219+$BF$4),1,0))</f>
        <v>0</v>
      </c>
      <c r="AX219" s="892" t="n">
        <f aca="false">IF(Tables!$E$30="New York",INDEX('NY Curve'!$A$4:$L$256,MATCH('Monthly Table'!$B219,'NY Curve'!$A$4:$A$256,0),MATCH("New York Saturday Shoulder Peak",'NY Curve'!$A$4:$L$4,0)),IF(Tables!$E$30="Michigan",INDEX('Michigan Curve'!$A$4:$K$256,MATCH('Monthly Table'!$B219,'Michigan Curve'!$A$4:$A$256,0),MATCH("Michigan Saturday Shoulder Peak",'Michigan Curve'!$A$4:$K$4,0))))</f>
        <v>19.3987499624491</v>
      </c>
      <c r="AY219" s="895" t="n">
        <f aca="false">AX219*K219</f>
        <v>24.3834740373137</v>
      </c>
      <c r="AZ219" s="893" t="n">
        <f aca="false">IF(Tables!$B$21=15,0,IF(AY219&gt;($CP219+$BF$4),1,0))</f>
        <v>0</v>
      </c>
      <c r="BB219" s="892" t="n">
        <f aca="false">IF(Tables!$E$30="New York",INDEX('NY Curve'!$A$4:$M$256,MATCH('Monthly Table'!$B219,'NY Curve'!$A$4:$A$256,0),MATCH("NY Sunday Super Peak",'NY Curve'!$A$4:$M$4,0)),IF(Tables!$E$30="Michigan",INDEX('Michigan Curve'!$A$4:$L$256,MATCH('Monthly Table'!$B219,'Michigan Curve'!$A$4:$A$256,0),MATCH("Michigan Sunday Super Peak",'Michigan Curve'!$A$4:$L$4,0))))</f>
        <v>21.5303803825468</v>
      </c>
      <c r="BC219" s="894" t="n">
        <f aca="false">BB219*K219</f>
        <v>27.0628505490072</v>
      </c>
      <c r="BD219" s="893" t="n">
        <f aca="false">IF(BC219&gt;($CP219+$BF$4),1,0)</f>
        <v>1</v>
      </c>
      <c r="BF219" s="896" t="n">
        <f aca="false">B219</f>
        <v>43221</v>
      </c>
      <c r="BG219" s="897" t="n">
        <f aca="false">IF($AN219=1,$E219*$BF$5,0)</f>
        <v>0</v>
      </c>
      <c r="BH219" s="976" t="n">
        <f aca="false">IF(Tables!$B$36="Combined Cycle",(BF219-BF218)*24*Assumptions!$B$21,0)</f>
        <v>0</v>
      </c>
      <c r="BI219" s="714" t="n">
        <f aca="false">IF($AN219=1,$E219*$BF$5,0)</f>
        <v>0</v>
      </c>
      <c r="BJ219" s="898" t="n">
        <f aca="false">IF('Monthly Table'!D219&lt;=Tables!$B$21,IF($BJ$10=$BG$10,BG219,IF($BJ$10=$BH$10,BH219,IF($BJ$10=$BI$10,BI219,0))),0)</f>
        <v>0</v>
      </c>
      <c r="BK219" s="288"/>
      <c r="BL219" s="898" t="n">
        <f aca="false">IF($AW219=1,$F219*$BF$5,0)</f>
        <v>0</v>
      </c>
      <c r="BM219" s="898" t="n">
        <f aca="false">IF($BD219=1,($G219+H219)*$BF$5,0)</f>
        <v>40</v>
      </c>
      <c r="BO219" s="898" t="n">
        <f aca="false">IF(AS219=1,BJ219,0)</f>
        <v>0</v>
      </c>
      <c r="BP219" s="898" t="n">
        <f aca="false">IF(AZ219=1,F219*$BF$5,0)</f>
        <v>0</v>
      </c>
      <c r="BR219" s="899" t="n">
        <f aca="false">IF(BJ219&gt;0,INDEX(OperationalDetail,MATCH("Capacity Degradation",ODColumn,0),MATCH('Monthly Table'!C219,ODRow,0)),0)</f>
        <v>0</v>
      </c>
      <c r="BS219" s="900" t="n">
        <f aca="false">BJ219*(1-BR219)*Tables!$C$36</f>
        <v>0</v>
      </c>
      <c r="BT219" s="883" t="n">
        <f aca="false">BS219*AL219/1000</f>
        <v>0</v>
      </c>
      <c r="BU219" s="883" t="n">
        <f aca="false">BT219*K219</f>
        <v>0</v>
      </c>
      <c r="BV219" s="188"/>
      <c r="BW219" s="901" t="n">
        <f aca="false">$BO219*(1-$BR219)*Tables!$C$36</f>
        <v>0</v>
      </c>
      <c r="BX219" s="902" t="n">
        <f aca="false">(BW219*AQ219)/1000</f>
        <v>0</v>
      </c>
      <c r="BY219" s="883" t="n">
        <f aca="false">BX219*K219</f>
        <v>0</v>
      </c>
      <c r="BZ219" s="188"/>
      <c r="CA219" s="901" t="n">
        <f aca="false">$BL219*(1-$BR219)*Tables!$C$36</f>
        <v>0</v>
      </c>
      <c r="CB219" s="902" t="n">
        <f aca="false">(CA219*AU219)/1000</f>
        <v>0</v>
      </c>
      <c r="CC219" s="883" t="n">
        <f aca="false">CB219*K219</f>
        <v>0</v>
      </c>
      <c r="CD219" s="901" t="n">
        <f aca="false">$BP219*(1-$BR219)*Tables!$C$36</f>
        <v>0</v>
      </c>
      <c r="CE219" s="902" t="n">
        <f aca="false">(CD219*AX219)/1000</f>
        <v>0</v>
      </c>
      <c r="CF219" s="883" t="n">
        <f aca="false">CE219*K219</f>
        <v>0</v>
      </c>
      <c r="CH219" s="901" t="n">
        <f aca="false">$BM219*(1-$BR219)*Tables!$C$36</f>
        <v>12960</v>
      </c>
      <c r="CI219" s="902" t="n">
        <f aca="false">(CH219*BB219)/1000</f>
        <v>279.033729757806</v>
      </c>
      <c r="CJ219" s="883" t="n">
        <f aca="false">CI219*K219</f>
        <v>350.734543115133</v>
      </c>
      <c r="CK219" s="292"/>
      <c r="CL219" s="292" t="n">
        <f aca="false">C219-1</f>
        <v>2017</v>
      </c>
      <c r="CM219" s="903" t="n">
        <f aca="false">INDEX(OperationalDetail,MATCH("Degraded Heat Rate",ODColumn,0),MATCH('Monthly Table'!CL219,ODRow,0))/1000</f>
        <v>11.96</v>
      </c>
      <c r="CN219" s="904" t="n">
        <f aca="false">S219*CM219</f>
        <v>6.53284669327349</v>
      </c>
      <c r="CO219" s="905" t="n">
        <f aca="false">IF(A219="January",(CO218*(1+Assumptions!$E$32)),CO218)</f>
        <v>9.43150110914798</v>
      </c>
      <c r="CP219" s="906" t="n">
        <f aca="false">CN219+CO219</f>
        <v>15.9643478024215</v>
      </c>
      <c r="CQ219" s="292"/>
      <c r="CR219" s="856" t="str">
        <f aca="false">IF(BJ219=0,"",C219)</f>
        <v/>
      </c>
      <c r="CS219" s="856" t="str">
        <f aca="false">IF(BO219=0,"",$C219)</f>
        <v/>
      </c>
      <c r="CT219" s="856" t="str">
        <f aca="false">IF(BL219=0,"",$C219)</f>
        <v/>
      </c>
      <c r="CU219" s="856" t="str">
        <f aca="false">IF(BP219=0,"",$C219)</f>
        <v/>
      </c>
      <c r="CV219" s="856" t="n">
        <f aca="false">IF(BD219=0,"",$C219)</f>
        <v>2018</v>
      </c>
      <c r="CW219" s="907" t="n">
        <f aca="false">YEAR(BF219)</f>
        <v>2018</v>
      </c>
      <c r="CX219" s="908" t="n">
        <f aca="false">INDEX('NY Curve'!$A$4:$G$256,MATCH('Monthly Table'!B219,'NY Curve'!$A$4:$A$256,0),MATCH("New York 5 X 16",'NY Curve'!$A$4:$G$4,0))</f>
        <v>34.65</v>
      </c>
      <c r="CY219" s="909" t="n">
        <f aca="false">K219</f>
        <v>1.25696109721058</v>
      </c>
      <c r="CZ219" s="910" t="n">
        <f aca="false">CX219*CY219</f>
        <v>43.5537020183466</v>
      </c>
      <c r="DB219" s="911"/>
      <c r="DC219" s="911"/>
    </row>
    <row r="220" customFormat="false" ht="18.75" hidden="false" customHeight="true" outlineLevel="0" collapsed="false">
      <c r="A220" s="49" t="s">
        <v>815</v>
      </c>
      <c r="B220" s="863" t="n">
        <v>43252</v>
      </c>
      <c r="C220" s="288" t="n">
        <f aca="false">YEAR(B220)</f>
        <v>2018</v>
      </c>
      <c r="D220" s="864" t="n">
        <f aca="false">IF(A220="January",D219+1,D219)</f>
        <v>18</v>
      </c>
      <c r="E220" s="865" t="n">
        <v>21</v>
      </c>
      <c r="F220" s="866" t="n">
        <v>5</v>
      </c>
      <c r="G220" s="866" t="n">
        <v>4</v>
      </c>
      <c r="H220" s="866" t="n">
        <v>0</v>
      </c>
      <c r="I220" s="867" t="n">
        <f aca="false">SUM(E220:H220)</f>
        <v>30</v>
      </c>
      <c r="J220" s="868"/>
      <c r="K220" s="869" t="n">
        <f aca="false">INDEX(FX!$A$3:$C$362,MATCH(B220,FX!$A$3:$A$362,0),MATCH("Monthly Curve",FX!$A$2:$C$2,0))</f>
        <v>1.25641087914142</v>
      </c>
      <c r="L220" s="869"/>
      <c r="M220" s="993"/>
      <c r="N220" s="994"/>
      <c r="O220" s="986" t="n">
        <v>0.1</v>
      </c>
      <c r="P220" s="872" t="n">
        <f aca="false">N220+O220</f>
        <v>0.1</v>
      </c>
      <c r="Q220" s="873" t="n">
        <f aca="false">SUM(M220:O220)</f>
        <v>0.1</v>
      </c>
      <c r="R220" s="974" t="n">
        <f aca="false">IF(A220="January",(R219+R219*Assumptions!$E$32),R219)</f>
        <v>0.420528530184752</v>
      </c>
      <c r="S220" s="875" t="n">
        <f aca="false">(Q220*K220)+R220</f>
        <v>0.546169618098894</v>
      </c>
      <c r="T220" s="869"/>
      <c r="U220" s="187"/>
      <c r="V220" s="897"/>
      <c r="W220" s="897"/>
      <c r="X220" s="31"/>
      <c r="Y220" s="975" t="n">
        <f aca="false">Tables!$D$36</f>
        <v>312</v>
      </c>
      <c r="Z220" s="879" t="n">
        <f aca="false">IF($Z$10=$V$10,V220,IF($Z$10=$W$10,W220,IF($Z$10=$X$10,X220,0)))</f>
        <v>0</v>
      </c>
      <c r="AA220" s="880" t="n">
        <f aca="false">Y220*Z220</f>
        <v>0</v>
      </c>
      <c r="AB220" s="881" t="n">
        <f aca="false">AA220*K220</f>
        <v>0</v>
      </c>
      <c r="AC220" s="188"/>
      <c r="AD220" s="882" t="n">
        <f aca="false">IF(Tables!$E$30="Michigan",INDEX('Michigan Curve'!$A$4:$S$256,MATCH('Monthly Table'!B220,'Michigan Curve'!$A$4:$A$256,0),MATCH("Michigan Selected Option Value US$/month",'Michigan Curve'!$A$4:$S$4,0)),INDEX('NY Curve'!$A$4:$T$256,MATCH('Monthly Table'!B220,'NY Curve'!$A$4:$A$256,0),MATCH("New York Selected Option Value US$/month",'NY Curve'!$A$4:$T$4,0)))</f>
        <v>0</v>
      </c>
      <c r="AE220" s="883" t="n">
        <f aca="false">AD220*K220</f>
        <v>0</v>
      </c>
      <c r="AF220" s="188"/>
      <c r="AG220" s="884"/>
      <c r="AH220" s="49"/>
      <c r="AI220" s="885" t="n">
        <f aca="false">Assumptions!$B$50</f>
        <v>65</v>
      </c>
      <c r="AJ220" s="916"/>
      <c r="AK220" s="887" t="n">
        <f aca="false">IF(Tables!$E$30="Custom",'Monthly Table'!AI220,IF(Tables!$E$30="New York",INDEX('NY Curve'!$A$4:$G$256,MATCH('Monthly Table'!B220,'NY Curve'!$A$4:$A$256,0),MATCH("Super Peak Curve",'NY Curve'!$A$4:$G$4,0)),IF(Tables!$E$30="New York Flat",INDEX('NY Curve'!$A$4:$G$256,MATCH('Monthly Table'!B220,'NY Curve'!$A$4:$A$256,0),MATCH("Flat NY West",'NY Curve'!$A$4:$G$4,0)),INDEX('Michigan Curve'!$A$4:$F$256,MATCH('Monthly Table'!B220,'Michigan Curve'!$A$4:$A$256,0),MATCH("Michigan Super Peak Curve US$/MWhr",'Michigan Curve'!$A$4:$F$4,0)))))</f>
        <v>94.2654261811037</v>
      </c>
      <c r="AL220" s="888" t="n">
        <f aca="false">IF(D220&lt;=Tables!$B$21,IF($AL$10=$AI$10,AI220,IF($AL$10=$AJ$10,AJ220,IF($AL$10=$AK$10,AK220,0))),0)</f>
        <v>0</v>
      </c>
      <c r="AM220" s="889" t="n">
        <f aca="false">+AL220*K220</f>
        <v>0</v>
      </c>
      <c r="AN220" s="890" t="n">
        <f aca="false">IF((AL220*K220)&gt;(CP220+$BF$4),1,0)</f>
        <v>0</v>
      </c>
      <c r="AO220" s="891"/>
      <c r="AP220" s="894"/>
      <c r="AQ220" s="892" t="n">
        <f aca="false">IF(Tables!$E$30="New York",INDEX('NY Curve'!$A$4:$L$256,MATCH('Monthly Table'!B220,'NY Curve'!$A$4:$A$256,0),MATCH("New York Shoulder Hour Curve Mon-Fri",'NY Curve'!$A$4:$L$4,0)),IF(Tables!$E$30="Michigan",INDEX('Michigan Curve'!$A$4:$K$256,MATCH('Monthly Table'!B220,'Michigan Curve'!$A$4:$A$256,0),MATCH("Michigan Shoulder Hour Curve Mon-Fri",'Michigan Curve'!$A$4:$K$4,0))))</f>
        <v>24.2345738188963</v>
      </c>
      <c r="AR220" s="889" t="n">
        <f aca="false">AQ220*K220</f>
        <v>30.4485821974171</v>
      </c>
      <c r="AS220" s="893" t="n">
        <f aca="false">IF(AR220&gt;($CP220+$BF$4),1,0)</f>
        <v>1</v>
      </c>
      <c r="AU220" s="892" t="n">
        <f aca="false">IF(Tables!$E$30="New York",INDEX('NY Curve'!$A$4:$L$256,MATCH('Monthly Table'!$B220,'NY Curve'!$A$4:$A$256,0),MATCH("New York Saturday Super Peak",'NY Curve'!$A$4:$L$4,0)),IF(Tables!$E$30="Michigan",INDEX('Michigan Curve'!$A$4:$K$256,MATCH('Monthly Table'!$B220,'Michigan Curve'!$A$4:$A$256,0),MATCH("Michigan Saturday Super Peak",'Michigan Curve'!$A$4:$K$4,0))))</f>
        <v>41.3654190836911</v>
      </c>
      <c r="AV220" s="894" t="n">
        <f aca="false">AU220*K220</f>
        <v>51.9719625569936</v>
      </c>
      <c r="AW220" s="893" t="n">
        <f aca="false">IF(Tables!$B$21=15,0,IF(AV220&gt;($CP220+$BF$4),1,0))</f>
        <v>0</v>
      </c>
      <c r="AX220" s="892" t="n">
        <f aca="false">IF(Tables!$E$30="New York",INDEX('NY Curve'!$A$4:$L$256,MATCH('Monthly Table'!$B220,'NY Curve'!$A$4:$A$256,0),MATCH("New York Saturday Shoulder Peak",'NY Curve'!$A$4:$L$4,0)),IF(Tables!$E$30="Michigan",INDEX('Michigan Curve'!$A$4:$K$256,MATCH('Monthly Table'!$B220,'Michigan Curve'!$A$4:$A$256,0),MATCH("Michigan Saturday Shoulder Peak",'Michigan Curve'!$A$4:$K$4,0))))</f>
        <v>10.6345809163089</v>
      </c>
      <c r="AY220" s="895" t="n">
        <f aca="false">AX220*K220</f>
        <v>13.3614031583603</v>
      </c>
      <c r="AZ220" s="893" t="n">
        <f aca="false">IF(Tables!$B$21=15,0,IF(AY220&gt;($CP220+$BF$4),1,0))</f>
        <v>0</v>
      </c>
      <c r="BB220" s="892" t="n">
        <f aca="false">IF(Tables!$E$30="New York",INDEX('NY Curve'!$A$4:$M$256,MATCH('Monthly Table'!$B220,'NY Curve'!$A$4:$A$256,0),MATCH("NY Sunday Super Peak",'NY Curve'!$A$4:$M$4,0)),IF(Tables!$E$30="Michigan",INDEX('Michigan Curve'!$A$4:$L$256,MATCH('Monthly Table'!$B220,'Michigan Curve'!$A$4:$A$256,0),MATCH("Michigan Sunday Super Peak",'Michigan Curve'!$A$4:$L$4,0))))</f>
        <v>38.183463769561</v>
      </c>
      <c r="BC220" s="894" t="n">
        <f aca="false">BB220*K220</f>
        <v>47.9741192833787</v>
      </c>
      <c r="BD220" s="893" t="n">
        <f aca="false">IF(BC220&gt;($CP220+$BF$4),1,0)</f>
        <v>1</v>
      </c>
      <c r="BF220" s="896" t="n">
        <f aca="false">B220</f>
        <v>43252</v>
      </c>
      <c r="BG220" s="897" t="n">
        <f aca="false">IF($AN220=1,$E220*$BF$5,0)</f>
        <v>0</v>
      </c>
      <c r="BH220" s="976" t="n">
        <f aca="false">IF(Tables!$B$36="Combined Cycle",(BF220-BF219)*24*Assumptions!$B$21,0)</f>
        <v>0</v>
      </c>
      <c r="BI220" s="714" t="n">
        <f aca="false">IF($AN220=1,$E220*$BF$5,0)</f>
        <v>0</v>
      </c>
      <c r="BJ220" s="898" t="n">
        <f aca="false">IF('Monthly Table'!D220&lt;=Tables!$B$21,IF($BJ$10=$BG$10,BG220,IF($BJ$10=$BH$10,BH220,IF($BJ$10=$BI$10,BI220,0))),0)</f>
        <v>0</v>
      </c>
      <c r="BK220" s="288"/>
      <c r="BL220" s="898" t="n">
        <f aca="false">IF($AW220=1,$F220*$BF$5,0)</f>
        <v>0</v>
      </c>
      <c r="BM220" s="898" t="n">
        <f aca="false">IF($BD220=1,($G220+H220)*$BF$5,0)</f>
        <v>32</v>
      </c>
      <c r="BO220" s="898" t="n">
        <f aca="false">IF(AS220=1,BJ220,0)</f>
        <v>0</v>
      </c>
      <c r="BP220" s="898" t="n">
        <f aca="false">IF(AZ220=1,F220*$BF$5,0)</f>
        <v>0</v>
      </c>
      <c r="BR220" s="899" t="n">
        <f aca="false">IF(BJ220&gt;0,INDEX(OperationalDetail,MATCH("Capacity Degradation",ODColumn,0),MATCH('Monthly Table'!C220,ODRow,0)),0)</f>
        <v>0</v>
      </c>
      <c r="BS220" s="900" t="n">
        <f aca="false">BJ220*(1-BR220)*Tables!$C$36</f>
        <v>0</v>
      </c>
      <c r="BT220" s="883" t="n">
        <f aca="false">BS220*AL220/1000</f>
        <v>0</v>
      </c>
      <c r="BU220" s="883" t="n">
        <f aca="false">BT220*K220</f>
        <v>0</v>
      </c>
      <c r="BV220" s="188"/>
      <c r="BW220" s="901" t="n">
        <f aca="false">$BO220*(1-$BR220)*Tables!$C$36</f>
        <v>0</v>
      </c>
      <c r="BX220" s="902" t="n">
        <f aca="false">(BW220*AQ220)/1000</f>
        <v>0</v>
      </c>
      <c r="BY220" s="883" t="n">
        <f aca="false">BX220*K220</f>
        <v>0</v>
      </c>
      <c r="BZ220" s="188"/>
      <c r="CA220" s="901" t="n">
        <f aca="false">$BL220*(1-$BR220)*Tables!$C$36</f>
        <v>0</v>
      </c>
      <c r="CB220" s="902" t="n">
        <f aca="false">(CA220*AU220)/1000</f>
        <v>0</v>
      </c>
      <c r="CC220" s="883" t="n">
        <f aca="false">CB220*K220</f>
        <v>0</v>
      </c>
      <c r="CD220" s="901" t="n">
        <f aca="false">$BP220*(1-$BR220)*Tables!$C$36</f>
        <v>0</v>
      </c>
      <c r="CE220" s="902" t="n">
        <f aca="false">(CD220*AX220)/1000</f>
        <v>0</v>
      </c>
      <c r="CF220" s="883" t="n">
        <f aca="false">CE220*K220</f>
        <v>0</v>
      </c>
      <c r="CH220" s="901" t="n">
        <f aca="false">$BM220*(1-$BR220)*Tables!$C$36</f>
        <v>10368</v>
      </c>
      <c r="CI220" s="902" t="n">
        <f aca="false">(CH220*BB220)/1000</f>
        <v>395.886152362808</v>
      </c>
      <c r="CJ220" s="883" t="n">
        <f aca="false">CI220*K220</f>
        <v>497.39566873007</v>
      </c>
      <c r="CK220" s="292"/>
      <c r="CL220" s="292" t="n">
        <f aca="false">C220-1</f>
        <v>2017</v>
      </c>
      <c r="CM220" s="903" t="n">
        <f aca="false">INDEX(OperationalDetail,MATCH("Degraded Heat Rate",ODColumn,0),MATCH('Monthly Table'!CL220,ODRow,0))/1000</f>
        <v>11.96</v>
      </c>
      <c r="CN220" s="904" t="n">
        <f aca="false">S220*CM220</f>
        <v>6.53218863246277</v>
      </c>
      <c r="CO220" s="905" t="n">
        <f aca="false">IF(A220="January",(CO219*(1+Assumptions!$E$32)),CO219)</f>
        <v>9.43150110914798</v>
      </c>
      <c r="CP220" s="906" t="n">
        <f aca="false">CN220+CO220</f>
        <v>15.9636897416108</v>
      </c>
      <c r="CQ220" s="292"/>
      <c r="CR220" s="856" t="str">
        <f aca="false">IF(BJ220=0,"",C220)</f>
        <v/>
      </c>
      <c r="CS220" s="856" t="str">
        <f aca="false">IF(BO220=0,"",$C220)</f>
        <v/>
      </c>
      <c r="CT220" s="856" t="str">
        <f aca="false">IF(BL220=0,"",$C220)</f>
        <v/>
      </c>
      <c r="CU220" s="856" t="str">
        <f aca="false">IF(BP220=0,"",$C220)</f>
        <v/>
      </c>
      <c r="CV220" s="856" t="n">
        <f aca="false">IF(BD220=0,"",$C220)</f>
        <v>2018</v>
      </c>
      <c r="CW220" s="907" t="n">
        <f aca="false">YEAR(BF220)</f>
        <v>2018</v>
      </c>
      <c r="CX220" s="908" t="n">
        <f aca="false">INDEX('NY Curve'!$A$4:$G$256,MATCH('Monthly Table'!B220,'NY Curve'!$A$4:$A$256,0),MATCH("New York 5 X 16",'NY Curve'!$A$4:$G$4,0))</f>
        <v>59.25</v>
      </c>
      <c r="CY220" s="909" t="n">
        <f aca="false">K220</f>
        <v>1.25641087914142</v>
      </c>
      <c r="CZ220" s="910" t="n">
        <f aca="false">CX220*CY220</f>
        <v>74.4423445891291</v>
      </c>
      <c r="DB220" s="911"/>
      <c r="DC220" s="911"/>
    </row>
    <row r="221" customFormat="false" ht="18.75" hidden="false" customHeight="true" outlineLevel="0" collapsed="false">
      <c r="A221" s="49" t="s">
        <v>816</v>
      </c>
      <c r="B221" s="863" t="n">
        <v>43282</v>
      </c>
      <c r="C221" s="288" t="n">
        <f aca="false">YEAR(B221)</f>
        <v>2018</v>
      </c>
      <c r="D221" s="864" t="n">
        <f aca="false">IF(A221="January",D220+1,D220)</f>
        <v>18</v>
      </c>
      <c r="E221" s="865" t="n">
        <v>21</v>
      </c>
      <c r="F221" s="866" t="n">
        <v>4</v>
      </c>
      <c r="G221" s="866" t="n">
        <v>5</v>
      </c>
      <c r="H221" s="866" t="n">
        <v>1</v>
      </c>
      <c r="I221" s="867" t="n">
        <f aca="false">SUM(E221:H221)</f>
        <v>31</v>
      </c>
      <c r="J221" s="868"/>
      <c r="K221" s="869" t="n">
        <f aca="false">INDEX(FX!$A$3:$C$362,MATCH(B221,FX!$A$3:$A$362,0),MATCH("Monthly Curve",FX!$A$2:$C$2,0))</f>
        <v>1.25588133744969</v>
      </c>
      <c r="L221" s="869"/>
      <c r="M221" s="993"/>
      <c r="N221" s="994"/>
      <c r="O221" s="986" t="n">
        <v>0.1</v>
      </c>
      <c r="P221" s="872" t="n">
        <f aca="false">N221+O221</f>
        <v>0.1</v>
      </c>
      <c r="Q221" s="873" t="n">
        <f aca="false">SUM(M221:O221)</f>
        <v>0.1</v>
      </c>
      <c r="R221" s="974" t="n">
        <f aca="false">IF(A221="January",(R220+R220*Assumptions!$E$32),R220)</f>
        <v>0.420528530184752</v>
      </c>
      <c r="S221" s="875" t="n">
        <f aca="false">(Q221*K221)+R221</f>
        <v>0.546116663929721</v>
      </c>
      <c r="T221" s="869"/>
      <c r="U221" s="187"/>
      <c r="V221" s="897"/>
      <c r="W221" s="897"/>
      <c r="X221" s="31"/>
      <c r="Y221" s="975" t="n">
        <f aca="false">Tables!$D$36</f>
        <v>312</v>
      </c>
      <c r="Z221" s="879" t="n">
        <f aca="false">IF($Z$10=$V$10,V221,IF($Z$10=$W$10,W221,IF($Z$10=$X$10,X221,0)))</f>
        <v>0</v>
      </c>
      <c r="AA221" s="880" t="n">
        <f aca="false">Y221*Z221</f>
        <v>0</v>
      </c>
      <c r="AB221" s="881" t="n">
        <f aca="false">AA221*K221</f>
        <v>0</v>
      </c>
      <c r="AC221" s="188"/>
      <c r="AD221" s="882" t="n">
        <f aca="false">IF(Tables!$E$30="Michigan",INDEX('Michigan Curve'!$A$4:$S$256,MATCH('Monthly Table'!B221,'Michigan Curve'!$A$4:$A$256,0),MATCH("Michigan Selected Option Value US$/month",'Michigan Curve'!$A$4:$S$4,0)),INDEX('NY Curve'!$A$4:$T$256,MATCH('Monthly Table'!B221,'NY Curve'!$A$4:$A$256,0),MATCH("New York Selected Option Value US$/month",'NY Curve'!$A$4:$T$4,0)))</f>
        <v>0</v>
      </c>
      <c r="AE221" s="883" t="n">
        <f aca="false">AD221*K221</f>
        <v>0</v>
      </c>
      <c r="AF221" s="188"/>
      <c r="AG221" s="884"/>
      <c r="AH221" s="49"/>
      <c r="AI221" s="885" t="n">
        <f aca="false">Assumptions!$B$50</f>
        <v>65</v>
      </c>
      <c r="AJ221" s="916"/>
      <c r="AK221" s="887" t="n">
        <f aca="false">IF(Tables!$E$30="Custom",'Monthly Table'!AI221,IF(Tables!$E$30="New York",INDEX('NY Curve'!$A$4:$G$256,MATCH('Monthly Table'!B221,'NY Curve'!$A$4:$A$256,0),MATCH("Super Peak Curve",'NY Curve'!$A$4:$G$4,0)),IF(Tables!$E$30="New York Flat",INDEX('NY Curve'!$A$4:$G$256,MATCH('Monthly Table'!B221,'NY Curve'!$A$4:$A$256,0),MATCH("Flat NY West",'NY Curve'!$A$4:$G$4,0)),INDEX('Michigan Curve'!$A$4:$F$256,MATCH('Monthly Table'!B221,'Michigan Curve'!$A$4:$A$256,0),MATCH("Michigan Super Peak Curve US$/MWhr",'Michigan Curve'!$A$4:$F$4,0)))))</f>
        <v>188.870663015976</v>
      </c>
      <c r="AL221" s="888" t="n">
        <f aca="false">IF(D221&lt;=Tables!$B$21,IF($AL$10=$AI$10,AI221,IF($AL$10=$AJ$10,AJ221,IF($AL$10=$AK$10,AK221,0))),0)</f>
        <v>0</v>
      </c>
      <c r="AM221" s="889" t="n">
        <f aca="false">+AL221*K221</f>
        <v>0</v>
      </c>
      <c r="AN221" s="890" t="n">
        <f aca="false">IF((AL221*K221)&gt;(CP221+$BF$4),1,0)</f>
        <v>0</v>
      </c>
      <c r="AO221" s="891"/>
      <c r="AP221" s="894"/>
      <c r="AQ221" s="892" t="n">
        <f aca="false">IF(Tables!$E$30="New York",INDEX('NY Curve'!$A$4:$L$256,MATCH('Monthly Table'!B221,'NY Curve'!$A$4:$A$256,0),MATCH("New York Shoulder Hour Curve Mon-Fri",'NY Curve'!$A$4:$L$4,0)),IF(Tables!$E$30="Michigan",INDEX('Michigan Curve'!$A$4:$K$256,MATCH('Monthly Table'!B221,'Michigan Curve'!$A$4:$A$256,0),MATCH("Michigan Shoulder Hour Curve Mon-Fri",'Michigan Curve'!$A$4:$K$4,0))))</f>
        <v>31.1293369840238</v>
      </c>
      <c r="AR221" s="889" t="n">
        <f aca="false">AQ221*K221</f>
        <v>39.0947533654179</v>
      </c>
      <c r="AS221" s="893" t="n">
        <f aca="false">IF(AR221&gt;($CP221+$BF$4),1,0)</f>
        <v>1</v>
      </c>
      <c r="AU221" s="892" t="n">
        <f aca="false">IF(Tables!$E$30="New York",INDEX('NY Curve'!$A$4:$L$256,MATCH('Monthly Table'!$B221,'NY Curve'!$A$4:$A$256,0),MATCH("New York Saturday Super Peak",'NY Curve'!$A$4:$L$4,0)),IF(Tables!$E$30="Michigan",INDEX('Michigan Curve'!$A$4:$K$256,MATCH('Monthly Table'!$B221,'Michigan Curve'!$A$4:$A$256,0),MATCH("Michigan Saturday Super Peak",'Michigan Curve'!$A$4:$K$4,0))))</f>
        <v>60.0952109596288</v>
      </c>
      <c r="AV221" s="894" t="n">
        <f aca="false">AU221*K221</f>
        <v>75.4724539142999</v>
      </c>
      <c r="AW221" s="893" t="n">
        <f aca="false">IF(Tables!$B$21=15,0,IF(AV221&gt;($CP221+$BF$4),1,0))</f>
        <v>0</v>
      </c>
      <c r="AX221" s="892" t="n">
        <f aca="false">IF(Tables!$E$30="New York",INDEX('NY Curve'!$A$4:$L$256,MATCH('Monthly Table'!$B221,'NY Curve'!$A$4:$A$256,0),MATCH("New York Saturday Shoulder Peak",'NY Curve'!$A$4:$L$4,0)),IF(Tables!$E$30="Michigan",INDEX('Michigan Curve'!$A$4:$K$256,MATCH('Monthly Table'!$B221,'Michigan Curve'!$A$4:$A$256,0),MATCH("Michigan Saturday Shoulder Peak",'Michigan Curve'!$A$4:$K$4,0))))</f>
        <v>9.90478904037121</v>
      </c>
      <c r="AY221" s="895" t="n">
        <f aca="false">AX221*K221</f>
        <v>12.4392397071784</v>
      </c>
      <c r="AZ221" s="893" t="n">
        <f aca="false">IF(Tables!$B$21=15,0,IF(AY221&gt;($CP221+$BF$4),1,0))</f>
        <v>0</v>
      </c>
      <c r="BB221" s="892" t="n">
        <f aca="false">IF(Tables!$E$30="New York",INDEX('NY Curve'!$A$4:$M$256,MATCH('Monthly Table'!$B221,'NY Curve'!$A$4:$A$256,0),MATCH("NY Sunday Super Peak",'NY Curve'!$A$4:$M$4,0)),IF(Tables!$E$30="Michigan",INDEX('Michigan Curve'!$A$4:$L$256,MATCH('Monthly Table'!$B221,'Michigan Curve'!$A$4:$A$256,0),MATCH("Michigan Sunday Super Peak",'Michigan Curve'!$A$4:$L$4,0))))</f>
        <v>53.2271835750278</v>
      </c>
      <c r="BC221" s="894" t="n">
        <f aca="false">BB221*K221</f>
        <v>66.8470264968861</v>
      </c>
      <c r="BD221" s="893" t="n">
        <f aca="false">IF(BC221&gt;($CP221+$BF$4),1,0)</f>
        <v>1</v>
      </c>
      <c r="BF221" s="896" t="n">
        <f aca="false">B221</f>
        <v>43282</v>
      </c>
      <c r="BG221" s="897" t="n">
        <f aca="false">IF($AN221=1,$E221*$BF$5,0)</f>
        <v>0</v>
      </c>
      <c r="BH221" s="976" t="n">
        <f aca="false">IF(Tables!$B$36="Combined Cycle",(BF221-BF220)*24*Assumptions!$B$21,0)</f>
        <v>0</v>
      </c>
      <c r="BI221" s="714" t="n">
        <f aca="false">IF($AN221=1,$E221*$BF$5,0)</f>
        <v>0</v>
      </c>
      <c r="BJ221" s="898" t="n">
        <f aca="false">IF('Monthly Table'!D221&lt;=Tables!$B$21,IF($BJ$10=$BG$10,BG221,IF($BJ$10=$BH$10,BH221,IF($BJ$10=$BI$10,BI221,0))),0)</f>
        <v>0</v>
      </c>
      <c r="BK221" s="288"/>
      <c r="BL221" s="898" t="n">
        <f aca="false">IF($AW221=1,$F221*$BF$5,0)</f>
        <v>0</v>
      </c>
      <c r="BM221" s="898" t="n">
        <f aca="false">IF($BD221=1,($G221+H221)*$BF$5,0)</f>
        <v>48</v>
      </c>
      <c r="BO221" s="898" t="n">
        <f aca="false">IF(AS221=1,BJ221,0)</f>
        <v>0</v>
      </c>
      <c r="BP221" s="898" t="n">
        <f aca="false">IF(AZ221=1,F221*$BF$5,0)</f>
        <v>0</v>
      </c>
      <c r="BR221" s="899" t="n">
        <f aca="false">IF(BJ221&gt;0,INDEX(OperationalDetail,MATCH("Capacity Degradation",ODColumn,0),MATCH('Monthly Table'!C221,ODRow,0)),0)</f>
        <v>0</v>
      </c>
      <c r="BS221" s="900" t="n">
        <f aca="false">BJ221*(1-BR221)*Tables!$C$36</f>
        <v>0</v>
      </c>
      <c r="BT221" s="883" t="n">
        <f aca="false">BS221*AL221/1000</f>
        <v>0</v>
      </c>
      <c r="BU221" s="883" t="n">
        <f aca="false">BT221*K221</f>
        <v>0</v>
      </c>
      <c r="BV221" s="188"/>
      <c r="BW221" s="901" t="n">
        <f aca="false">$BO221*(1-$BR221)*Tables!$C$36</f>
        <v>0</v>
      </c>
      <c r="BX221" s="902" t="n">
        <f aca="false">(BW221*AQ221)/1000</f>
        <v>0</v>
      </c>
      <c r="BY221" s="883" t="n">
        <f aca="false">BX221*K221</f>
        <v>0</v>
      </c>
      <c r="BZ221" s="188"/>
      <c r="CA221" s="901" t="n">
        <f aca="false">$BL221*(1-$BR221)*Tables!$C$36</f>
        <v>0</v>
      </c>
      <c r="CB221" s="902" t="n">
        <f aca="false">(CA221*AU221)/1000</f>
        <v>0</v>
      </c>
      <c r="CC221" s="883" t="n">
        <f aca="false">CB221*K221</f>
        <v>0</v>
      </c>
      <c r="CD221" s="901" t="n">
        <f aca="false">$BP221*(1-$BR221)*Tables!$C$36</f>
        <v>0</v>
      </c>
      <c r="CE221" s="902" t="n">
        <f aca="false">(CD221*AX221)/1000</f>
        <v>0</v>
      </c>
      <c r="CF221" s="883" t="n">
        <f aca="false">CE221*K221</f>
        <v>0</v>
      </c>
      <c r="CH221" s="901" t="n">
        <f aca="false">$BM221*(1-$BR221)*Tables!$C$36</f>
        <v>15552</v>
      </c>
      <c r="CI221" s="902" t="n">
        <f aca="false">(CH221*BB221)/1000</f>
        <v>827.789158958833</v>
      </c>
      <c r="CJ221" s="883" t="n">
        <f aca="false">CI221*K221</f>
        <v>1039.60495607957</v>
      </c>
      <c r="CK221" s="292"/>
      <c r="CL221" s="292" t="n">
        <f aca="false">C221-1</f>
        <v>2017</v>
      </c>
      <c r="CM221" s="903" t="n">
        <f aca="false">INDEX(OperationalDetail,MATCH("Degraded Heat Rate",ODColumn,0),MATCH('Monthly Table'!CL221,ODRow,0))/1000</f>
        <v>11.96</v>
      </c>
      <c r="CN221" s="904" t="n">
        <f aca="false">S221*CM221</f>
        <v>6.53155530059947</v>
      </c>
      <c r="CO221" s="905" t="n">
        <f aca="false">IF(A221="January",(CO220*(1+Assumptions!$E$32)),CO220)</f>
        <v>9.43150110914798</v>
      </c>
      <c r="CP221" s="906" t="n">
        <f aca="false">CN221+CO221</f>
        <v>15.9630564097474</v>
      </c>
      <c r="CQ221" s="292"/>
      <c r="CR221" s="856" t="str">
        <f aca="false">IF(BJ221=0,"",C221)</f>
        <v/>
      </c>
      <c r="CS221" s="856" t="str">
        <f aca="false">IF(BO221=0,"",$C221)</f>
        <v/>
      </c>
      <c r="CT221" s="856" t="str">
        <f aca="false">IF(BL221=0,"",$C221)</f>
        <v/>
      </c>
      <c r="CU221" s="856" t="str">
        <f aca="false">IF(BP221=0,"",$C221)</f>
        <v/>
      </c>
      <c r="CV221" s="856" t="n">
        <f aca="false">IF(BD221=0,"",$C221)</f>
        <v>2018</v>
      </c>
      <c r="CW221" s="907" t="n">
        <f aca="false">YEAR(BF221)</f>
        <v>2018</v>
      </c>
      <c r="CX221" s="908" t="n">
        <f aca="false">INDEX('NY Curve'!$A$4:$G$256,MATCH('Monthly Table'!B221,'NY Curve'!$A$4:$A$256,0),MATCH("New York 5 X 16",'NY Curve'!$A$4:$G$4,0))</f>
        <v>94</v>
      </c>
      <c r="CY221" s="909" t="n">
        <f aca="false">K221</f>
        <v>1.25588133744969</v>
      </c>
      <c r="CZ221" s="910" t="n">
        <f aca="false">CX221*CY221</f>
        <v>118.052845720271</v>
      </c>
      <c r="DB221" s="911"/>
      <c r="DC221" s="911"/>
    </row>
    <row r="222" customFormat="false" ht="18.75" hidden="false" customHeight="true" outlineLevel="0" collapsed="false">
      <c r="A222" s="49" t="s">
        <v>817</v>
      </c>
      <c r="B222" s="863" t="n">
        <v>43313</v>
      </c>
      <c r="C222" s="288" t="n">
        <f aca="false">YEAR(B222)</f>
        <v>2018</v>
      </c>
      <c r="D222" s="864" t="n">
        <f aca="false">IF(A222="January",D221+1,D221)</f>
        <v>18</v>
      </c>
      <c r="E222" s="865" t="n">
        <v>23</v>
      </c>
      <c r="F222" s="866" t="n">
        <v>4</v>
      </c>
      <c r="G222" s="866" t="n">
        <v>4</v>
      </c>
      <c r="H222" s="866" t="n">
        <v>0</v>
      </c>
      <c r="I222" s="867" t="n">
        <f aca="false">SUM(E222:H222)</f>
        <v>31</v>
      </c>
      <c r="J222" s="868"/>
      <c r="K222" s="869" t="n">
        <f aca="false">INDEX(FX!$A$3:$C$362,MATCH(B222,FX!$A$3:$A$362,0),MATCH("Monthly Curve",FX!$A$2:$C$2,0))</f>
        <v>1.25533716562424</v>
      </c>
      <c r="L222" s="869"/>
      <c r="M222" s="993"/>
      <c r="N222" s="994"/>
      <c r="O222" s="986" t="n">
        <v>0.1</v>
      </c>
      <c r="P222" s="872" t="n">
        <f aca="false">N222+O222</f>
        <v>0.1</v>
      </c>
      <c r="Q222" s="873" t="n">
        <f aca="false">SUM(M222:O222)</f>
        <v>0.1</v>
      </c>
      <c r="R222" s="974" t="n">
        <f aca="false">IF(A222="January",(R221+R221*Assumptions!$E$32),R221)</f>
        <v>0.420528530184752</v>
      </c>
      <c r="S222" s="875" t="n">
        <f aca="false">(Q222*K222)+R222</f>
        <v>0.546062246747176</v>
      </c>
      <c r="T222" s="869"/>
      <c r="U222" s="187"/>
      <c r="V222" s="897"/>
      <c r="W222" s="897"/>
      <c r="X222" s="31"/>
      <c r="Y222" s="975" t="n">
        <f aca="false">Tables!$D$36</f>
        <v>312</v>
      </c>
      <c r="Z222" s="879" t="n">
        <f aca="false">IF($Z$10=$V$10,V222,IF($Z$10=$W$10,W222,IF($Z$10=$X$10,X222,0)))</f>
        <v>0</v>
      </c>
      <c r="AA222" s="880" t="n">
        <f aca="false">Y222*Z222</f>
        <v>0</v>
      </c>
      <c r="AB222" s="881" t="n">
        <f aca="false">AA222*K222</f>
        <v>0</v>
      </c>
      <c r="AC222" s="188"/>
      <c r="AD222" s="882" t="n">
        <f aca="false">IF(Tables!$E$30="Michigan",INDEX('Michigan Curve'!$A$4:$S$256,MATCH('Monthly Table'!B222,'Michigan Curve'!$A$4:$A$256,0),MATCH("Michigan Selected Option Value US$/month",'Michigan Curve'!$A$4:$S$4,0)),INDEX('NY Curve'!$A$4:$T$256,MATCH('Monthly Table'!B222,'NY Curve'!$A$4:$A$256,0),MATCH("New York Selected Option Value US$/month",'NY Curve'!$A$4:$T$4,0)))</f>
        <v>0</v>
      </c>
      <c r="AE222" s="883" t="n">
        <f aca="false">AD222*K222</f>
        <v>0</v>
      </c>
      <c r="AF222" s="188"/>
      <c r="AG222" s="884"/>
      <c r="AH222" s="49"/>
      <c r="AI222" s="885" t="n">
        <f aca="false">Assumptions!$B$50</f>
        <v>65</v>
      </c>
      <c r="AJ222" s="916"/>
      <c r="AK222" s="887" t="n">
        <f aca="false">IF(Tables!$E$30="Custom",'Monthly Table'!AI222,IF(Tables!$E$30="New York",INDEX('NY Curve'!$A$4:$G$256,MATCH('Monthly Table'!B222,'NY Curve'!$A$4:$A$256,0),MATCH("Super Peak Curve",'NY Curve'!$A$4:$G$4,0)),IF(Tables!$E$30="New York Flat",INDEX('NY Curve'!$A$4:$G$256,MATCH('Monthly Table'!B222,'NY Curve'!$A$4:$A$256,0),MATCH("Flat NY West",'NY Curve'!$A$4:$G$4,0)),INDEX('Michigan Curve'!$A$4:$F$256,MATCH('Monthly Table'!B222,'Michigan Curve'!$A$4:$A$256,0),MATCH("Michigan Super Peak Curve US$/MWhr",'Michigan Curve'!$A$4:$F$4,0)))))</f>
        <v>188.870663015976</v>
      </c>
      <c r="AL222" s="888" t="n">
        <f aca="false">IF(D222&lt;=Tables!$B$21,IF($AL$10=$AI$10,AI222,IF($AL$10=$AJ$10,AJ222,IF($AL$10=$AK$10,AK222,0))),0)</f>
        <v>0</v>
      </c>
      <c r="AM222" s="889" t="n">
        <f aca="false">+AL222*K222</f>
        <v>0</v>
      </c>
      <c r="AN222" s="890" t="n">
        <f aca="false">IF((AL222*K222)&gt;(CP222+$BF$4),1,0)</f>
        <v>0</v>
      </c>
      <c r="AO222" s="891"/>
      <c r="AP222" s="894"/>
      <c r="AQ222" s="892" t="n">
        <f aca="false">IF(Tables!$E$30="New York",INDEX('NY Curve'!$A$4:$L$256,MATCH('Monthly Table'!B222,'NY Curve'!$A$4:$A$256,0),MATCH("New York Shoulder Hour Curve Mon-Fri",'NY Curve'!$A$4:$L$4,0)),IF(Tables!$E$30="Michigan",INDEX('Michigan Curve'!$A$4:$K$256,MATCH('Monthly Table'!B222,'Michigan Curve'!$A$4:$A$256,0),MATCH("Michigan Shoulder Hour Curve Mon-Fri",'Michigan Curve'!$A$4:$K$4,0))))</f>
        <v>31.1293369840238</v>
      </c>
      <c r="AR222" s="889" t="n">
        <f aca="false">AQ222*K222</f>
        <v>39.0778136572863</v>
      </c>
      <c r="AS222" s="893" t="n">
        <f aca="false">IF(AR222&gt;($CP222+$BF$4),1,0)</f>
        <v>1</v>
      </c>
      <c r="AU222" s="892" t="n">
        <f aca="false">IF(Tables!$E$30="New York",INDEX('NY Curve'!$A$4:$L$256,MATCH('Monthly Table'!$B222,'NY Curve'!$A$4:$A$256,0),MATCH("New York Saturday Super Peak",'NY Curve'!$A$4:$L$4,0)),IF(Tables!$E$30="Michigan",INDEX('Michigan Curve'!$A$4:$K$256,MATCH('Monthly Table'!$B222,'Michigan Curve'!$A$4:$A$256,0),MATCH("Michigan Saturday Super Peak",'Michigan Curve'!$A$4:$K$4,0))))</f>
        <v>60.095217509487</v>
      </c>
      <c r="AV222" s="894" t="n">
        <f aca="false">AU222*K222</f>
        <v>75.4397600159316</v>
      </c>
      <c r="AW222" s="893" t="n">
        <f aca="false">IF(Tables!$B$21=15,0,IF(AV222&gt;($CP222+$BF$4),1,0))</f>
        <v>0</v>
      </c>
      <c r="AX222" s="892" t="n">
        <f aca="false">IF(Tables!$E$30="New York",INDEX('NY Curve'!$A$4:$L$256,MATCH('Monthly Table'!$B222,'NY Curve'!$A$4:$A$256,0),MATCH("New York Saturday Shoulder Peak",'NY Curve'!$A$4:$L$4,0)),IF(Tables!$E$30="Michigan",INDEX('Michigan Curve'!$A$4:$K$256,MATCH('Monthly Table'!$B222,'Michigan Curve'!$A$4:$A$256,0),MATCH("Michigan Saturday Shoulder Peak",'Michigan Curve'!$A$4:$K$4,0))))</f>
        <v>9.90479011990754</v>
      </c>
      <c r="AY222" s="895" t="n">
        <f aca="false">AX222*K222</f>
        <v>12.4338511552277</v>
      </c>
      <c r="AZ222" s="893" t="n">
        <f aca="false">IF(Tables!$B$21=15,0,IF(AY222&gt;($CP222+$BF$4),1,0))</f>
        <v>0</v>
      </c>
      <c r="BB222" s="892" t="n">
        <f aca="false">IF(Tables!$E$30="New York",INDEX('NY Curve'!$A$4:$M$256,MATCH('Monthly Table'!$B222,'NY Curve'!$A$4:$A$256,0),MATCH("NY Sunday Super Peak",'NY Curve'!$A$4:$M$4,0)),IF(Tables!$E$30="Michigan",INDEX('Michigan Curve'!$A$4:$L$256,MATCH('Monthly Table'!$B222,'Michigan Curve'!$A$4:$A$256,0),MATCH("Michigan Sunday Super Peak",'Michigan Curve'!$A$4:$L$4,0))))</f>
        <v>53.2271868499569</v>
      </c>
      <c r="BC222" s="894" t="n">
        <f aca="false">BB222*K222</f>
        <v>66.8180658743768</v>
      </c>
      <c r="BD222" s="893" t="n">
        <f aca="false">IF(BC222&gt;($CP222+$BF$4),1,0)</f>
        <v>1</v>
      </c>
      <c r="BF222" s="896" t="n">
        <f aca="false">B222</f>
        <v>43313</v>
      </c>
      <c r="BG222" s="897" t="n">
        <f aca="false">IF($AN222=1,$E222*$BF$5,0)</f>
        <v>0</v>
      </c>
      <c r="BH222" s="976" t="n">
        <f aca="false">IF(Tables!$B$36="Combined Cycle",(BF222-BF221)*24*Assumptions!$B$21,0)</f>
        <v>0</v>
      </c>
      <c r="BI222" s="714" t="n">
        <f aca="false">IF($AN222=1,$E222*$BF$5,0)</f>
        <v>0</v>
      </c>
      <c r="BJ222" s="898" t="n">
        <f aca="false">IF('Monthly Table'!D222&lt;=Tables!$B$21,IF($BJ$10=$BG$10,BG222,IF($BJ$10=$BH$10,BH222,IF($BJ$10=$BI$10,BI222,0))),0)</f>
        <v>0</v>
      </c>
      <c r="BK222" s="288"/>
      <c r="BL222" s="898" t="n">
        <f aca="false">IF($AW222=1,$F222*$BF$5,0)</f>
        <v>0</v>
      </c>
      <c r="BM222" s="898" t="n">
        <f aca="false">IF($BD222=1,($G222+H222)*$BF$5,0)</f>
        <v>32</v>
      </c>
      <c r="BO222" s="898" t="n">
        <f aca="false">IF(AS222=1,BJ222,0)</f>
        <v>0</v>
      </c>
      <c r="BP222" s="898" t="n">
        <f aca="false">IF(AZ222=1,F222*$BF$5,0)</f>
        <v>0</v>
      </c>
      <c r="BR222" s="899" t="n">
        <f aca="false">IF(BJ222&gt;0,INDEX(OperationalDetail,MATCH("Capacity Degradation",ODColumn,0),MATCH('Monthly Table'!C222,ODRow,0)),0)</f>
        <v>0</v>
      </c>
      <c r="BS222" s="900" t="n">
        <f aca="false">BJ222*(1-BR222)*Tables!$C$36</f>
        <v>0</v>
      </c>
      <c r="BT222" s="883" t="n">
        <f aca="false">BS222*AL222/1000</f>
        <v>0</v>
      </c>
      <c r="BU222" s="883" t="n">
        <f aca="false">BT222*K222</f>
        <v>0</v>
      </c>
      <c r="BV222" s="188"/>
      <c r="BW222" s="901" t="n">
        <f aca="false">$BO222*(1-$BR222)*Tables!$C$36</f>
        <v>0</v>
      </c>
      <c r="BX222" s="902" t="n">
        <f aca="false">(BW222*AQ222)/1000</f>
        <v>0</v>
      </c>
      <c r="BY222" s="883" t="n">
        <f aca="false">BX222*K222</f>
        <v>0</v>
      </c>
      <c r="BZ222" s="188"/>
      <c r="CA222" s="901" t="n">
        <f aca="false">$BL222*(1-$BR222)*Tables!$C$36</f>
        <v>0</v>
      </c>
      <c r="CB222" s="902" t="n">
        <f aca="false">(CA222*AU222)/1000</f>
        <v>0</v>
      </c>
      <c r="CC222" s="883" t="n">
        <f aca="false">CB222*K222</f>
        <v>0</v>
      </c>
      <c r="CD222" s="901" t="n">
        <f aca="false">$BP222*(1-$BR222)*Tables!$C$36</f>
        <v>0</v>
      </c>
      <c r="CE222" s="902" t="n">
        <f aca="false">(CD222*AX222)/1000</f>
        <v>0</v>
      </c>
      <c r="CF222" s="883" t="n">
        <f aca="false">CE222*K222</f>
        <v>0</v>
      </c>
      <c r="CH222" s="901" t="n">
        <f aca="false">$BM222*(1-$BR222)*Tables!$C$36</f>
        <v>10368</v>
      </c>
      <c r="CI222" s="902" t="n">
        <f aca="false">(CH222*BB222)/1000</f>
        <v>551.859473260353</v>
      </c>
      <c r="CJ222" s="883" t="n">
        <f aca="false">CI222*K222</f>
        <v>692.769706985538</v>
      </c>
      <c r="CK222" s="292"/>
      <c r="CL222" s="292" t="n">
        <f aca="false">C222-1</f>
        <v>2017</v>
      </c>
      <c r="CM222" s="903" t="n">
        <f aca="false">INDEX(OperationalDetail,MATCH("Degraded Heat Rate",ODColumn,0),MATCH('Monthly Table'!CL222,ODRow,0))/1000</f>
        <v>11.96</v>
      </c>
      <c r="CN222" s="904" t="n">
        <f aca="false">S222*CM222</f>
        <v>6.53090447109623</v>
      </c>
      <c r="CO222" s="905" t="n">
        <f aca="false">IF(A222="January",(CO221*(1+Assumptions!$E$32)),CO221)</f>
        <v>9.43150110914798</v>
      </c>
      <c r="CP222" s="906" t="n">
        <f aca="false">CN222+CO222</f>
        <v>15.9624055802442</v>
      </c>
      <c r="CQ222" s="292"/>
      <c r="CR222" s="856" t="str">
        <f aca="false">IF(BJ222=0,"",C222)</f>
        <v/>
      </c>
      <c r="CS222" s="856" t="str">
        <f aca="false">IF(BO222=0,"",$C222)</f>
        <v/>
      </c>
      <c r="CT222" s="856" t="str">
        <f aca="false">IF(BL222=0,"",$C222)</f>
        <v/>
      </c>
      <c r="CU222" s="856" t="str">
        <f aca="false">IF(BP222=0,"",$C222)</f>
        <v/>
      </c>
      <c r="CV222" s="856" t="n">
        <f aca="false">IF(BD222=0,"",$C222)</f>
        <v>2018</v>
      </c>
      <c r="CW222" s="907" t="n">
        <f aca="false">YEAR(BF222)</f>
        <v>2018</v>
      </c>
      <c r="CX222" s="908" t="n">
        <f aca="false">INDEX('NY Curve'!$A$4:$G$256,MATCH('Monthly Table'!B222,'NY Curve'!$A$4:$A$256,0),MATCH("New York 5 X 16",'NY Curve'!$A$4:$G$4,0))</f>
        <v>86.5</v>
      </c>
      <c r="CY222" s="909" t="n">
        <f aca="false">K222</f>
        <v>1.25533716562424</v>
      </c>
      <c r="CZ222" s="910" t="n">
        <f aca="false">CX222*CY222</f>
        <v>108.586664826497</v>
      </c>
      <c r="DB222" s="911"/>
      <c r="DC222" s="911"/>
    </row>
    <row r="223" customFormat="false" ht="18.75" hidden="false" customHeight="true" outlineLevel="0" collapsed="false">
      <c r="A223" s="49" t="s">
        <v>818</v>
      </c>
      <c r="B223" s="863" t="n">
        <v>43344</v>
      </c>
      <c r="C223" s="288" t="n">
        <f aca="false">YEAR(B223)</f>
        <v>2018</v>
      </c>
      <c r="D223" s="864" t="n">
        <f aca="false">IF(A223="January",D222+1,D222)</f>
        <v>18</v>
      </c>
      <c r="E223" s="865" t="n">
        <v>19</v>
      </c>
      <c r="F223" s="866" t="n">
        <v>5</v>
      </c>
      <c r="G223" s="866" t="n">
        <v>5</v>
      </c>
      <c r="H223" s="866" t="n">
        <v>1</v>
      </c>
      <c r="I223" s="867" t="n">
        <f aca="false">SUM(E223:H223)</f>
        <v>30</v>
      </c>
      <c r="J223" s="868"/>
      <c r="K223" s="869" t="n">
        <f aca="false">INDEX(FX!$A$3:$C$362,MATCH(B223,FX!$A$3:$A$362,0),MATCH("Monthly Curve",FX!$A$2:$C$2,0))</f>
        <v>1.25479606081271</v>
      </c>
      <c r="L223" s="869"/>
      <c r="M223" s="993"/>
      <c r="N223" s="994"/>
      <c r="O223" s="986" t="n">
        <v>0.1</v>
      </c>
      <c r="P223" s="872" t="n">
        <f aca="false">N223+O223</f>
        <v>0.1</v>
      </c>
      <c r="Q223" s="873" t="n">
        <f aca="false">SUM(M223:O223)</f>
        <v>0.1</v>
      </c>
      <c r="R223" s="974" t="n">
        <f aca="false">IF(A223="January",(R222+R222*Assumptions!$E$32),R222)</f>
        <v>0.420528530184752</v>
      </c>
      <c r="S223" s="875" t="n">
        <f aca="false">(Q223*K223)+R223</f>
        <v>0.546008136266023</v>
      </c>
      <c r="T223" s="869"/>
      <c r="U223" s="187"/>
      <c r="V223" s="897"/>
      <c r="W223" s="897"/>
      <c r="X223" s="31"/>
      <c r="Y223" s="975" t="n">
        <f aca="false">Tables!$D$36</f>
        <v>312</v>
      </c>
      <c r="Z223" s="879" t="n">
        <f aca="false">IF($Z$10=$V$10,V223,IF($Z$10=$W$10,W223,IF($Z$10=$X$10,X223,0)))</f>
        <v>0</v>
      </c>
      <c r="AA223" s="880" t="n">
        <f aca="false">Y223*Z223</f>
        <v>0</v>
      </c>
      <c r="AB223" s="881" t="n">
        <f aca="false">AA223*K223</f>
        <v>0</v>
      </c>
      <c r="AC223" s="188"/>
      <c r="AD223" s="882" t="n">
        <f aca="false">IF(Tables!$E$30="Michigan",INDEX('Michigan Curve'!$A$4:$S$256,MATCH('Monthly Table'!B223,'Michigan Curve'!$A$4:$A$256,0),MATCH("Michigan Selected Option Value US$/month",'Michigan Curve'!$A$4:$S$4,0)),INDEX('NY Curve'!$A$4:$T$256,MATCH('Monthly Table'!B223,'NY Curve'!$A$4:$A$256,0),MATCH("New York Selected Option Value US$/month",'NY Curve'!$A$4:$T$4,0)))</f>
        <v>0</v>
      </c>
      <c r="AE223" s="883" t="n">
        <f aca="false">AD223*K223</f>
        <v>0</v>
      </c>
      <c r="AF223" s="188"/>
      <c r="AG223" s="884"/>
      <c r="AH223" s="49"/>
      <c r="AI223" s="885" t="n">
        <f aca="false">Assumptions!$B$50</f>
        <v>65</v>
      </c>
      <c r="AJ223" s="916"/>
      <c r="AK223" s="887" t="n">
        <f aca="false">IF(Tables!$E$30="Custom",'Monthly Table'!AI223,IF(Tables!$E$30="New York",INDEX('NY Curve'!$A$4:$G$256,MATCH('Monthly Table'!B223,'NY Curve'!$A$4:$A$256,0),MATCH("Super Peak Curve",'NY Curve'!$A$4:$G$4,0)),IF(Tables!$E$30="New York Flat",INDEX('NY Curve'!$A$4:$G$256,MATCH('Monthly Table'!B223,'NY Curve'!$A$4:$A$256,0),MATCH("Flat NY West",'NY Curve'!$A$4:$G$4,0)),INDEX('Michigan Curve'!$A$4:$F$256,MATCH('Monthly Table'!B223,'Michigan Curve'!$A$4:$A$256,0),MATCH("Michigan Super Peak Curve US$/MWhr",'Michigan Curve'!$A$4:$F$4,0)))))</f>
        <v>52.3609372228384</v>
      </c>
      <c r="AL223" s="888" t="n">
        <f aca="false">IF(D223&lt;=Tables!$B$21,IF($AL$10=$AI$10,AI223,IF($AL$10=$AJ$10,AJ223,IF($AL$10=$AK$10,AK223,0))),0)</f>
        <v>0</v>
      </c>
      <c r="AM223" s="889" t="n">
        <f aca="false">+AL223*K223</f>
        <v>0</v>
      </c>
      <c r="AN223" s="890" t="n">
        <f aca="false">IF((AL223*K223)&gt;(CP223+$BF$4),1,0)</f>
        <v>0</v>
      </c>
      <c r="AO223" s="891"/>
      <c r="AP223" s="894"/>
      <c r="AQ223" s="892" t="n">
        <f aca="false">IF(Tables!$E$30="New York",INDEX('NY Curve'!$A$4:$L$256,MATCH('Monthly Table'!B223,'NY Curve'!$A$4:$A$256,0),MATCH("New York Shoulder Hour Curve Mon-Fri",'NY Curve'!$A$4:$L$4,0)),IF(Tables!$E$30="Michigan",INDEX('Michigan Curve'!$A$4:$K$256,MATCH('Monthly Table'!B223,'Michigan Curve'!$A$4:$A$256,0),MATCH("Michigan Shoulder Hour Curve Mon-Fri",'Michigan Curve'!$A$4:$K$4,0))))</f>
        <v>25.1390627771616</v>
      </c>
      <c r="AR223" s="889" t="n">
        <f aca="false">AQ223*K223</f>
        <v>31.5443969453058</v>
      </c>
      <c r="AS223" s="893" t="n">
        <f aca="false">IF(AR223&gt;($CP223+$BF$4),1,0)</f>
        <v>1</v>
      </c>
      <c r="AU223" s="892" t="n">
        <f aca="false">IF(Tables!$E$30="New York",INDEX('NY Curve'!$A$4:$L$256,MATCH('Monthly Table'!$B223,'NY Curve'!$A$4:$A$256,0),MATCH("New York Saturday Super Peak",'NY Curve'!$A$4:$L$4,0)),IF(Tables!$E$30="Michigan",INDEX('Michigan Curve'!$A$4:$K$256,MATCH('Monthly Table'!$B223,'Michigan Curve'!$A$4:$A$256,0),MATCH("Michigan Saturday Super Peak",'Michigan Curve'!$A$4:$K$4,0))))</f>
        <v>33.7812498211861</v>
      </c>
      <c r="AV223" s="894" t="n">
        <f aca="false">AU223*K223</f>
        <v>42.3885792049543</v>
      </c>
      <c r="AW223" s="893" t="n">
        <f aca="false">IF(Tables!$B$21=15,0,IF(AV223&gt;($CP223+$BF$4),1,0))</f>
        <v>0</v>
      </c>
      <c r="AX223" s="892" t="n">
        <f aca="false">IF(Tables!$E$30="New York",INDEX('NY Curve'!$A$4:$L$256,MATCH('Monthly Table'!$B223,'NY Curve'!$A$4:$A$256,0),MATCH("New York Saturday Shoulder Peak",'NY Curve'!$A$4:$L$4,0)),IF(Tables!$E$30="Michigan",INDEX('Michigan Curve'!$A$4:$K$256,MATCH('Monthly Table'!$B223,'Michigan Curve'!$A$4:$A$256,0),MATCH("Michigan Saturday Shoulder Peak",'Michigan Curve'!$A$4:$K$4,0))))</f>
        <v>16.2187501788139</v>
      </c>
      <c r="AY223" s="895" t="n">
        <f aca="false">AX223*K223</f>
        <v>20.3512238356812</v>
      </c>
      <c r="AZ223" s="893" t="n">
        <f aca="false">IF(Tables!$B$21=15,0,IF(AY223&gt;($CP223+$BF$4),1,0))</f>
        <v>0</v>
      </c>
      <c r="BB223" s="892" t="n">
        <f aca="false">IF(Tables!$E$30="New York",INDEX('NY Curve'!$A$4:$M$256,MATCH('Monthly Table'!$B223,'NY Curve'!$A$4:$A$256,0),MATCH("NY Sunday Super Peak",'NY Curve'!$A$4:$M$4,0)),IF(Tables!$E$30="Michigan",INDEX('Michigan Curve'!$A$4:$L$256,MATCH('Monthly Table'!$B223,'Michigan Curve'!$A$4:$A$256,0),MATCH("Michigan Sunday Super Peak",'Michigan Curve'!$A$4:$L$4,0))))</f>
        <v>32.4299998283386</v>
      </c>
      <c r="BC223" s="894" t="n">
        <f aca="false">BB223*K223</f>
        <v>40.6930360367562</v>
      </c>
      <c r="BD223" s="893" t="n">
        <f aca="false">IF(BC223&gt;($CP223+$BF$4),1,0)</f>
        <v>1</v>
      </c>
      <c r="BF223" s="896" t="n">
        <f aca="false">B223</f>
        <v>43344</v>
      </c>
      <c r="BG223" s="897" t="n">
        <f aca="false">IF($AN223=1,$E223*$BF$5,0)</f>
        <v>0</v>
      </c>
      <c r="BH223" s="976" t="n">
        <f aca="false">IF(Tables!$B$36="Combined Cycle",(BF223-BF222)*24*Assumptions!$B$21,0)</f>
        <v>0</v>
      </c>
      <c r="BI223" s="714" t="n">
        <f aca="false">IF($AN223=1,$E223*$BF$5,0)</f>
        <v>0</v>
      </c>
      <c r="BJ223" s="898" t="n">
        <f aca="false">IF('Monthly Table'!D223&lt;=Tables!$B$21,IF($BJ$10=$BG$10,BG223,IF($BJ$10=$BH$10,BH223,IF($BJ$10=$BI$10,BI223,0))),0)</f>
        <v>0</v>
      </c>
      <c r="BK223" s="288"/>
      <c r="BL223" s="898" t="n">
        <f aca="false">IF($AW223=1,$F223*$BF$5,0)</f>
        <v>0</v>
      </c>
      <c r="BM223" s="898" t="n">
        <f aca="false">IF($BD223=1,($G223+H223)*$BF$5,0)</f>
        <v>48</v>
      </c>
      <c r="BO223" s="898" t="n">
        <f aca="false">IF(AS223=1,BJ223,0)</f>
        <v>0</v>
      </c>
      <c r="BP223" s="898" t="n">
        <f aca="false">IF(AZ223=1,F223*$BF$5,0)</f>
        <v>0</v>
      </c>
      <c r="BR223" s="899" t="n">
        <f aca="false">IF(BJ223&gt;0,INDEX(OperationalDetail,MATCH("Capacity Degradation",ODColumn,0),MATCH('Monthly Table'!C223,ODRow,0)),0)</f>
        <v>0</v>
      </c>
      <c r="BS223" s="900" t="n">
        <f aca="false">BJ223*(1-BR223)*Tables!$C$36</f>
        <v>0</v>
      </c>
      <c r="BT223" s="883" t="n">
        <f aca="false">BS223*AL223/1000</f>
        <v>0</v>
      </c>
      <c r="BU223" s="883" t="n">
        <f aca="false">BT223*K223</f>
        <v>0</v>
      </c>
      <c r="BV223" s="188"/>
      <c r="BW223" s="901" t="n">
        <f aca="false">$BO223*(1-$BR223)*Tables!$C$36</f>
        <v>0</v>
      </c>
      <c r="BX223" s="902" t="n">
        <f aca="false">(BW223*AQ223)/1000</f>
        <v>0</v>
      </c>
      <c r="BY223" s="883" t="n">
        <f aca="false">BX223*K223</f>
        <v>0</v>
      </c>
      <c r="BZ223" s="188"/>
      <c r="CA223" s="901" t="n">
        <f aca="false">$BL223*(1-$BR223)*Tables!$C$36</f>
        <v>0</v>
      </c>
      <c r="CB223" s="902" t="n">
        <f aca="false">(CA223*AU223)/1000</f>
        <v>0</v>
      </c>
      <c r="CC223" s="883" t="n">
        <f aca="false">CB223*K223</f>
        <v>0</v>
      </c>
      <c r="CD223" s="901" t="n">
        <f aca="false">$BP223*(1-$BR223)*Tables!$C$36</f>
        <v>0</v>
      </c>
      <c r="CE223" s="902" t="n">
        <f aca="false">(CD223*AX223)/1000</f>
        <v>0</v>
      </c>
      <c r="CF223" s="883" t="n">
        <f aca="false">CE223*K223</f>
        <v>0</v>
      </c>
      <c r="CH223" s="901" t="n">
        <f aca="false">$BM223*(1-$BR223)*Tables!$C$36</f>
        <v>15552</v>
      </c>
      <c r="CI223" s="902" t="n">
        <f aca="false">(CH223*BB223)/1000</f>
        <v>504.351357330322</v>
      </c>
      <c r="CJ223" s="883" t="n">
        <f aca="false">CI223*K223</f>
        <v>632.858096443632</v>
      </c>
      <c r="CK223" s="292"/>
      <c r="CL223" s="292" t="n">
        <f aca="false">C223-1</f>
        <v>2017</v>
      </c>
      <c r="CM223" s="903" t="n">
        <f aca="false">INDEX(OperationalDetail,MATCH("Degraded Heat Rate",ODColumn,0),MATCH('Monthly Table'!CL223,ODRow,0))/1000</f>
        <v>11.96</v>
      </c>
      <c r="CN223" s="904" t="n">
        <f aca="false">S223*CM223</f>
        <v>6.53025730974164</v>
      </c>
      <c r="CO223" s="905" t="n">
        <f aca="false">IF(A223="January",(CO222*(1+Assumptions!$E$32)),CO222)</f>
        <v>9.43150110914798</v>
      </c>
      <c r="CP223" s="906" t="n">
        <f aca="false">CN223+CO223</f>
        <v>15.9617584188896</v>
      </c>
      <c r="CQ223" s="292"/>
      <c r="CR223" s="856" t="str">
        <f aca="false">IF(BJ223=0,"",C223)</f>
        <v/>
      </c>
      <c r="CS223" s="856" t="str">
        <f aca="false">IF(BO223=0,"",$C223)</f>
        <v/>
      </c>
      <c r="CT223" s="856" t="str">
        <f aca="false">IF(BL223=0,"",$C223)</f>
        <v/>
      </c>
      <c r="CU223" s="856" t="str">
        <f aca="false">IF(BP223=0,"",$C223)</f>
        <v/>
      </c>
      <c r="CV223" s="856" t="n">
        <f aca="false">IF(BD223=0,"",$C223)</f>
        <v>2018</v>
      </c>
      <c r="CW223" s="907" t="n">
        <f aca="false">YEAR(BF223)</f>
        <v>2018</v>
      </c>
      <c r="CX223" s="908" t="n">
        <f aca="false">INDEX('NY Curve'!$A$4:$G$256,MATCH('Monthly Table'!B223,'NY Curve'!$A$4:$A$256,0),MATCH("New York 5 X 16",'NY Curve'!$A$4:$G$4,0))</f>
        <v>32.85</v>
      </c>
      <c r="CY223" s="909" t="n">
        <f aca="false">K223</f>
        <v>1.25479606081271</v>
      </c>
      <c r="CZ223" s="910" t="n">
        <f aca="false">CX223*CY223</f>
        <v>41.2200505976975</v>
      </c>
      <c r="DB223" s="911"/>
      <c r="DC223" s="911"/>
    </row>
    <row r="224" customFormat="false" ht="18.75" hidden="false" customHeight="true" outlineLevel="0" collapsed="false">
      <c r="A224" s="49" t="s">
        <v>819</v>
      </c>
      <c r="B224" s="863" t="n">
        <v>43374</v>
      </c>
      <c r="C224" s="288" t="n">
        <f aca="false">YEAR(B224)</f>
        <v>2018</v>
      </c>
      <c r="D224" s="864" t="n">
        <f aca="false">IF(A224="January",D223+1,D223)</f>
        <v>18</v>
      </c>
      <c r="E224" s="865" t="n">
        <v>23</v>
      </c>
      <c r="F224" s="866" t="n">
        <v>4</v>
      </c>
      <c r="G224" s="866" t="n">
        <v>4</v>
      </c>
      <c r="H224" s="866" t="n">
        <v>0</v>
      </c>
      <c r="I224" s="867" t="n">
        <f aca="false">SUM(E224:H224)</f>
        <v>31</v>
      </c>
      <c r="J224" s="868"/>
      <c r="K224" s="869" t="n">
        <f aca="false">INDEX(FX!$A$3:$C$362,MATCH(B224,FX!$A$3:$A$362,0),MATCH("Monthly Curve",FX!$A$2:$C$2,0))</f>
        <v>1.25427532763134</v>
      </c>
      <c r="L224" s="869"/>
      <c r="M224" s="993"/>
      <c r="N224" s="994"/>
      <c r="O224" s="986" t="n">
        <v>0.1</v>
      </c>
      <c r="P224" s="872" t="n">
        <f aca="false">N224+O224</f>
        <v>0.1</v>
      </c>
      <c r="Q224" s="873" t="n">
        <f aca="false">SUM(M224:O224)</f>
        <v>0.1</v>
      </c>
      <c r="R224" s="974" t="n">
        <f aca="false">IF(A224="January",(R223+R223*Assumptions!$E$32),R223)</f>
        <v>0.420528530184752</v>
      </c>
      <c r="S224" s="875" t="n">
        <f aca="false">(Q224*K224)+R224</f>
        <v>0.545956062947886</v>
      </c>
      <c r="T224" s="869"/>
      <c r="U224" s="187"/>
      <c r="V224" s="897"/>
      <c r="W224" s="897"/>
      <c r="X224" s="31"/>
      <c r="Y224" s="975" t="n">
        <f aca="false">Tables!$D$36</f>
        <v>312</v>
      </c>
      <c r="Z224" s="879" t="n">
        <f aca="false">IF($Z$10=$V$10,V224,IF($Z$10=$W$10,W224,IF($Z$10=$X$10,X224,0)))</f>
        <v>0</v>
      </c>
      <c r="AA224" s="880" t="n">
        <f aca="false">Y224*Z224</f>
        <v>0</v>
      </c>
      <c r="AB224" s="881" t="n">
        <f aca="false">AA224*K224</f>
        <v>0</v>
      </c>
      <c r="AC224" s="188"/>
      <c r="AD224" s="882" t="n">
        <f aca="false">IF(Tables!$E$30="Michigan",INDEX('Michigan Curve'!$A$4:$S$256,MATCH('Monthly Table'!B224,'Michigan Curve'!$A$4:$A$256,0),MATCH("Michigan Selected Option Value US$/month",'Michigan Curve'!$A$4:$S$4,0)),INDEX('NY Curve'!$A$4:$T$256,MATCH('Monthly Table'!B224,'NY Curve'!$A$4:$A$256,0),MATCH("New York Selected Option Value US$/month",'NY Curve'!$A$4:$T$4,0)))</f>
        <v>0</v>
      </c>
      <c r="AE224" s="883" t="n">
        <f aca="false">AD224*K224</f>
        <v>0</v>
      </c>
      <c r="AF224" s="188"/>
      <c r="AG224" s="884"/>
      <c r="AH224" s="49"/>
      <c r="AI224" s="885" t="n">
        <f aca="false">Assumptions!$B$50</f>
        <v>65</v>
      </c>
      <c r="AJ224" s="916"/>
      <c r="AK224" s="887" t="n">
        <f aca="false">IF(Tables!$E$30="Custom",'Monthly Table'!AI224,IF(Tables!$E$30="New York",INDEX('NY Curve'!$A$4:$G$256,MATCH('Monthly Table'!B224,'NY Curve'!$A$4:$A$256,0),MATCH("Super Peak Curve",'NY Curve'!$A$4:$G$4,0)),IF(Tables!$E$30="New York Flat",INDEX('NY Curve'!$A$4:$G$256,MATCH('Monthly Table'!B224,'NY Curve'!$A$4:$A$256,0),MATCH("Flat NY West",'NY Curve'!$A$4:$G$4,0)),INDEX('Michigan Curve'!$A$4:$F$256,MATCH('Monthly Table'!B224,'Michigan Curve'!$A$4:$A$256,0),MATCH("Michigan Super Peak Curve US$/MWhr",'Michigan Curve'!$A$4:$F$4,0)))))</f>
        <v>0</v>
      </c>
      <c r="AL224" s="888" t="n">
        <f aca="false">IF(D224&lt;=Tables!$B$21,IF($AL$10=$AI$10,AI224,IF($AL$10=$AJ$10,AJ224,IF($AL$10=$AK$10,AK224,0))),0)</f>
        <v>0</v>
      </c>
      <c r="AM224" s="889" t="n">
        <f aca="false">+AL224*K224</f>
        <v>0</v>
      </c>
      <c r="AN224" s="890" t="n">
        <f aca="false">IF((AL224*K224)&gt;(CP224+$BF$4),1,0)</f>
        <v>0</v>
      </c>
      <c r="AO224" s="891"/>
      <c r="AP224" s="894"/>
      <c r="AQ224" s="892" t="n">
        <f aca="false">IF(Tables!$E$30="New York",INDEX('NY Curve'!$A$4:$L$256,MATCH('Monthly Table'!B224,'NY Curve'!$A$4:$A$256,0),MATCH("New York Shoulder Hour Curve Mon-Fri",'NY Curve'!$A$4:$L$4,0)),IF(Tables!$E$30="Michigan",INDEX('Michigan Curve'!$A$4:$K$256,MATCH('Monthly Table'!B224,'Michigan Curve'!$A$4:$A$256,0),MATCH("Michigan Shoulder Hour Curve Mon-Fri",'Michigan Curve'!$A$4:$K$4,0))))</f>
        <v>0</v>
      </c>
      <c r="AR224" s="889" t="n">
        <f aca="false">AQ224*K224</f>
        <v>0</v>
      </c>
      <c r="AS224" s="893" t="n">
        <f aca="false">IF(AR224&gt;($CP224+$BF$4),1,0)</f>
        <v>0</v>
      </c>
      <c r="AU224" s="892" t="n">
        <f aca="false">IF(Tables!$E$30="New York",INDEX('NY Curve'!$A$4:$L$256,MATCH('Monthly Table'!$B224,'NY Curve'!$A$4:$A$256,0),MATCH("New York Saturday Super Peak",'NY Curve'!$A$4:$L$4,0)),IF(Tables!$E$30="Michigan",INDEX('Michigan Curve'!$A$4:$K$256,MATCH('Monthly Table'!$B224,'Michigan Curve'!$A$4:$A$256,0),MATCH("Michigan Saturday Super Peak",'Michigan Curve'!$A$4:$K$4,0))))</f>
        <v>0</v>
      </c>
      <c r="AV224" s="894" t="n">
        <f aca="false">AU224*K224</f>
        <v>0</v>
      </c>
      <c r="AW224" s="893" t="n">
        <f aca="false">IF(Tables!$B$21=15,0,IF(AV224&gt;($CP224+$BF$4),1,0))</f>
        <v>0</v>
      </c>
      <c r="AX224" s="892" t="n">
        <f aca="false">IF(Tables!$E$30="New York",INDEX('NY Curve'!$A$4:$L$256,MATCH('Monthly Table'!$B224,'NY Curve'!$A$4:$A$256,0),MATCH("New York Saturday Shoulder Peak",'NY Curve'!$A$4:$L$4,0)),IF(Tables!$E$30="Michigan",INDEX('Michigan Curve'!$A$4:$K$256,MATCH('Monthly Table'!$B224,'Michigan Curve'!$A$4:$A$256,0),MATCH("Michigan Saturday Shoulder Peak",'Michigan Curve'!$A$4:$K$4,0))))</f>
        <v>0</v>
      </c>
      <c r="AY224" s="895" t="n">
        <f aca="false">AX224*K224</f>
        <v>0</v>
      </c>
      <c r="AZ224" s="893" t="n">
        <f aca="false">IF(Tables!$B$21=15,0,IF(AY224&gt;($CP224+$BF$4),1,0))</f>
        <v>0</v>
      </c>
      <c r="BB224" s="892" t="n">
        <f aca="false">IF(Tables!$E$30="New York",INDEX('NY Curve'!$A$4:$M$256,MATCH('Monthly Table'!$B224,'NY Curve'!$A$4:$A$256,0),MATCH("NY Sunday Super Peak",'NY Curve'!$A$4:$M$4,0)),IF(Tables!$E$30="Michigan",INDEX('Michigan Curve'!$A$4:$L$256,MATCH('Monthly Table'!$B224,'Michigan Curve'!$A$4:$A$256,0),MATCH("Michigan Sunday Super Peak",'Michigan Curve'!$A$4:$L$4,0))))</f>
        <v>0</v>
      </c>
      <c r="BC224" s="894" t="n">
        <f aca="false">BB224*K224</f>
        <v>0</v>
      </c>
      <c r="BD224" s="893" t="n">
        <f aca="false">IF(BC224&gt;($CP224+$BF$4),1,0)</f>
        <v>0</v>
      </c>
      <c r="BF224" s="896" t="n">
        <f aca="false">B224</f>
        <v>43374</v>
      </c>
      <c r="BG224" s="897" t="n">
        <f aca="false">IF($AN224=1,$E224*$BF$5,0)</f>
        <v>0</v>
      </c>
      <c r="BH224" s="976" t="n">
        <f aca="false">IF(Tables!$B$36="Combined Cycle",(BF224-BF223)*24*Assumptions!$B$21,0)</f>
        <v>0</v>
      </c>
      <c r="BI224" s="714" t="n">
        <f aca="false">IF($AN224=1,$E224*$BF$5,0)</f>
        <v>0</v>
      </c>
      <c r="BJ224" s="898" t="n">
        <f aca="false">IF('Monthly Table'!D224&lt;=Tables!$B$21,IF($BJ$10=$BG$10,BG224,IF($BJ$10=$BH$10,BH224,IF($BJ$10=$BI$10,BI224,0))),0)</f>
        <v>0</v>
      </c>
      <c r="BK224" s="288"/>
      <c r="BL224" s="898" t="n">
        <f aca="false">IF($AW224=1,$F224*$BF$5,0)</f>
        <v>0</v>
      </c>
      <c r="BM224" s="898" t="n">
        <f aca="false">IF($BD224=1,($G224+H224)*$BF$5,0)</f>
        <v>0</v>
      </c>
      <c r="BO224" s="898" t="n">
        <f aca="false">IF(AS224=1,BJ224,0)</f>
        <v>0</v>
      </c>
      <c r="BP224" s="898" t="n">
        <f aca="false">IF(AZ224=1,F224*$BF$5,0)</f>
        <v>0</v>
      </c>
      <c r="BR224" s="899" t="n">
        <f aca="false">IF(BJ224&gt;0,INDEX(OperationalDetail,MATCH("Capacity Degradation",ODColumn,0),MATCH('Monthly Table'!C224,ODRow,0)),0)</f>
        <v>0</v>
      </c>
      <c r="BS224" s="900" t="n">
        <f aca="false">BJ224*(1-BR224)*Tables!$C$36</f>
        <v>0</v>
      </c>
      <c r="BT224" s="883" t="n">
        <f aca="false">BS224*AL224/1000</f>
        <v>0</v>
      </c>
      <c r="BU224" s="883" t="n">
        <f aca="false">BT224*K224</f>
        <v>0</v>
      </c>
      <c r="BV224" s="188"/>
      <c r="BW224" s="901" t="n">
        <f aca="false">$BO224*(1-$BR224)*Tables!$C$36</f>
        <v>0</v>
      </c>
      <c r="BX224" s="902" t="n">
        <f aca="false">(BW224*AQ224)/1000</f>
        <v>0</v>
      </c>
      <c r="BY224" s="883" t="n">
        <f aca="false">BX224*K224</f>
        <v>0</v>
      </c>
      <c r="BZ224" s="188"/>
      <c r="CA224" s="901" t="n">
        <f aca="false">$BL224*(1-$BR224)*Tables!$C$36</f>
        <v>0</v>
      </c>
      <c r="CB224" s="902" t="n">
        <f aca="false">(CA224*AU224)/1000</f>
        <v>0</v>
      </c>
      <c r="CC224" s="883" t="n">
        <f aca="false">CB224*K224</f>
        <v>0</v>
      </c>
      <c r="CD224" s="901" t="n">
        <f aca="false">$BP224*(1-$BR224)*Tables!$C$36</f>
        <v>0</v>
      </c>
      <c r="CE224" s="902" t="n">
        <f aca="false">(CD224*AX224)/1000</f>
        <v>0</v>
      </c>
      <c r="CF224" s="883" t="n">
        <f aca="false">CE224*K224</f>
        <v>0</v>
      </c>
      <c r="CH224" s="901" t="n">
        <f aca="false">$BM224*(1-$BR224)*Tables!$C$36</f>
        <v>0</v>
      </c>
      <c r="CI224" s="902" t="n">
        <f aca="false">(CH224*BB224)/1000</f>
        <v>0</v>
      </c>
      <c r="CJ224" s="883" t="n">
        <f aca="false">CI224*K224</f>
        <v>0</v>
      </c>
      <c r="CK224" s="292"/>
      <c r="CL224" s="292" t="n">
        <f aca="false">C224-1</f>
        <v>2017</v>
      </c>
      <c r="CM224" s="903" t="n">
        <f aca="false">INDEX(OperationalDetail,MATCH("Degraded Heat Rate",ODColumn,0),MATCH('Monthly Table'!CL224,ODRow,0))/1000</f>
        <v>11.96</v>
      </c>
      <c r="CN224" s="904" t="n">
        <f aca="false">S224*CM224</f>
        <v>6.52963451285672</v>
      </c>
      <c r="CO224" s="905" t="n">
        <f aca="false">IF(A224="January",(CO223*(1+Assumptions!$E$32)),CO223)</f>
        <v>9.43150110914798</v>
      </c>
      <c r="CP224" s="906" t="n">
        <f aca="false">CN224+CO224</f>
        <v>15.9611356220047</v>
      </c>
      <c r="CQ224" s="292"/>
      <c r="CR224" s="856" t="str">
        <f aca="false">IF(BJ224=0,"",C224)</f>
        <v/>
      </c>
      <c r="CS224" s="856" t="str">
        <f aca="false">IF(BO224=0,"",$C224)</f>
        <v/>
      </c>
      <c r="CT224" s="856" t="str">
        <f aca="false">IF(BL224=0,"",$C224)</f>
        <v/>
      </c>
      <c r="CU224" s="856" t="str">
        <f aca="false">IF(BP224=0,"",$C224)</f>
        <v/>
      </c>
      <c r="CV224" s="856" t="str">
        <f aca="false">IF(BD224=0,"",$C224)</f>
        <v/>
      </c>
      <c r="CW224" s="907" t="n">
        <f aca="false">YEAR(BF224)</f>
        <v>2018</v>
      </c>
      <c r="CX224" s="908" t="n">
        <f aca="false">INDEX('NY Curve'!$A$4:$G$256,MATCH('Monthly Table'!B224,'NY Curve'!$A$4:$A$256,0),MATCH("New York 5 X 16",'NY Curve'!$A$4:$G$4,0))</f>
        <v>0</v>
      </c>
      <c r="CY224" s="909" t="n">
        <f aca="false">K224</f>
        <v>1.25427532763134</v>
      </c>
      <c r="CZ224" s="910" t="n">
        <f aca="false">CX224*CY224</f>
        <v>0</v>
      </c>
      <c r="DB224" s="911"/>
      <c r="DC224" s="911"/>
    </row>
    <row r="225" customFormat="false" ht="18.75" hidden="false" customHeight="true" outlineLevel="0" collapsed="false">
      <c r="A225" s="49" t="s">
        <v>820</v>
      </c>
      <c r="B225" s="863" t="n">
        <v>43405</v>
      </c>
      <c r="C225" s="288" t="n">
        <f aca="false">YEAR(B225)</f>
        <v>2018</v>
      </c>
      <c r="D225" s="864" t="n">
        <f aca="false">IF(A225="January",D224+1,D224)</f>
        <v>18</v>
      </c>
      <c r="E225" s="865" t="n">
        <v>21</v>
      </c>
      <c r="F225" s="866" t="n">
        <v>4</v>
      </c>
      <c r="G225" s="866" t="n">
        <v>4</v>
      </c>
      <c r="H225" s="866" t="n">
        <v>1</v>
      </c>
      <c r="I225" s="867" t="n">
        <f aca="false">SUM(E225:H225)</f>
        <v>30</v>
      </c>
      <c r="J225" s="868"/>
      <c r="K225" s="869" t="n">
        <f aca="false">INDEX(FX!$A$3:$C$362,MATCH(B225,FX!$A$3:$A$362,0),MATCH("Monthly Curve",FX!$A$2:$C$2,0))</f>
        <v>1.25374024686776</v>
      </c>
      <c r="L225" s="869"/>
      <c r="M225" s="993"/>
      <c r="N225" s="994"/>
      <c r="O225" s="986" t="n">
        <v>0.1</v>
      </c>
      <c r="P225" s="872" t="n">
        <f aca="false">N225+O225</f>
        <v>0.1</v>
      </c>
      <c r="Q225" s="873" t="n">
        <f aca="false">SUM(M225:O225)</f>
        <v>0.1</v>
      </c>
      <c r="R225" s="974" t="n">
        <f aca="false">IF(A225="January",(R224+R224*Assumptions!$E$32),R224)</f>
        <v>0.420528530184752</v>
      </c>
      <c r="S225" s="875" t="n">
        <f aca="false">(Q225*K225)+R225</f>
        <v>0.545902554871528</v>
      </c>
      <c r="T225" s="869"/>
      <c r="U225" s="187"/>
      <c r="V225" s="897"/>
      <c r="W225" s="897"/>
      <c r="X225" s="31"/>
      <c r="Y225" s="975" t="n">
        <f aca="false">Tables!$D$36</f>
        <v>312</v>
      </c>
      <c r="Z225" s="879" t="n">
        <f aca="false">IF($Z$10=$V$10,V225,IF($Z$10=$W$10,W225,IF($Z$10=$X$10,X225,0)))</f>
        <v>0</v>
      </c>
      <c r="AA225" s="880" t="n">
        <f aca="false">Y225*Z225</f>
        <v>0</v>
      </c>
      <c r="AB225" s="881" t="n">
        <f aca="false">AA225*K225</f>
        <v>0</v>
      </c>
      <c r="AC225" s="188"/>
      <c r="AD225" s="882" t="n">
        <f aca="false">IF(Tables!$E$30="Michigan",INDEX('Michigan Curve'!$A$4:$S$256,MATCH('Monthly Table'!B225,'Michigan Curve'!$A$4:$A$256,0),MATCH("Michigan Selected Option Value US$/month",'Michigan Curve'!$A$4:$S$4,0)),INDEX('NY Curve'!$A$4:$T$256,MATCH('Monthly Table'!B225,'NY Curve'!$A$4:$A$256,0),MATCH("New York Selected Option Value US$/month",'NY Curve'!$A$4:$T$4,0)))</f>
        <v>0</v>
      </c>
      <c r="AE225" s="883" t="n">
        <f aca="false">AD225*K225</f>
        <v>0</v>
      </c>
      <c r="AF225" s="188"/>
      <c r="AG225" s="884"/>
      <c r="AH225" s="49"/>
      <c r="AI225" s="885" t="n">
        <f aca="false">Assumptions!$B$50</f>
        <v>65</v>
      </c>
      <c r="AJ225" s="916"/>
      <c r="AK225" s="887" t="n">
        <f aca="false">IF(Tables!$E$30="Custom",'Monthly Table'!AI225,IF(Tables!$E$30="New York",INDEX('NY Curve'!$A$4:$G$256,MATCH('Monthly Table'!B225,'NY Curve'!$A$4:$A$256,0),MATCH("Super Peak Curve",'NY Curve'!$A$4:$G$4,0)),IF(Tables!$E$30="New York Flat",INDEX('NY Curve'!$A$4:$G$256,MATCH('Monthly Table'!B225,'NY Curve'!$A$4:$A$256,0),MATCH("Flat NY West",'NY Curve'!$A$4:$G$4,0)),INDEX('Michigan Curve'!$A$4:$F$256,MATCH('Monthly Table'!B225,'Michigan Curve'!$A$4:$A$256,0),MATCH("Michigan Super Peak Curve US$/MWhr",'Michigan Curve'!$A$4:$F$4,0)))))</f>
        <v>0</v>
      </c>
      <c r="AL225" s="888" t="n">
        <f aca="false">IF(D225&lt;=Tables!$B$21,IF($AL$10=$AI$10,AI225,IF($AL$10=$AJ$10,AJ225,IF($AL$10=$AK$10,AK225,0))),0)</f>
        <v>0</v>
      </c>
      <c r="AM225" s="889" t="n">
        <f aca="false">+AL225*K225</f>
        <v>0</v>
      </c>
      <c r="AN225" s="890" t="n">
        <f aca="false">IF((AL225*K225)&gt;(CP225+$BF$4),1,0)</f>
        <v>0</v>
      </c>
      <c r="AO225" s="891"/>
      <c r="AP225" s="894"/>
      <c r="AQ225" s="892" t="n">
        <f aca="false">IF(Tables!$E$30="New York",INDEX('NY Curve'!$A$4:$L$256,MATCH('Monthly Table'!B225,'NY Curve'!$A$4:$A$256,0),MATCH("New York Shoulder Hour Curve Mon-Fri",'NY Curve'!$A$4:$L$4,0)),IF(Tables!$E$30="Michigan",INDEX('Michigan Curve'!$A$4:$K$256,MATCH('Monthly Table'!B225,'Michigan Curve'!$A$4:$A$256,0),MATCH("Michigan Shoulder Hour Curve Mon-Fri",'Michigan Curve'!$A$4:$K$4,0))))</f>
        <v>0</v>
      </c>
      <c r="AR225" s="889" t="n">
        <f aca="false">AQ225*K225</f>
        <v>0</v>
      </c>
      <c r="AS225" s="893" t="n">
        <f aca="false">IF(AR225&gt;($CP225+$BF$4),1,0)</f>
        <v>0</v>
      </c>
      <c r="AU225" s="892" t="n">
        <f aca="false">IF(Tables!$E$30="New York",INDEX('NY Curve'!$A$4:$L$256,MATCH('Monthly Table'!$B225,'NY Curve'!$A$4:$A$256,0),MATCH("New York Saturday Super Peak",'NY Curve'!$A$4:$L$4,0)),IF(Tables!$E$30="Michigan",INDEX('Michigan Curve'!$A$4:$K$256,MATCH('Monthly Table'!$B225,'Michigan Curve'!$A$4:$A$256,0),MATCH("Michigan Saturday Super Peak",'Michigan Curve'!$A$4:$K$4,0))))</f>
        <v>0</v>
      </c>
      <c r="AV225" s="894" t="n">
        <f aca="false">AU225*K225</f>
        <v>0</v>
      </c>
      <c r="AW225" s="893" t="n">
        <f aca="false">IF(Tables!$B$21=15,0,IF(AV225&gt;($CP225+$BF$4),1,0))</f>
        <v>0</v>
      </c>
      <c r="AX225" s="892" t="n">
        <f aca="false">IF(Tables!$E$30="New York",INDEX('NY Curve'!$A$4:$L$256,MATCH('Monthly Table'!$B225,'NY Curve'!$A$4:$A$256,0),MATCH("New York Saturday Shoulder Peak",'NY Curve'!$A$4:$L$4,0)),IF(Tables!$E$30="Michigan",INDEX('Michigan Curve'!$A$4:$K$256,MATCH('Monthly Table'!$B225,'Michigan Curve'!$A$4:$A$256,0),MATCH("Michigan Saturday Shoulder Peak",'Michigan Curve'!$A$4:$K$4,0))))</f>
        <v>0</v>
      </c>
      <c r="AY225" s="895" t="n">
        <f aca="false">AX225*K225</f>
        <v>0</v>
      </c>
      <c r="AZ225" s="893" t="n">
        <f aca="false">IF(Tables!$B$21=15,0,IF(AY225&gt;($CP225+$BF$4),1,0))</f>
        <v>0</v>
      </c>
      <c r="BB225" s="892" t="n">
        <f aca="false">IF(Tables!$E$30="New York",INDEX('NY Curve'!$A$4:$M$256,MATCH('Monthly Table'!$B225,'NY Curve'!$A$4:$A$256,0),MATCH("NY Sunday Super Peak",'NY Curve'!$A$4:$M$4,0)),IF(Tables!$E$30="Michigan",INDEX('Michigan Curve'!$A$4:$L$256,MATCH('Monthly Table'!$B225,'Michigan Curve'!$A$4:$A$256,0),MATCH("Michigan Sunday Super Peak",'Michigan Curve'!$A$4:$L$4,0))))</f>
        <v>0</v>
      </c>
      <c r="BC225" s="894" t="n">
        <f aca="false">BB225*K225</f>
        <v>0</v>
      </c>
      <c r="BD225" s="893" t="n">
        <f aca="false">IF(BC225&gt;($CP225+$BF$4),1,0)</f>
        <v>0</v>
      </c>
      <c r="BF225" s="896" t="n">
        <f aca="false">B225</f>
        <v>43405</v>
      </c>
      <c r="BG225" s="897" t="n">
        <f aca="false">IF($AN225=1,$E225*$BF$5,0)</f>
        <v>0</v>
      </c>
      <c r="BH225" s="976" t="n">
        <f aca="false">IF(Tables!$B$36="Combined Cycle",(BF225-BF224)*24*Assumptions!$B$21,0)</f>
        <v>0</v>
      </c>
      <c r="BI225" s="714" t="n">
        <f aca="false">IF($AN225=1,$E225*$BF$5,0)</f>
        <v>0</v>
      </c>
      <c r="BJ225" s="898" t="n">
        <f aca="false">IF('Monthly Table'!D225&lt;=Tables!$B$21,IF($BJ$10=$BG$10,BG225,IF($BJ$10=$BH$10,BH225,IF($BJ$10=$BI$10,BI225,0))),0)</f>
        <v>0</v>
      </c>
      <c r="BK225" s="288"/>
      <c r="BL225" s="898" t="n">
        <f aca="false">IF($AW225=1,$F225*$BF$5,0)</f>
        <v>0</v>
      </c>
      <c r="BM225" s="898" t="n">
        <f aca="false">IF($BD225=1,($G225+H225)*$BF$5,0)</f>
        <v>0</v>
      </c>
      <c r="BO225" s="898" t="n">
        <f aca="false">IF(AS225=1,BJ225,0)</f>
        <v>0</v>
      </c>
      <c r="BP225" s="898" t="n">
        <f aca="false">IF(AZ225=1,F225*$BF$5,0)</f>
        <v>0</v>
      </c>
      <c r="BR225" s="899" t="n">
        <f aca="false">IF(BJ225&gt;0,INDEX(OperationalDetail,MATCH("Capacity Degradation",ODColumn,0),MATCH('Monthly Table'!C225,ODRow,0)),0)</f>
        <v>0</v>
      </c>
      <c r="BS225" s="900" t="n">
        <f aca="false">BJ225*(1-BR225)*Tables!$C$36</f>
        <v>0</v>
      </c>
      <c r="BT225" s="883" t="n">
        <f aca="false">BS225*AL225/1000</f>
        <v>0</v>
      </c>
      <c r="BU225" s="883" t="n">
        <f aca="false">BT225*K225</f>
        <v>0</v>
      </c>
      <c r="BV225" s="188"/>
      <c r="BW225" s="901" t="n">
        <f aca="false">$BO225*(1-$BR225)*Tables!$C$36</f>
        <v>0</v>
      </c>
      <c r="BX225" s="902" t="n">
        <f aca="false">(BW225*AQ225)/1000</f>
        <v>0</v>
      </c>
      <c r="BY225" s="883" t="n">
        <f aca="false">BX225*K225</f>
        <v>0</v>
      </c>
      <c r="BZ225" s="188"/>
      <c r="CA225" s="901" t="n">
        <f aca="false">$BL225*(1-$BR225)*Tables!$C$36</f>
        <v>0</v>
      </c>
      <c r="CB225" s="902" t="n">
        <f aca="false">(CA225*AU225)/1000</f>
        <v>0</v>
      </c>
      <c r="CC225" s="883" t="n">
        <f aca="false">CB225*K225</f>
        <v>0</v>
      </c>
      <c r="CD225" s="901" t="n">
        <f aca="false">$BP225*(1-$BR225)*Tables!$C$36</f>
        <v>0</v>
      </c>
      <c r="CE225" s="902" t="n">
        <f aca="false">(CD225*AX225)/1000</f>
        <v>0</v>
      </c>
      <c r="CF225" s="883" t="n">
        <f aca="false">CE225*K225</f>
        <v>0</v>
      </c>
      <c r="CH225" s="901" t="n">
        <f aca="false">$BM225*(1-$BR225)*Tables!$C$36</f>
        <v>0</v>
      </c>
      <c r="CI225" s="902" t="n">
        <f aca="false">(CH225*BB225)/1000</f>
        <v>0</v>
      </c>
      <c r="CJ225" s="883" t="n">
        <f aca="false">CI225*K225</f>
        <v>0</v>
      </c>
      <c r="CK225" s="292"/>
      <c r="CL225" s="292" t="n">
        <f aca="false">C225-1</f>
        <v>2017</v>
      </c>
      <c r="CM225" s="903" t="n">
        <f aca="false">INDEX(OperationalDetail,MATCH("Degraded Heat Rate",ODColumn,0),MATCH('Monthly Table'!CL225,ODRow,0))/1000</f>
        <v>11.96</v>
      </c>
      <c r="CN225" s="904" t="n">
        <f aca="false">S225*CM225</f>
        <v>6.52899455626348</v>
      </c>
      <c r="CO225" s="905" t="n">
        <f aca="false">IF(A225="January",(CO224*(1+Assumptions!$E$32)),CO224)</f>
        <v>9.43150110914798</v>
      </c>
      <c r="CP225" s="906" t="n">
        <f aca="false">CN225+CO225</f>
        <v>15.9604956654115</v>
      </c>
      <c r="CQ225" s="292"/>
      <c r="CR225" s="856" t="str">
        <f aca="false">IF(BJ225=0,"",C225)</f>
        <v/>
      </c>
      <c r="CS225" s="856" t="str">
        <f aca="false">IF(BO225=0,"",$C225)</f>
        <v/>
      </c>
      <c r="CT225" s="856" t="str">
        <f aca="false">IF(BL225=0,"",$C225)</f>
        <v/>
      </c>
      <c r="CU225" s="856" t="str">
        <f aca="false">IF(BP225=0,"",$C225)</f>
        <v/>
      </c>
      <c r="CV225" s="856" t="str">
        <f aca="false">IF(BD225=0,"",$C225)</f>
        <v/>
      </c>
      <c r="CW225" s="907" t="n">
        <f aca="false">YEAR(BF225)</f>
        <v>2018</v>
      </c>
      <c r="CX225" s="908" t="n">
        <f aca="false">INDEX('NY Curve'!$A$4:$G$256,MATCH('Monthly Table'!B225,'NY Curve'!$A$4:$A$256,0),MATCH("New York 5 X 16",'NY Curve'!$A$4:$G$4,0))</f>
        <v>0</v>
      </c>
      <c r="CY225" s="909" t="n">
        <f aca="false">K225</f>
        <v>1.25374024686776</v>
      </c>
      <c r="CZ225" s="910" t="n">
        <f aca="false">CX225*CY225</f>
        <v>0</v>
      </c>
      <c r="DB225" s="911"/>
      <c r="DC225" s="911"/>
    </row>
    <row r="226" customFormat="false" ht="18.75" hidden="false" customHeight="true" outlineLevel="0" collapsed="false">
      <c r="A226" s="110" t="s">
        <v>821</v>
      </c>
      <c r="B226" s="918" t="n">
        <v>43435</v>
      </c>
      <c r="C226" s="917" t="n">
        <f aca="false">YEAR(B226)</f>
        <v>2018</v>
      </c>
      <c r="D226" s="919" t="n">
        <f aca="false">IF(A226="January",D225+1,D225)</f>
        <v>18</v>
      </c>
      <c r="E226" s="865" t="n">
        <v>20</v>
      </c>
      <c r="F226" s="866" t="n">
        <v>5</v>
      </c>
      <c r="G226" s="866" t="n">
        <v>5</v>
      </c>
      <c r="H226" s="866" t="n">
        <v>1</v>
      </c>
      <c r="I226" s="867" t="n">
        <f aca="false">SUM(E226:H226)</f>
        <v>31</v>
      </c>
      <c r="J226" s="923"/>
      <c r="K226" s="924" t="n">
        <f aca="false">INDEX(FX!$A$3:$C$362,MATCH(B226,FX!$A$3:$A$362,0),MATCH("Monthly Curve",FX!$A$2:$C$2,0))</f>
        <v>1.253225336372</v>
      </c>
      <c r="L226" s="924"/>
      <c r="M226" s="995"/>
      <c r="N226" s="996"/>
      <c r="O226" s="991" t="n">
        <v>0.1</v>
      </c>
      <c r="P226" s="928" t="n">
        <f aca="false">N226+O226</f>
        <v>0.1</v>
      </c>
      <c r="Q226" s="929" t="n">
        <f aca="false">SUM(M226:O226)</f>
        <v>0.1</v>
      </c>
      <c r="R226" s="979" t="n">
        <f aca="false">IF(A226="January",(R225+R225*Assumptions!$E$32),R225)</f>
        <v>0.420528530184752</v>
      </c>
      <c r="S226" s="931" t="n">
        <f aca="false">(Q226*K226)+R226</f>
        <v>0.545851063821952</v>
      </c>
      <c r="T226" s="924"/>
      <c r="U226" s="938"/>
      <c r="V226" s="949"/>
      <c r="W226" s="949"/>
      <c r="X226" s="992"/>
      <c r="Y226" s="981" t="n">
        <f aca="false">Tables!$D$36</f>
        <v>312</v>
      </c>
      <c r="Z226" s="935" t="n">
        <f aca="false">IF($Z$10=$V$10,V226,IF($Z$10=$W$10,W226,IF($Z$10=$X$10,X226,0)))</f>
        <v>0</v>
      </c>
      <c r="AA226" s="936" t="n">
        <f aca="false">Y226*Z226</f>
        <v>0</v>
      </c>
      <c r="AB226" s="937" t="n">
        <f aca="false">AA226*K226</f>
        <v>0</v>
      </c>
      <c r="AC226" s="938"/>
      <c r="AD226" s="882" t="n">
        <f aca="false">IF(Tables!$E$30="Michigan",INDEX('Michigan Curve'!$A$4:$S$256,MATCH('Monthly Table'!B226,'Michigan Curve'!$A$4:$A$256,0),MATCH("Michigan Selected Option Value US$/month",'Michigan Curve'!$A$4:$S$4,0)),INDEX('NY Curve'!$A$4:$T$256,MATCH('Monthly Table'!B226,'NY Curve'!$A$4:$A$256,0),MATCH("New York Selected Option Value US$/month",'NY Curve'!$A$4:$T$4,0)))</f>
        <v>0</v>
      </c>
      <c r="AE226" s="883" t="n">
        <f aca="false">AD226*K226</f>
        <v>0</v>
      </c>
      <c r="AF226" s="938"/>
      <c r="AG226" s="939"/>
      <c r="AH226" s="110"/>
      <c r="AI226" s="885" t="n">
        <f aca="false">Assumptions!$B$50</f>
        <v>65</v>
      </c>
      <c r="AJ226" s="940"/>
      <c r="AK226" s="887" t="n">
        <f aca="false">IF(Tables!$E$30="Custom",'Monthly Table'!AI226,IF(Tables!$E$30="New York",INDEX('NY Curve'!$A$4:$G$256,MATCH('Monthly Table'!B226,'NY Curve'!$A$4:$A$256,0),MATCH("Super Peak Curve",'NY Curve'!$A$4:$G$4,0)),IF(Tables!$E$30="New York Flat",INDEX('NY Curve'!$A$4:$G$256,MATCH('Monthly Table'!B226,'NY Curve'!$A$4:$A$256,0),MATCH("Flat NY West",'NY Curve'!$A$4:$G$4,0)),INDEX('Michigan Curve'!$A$4:$F$256,MATCH('Monthly Table'!B226,'Michigan Curve'!$A$4:$A$256,0),MATCH("Michigan Super Peak Curve US$/MWhr",'Michigan Curve'!$A$4:$F$4,0)))))</f>
        <v>0</v>
      </c>
      <c r="AL226" s="941" t="n">
        <f aca="false">IF(D226&lt;=Tables!$B$21,IF($AL$10=$AI$10,AI226,IF($AL$10=$AJ$10,AJ226,IF($AL$10=$AK$10,AK226,0))),0)</f>
        <v>0</v>
      </c>
      <c r="AM226" s="889" t="n">
        <f aca="false">+AL226*K226</f>
        <v>0</v>
      </c>
      <c r="AN226" s="943" t="n">
        <f aca="false">IF((AL226*K226)&gt;(CP226+$BF$4),1,0)</f>
        <v>0</v>
      </c>
      <c r="AO226" s="944"/>
      <c r="AP226" s="894"/>
      <c r="AQ226" s="892" t="n">
        <f aca="false">IF(Tables!$E$30="New York",INDEX('NY Curve'!$A$4:$L$256,MATCH('Monthly Table'!B226,'NY Curve'!$A$4:$A$256,0),MATCH("New York Shoulder Hour Curve Mon-Fri",'NY Curve'!$A$4:$L$4,0)),IF(Tables!$E$30="Michigan",INDEX('Michigan Curve'!$A$4:$K$256,MATCH('Monthly Table'!B226,'Michigan Curve'!$A$4:$A$256,0),MATCH("Michigan Shoulder Hour Curve Mon-Fri",'Michigan Curve'!$A$4:$K$4,0))))</f>
        <v>0</v>
      </c>
      <c r="AR226" s="889" t="n">
        <f aca="false">AQ226*K226</f>
        <v>0</v>
      </c>
      <c r="AS226" s="893" t="n">
        <f aca="false">IF(AR226&gt;($CP226+$BF$4),1,0)</f>
        <v>0</v>
      </c>
      <c r="AT226" s="917"/>
      <c r="AU226" s="892" t="n">
        <f aca="false">IF(Tables!$E$30="New York",INDEX('NY Curve'!$A$4:$L$256,MATCH('Monthly Table'!$B226,'NY Curve'!$A$4:$A$256,0),MATCH("New York Saturday Super Peak",'NY Curve'!$A$4:$L$4,0)),IF(Tables!$E$30="Michigan",INDEX('Michigan Curve'!$A$4:$K$256,MATCH('Monthly Table'!$B226,'Michigan Curve'!$A$4:$A$256,0),MATCH("Michigan Saturday Super Peak",'Michigan Curve'!$A$4:$K$4,0))))</f>
        <v>0</v>
      </c>
      <c r="AV226" s="894" t="n">
        <f aca="false">AU226*K226</f>
        <v>0</v>
      </c>
      <c r="AW226" s="893" t="n">
        <f aca="false">IF(Tables!$B$21=15,0,IF(AV226&gt;($CP226+$BF$4),1,0))</f>
        <v>0</v>
      </c>
      <c r="AX226" s="892" t="n">
        <f aca="false">IF(Tables!$E$30="New York",INDEX('NY Curve'!$A$4:$L$256,MATCH('Monthly Table'!$B226,'NY Curve'!$A$4:$A$256,0),MATCH("New York Saturday Shoulder Peak",'NY Curve'!$A$4:$L$4,0)),IF(Tables!$E$30="Michigan",INDEX('Michigan Curve'!$A$4:$K$256,MATCH('Monthly Table'!$B226,'Michigan Curve'!$A$4:$A$256,0),MATCH("Michigan Saturday Shoulder Peak",'Michigan Curve'!$A$4:$K$4,0))))</f>
        <v>0</v>
      </c>
      <c r="AY226" s="895" t="n">
        <f aca="false">AX226*K226</f>
        <v>0</v>
      </c>
      <c r="AZ226" s="893" t="n">
        <f aca="false">IF(Tables!$B$21=15,0,IF(AY226&gt;($CP226+$BF$4),1,0))</f>
        <v>0</v>
      </c>
      <c r="BA226" s="917"/>
      <c r="BB226" s="892" t="n">
        <f aca="false">IF(Tables!$E$30="New York",INDEX('NY Curve'!$A$4:$M$256,MATCH('Monthly Table'!$B226,'NY Curve'!$A$4:$A$256,0),MATCH("NY Sunday Super Peak",'NY Curve'!$A$4:$M$4,0)),IF(Tables!$E$30="Michigan",INDEX('Michigan Curve'!$A$4:$L$256,MATCH('Monthly Table'!$B226,'Michigan Curve'!$A$4:$A$256,0),MATCH("Michigan Sunday Super Peak",'Michigan Curve'!$A$4:$L$4,0))))</f>
        <v>0</v>
      </c>
      <c r="BC226" s="894" t="n">
        <f aca="false">BB226*K226</f>
        <v>0</v>
      </c>
      <c r="BD226" s="893" t="n">
        <f aca="false">IF(BC226&gt;($CP226+$BF$4),1,0)</f>
        <v>0</v>
      </c>
      <c r="BE226" s="917"/>
      <c r="BF226" s="948" t="n">
        <f aca="false">B226</f>
        <v>43435</v>
      </c>
      <c r="BG226" s="897" t="n">
        <f aca="false">IF($AN226=1,$E226*$BF$5,0)</f>
        <v>0</v>
      </c>
      <c r="BH226" s="982" t="n">
        <f aca="false">IF(Tables!$B$36="Combined Cycle",(BF226-BF225)*24*Assumptions!$B$21,0)</f>
        <v>0</v>
      </c>
      <c r="BI226" s="714" t="n">
        <f aca="false">IF($AN226=1,$E226*$BF$5,0)</f>
        <v>0</v>
      </c>
      <c r="BJ226" s="950" t="n">
        <f aca="false">IF('Monthly Table'!D226&lt;=Tables!$B$21,IF($BJ$10=$BG$10,BG226,IF($BJ$10=$BH$10,BH226,IF($BJ$10=$BI$10,BI226,0))),0)</f>
        <v>0</v>
      </c>
      <c r="BK226" s="288"/>
      <c r="BL226" s="898" t="n">
        <f aca="false">IF($AW226=1,$F226*$BF$5,0)</f>
        <v>0</v>
      </c>
      <c r="BM226" s="898" t="n">
        <f aca="false">IF($BD226=1,($G226+H226)*$BF$5,0)</f>
        <v>0</v>
      </c>
      <c r="BO226" s="898" t="n">
        <f aca="false">IF(AS226=1,BJ226,0)</f>
        <v>0</v>
      </c>
      <c r="BP226" s="898" t="n">
        <f aca="false">IF(AZ226=1,F226*$BF$5,0)</f>
        <v>0</v>
      </c>
      <c r="BR226" s="951" t="n">
        <f aca="false">IF(BJ226&gt;0,INDEX(OperationalDetail,MATCH("Capacity Degradation",ODColumn,0),MATCH('Monthly Table'!C226,ODRow,0)),0)</f>
        <v>0</v>
      </c>
      <c r="BS226" s="900" t="n">
        <f aca="false">BJ226*(1-BR226)*Tables!$C$36</f>
        <v>0</v>
      </c>
      <c r="BT226" s="953" t="n">
        <f aca="false">BS226*AL226/1000</f>
        <v>0</v>
      </c>
      <c r="BU226" s="953" t="n">
        <f aca="false">BT226*K226</f>
        <v>0</v>
      </c>
      <c r="BV226" s="188"/>
      <c r="BW226" s="901" t="n">
        <f aca="false">$BO226*(1-$BR226)*Tables!$C$36</f>
        <v>0</v>
      </c>
      <c r="BX226" s="902" t="n">
        <f aca="false">(BW226*AQ226)/1000</f>
        <v>0</v>
      </c>
      <c r="BY226" s="883" t="n">
        <f aca="false">BX226*K226</f>
        <v>0</v>
      </c>
      <c r="BZ226" s="938"/>
      <c r="CA226" s="901" t="n">
        <f aca="false">$BL226*(1-$BR226)*Tables!$C$36</f>
        <v>0</v>
      </c>
      <c r="CB226" s="902" t="n">
        <f aca="false">(CA226*AU226)/1000</f>
        <v>0</v>
      </c>
      <c r="CC226" s="883" t="n">
        <f aca="false">CB226*K226</f>
        <v>0</v>
      </c>
      <c r="CD226" s="901" t="n">
        <f aca="false">$BP226*(1-$BR226)*Tables!$C$36</f>
        <v>0</v>
      </c>
      <c r="CE226" s="902" t="n">
        <f aca="false">(CD226*AX226)/1000</f>
        <v>0</v>
      </c>
      <c r="CF226" s="883" t="n">
        <f aca="false">CE226*K226</f>
        <v>0</v>
      </c>
      <c r="CG226" s="110"/>
      <c r="CH226" s="901" t="n">
        <f aca="false">$BM226*(1-$BR226)*Tables!$C$36</f>
        <v>0</v>
      </c>
      <c r="CI226" s="902" t="n">
        <f aca="false">(CH226*BB226)/1000</f>
        <v>0</v>
      </c>
      <c r="CJ226" s="883" t="n">
        <f aca="false">CI226*K226</f>
        <v>0</v>
      </c>
      <c r="CK226" s="292"/>
      <c r="CL226" s="292" t="n">
        <f aca="false">C226-1</f>
        <v>2017</v>
      </c>
      <c r="CM226" s="903" t="n">
        <f aca="false">INDEX(OperationalDetail,MATCH("Degraded Heat Rate",ODColumn,0),MATCH('Monthly Table'!CL226,ODRow,0))/1000</f>
        <v>11.96</v>
      </c>
      <c r="CN226" s="958" t="n">
        <f aca="false">S226*CM226</f>
        <v>6.52837872331055</v>
      </c>
      <c r="CO226" s="959" t="n">
        <f aca="false">IF(A226="January",(CO225*(1+Assumptions!$E$32)),CO225)</f>
        <v>9.43150110914798</v>
      </c>
      <c r="CP226" s="960" t="n">
        <f aca="false">CN226+CO226</f>
        <v>15.9598798324585</v>
      </c>
      <c r="CQ226" s="292"/>
      <c r="CR226" s="961" t="str">
        <f aca="false">IF(BJ226=0,"",C226)</f>
        <v/>
      </c>
      <c r="CS226" s="856" t="str">
        <f aca="false">IF(BO226=0,"",$C226)</f>
        <v/>
      </c>
      <c r="CT226" s="856" t="str">
        <f aca="false">IF(BL226=0,"",$C226)</f>
        <v/>
      </c>
      <c r="CU226" s="856" t="str">
        <f aca="false">IF(BP226=0,"",$C226)</f>
        <v/>
      </c>
      <c r="CV226" s="856" t="str">
        <f aca="false">IF(BD226=0,"",$C226)</f>
        <v/>
      </c>
      <c r="CW226" s="962" t="n">
        <f aca="false">YEAR(BF226)</f>
        <v>2018</v>
      </c>
      <c r="CX226" s="963" t="n">
        <f aca="false">INDEX('NY Curve'!$A$4:$G$256,MATCH('Monthly Table'!B226,'NY Curve'!$A$4:$A$256,0),MATCH("New York 5 X 16",'NY Curve'!$A$4:$G$4,0))</f>
        <v>0</v>
      </c>
      <c r="CY226" s="964" t="n">
        <f aca="false">K226</f>
        <v>1.253225336372</v>
      </c>
      <c r="CZ226" s="965" t="n">
        <f aca="false">CX226*CY226</f>
        <v>0</v>
      </c>
      <c r="DA226" s="110"/>
      <c r="DB226" s="911"/>
      <c r="DC226" s="911"/>
      <c r="DD226" s="110"/>
      <c r="DE226" s="110"/>
      <c r="DF226" s="110"/>
      <c r="DG226" s="110"/>
      <c r="DH226" s="110"/>
    </row>
    <row r="227" customFormat="false" ht="18.75" hidden="false" customHeight="true" outlineLevel="0" collapsed="false">
      <c r="A227" s="49" t="s">
        <v>810</v>
      </c>
      <c r="B227" s="863" t="n">
        <v>43466</v>
      </c>
      <c r="C227" s="288" t="n">
        <f aca="false">YEAR(B227)</f>
        <v>2019</v>
      </c>
      <c r="D227" s="864" t="n">
        <f aca="false">IF(A227="January",D226+1,D226)</f>
        <v>19</v>
      </c>
      <c r="E227" s="865" t="n">
        <v>22</v>
      </c>
      <c r="F227" s="866" t="n">
        <v>4</v>
      </c>
      <c r="G227" s="866" t="n">
        <v>4</v>
      </c>
      <c r="H227" s="866" t="n">
        <v>1</v>
      </c>
      <c r="I227" s="867" t="n">
        <f aca="false">SUM(E227:H227)</f>
        <v>31</v>
      </c>
      <c r="J227" s="868"/>
      <c r="K227" s="869" t="n">
        <f aca="false">INDEX(FX!$A$3:$C$362,MATCH(B227,FX!$A$3:$A$362,0),MATCH("Monthly Curve",FX!$A$2:$C$2,0))</f>
        <v>1.25269626515353</v>
      </c>
      <c r="L227" s="869"/>
      <c r="M227" s="993"/>
      <c r="N227" s="994"/>
      <c r="O227" s="986" t="n">
        <v>0.1</v>
      </c>
      <c r="P227" s="872" t="n">
        <f aca="false">N227+O227</f>
        <v>0.1</v>
      </c>
      <c r="Q227" s="873" t="n">
        <f aca="false">SUM(M227:O227)</f>
        <v>0.1</v>
      </c>
      <c r="R227" s="974" t="n">
        <f aca="false">IF(A227="January",(R226+R226*Assumptions!$E$32),R226)</f>
        <v>0.428939100788447</v>
      </c>
      <c r="S227" s="875" t="n">
        <f aca="false">(Q227*K227)+R227</f>
        <v>0.5542087273038</v>
      </c>
      <c r="T227" s="869"/>
      <c r="U227" s="187"/>
      <c r="V227" s="897"/>
      <c r="W227" s="897"/>
      <c r="X227" s="31"/>
      <c r="Y227" s="975" t="n">
        <f aca="false">Tables!$D$36</f>
        <v>312</v>
      </c>
      <c r="Z227" s="879" t="n">
        <f aca="false">IF($Z$10=$V$10,V227,IF($Z$10=$W$10,W227,IF($Z$10=$X$10,X227,0)))</f>
        <v>0</v>
      </c>
      <c r="AA227" s="880" t="n">
        <f aca="false">Y227*Z227</f>
        <v>0</v>
      </c>
      <c r="AB227" s="881" t="n">
        <f aca="false">AA227*K227</f>
        <v>0</v>
      </c>
      <c r="AC227" s="188"/>
      <c r="AD227" s="882" t="n">
        <f aca="false">IF(Tables!$E$30="Michigan",INDEX('Michigan Curve'!$A$4:$S$256,MATCH('Monthly Table'!B227,'Michigan Curve'!$A$4:$A$256,0),MATCH("Michigan Selected Option Value US$/month",'Michigan Curve'!$A$4:$S$4,0)),INDEX('NY Curve'!$A$4:$T$256,MATCH('Monthly Table'!B227,'NY Curve'!$A$4:$A$256,0),MATCH("New York Selected Option Value US$/month",'NY Curve'!$A$4:$T$4,0)))</f>
        <v>0</v>
      </c>
      <c r="AE227" s="883" t="n">
        <f aca="false">AD227*K227</f>
        <v>0</v>
      </c>
      <c r="AF227" s="188"/>
      <c r="AG227" s="884"/>
      <c r="AH227" s="49"/>
      <c r="AI227" s="885" t="n">
        <f aca="false">Assumptions!$B$50</f>
        <v>65</v>
      </c>
      <c r="AJ227" s="916"/>
      <c r="AK227" s="887" t="n">
        <f aca="false">IF(Tables!$E$30="Custom",'Monthly Table'!AI227,IF(Tables!$E$30="New York",INDEX('NY Curve'!$A$4:$G$256,MATCH('Monthly Table'!B227,'NY Curve'!$A$4:$A$256,0),MATCH("Super Peak Curve",'NY Curve'!$A$4:$G$4,0)),IF(Tables!$E$30="New York Flat",INDEX('NY Curve'!$A$4:$G$256,MATCH('Monthly Table'!B227,'NY Curve'!$A$4:$A$256,0),MATCH("Flat NY West",'NY Curve'!$A$4:$G$4,0)),INDEX('Michigan Curve'!$A$4:$F$256,MATCH('Monthly Table'!B227,'Michigan Curve'!$A$4:$A$256,0),MATCH("Michigan Super Peak Curve US$/MWhr",'Michigan Curve'!$A$4:$F$4,0)))))</f>
        <v>0</v>
      </c>
      <c r="AL227" s="888" t="n">
        <f aca="false">IF(D227&lt;=Tables!$B$21,IF($AL$10=$AI$10,AI227,IF($AL$10=$AJ$10,AJ227,IF($AL$10=$AK$10,AK227,0))),0)</f>
        <v>0</v>
      </c>
      <c r="AM227" s="889" t="n">
        <f aca="false">+AL227*K227</f>
        <v>0</v>
      </c>
      <c r="AN227" s="890" t="n">
        <f aca="false">IF((AL227*K227)&gt;(CP227+$BF$4),1,0)</f>
        <v>0</v>
      </c>
      <c r="AO227" s="891"/>
      <c r="AP227" s="894"/>
      <c r="AQ227" s="892" t="n">
        <f aca="false">IF(Tables!$E$30="New York",INDEX('NY Curve'!$A$4:$L$256,MATCH('Monthly Table'!B227,'NY Curve'!$A$4:$A$256,0),MATCH("New York Shoulder Hour Curve Mon-Fri",'NY Curve'!$A$4:$L$4,0)),IF(Tables!$E$30="Michigan",INDEX('Michigan Curve'!$A$4:$K$256,MATCH('Monthly Table'!B227,'Michigan Curve'!$A$4:$A$256,0),MATCH("Michigan Shoulder Hour Curve Mon-Fri",'Michigan Curve'!$A$4:$K$4,0))))</f>
        <v>0</v>
      </c>
      <c r="AR227" s="889" t="n">
        <f aca="false">AQ227*K227</f>
        <v>0</v>
      </c>
      <c r="AS227" s="893" t="n">
        <f aca="false">IF(AR227&gt;($CP227+$BF$4),1,0)</f>
        <v>0</v>
      </c>
      <c r="AU227" s="892" t="n">
        <f aca="false">IF(Tables!$E$30="New York",INDEX('NY Curve'!$A$4:$L$256,MATCH('Monthly Table'!$B227,'NY Curve'!$A$4:$A$256,0),MATCH("New York Saturday Super Peak",'NY Curve'!$A$4:$L$4,0)),IF(Tables!$E$30="Michigan",INDEX('Michigan Curve'!$A$4:$K$256,MATCH('Monthly Table'!$B227,'Michigan Curve'!$A$4:$A$256,0),MATCH("Michigan Saturday Super Peak",'Michigan Curve'!$A$4:$K$4,0))))</f>
        <v>0</v>
      </c>
      <c r="AV227" s="894" t="n">
        <f aca="false">AU227*K227</f>
        <v>0</v>
      </c>
      <c r="AW227" s="893" t="n">
        <f aca="false">IF(Tables!$B$21=15,0,IF(AV227&gt;($CP227+$BF$4),1,0))</f>
        <v>0</v>
      </c>
      <c r="AX227" s="892" t="n">
        <f aca="false">IF(Tables!$E$30="New York",INDEX('NY Curve'!$A$4:$L$256,MATCH('Monthly Table'!$B227,'NY Curve'!$A$4:$A$256,0),MATCH("New York Saturday Shoulder Peak",'NY Curve'!$A$4:$L$4,0)),IF(Tables!$E$30="Michigan",INDEX('Michigan Curve'!$A$4:$K$256,MATCH('Monthly Table'!$B227,'Michigan Curve'!$A$4:$A$256,0),MATCH("Michigan Saturday Shoulder Peak",'Michigan Curve'!$A$4:$K$4,0))))</f>
        <v>0</v>
      </c>
      <c r="AY227" s="895" t="n">
        <f aca="false">AX227*K227</f>
        <v>0</v>
      </c>
      <c r="AZ227" s="893" t="n">
        <f aca="false">IF(Tables!$B$21=15,0,IF(AY227&gt;($CP227+$BF$4),1,0))</f>
        <v>0</v>
      </c>
      <c r="BB227" s="892" t="n">
        <f aca="false">IF(Tables!$E$30="New York",INDEX('NY Curve'!$A$4:$M$256,MATCH('Monthly Table'!$B227,'NY Curve'!$A$4:$A$256,0),MATCH("NY Sunday Super Peak",'NY Curve'!$A$4:$M$4,0)),IF(Tables!$E$30="Michigan",INDEX('Michigan Curve'!$A$4:$L$256,MATCH('Monthly Table'!$B227,'Michigan Curve'!$A$4:$A$256,0),MATCH("Michigan Sunday Super Peak",'Michigan Curve'!$A$4:$L$4,0))))</f>
        <v>0</v>
      </c>
      <c r="BC227" s="894" t="n">
        <f aca="false">BB227*K227</f>
        <v>0</v>
      </c>
      <c r="BD227" s="893" t="n">
        <f aca="false">IF(BC227&gt;($CP227+$BF$4),1,0)</f>
        <v>0</v>
      </c>
      <c r="BF227" s="896" t="n">
        <f aca="false">B227</f>
        <v>43466</v>
      </c>
      <c r="BG227" s="897" t="n">
        <f aca="false">IF($AN227=1,$E227*$BF$5,0)</f>
        <v>0</v>
      </c>
      <c r="BH227" s="976" t="n">
        <f aca="false">IF(Tables!$B$36="Combined Cycle",(BF227-BF226)*24*Assumptions!$B$21,0)</f>
        <v>0</v>
      </c>
      <c r="BI227" s="714" t="n">
        <f aca="false">IF($AN227=1,$E227*$BF$5,0)</f>
        <v>0</v>
      </c>
      <c r="BJ227" s="898" t="n">
        <f aca="false">IF('Monthly Table'!D227&lt;=Tables!$B$21,IF($BJ$10=$BG$10,BG227,IF($BJ$10=$BH$10,BH227,IF($BJ$10=$BI$10,BI227,0))),0)</f>
        <v>0</v>
      </c>
      <c r="BK227" s="288"/>
      <c r="BL227" s="898" t="n">
        <f aca="false">IF($AW227=1,$F227*$BF$5,0)</f>
        <v>0</v>
      </c>
      <c r="BM227" s="898" t="n">
        <f aca="false">IF($BD227=1,($G227+H227)*$BF$5,0)</f>
        <v>0</v>
      </c>
      <c r="BO227" s="898" t="n">
        <f aca="false">IF(AS227=1,BJ227,0)</f>
        <v>0</v>
      </c>
      <c r="BP227" s="898" t="n">
        <f aca="false">IF(AZ227=1,F227*$BF$5,0)</f>
        <v>0</v>
      </c>
      <c r="BR227" s="899" t="n">
        <f aca="false">IF(BJ227&gt;0,INDEX(OperationalDetail,MATCH("Capacity Degradation",ODColumn,0),MATCH('Monthly Table'!C227,ODRow,0)),0)</f>
        <v>0</v>
      </c>
      <c r="BS227" s="900" t="n">
        <f aca="false">BJ227*(1-BR227)*Tables!$C$36</f>
        <v>0</v>
      </c>
      <c r="BT227" s="883" t="n">
        <f aca="false">BS227*AL227/1000</f>
        <v>0</v>
      </c>
      <c r="BU227" s="883" t="n">
        <f aca="false">BT227*K227</f>
        <v>0</v>
      </c>
      <c r="BV227" s="188"/>
      <c r="BW227" s="901" t="n">
        <f aca="false">$BO227*(1-$BR227)*Tables!$C$36</f>
        <v>0</v>
      </c>
      <c r="BX227" s="902" t="n">
        <f aca="false">(BW227*AQ227)/1000</f>
        <v>0</v>
      </c>
      <c r="BY227" s="883" t="n">
        <f aca="false">BX227*K227</f>
        <v>0</v>
      </c>
      <c r="BZ227" s="188"/>
      <c r="CA227" s="901" t="n">
        <f aca="false">$BL227*(1-$BR227)*Tables!$C$36</f>
        <v>0</v>
      </c>
      <c r="CB227" s="902" t="n">
        <f aca="false">(CA227*AU227)/1000</f>
        <v>0</v>
      </c>
      <c r="CC227" s="883" t="n">
        <f aca="false">CB227*K227</f>
        <v>0</v>
      </c>
      <c r="CD227" s="901" t="n">
        <f aca="false">$BP227*(1-$BR227)*Tables!$C$36</f>
        <v>0</v>
      </c>
      <c r="CE227" s="902" t="n">
        <f aca="false">(CD227*AX227)/1000</f>
        <v>0</v>
      </c>
      <c r="CF227" s="883" t="n">
        <f aca="false">CE227*K227</f>
        <v>0</v>
      </c>
      <c r="CH227" s="901" t="n">
        <f aca="false">$BM227*(1-$BR227)*Tables!$C$36</f>
        <v>0</v>
      </c>
      <c r="CI227" s="902" t="n">
        <f aca="false">(CH227*BB227)/1000</f>
        <v>0</v>
      </c>
      <c r="CJ227" s="883" t="n">
        <f aca="false">CI227*K227</f>
        <v>0</v>
      </c>
      <c r="CK227" s="292"/>
      <c r="CL227" s="292" t="n">
        <f aca="false">C227-1</f>
        <v>2018</v>
      </c>
      <c r="CM227" s="903" t="n">
        <f aca="false">INDEX(OperationalDetail,MATCH("Degraded Heat Rate",ODColumn,0),MATCH('Monthly Table'!CL227,ODRow,0))/1000</f>
        <v>11.96</v>
      </c>
      <c r="CN227" s="904" t="n">
        <f aca="false">S227*CM227</f>
        <v>6.62833637855345</v>
      </c>
      <c r="CO227" s="905" t="n">
        <f aca="false">IF(A227="January",(CO226*(1+Assumptions!$E$32)),CO226)</f>
        <v>9.62013113133094</v>
      </c>
      <c r="CP227" s="906" t="n">
        <f aca="false">CN227+CO227</f>
        <v>16.2484675098844</v>
      </c>
      <c r="CQ227" s="292"/>
      <c r="CR227" s="856" t="str">
        <f aca="false">IF(BJ227=0,"",C227)</f>
        <v/>
      </c>
      <c r="CS227" s="856" t="str">
        <f aca="false">IF(BO227=0,"",$C227)</f>
        <v/>
      </c>
      <c r="CT227" s="856" t="str">
        <f aca="false">IF(BL227=0,"",$C227)</f>
        <v/>
      </c>
      <c r="CU227" s="856" t="str">
        <f aca="false">IF(BP227=0,"",$C227)</f>
        <v/>
      </c>
      <c r="CV227" s="856" t="str">
        <f aca="false">IF(BD227=0,"",$C227)</f>
        <v/>
      </c>
      <c r="CW227" s="907" t="n">
        <f aca="false">YEAR(BF227)</f>
        <v>2019</v>
      </c>
      <c r="CX227" s="908" t="n">
        <f aca="false">INDEX('NY Curve'!$A$4:$G$256,MATCH('Monthly Table'!B227,'NY Curve'!$A$4:$A$256,0),MATCH("New York 5 X 16",'NY Curve'!$A$4:$G$4,0))</f>
        <v>0</v>
      </c>
      <c r="CY227" s="909" t="n">
        <f aca="false">K227</f>
        <v>1.25269626515353</v>
      </c>
      <c r="CZ227" s="910" t="n">
        <f aca="false">CX227*CY227</f>
        <v>0</v>
      </c>
      <c r="DB227" s="911"/>
      <c r="DC227" s="911"/>
    </row>
    <row r="228" customFormat="false" ht="18.75" hidden="false" customHeight="true" outlineLevel="0" collapsed="false">
      <c r="A228" s="49" t="s">
        <v>811</v>
      </c>
      <c r="B228" s="863" t="n">
        <v>43497</v>
      </c>
      <c r="C228" s="288" t="n">
        <f aca="false">YEAR(B228)</f>
        <v>2019</v>
      </c>
      <c r="D228" s="864" t="n">
        <f aca="false">IF(A228="January",D227+1,D227)</f>
        <v>19</v>
      </c>
      <c r="E228" s="865" t="n">
        <v>20</v>
      </c>
      <c r="F228" s="866" t="n">
        <v>4</v>
      </c>
      <c r="G228" s="866" t="n">
        <v>4</v>
      </c>
      <c r="H228" s="866" t="n">
        <v>0</v>
      </c>
      <c r="I228" s="867" t="n">
        <f aca="false">SUM(E228:H228)</f>
        <v>28</v>
      </c>
      <c r="J228" s="868"/>
      <c r="K228" s="869" t="n">
        <f aca="false">INDEX(FX!$A$3:$C$362,MATCH(B228,FX!$A$3:$A$362,0),MATCH("Monthly Curve",FX!$A$2:$C$2,0))</f>
        <v>1.25217024246266</v>
      </c>
      <c r="L228" s="869"/>
      <c r="M228" s="993"/>
      <c r="N228" s="994"/>
      <c r="O228" s="986" t="n">
        <v>0.1</v>
      </c>
      <c r="P228" s="872" t="n">
        <f aca="false">N228+O228</f>
        <v>0.1</v>
      </c>
      <c r="Q228" s="873" t="n">
        <f aca="false">SUM(M228:O228)</f>
        <v>0.1</v>
      </c>
      <c r="R228" s="974" t="n">
        <f aca="false">IF(A228="January",(R227+R227*Assumptions!$E$32),R227)</f>
        <v>0.428939100788447</v>
      </c>
      <c r="S228" s="875" t="n">
        <f aca="false">(Q228*K228)+R228</f>
        <v>0.554156125034713</v>
      </c>
      <c r="T228" s="869"/>
      <c r="U228" s="187"/>
      <c r="V228" s="897"/>
      <c r="W228" s="897"/>
      <c r="X228" s="31"/>
      <c r="Y228" s="975" t="n">
        <f aca="false">Tables!$D$36</f>
        <v>312</v>
      </c>
      <c r="Z228" s="879" t="n">
        <f aca="false">IF($Z$10=$V$10,V228,IF($Z$10=$W$10,W228,IF($Z$10=$X$10,X228,0)))</f>
        <v>0</v>
      </c>
      <c r="AA228" s="880" t="n">
        <f aca="false">Y228*Z228</f>
        <v>0</v>
      </c>
      <c r="AB228" s="881" t="n">
        <f aca="false">AA228*K228</f>
        <v>0</v>
      </c>
      <c r="AC228" s="188"/>
      <c r="AD228" s="882" t="n">
        <f aca="false">IF(Tables!$E$30="Michigan",INDEX('Michigan Curve'!$A$4:$S$256,MATCH('Monthly Table'!B228,'Michigan Curve'!$A$4:$A$256,0),MATCH("Michigan Selected Option Value US$/month",'Michigan Curve'!$A$4:$S$4,0)),INDEX('NY Curve'!$A$4:$T$256,MATCH('Monthly Table'!B228,'NY Curve'!$A$4:$A$256,0),MATCH("New York Selected Option Value US$/month",'NY Curve'!$A$4:$T$4,0)))</f>
        <v>0</v>
      </c>
      <c r="AE228" s="883" t="n">
        <f aca="false">AD228*K228</f>
        <v>0</v>
      </c>
      <c r="AF228" s="188"/>
      <c r="AG228" s="884"/>
      <c r="AH228" s="49"/>
      <c r="AI228" s="885" t="n">
        <f aca="false">Assumptions!$B$50</f>
        <v>65</v>
      </c>
      <c r="AJ228" s="916"/>
      <c r="AK228" s="887" t="n">
        <f aca="false">IF(Tables!$E$30="Custom",'Monthly Table'!AI228,IF(Tables!$E$30="New York",INDEX('NY Curve'!$A$4:$G$256,MATCH('Monthly Table'!B228,'NY Curve'!$A$4:$A$256,0),MATCH("Super Peak Curve",'NY Curve'!$A$4:$G$4,0)),IF(Tables!$E$30="New York Flat",INDEX('NY Curve'!$A$4:$G$256,MATCH('Monthly Table'!B228,'NY Curve'!$A$4:$A$256,0),MATCH("Flat NY West",'NY Curve'!$A$4:$G$4,0)),INDEX('Michigan Curve'!$A$4:$F$256,MATCH('Monthly Table'!B228,'Michigan Curve'!$A$4:$A$256,0),MATCH("Michigan Super Peak Curve US$/MWhr",'Michigan Curve'!$A$4:$F$4,0)))))</f>
        <v>0</v>
      </c>
      <c r="AL228" s="888" t="n">
        <f aca="false">IF(D228&lt;=Tables!$B$21,IF($AL$10=$AI$10,AI228,IF($AL$10=$AJ$10,AJ228,IF($AL$10=$AK$10,AK228,0))),0)</f>
        <v>0</v>
      </c>
      <c r="AM228" s="889" t="n">
        <f aca="false">+AL228*K228</f>
        <v>0</v>
      </c>
      <c r="AN228" s="890" t="n">
        <f aca="false">IF((AL228*K228)&gt;(CP228+$BF$4),1,0)</f>
        <v>0</v>
      </c>
      <c r="AO228" s="891"/>
      <c r="AP228" s="894"/>
      <c r="AQ228" s="892" t="n">
        <f aca="false">IF(Tables!$E$30="New York",INDEX('NY Curve'!$A$4:$L$256,MATCH('Monthly Table'!B228,'NY Curve'!$A$4:$A$256,0),MATCH("New York Shoulder Hour Curve Mon-Fri",'NY Curve'!$A$4:$L$4,0)),IF(Tables!$E$30="Michigan",INDEX('Michigan Curve'!$A$4:$K$256,MATCH('Monthly Table'!B228,'Michigan Curve'!$A$4:$A$256,0),MATCH("Michigan Shoulder Hour Curve Mon-Fri",'Michigan Curve'!$A$4:$K$4,0))))</f>
        <v>0</v>
      </c>
      <c r="AR228" s="889" t="n">
        <f aca="false">AQ228*K228</f>
        <v>0</v>
      </c>
      <c r="AS228" s="893" t="n">
        <f aca="false">IF(AR228&gt;($CP228+$BF$4),1,0)</f>
        <v>0</v>
      </c>
      <c r="AU228" s="892" t="n">
        <f aca="false">IF(Tables!$E$30="New York",INDEX('NY Curve'!$A$4:$L$256,MATCH('Monthly Table'!$B228,'NY Curve'!$A$4:$A$256,0),MATCH("New York Saturday Super Peak",'NY Curve'!$A$4:$L$4,0)),IF(Tables!$E$30="Michigan",INDEX('Michigan Curve'!$A$4:$K$256,MATCH('Monthly Table'!$B228,'Michigan Curve'!$A$4:$A$256,0),MATCH("Michigan Saturday Super Peak",'Michigan Curve'!$A$4:$K$4,0))))</f>
        <v>0</v>
      </c>
      <c r="AV228" s="894" t="n">
        <f aca="false">AU228*K228</f>
        <v>0</v>
      </c>
      <c r="AW228" s="893" t="n">
        <f aca="false">IF(Tables!$B$21=15,0,IF(AV228&gt;($CP228+$BF$4),1,0))</f>
        <v>0</v>
      </c>
      <c r="AX228" s="892" t="n">
        <f aca="false">IF(Tables!$E$30="New York",INDEX('NY Curve'!$A$4:$L$256,MATCH('Monthly Table'!$B228,'NY Curve'!$A$4:$A$256,0),MATCH("New York Saturday Shoulder Peak",'NY Curve'!$A$4:$L$4,0)),IF(Tables!$E$30="Michigan",INDEX('Michigan Curve'!$A$4:$K$256,MATCH('Monthly Table'!$B228,'Michigan Curve'!$A$4:$A$256,0),MATCH("Michigan Saturday Shoulder Peak",'Michigan Curve'!$A$4:$K$4,0))))</f>
        <v>0</v>
      </c>
      <c r="AY228" s="895" t="n">
        <f aca="false">AX228*K228</f>
        <v>0</v>
      </c>
      <c r="AZ228" s="893" t="n">
        <f aca="false">IF(Tables!$B$21=15,0,IF(AY228&gt;($CP228+$BF$4),1,0))</f>
        <v>0</v>
      </c>
      <c r="BB228" s="892" t="n">
        <f aca="false">IF(Tables!$E$30="New York",INDEX('NY Curve'!$A$4:$M$256,MATCH('Monthly Table'!$B228,'NY Curve'!$A$4:$A$256,0),MATCH("NY Sunday Super Peak",'NY Curve'!$A$4:$M$4,0)),IF(Tables!$E$30="Michigan",INDEX('Michigan Curve'!$A$4:$L$256,MATCH('Monthly Table'!$B228,'Michigan Curve'!$A$4:$A$256,0),MATCH("Michigan Sunday Super Peak",'Michigan Curve'!$A$4:$L$4,0))))</f>
        <v>0</v>
      </c>
      <c r="BC228" s="894" t="n">
        <f aca="false">BB228*K228</f>
        <v>0</v>
      </c>
      <c r="BD228" s="893" t="n">
        <f aca="false">IF(BC228&gt;($CP228+$BF$4),1,0)</f>
        <v>0</v>
      </c>
      <c r="BF228" s="896" t="n">
        <f aca="false">B228</f>
        <v>43497</v>
      </c>
      <c r="BG228" s="897" t="n">
        <f aca="false">IF($AN228=1,$E228*$BF$5,0)</f>
        <v>0</v>
      </c>
      <c r="BH228" s="976" t="n">
        <f aca="false">IF(Tables!$B$36="Combined Cycle",(BF228-BF227)*24*Assumptions!$B$21,0)</f>
        <v>0</v>
      </c>
      <c r="BI228" s="714" t="n">
        <f aca="false">IF($AN228=1,$E228*$BF$5,0)</f>
        <v>0</v>
      </c>
      <c r="BJ228" s="898" t="n">
        <f aca="false">IF('Monthly Table'!D228&lt;=Tables!$B$21,IF($BJ$10=$BG$10,BG228,IF($BJ$10=$BH$10,BH228,IF($BJ$10=$BI$10,BI228,0))),0)</f>
        <v>0</v>
      </c>
      <c r="BK228" s="288"/>
      <c r="BL228" s="898" t="n">
        <f aca="false">IF($AW228=1,$F228*$BF$5,0)</f>
        <v>0</v>
      </c>
      <c r="BM228" s="898" t="n">
        <f aca="false">IF($BD228=1,($G228+H228)*$BF$5,0)</f>
        <v>0</v>
      </c>
      <c r="BO228" s="898" t="n">
        <f aca="false">IF(AS228=1,BJ228,0)</f>
        <v>0</v>
      </c>
      <c r="BP228" s="898" t="n">
        <f aca="false">IF(AZ228=1,F228*$BF$5,0)</f>
        <v>0</v>
      </c>
      <c r="BR228" s="899" t="n">
        <f aca="false">IF(BJ228&gt;0,INDEX(OperationalDetail,MATCH("Capacity Degradation",ODColumn,0),MATCH('Monthly Table'!C228,ODRow,0)),0)</f>
        <v>0</v>
      </c>
      <c r="BS228" s="900" t="n">
        <f aca="false">BJ228*(1-BR228)*Tables!$C$36</f>
        <v>0</v>
      </c>
      <c r="BT228" s="883" t="n">
        <f aca="false">BS228*AL228/1000</f>
        <v>0</v>
      </c>
      <c r="BU228" s="883" t="n">
        <f aca="false">BT228*K228</f>
        <v>0</v>
      </c>
      <c r="BV228" s="188"/>
      <c r="BW228" s="901" t="n">
        <f aca="false">$BO228*(1-$BR228)*Tables!$C$36</f>
        <v>0</v>
      </c>
      <c r="BX228" s="902" t="n">
        <f aca="false">(BW228*AQ228)/1000</f>
        <v>0</v>
      </c>
      <c r="BY228" s="883" t="n">
        <f aca="false">BX228*K228</f>
        <v>0</v>
      </c>
      <c r="BZ228" s="188"/>
      <c r="CA228" s="901" t="n">
        <f aca="false">$BL228*(1-$BR228)*Tables!$C$36</f>
        <v>0</v>
      </c>
      <c r="CB228" s="902" t="n">
        <f aca="false">(CA228*AU228)/1000</f>
        <v>0</v>
      </c>
      <c r="CC228" s="883" t="n">
        <f aca="false">CB228*K228</f>
        <v>0</v>
      </c>
      <c r="CD228" s="901" t="n">
        <f aca="false">$BP228*(1-$BR228)*Tables!$C$36</f>
        <v>0</v>
      </c>
      <c r="CE228" s="902" t="n">
        <f aca="false">(CD228*AX228)/1000</f>
        <v>0</v>
      </c>
      <c r="CF228" s="883" t="n">
        <f aca="false">CE228*K228</f>
        <v>0</v>
      </c>
      <c r="CH228" s="901" t="n">
        <f aca="false">$BM228*(1-$BR228)*Tables!$C$36</f>
        <v>0</v>
      </c>
      <c r="CI228" s="902" t="n">
        <f aca="false">(CH228*BB228)/1000</f>
        <v>0</v>
      </c>
      <c r="CJ228" s="883" t="n">
        <f aca="false">CI228*K228</f>
        <v>0</v>
      </c>
      <c r="CK228" s="292"/>
      <c r="CL228" s="292" t="n">
        <f aca="false">C228-1</f>
        <v>2018</v>
      </c>
      <c r="CM228" s="903" t="n">
        <f aca="false">INDEX(OperationalDetail,MATCH("Degraded Heat Rate",ODColumn,0),MATCH('Monthly Table'!CL228,ODRow,0))/1000</f>
        <v>11.96</v>
      </c>
      <c r="CN228" s="904" t="n">
        <f aca="false">S228*CM228</f>
        <v>6.62770725541517</v>
      </c>
      <c r="CO228" s="905" t="n">
        <f aca="false">IF(A228="January",(CO227*(1+Assumptions!$E$32)),CO227)</f>
        <v>9.62013113133094</v>
      </c>
      <c r="CP228" s="906" t="n">
        <f aca="false">CN228+CO228</f>
        <v>16.2478383867461</v>
      </c>
      <c r="CQ228" s="292"/>
      <c r="CR228" s="856" t="str">
        <f aca="false">IF(BJ228=0,"",C228)</f>
        <v/>
      </c>
      <c r="CS228" s="856" t="str">
        <f aca="false">IF(BO228=0,"",$C228)</f>
        <v/>
      </c>
      <c r="CT228" s="856" t="str">
        <f aca="false">IF(BL228=0,"",$C228)</f>
        <v/>
      </c>
      <c r="CU228" s="856" t="str">
        <f aca="false">IF(BP228=0,"",$C228)</f>
        <v/>
      </c>
      <c r="CV228" s="856" t="str">
        <f aca="false">IF(BD228=0,"",$C228)</f>
        <v/>
      </c>
      <c r="CW228" s="907" t="n">
        <f aca="false">YEAR(BF228)</f>
        <v>2019</v>
      </c>
      <c r="CX228" s="908" t="n">
        <f aca="false">INDEX('NY Curve'!$A$4:$G$256,MATCH('Monthly Table'!B228,'NY Curve'!$A$4:$A$256,0),MATCH("New York 5 X 16",'NY Curve'!$A$4:$G$4,0))</f>
        <v>0</v>
      </c>
      <c r="CY228" s="909" t="n">
        <f aca="false">K228</f>
        <v>1.25217024246266</v>
      </c>
      <c r="CZ228" s="910" t="n">
        <f aca="false">CX228*CY228</f>
        <v>0</v>
      </c>
      <c r="DB228" s="911"/>
      <c r="DC228" s="911"/>
    </row>
    <row r="229" customFormat="false" ht="18.75" hidden="false" customHeight="true" outlineLevel="0" collapsed="false">
      <c r="A229" s="49" t="s">
        <v>812</v>
      </c>
      <c r="B229" s="863" t="n">
        <v>43525</v>
      </c>
      <c r="C229" s="288" t="n">
        <f aca="false">YEAR(B229)</f>
        <v>2019</v>
      </c>
      <c r="D229" s="864" t="n">
        <f aca="false">IF(A229="January",D228+1,D228)</f>
        <v>19</v>
      </c>
      <c r="E229" s="865" t="n">
        <v>21</v>
      </c>
      <c r="F229" s="866" t="n">
        <v>5</v>
      </c>
      <c r="G229" s="866" t="n">
        <v>5</v>
      </c>
      <c r="H229" s="866" t="n">
        <v>0</v>
      </c>
      <c r="I229" s="867" t="n">
        <f aca="false">SUM(E229:H229)</f>
        <v>31</v>
      </c>
      <c r="J229" s="868"/>
      <c r="K229" s="869" t="n">
        <f aca="false">INDEX(FX!$A$3:$C$362,MATCH(B229,FX!$A$3:$A$362,0),MATCH("Monthly Curve",FX!$A$2:$C$2,0))</f>
        <v>1.251697742407</v>
      </c>
      <c r="L229" s="869"/>
      <c r="M229" s="993"/>
      <c r="N229" s="994"/>
      <c r="O229" s="986" t="n">
        <v>0.1</v>
      </c>
      <c r="P229" s="872" t="n">
        <f aca="false">N229+O229</f>
        <v>0.1</v>
      </c>
      <c r="Q229" s="873" t="n">
        <f aca="false">SUM(M229:O229)</f>
        <v>0.1</v>
      </c>
      <c r="R229" s="974" t="n">
        <f aca="false">IF(A229="January",(R228+R228*Assumptions!$E$32),R228)</f>
        <v>0.428939100788447</v>
      </c>
      <c r="S229" s="875" t="n">
        <f aca="false">(Q229*K229)+R229</f>
        <v>0.554108875029147</v>
      </c>
      <c r="T229" s="869"/>
      <c r="U229" s="187"/>
      <c r="V229" s="897"/>
      <c r="W229" s="897"/>
      <c r="X229" s="31"/>
      <c r="Y229" s="975" t="n">
        <f aca="false">Tables!$D$36</f>
        <v>312</v>
      </c>
      <c r="Z229" s="879" t="n">
        <f aca="false">IF($Z$10=$V$10,V229,IF($Z$10=$W$10,W229,IF($Z$10=$X$10,X229,0)))</f>
        <v>0</v>
      </c>
      <c r="AA229" s="880" t="n">
        <f aca="false">Y229*Z229</f>
        <v>0</v>
      </c>
      <c r="AB229" s="881" t="n">
        <f aca="false">AA229*K229</f>
        <v>0</v>
      </c>
      <c r="AC229" s="188"/>
      <c r="AD229" s="882" t="n">
        <f aca="false">IF(Tables!$E$30="Michigan",INDEX('Michigan Curve'!$A$4:$S$256,MATCH('Monthly Table'!B229,'Michigan Curve'!$A$4:$A$256,0),MATCH("Michigan Selected Option Value US$/month",'Michigan Curve'!$A$4:$S$4,0)),INDEX('NY Curve'!$A$4:$T$256,MATCH('Monthly Table'!B229,'NY Curve'!$A$4:$A$256,0),MATCH("New York Selected Option Value US$/month",'NY Curve'!$A$4:$T$4,0)))</f>
        <v>0</v>
      </c>
      <c r="AE229" s="883" t="n">
        <f aca="false">AD229*K229</f>
        <v>0</v>
      </c>
      <c r="AF229" s="188"/>
      <c r="AG229" s="884"/>
      <c r="AH229" s="49"/>
      <c r="AI229" s="885" t="n">
        <f aca="false">Assumptions!$B$50</f>
        <v>65</v>
      </c>
      <c r="AJ229" s="916"/>
      <c r="AK229" s="887" t="n">
        <f aca="false">IF(Tables!$E$30="Custom",'Monthly Table'!AI229,IF(Tables!$E$30="New York",INDEX('NY Curve'!$A$4:$G$256,MATCH('Monthly Table'!B229,'NY Curve'!$A$4:$A$256,0),MATCH("Super Peak Curve",'NY Curve'!$A$4:$G$4,0)),IF(Tables!$E$30="New York Flat",INDEX('NY Curve'!$A$4:$G$256,MATCH('Monthly Table'!B229,'NY Curve'!$A$4:$A$256,0),MATCH("Flat NY West",'NY Curve'!$A$4:$G$4,0)),INDEX('Michigan Curve'!$A$4:$F$256,MATCH('Monthly Table'!B229,'Michigan Curve'!$A$4:$A$256,0),MATCH("Michigan Super Peak Curve US$/MWhr",'Michigan Curve'!$A$4:$F$4,0)))))</f>
        <v>0</v>
      </c>
      <c r="AL229" s="888" t="n">
        <f aca="false">IF(D229&lt;=Tables!$B$21,IF($AL$10=$AI$10,AI229,IF($AL$10=$AJ$10,AJ229,IF($AL$10=$AK$10,AK229,0))),0)</f>
        <v>0</v>
      </c>
      <c r="AM229" s="889" t="n">
        <f aca="false">+AL229*K229</f>
        <v>0</v>
      </c>
      <c r="AN229" s="890" t="n">
        <f aca="false">IF((AL229*K229)&gt;(CP229+$BF$4),1,0)</f>
        <v>0</v>
      </c>
      <c r="AO229" s="891"/>
      <c r="AP229" s="894"/>
      <c r="AQ229" s="892" t="n">
        <f aca="false">IF(Tables!$E$30="New York",INDEX('NY Curve'!$A$4:$L$256,MATCH('Monthly Table'!B229,'NY Curve'!$A$4:$A$256,0),MATCH("New York Shoulder Hour Curve Mon-Fri",'NY Curve'!$A$4:$L$4,0)),IF(Tables!$E$30="Michigan",INDEX('Michigan Curve'!$A$4:$K$256,MATCH('Monthly Table'!B229,'Michigan Curve'!$A$4:$A$256,0),MATCH("Michigan Shoulder Hour Curve Mon-Fri",'Michigan Curve'!$A$4:$K$4,0))))</f>
        <v>0</v>
      </c>
      <c r="AR229" s="889" t="n">
        <f aca="false">AQ229*K229</f>
        <v>0</v>
      </c>
      <c r="AS229" s="893" t="n">
        <f aca="false">IF(AR229&gt;($CP229+$BF$4),1,0)</f>
        <v>0</v>
      </c>
      <c r="AU229" s="892" t="n">
        <f aca="false">IF(Tables!$E$30="New York",INDEX('NY Curve'!$A$4:$L$256,MATCH('Monthly Table'!$B229,'NY Curve'!$A$4:$A$256,0),MATCH("New York Saturday Super Peak",'NY Curve'!$A$4:$L$4,0)),IF(Tables!$E$30="Michigan",INDEX('Michigan Curve'!$A$4:$K$256,MATCH('Monthly Table'!$B229,'Michigan Curve'!$A$4:$A$256,0),MATCH("Michigan Saturday Super Peak",'Michigan Curve'!$A$4:$K$4,0))))</f>
        <v>0</v>
      </c>
      <c r="AV229" s="894" t="n">
        <f aca="false">AU229*K229</f>
        <v>0</v>
      </c>
      <c r="AW229" s="893" t="n">
        <f aca="false">IF(Tables!$B$21=15,0,IF(AV229&gt;($CP229+$BF$4),1,0))</f>
        <v>0</v>
      </c>
      <c r="AX229" s="892" t="n">
        <f aca="false">IF(Tables!$E$30="New York",INDEX('NY Curve'!$A$4:$L$256,MATCH('Monthly Table'!$B229,'NY Curve'!$A$4:$A$256,0),MATCH("New York Saturday Shoulder Peak",'NY Curve'!$A$4:$L$4,0)),IF(Tables!$E$30="Michigan",INDEX('Michigan Curve'!$A$4:$K$256,MATCH('Monthly Table'!$B229,'Michigan Curve'!$A$4:$A$256,0),MATCH("Michigan Saturday Shoulder Peak",'Michigan Curve'!$A$4:$K$4,0))))</f>
        <v>0</v>
      </c>
      <c r="AY229" s="895" t="n">
        <f aca="false">AX229*K229</f>
        <v>0</v>
      </c>
      <c r="AZ229" s="893" t="n">
        <f aca="false">IF(Tables!$B$21=15,0,IF(AY229&gt;($CP229+$BF$4),1,0))</f>
        <v>0</v>
      </c>
      <c r="BB229" s="892" t="n">
        <f aca="false">IF(Tables!$E$30="New York",INDEX('NY Curve'!$A$4:$M$256,MATCH('Monthly Table'!$B229,'NY Curve'!$A$4:$A$256,0),MATCH("NY Sunday Super Peak",'NY Curve'!$A$4:$M$4,0)),IF(Tables!$E$30="Michigan",INDEX('Michigan Curve'!$A$4:$L$256,MATCH('Monthly Table'!$B229,'Michigan Curve'!$A$4:$A$256,0),MATCH("Michigan Sunday Super Peak",'Michigan Curve'!$A$4:$L$4,0))))</f>
        <v>0</v>
      </c>
      <c r="BC229" s="894" t="n">
        <f aca="false">BB229*K229</f>
        <v>0</v>
      </c>
      <c r="BD229" s="893" t="n">
        <f aca="false">IF(BC229&gt;($CP229+$BF$4),1,0)</f>
        <v>0</v>
      </c>
      <c r="BF229" s="896" t="n">
        <f aca="false">B229</f>
        <v>43525</v>
      </c>
      <c r="BG229" s="897" t="n">
        <f aca="false">IF($AN229=1,$E229*$BF$5,0)</f>
        <v>0</v>
      </c>
      <c r="BH229" s="976" t="n">
        <f aca="false">IF(Tables!$B$36="Combined Cycle",(BF229-BF228)*24*Assumptions!$B$21,0)</f>
        <v>0</v>
      </c>
      <c r="BI229" s="714" t="n">
        <f aca="false">IF($AN229=1,$E229*$BF$5,0)</f>
        <v>0</v>
      </c>
      <c r="BJ229" s="898" t="n">
        <f aca="false">IF('Monthly Table'!D229&lt;=Tables!$B$21,IF($BJ$10=$BG$10,BG229,IF($BJ$10=$BH$10,BH229,IF($BJ$10=$BI$10,BI229,0))),0)</f>
        <v>0</v>
      </c>
      <c r="BK229" s="288"/>
      <c r="BL229" s="898" t="n">
        <f aca="false">IF($AW229=1,$F229*$BF$5,0)</f>
        <v>0</v>
      </c>
      <c r="BM229" s="898" t="n">
        <f aca="false">IF($BD229=1,($G229+H229)*$BF$5,0)</f>
        <v>0</v>
      </c>
      <c r="BO229" s="898" t="n">
        <f aca="false">IF(AS229=1,BJ229,0)</f>
        <v>0</v>
      </c>
      <c r="BP229" s="898" t="n">
        <f aca="false">IF(AZ229=1,F229*$BF$5,0)</f>
        <v>0</v>
      </c>
      <c r="BR229" s="899" t="n">
        <f aca="false">IF(BJ229&gt;0,INDEX(OperationalDetail,MATCH("Capacity Degradation",ODColumn,0),MATCH('Monthly Table'!C229,ODRow,0)),0)</f>
        <v>0</v>
      </c>
      <c r="BS229" s="900" t="n">
        <f aca="false">BJ229*(1-BR229)*Tables!$C$36</f>
        <v>0</v>
      </c>
      <c r="BT229" s="883" t="n">
        <f aca="false">BS229*AL229/1000</f>
        <v>0</v>
      </c>
      <c r="BU229" s="883" t="n">
        <f aca="false">BT229*K229</f>
        <v>0</v>
      </c>
      <c r="BV229" s="188"/>
      <c r="BW229" s="901" t="n">
        <f aca="false">$BO229*(1-$BR229)*Tables!$C$36</f>
        <v>0</v>
      </c>
      <c r="BX229" s="902" t="n">
        <f aca="false">(BW229*AQ229)/1000</f>
        <v>0</v>
      </c>
      <c r="BY229" s="883" t="n">
        <f aca="false">BX229*K229</f>
        <v>0</v>
      </c>
      <c r="BZ229" s="188"/>
      <c r="CA229" s="901" t="n">
        <f aca="false">$BL229*(1-$BR229)*Tables!$C$36</f>
        <v>0</v>
      </c>
      <c r="CB229" s="902" t="n">
        <f aca="false">(CA229*AU229)/1000</f>
        <v>0</v>
      </c>
      <c r="CC229" s="883" t="n">
        <f aca="false">CB229*K229</f>
        <v>0</v>
      </c>
      <c r="CD229" s="901" t="n">
        <f aca="false">$BP229*(1-$BR229)*Tables!$C$36</f>
        <v>0</v>
      </c>
      <c r="CE229" s="902" t="n">
        <f aca="false">(CD229*AX229)/1000</f>
        <v>0</v>
      </c>
      <c r="CF229" s="883" t="n">
        <f aca="false">CE229*K229</f>
        <v>0</v>
      </c>
      <c r="CH229" s="901" t="n">
        <f aca="false">$BM229*(1-$BR229)*Tables!$C$36</f>
        <v>0</v>
      </c>
      <c r="CI229" s="902" t="n">
        <f aca="false">(CH229*BB229)/1000</f>
        <v>0</v>
      </c>
      <c r="CJ229" s="883" t="n">
        <f aca="false">CI229*K229</f>
        <v>0</v>
      </c>
      <c r="CK229" s="292"/>
      <c r="CL229" s="292" t="n">
        <f aca="false">C229-1</f>
        <v>2018</v>
      </c>
      <c r="CM229" s="903" t="n">
        <f aca="false">INDEX(OperationalDetail,MATCH("Degraded Heat Rate",ODColumn,0),MATCH('Monthly Table'!CL229,ODRow,0))/1000</f>
        <v>11.96</v>
      </c>
      <c r="CN229" s="904" t="n">
        <f aca="false">S229*CM229</f>
        <v>6.6271421453486</v>
      </c>
      <c r="CO229" s="905" t="n">
        <f aca="false">IF(A229="January",(CO228*(1+Assumptions!$E$32)),CO228)</f>
        <v>9.62013113133094</v>
      </c>
      <c r="CP229" s="906" t="n">
        <f aca="false">CN229+CO229</f>
        <v>16.2472732766795</v>
      </c>
      <c r="CQ229" s="292"/>
      <c r="CR229" s="856" t="str">
        <f aca="false">IF(BJ229=0,"",C229)</f>
        <v/>
      </c>
      <c r="CS229" s="856" t="str">
        <f aca="false">IF(BO229=0,"",$C229)</f>
        <v/>
      </c>
      <c r="CT229" s="856" t="str">
        <f aca="false">IF(BL229=0,"",$C229)</f>
        <v/>
      </c>
      <c r="CU229" s="856" t="str">
        <f aca="false">IF(BP229=0,"",$C229)</f>
        <v/>
      </c>
      <c r="CV229" s="856" t="str">
        <f aca="false">IF(BD229=0,"",$C229)</f>
        <v/>
      </c>
      <c r="CW229" s="907" t="n">
        <f aca="false">YEAR(BF229)</f>
        <v>2019</v>
      </c>
      <c r="CX229" s="908" t="n">
        <f aca="false">INDEX('NY Curve'!$A$4:$G$256,MATCH('Monthly Table'!B229,'NY Curve'!$A$4:$A$256,0),MATCH("New York 5 X 16",'NY Curve'!$A$4:$G$4,0))</f>
        <v>0</v>
      </c>
      <c r="CY229" s="909" t="n">
        <f aca="false">K229</f>
        <v>1.251697742407</v>
      </c>
      <c r="CZ229" s="910" t="n">
        <f aca="false">CX229*CY229</f>
        <v>0</v>
      </c>
      <c r="DB229" s="911"/>
      <c r="DC229" s="911"/>
    </row>
    <row r="230" customFormat="false" ht="18.75" hidden="false" customHeight="true" outlineLevel="0" collapsed="false">
      <c r="A230" s="49" t="s">
        <v>813</v>
      </c>
      <c r="B230" s="863" t="n">
        <v>43556</v>
      </c>
      <c r="C230" s="288" t="n">
        <f aca="false">YEAR(B230)</f>
        <v>2019</v>
      </c>
      <c r="D230" s="864" t="n">
        <f aca="false">IF(A230="January",D229+1,D229)</f>
        <v>19</v>
      </c>
      <c r="E230" s="865" t="n">
        <v>22</v>
      </c>
      <c r="F230" s="866" t="n">
        <v>4</v>
      </c>
      <c r="G230" s="866" t="n">
        <v>4</v>
      </c>
      <c r="H230" s="866" t="n">
        <v>0</v>
      </c>
      <c r="I230" s="867" t="n">
        <f aca="false">SUM(E230:H230)</f>
        <v>30</v>
      </c>
      <c r="J230" s="868"/>
      <c r="K230" s="869" t="n">
        <f aca="false">INDEX(FX!$A$3:$C$362,MATCH(B230,FX!$A$3:$A$362,0),MATCH("Monthly Curve",FX!$A$2:$C$2,0))</f>
        <v>1.25117751160557</v>
      </c>
      <c r="L230" s="869"/>
      <c r="M230" s="993"/>
      <c r="N230" s="994"/>
      <c r="O230" s="986" t="n">
        <v>0.1</v>
      </c>
      <c r="P230" s="872" t="n">
        <f aca="false">N230+O230</f>
        <v>0.1</v>
      </c>
      <c r="Q230" s="873" t="n">
        <f aca="false">SUM(M230:O230)</f>
        <v>0.1</v>
      </c>
      <c r="R230" s="974" t="n">
        <f aca="false">IF(A230="January",(R229+R229*Assumptions!$E$32),R229)</f>
        <v>0.428939100788447</v>
      </c>
      <c r="S230" s="875" t="n">
        <f aca="false">(Q230*K230)+R230</f>
        <v>0.554056851949004</v>
      </c>
      <c r="T230" s="869"/>
      <c r="U230" s="187"/>
      <c r="V230" s="897"/>
      <c r="W230" s="897"/>
      <c r="X230" s="31"/>
      <c r="Y230" s="975" t="n">
        <f aca="false">Tables!$D$36</f>
        <v>312</v>
      </c>
      <c r="Z230" s="879" t="n">
        <f aca="false">IF($Z$10=$V$10,V230,IF($Z$10=$W$10,W230,IF($Z$10=$X$10,X230,0)))</f>
        <v>0</v>
      </c>
      <c r="AA230" s="880" t="n">
        <f aca="false">Y230*Z230</f>
        <v>0</v>
      </c>
      <c r="AB230" s="881" t="n">
        <f aca="false">AA230*K230</f>
        <v>0</v>
      </c>
      <c r="AC230" s="188"/>
      <c r="AD230" s="882" t="n">
        <f aca="false">IF(Tables!$E$30="Michigan",INDEX('Michigan Curve'!$A$4:$S$256,MATCH('Monthly Table'!B230,'Michigan Curve'!$A$4:$A$256,0),MATCH("Michigan Selected Option Value US$/month",'Michigan Curve'!$A$4:$S$4,0)),INDEX('NY Curve'!$A$4:$T$256,MATCH('Monthly Table'!B230,'NY Curve'!$A$4:$A$256,0),MATCH("New York Selected Option Value US$/month",'NY Curve'!$A$4:$T$4,0)))</f>
        <v>0</v>
      </c>
      <c r="AE230" s="883" t="n">
        <f aca="false">AD230*K230</f>
        <v>0</v>
      </c>
      <c r="AF230" s="188"/>
      <c r="AG230" s="884"/>
      <c r="AH230" s="49"/>
      <c r="AI230" s="885" t="n">
        <f aca="false">Assumptions!$B$50</f>
        <v>65</v>
      </c>
      <c r="AJ230" s="916"/>
      <c r="AK230" s="887" t="n">
        <f aca="false">IF(Tables!$E$30="Custom",'Monthly Table'!AI230,IF(Tables!$E$30="New York",INDEX('NY Curve'!$A$4:$G$256,MATCH('Monthly Table'!B230,'NY Curve'!$A$4:$A$256,0),MATCH("Super Peak Curve",'NY Curve'!$A$4:$G$4,0)),IF(Tables!$E$30="New York Flat",INDEX('NY Curve'!$A$4:$G$256,MATCH('Monthly Table'!B230,'NY Curve'!$A$4:$A$256,0),MATCH("Flat NY West",'NY Curve'!$A$4:$G$4,0)),INDEX('Michigan Curve'!$A$4:$F$256,MATCH('Monthly Table'!B230,'Michigan Curve'!$A$4:$A$256,0),MATCH("Michigan Super Peak Curve US$/MWhr",'Michigan Curve'!$A$4:$F$4,0)))))</f>
        <v>0</v>
      </c>
      <c r="AL230" s="888" t="n">
        <f aca="false">IF(D230&lt;=Tables!$B$21,IF($AL$10=$AI$10,AI230,IF($AL$10=$AJ$10,AJ230,IF($AL$10=$AK$10,AK230,0))),0)</f>
        <v>0</v>
      </c>
      <c r="AM230" s="889" t="n">
        <f aca="false">+AL230*K230</f>
        <v>0</v>
      </c>
      <c r="AN230" s="890" t="n">
        <f aca="false">IF((AL230*K230)&gt;(CP230+$BF$4),1,0)</f>
        <v>0</v>
      </c>
      <c r="AO230" s="891"/>
      <c r="AP230" s="894"/>
      <c r="AQ230" s="892" t="n">
        <f aca="false">IF(Tables!$E$30="New York",INDEX('NY Curve'!$A$4:$L$256,MATCH('Monthly Table'!B230,'NY Curve'!$A$4:$A$256,0),MATCH("New York Shoulder Hour Curve Mon-Fri",'NY Curve'!$A$4:$L$4,0)),IF(Tables!$E$30="Michigan",INDEX('Michigan Curve'!$A$4:$K$256,MATCH('Monthly Table'!B230,'Michigan Curve'!$A$4:$A$256,0),MATCH("Michigan Shoulder Hour Curve Mon-Fri",'Michigan Curve'!$A$4:$K$4,0))))</f>
        <v>0</v>
      </c>
      <c r="AR230" s="889" t="n">
        <f aca="false">AQ230*K230</f>
        <v>0</v>
      </c>
      <c r="AS230" s="893" t="n">
        <f aca="false">IF(AR230&gt;($CP230+$BF$4),1,0)</f>
        <v>0</v>
      </c>
      <c r="AU230" s="892" t="n">
        <f aca="false">IF(Tables!$E$30="New York",INDEX('NY Curve'!$A$4:$L$256,MATCH('Monthly Table'!$B230,'NY Curve'!$A$4:$A$256,0),MATCH("New York Saturday Super Peak",'NY Curve'!$A$4:$L$4,0)),IF(Tables!$E$30="Michigan",INDEX('Michigan Curve'!$A$4:$K$256,MATCH('Monthly Table'!$B230,'Michigan Curve'!$A$4:$A$256,0),MATCH("Michigan Saturday Super Peak",'Michigan Curve'!$A$4:$K$4,0))))</f>
        <v>0</v>
      </c>
      <c r="AV230" s="894" t="n">
        <f aca="false">AU230*K230</f>
        <v>0</v>
      </c>
      <c r="AW230" s="893" t="n">
        <f aca="false">IF(Tables!$B$21=15,0,IF(AV230&gt;($CP230+$BF$4),1,0))</f>
        <v>0</v>
      </c>
      <c r="AX230" s="892" t="n">
        <f aca="false">IF(Tables!$E$30="New York",INDEX('NY Curve'!$A$4:$L$256,MATCH('Monthly Table'!$B230,'NY Curve'!$A$4:$A$256,0),MATCH("New York Saturday Shoulder Peak",'NY Curve'!$A$4:$L$4,0)),IF(Tables!$E$30="Michigan",INDEX('Michigan Curve'!$A$4:$K$256,MATCH('Monthly Table'!$B230,'Michigan Curve'!$A$4:$A$256,0),MATCH("Michigan Saturday Shoulder Peak",'Michigan Curve'!$A$4:$K$4,0))))</f>
        <v>0</v>
      </c>
      <c r="AY230" s="895" t="n">
        <f aca="false">AX230*K230</f>
        <v>0</v>
      </c>
      <c r="AZ230" s="893" t="n">
        <f aca="false">IF(Tables!$B$21=15,0,IF(AY230&gt;($CP230+$BF$4),1,0))</f>
        <v>0</v>
      </c>
      <c r="BB230" s="892" t="n">
        <f aca="false">IF(Tables!$E$30="New York",INDEX('NY Curve'!$A$4:$M$256,MATCH('Monthly Table'!$B230,'NY Curve'!$A$4:$A$256,0),MATCH("NY Sunday Super Peak",'NY Curve'!$A$4:$M$4,0)),IF(Tables!$E$30="Michigan",INDEX('Michigan Curve'!$A$4:$L$256,MATCH('Monthly Table'!$B230,'Michigan Curve'!$A$4:$A$256,0),MATCH("Michigan Sunday Super Peak",'Michigan Curve'!$A$4:$L$4,0))))</f>
        <v>0</v>
      </c>
      <c r="BC230" s="894" t="n">
        <f aca="false">BB230*K230</f>
        <v>0</v>
      </c>
      <c r="BD230" s="893" t="n">
        <f aca="false">IF(BC230&gt;($CP230+$BF$4),1,0)</f>
        <v>0</v>
      </c>
      <c r="BF230" s="896" t="n">
        <f aca="false">B230</f>
        <v>43556</v>
      </c>
      <c r="BG230" s="897" t="n">
        <f aca="false">IF($AN230=1,$E230*$BF$5,0)</f>
        <v>0</v>
      </c>
      <c r="BH230" s="976" t="n">
        <f aca="false">IF(Tables!$B$36="Combined Cycle",(BF230-BF229)*24*Assumptions!$B$21,0)</f>
        <v>0</v>
      </c>
      <c r="BI230" s="714" t="n">
        <f aca="false">IF($AN230=1,$E230*$BF$5,0)</f>
        <v>0</v>
      </c>
      <c r="BJ230" s="898" t="n">
        <f aca="false">IF('Monthly Table'!D230&lt;=Tables!$B$21,IF($BJ$10=$BG$10,BG230,IF($BJ$10=$BH$10,BH230,IF($BJ$10=$BI$10,BI230,0))),0)</f>
        <v>0</v>
      </c>
      <c r="BK230" s="288"/>
      <c r="BL230" s="898" t="n">
        <f aca="false">IF($AW230=1,$F230*$BF$5,0)</f>
        <v>0</v>
      </c>
      <c r="BM230" s="898" t="n">
        <f aca="false">IF($BD230=1,($G230+H230)*$BF$5,0)</f>
        <v>0</v>
      </c>
      <c r="BO230" s="898" t="n">
        <f aca="false">IF(AS230=1,BJ230,0)</f>
        <v>0</v>
      </c>
      <c r="BP230" s="898" t="n">
        <f aca="false">IF(AZ230=1,F230*$BF$5,0)</f>
        <v>0</v>
      </c>
      <c r="BR230" s="899" t="n">
        <f aca="false">IF(BJ230&gt;0,INDEX(OperationalDetail,MATCH("Capacity Degradation",ODColumn,0),MATCH('Monthly Table'!C230,ODRow,0)),0)</f>
        <v>0</v>
      </c>
      <c r="BS230" s="900" t="n">
        <f aca="false">BJ230*(1-BR230)*Tables!$C$36</f>
        <v>0</v>
      </c>
      <c r="BT230" s="883" t="n">
        <f aca="false">BS230*AL230/1000</f>
        <v>0</v>
      </c>
      <c r="BU230" s="883" t="n">
        <f aca="false">BT230*K230</f>
        <v>0</v>
      </c>
      <c r="BV230" s="188"/>
      <c r="BW230" s="901" t="n">
        <f aca="false">$BO230*(1-$BR230)*Tables!$C$36</f>
        <v>0</v>
      </c>
      <c r="BX230" s="902" t="n">
        <f aca="false">(BW230*AQ230)/1000</f>
        <v>0</v>
      </c>
      <c r="BY230" s="883" t="n">
        <f aca="false">BX230*K230</f>
        <v>0</v>
      </c>
      <c r="BZ230" s="188"/>
      <c r="CA230" s="901" t="n">
        <f aca="false">$BL230*(1-$BR230)*Tables!$C$36</f>
        <v>0</v>
      </c>
      <c r="CB230" s="902" t="n">
        <f aca="false">(CA230*AU230)/1000</f>
        <v>0</v>
      </c>
      <c r="CC230" s="883" t="n">
        <f aca="false">CB230*K230</f>
        <v>0</v>
      </c>
      <c r="CD230" s="901" t="n">
        <f aca="false">$BP230*(1-$BR230)*Tables!$C$36</f>
        <v>0</v>
      </c>
      <c r="CE230" s="902" t="n">
        <f aca="false">(CD230*AX230)/1000</f>
        <v>0</v>
      </c>
      <c r="CF230" s="883" t="n">
        <f aca="false">CE230*K230</f>
        <v>0</v>
      </c>
      <c r="CH230" s="901" t="n">
        <f aca="false">$BM230*(1-$BR230)*Tables!$C$36</f>
        <v>0</v>
      </c>
      <c r="CI230" s="902" t="n">
        <f aca="false">(CH230*BB230)/1000</f>
        <v>0</v>
      </c>
      <c r="CJ230" s="883" t="n">
        <f aca="false">CI230*K230</f>
        <v>0</v>
      </c>
      <c r="CL230" s="292" t="n">
        <f aca="false">C230-1</f>
        <v>2018</v>
      </c>
      <c r="CM230" s="903" t="n">
        <f aca="false">INDEX(OperationalDetail,MATCH("Degraded Heat Rate",ODColumn,0),MATCH('Monthly Table'!CL230,ODRow,0))/1000</f>
        <v>11.96</v>
      </c>
      <c r="CN230" s="904" t="n">
        <f aca="false">S230*CM230</f>
        <v>6.62651994931009</v>
      </c>
      <c r="CO230" s="905" t="n">
        <f aca="false">IF(A230="January",(CO229*(1+Assumptions!$E$32)),CO229)</f>
        <v>9.62013113133094</v>
      </c>
      <c r="CP230" s="906" t="n">
        <f aca="false">CN230+CO230</f>
        <v>16.246651080641</v>
      </c>
      <c r="CQ230" s="292"/>
      <c r="CR230" s="856" t="str">
        <f aca="false">IF(BJ230=0,"",C230)</f>
        <v/>
      </c>
      <c r="CS230" s="856" t="str">
        <f aca="false">IF(BO230=0,"",$C230)</f>
        <v/>
      </c>
      <c r="CT230" s="856" t="str">
        <f aca="false">IF(BL230=0,"",$C230)</f>
        <v/>
      </c>
      <c r="CU230" s="856" t="str">
        <f aca="false">IF(BP230=0,"",$C230)</f>
        <v/>
      </c>
      <c r="CV230" s="856" t="str">
        <f aca="false">IF(BD230=0,"",$C230)</f>
        <v/>
      </c>
      <c r="CW230" s="907" t="n">
        <f aca="false">YEAR(BF230)</f>
        <v>2019</v>
      </c>
      <c r="CX230" s="908" t="n">
        <f aca="false">INDEX('NY Curve'!$A$4:$G$256,MATCH('Monthly Table'!B230,'NY Curve'!$A$4:$A$256,0),MATCH("New York 5 X 16",'NY Curve'!$A$4:$G$4,0))</f>
        <v>0</v>
      </c>
      <c r="CY230" s="909" t="n">
        <f aca="false">K230</f>
        <v>1.25117751160557</v>
      </c>
      <c r="CZ230" s="910" t="n">
        <f aca="false">CX230*CY230</f>
        <v>0</v>
      </c>
      <c r="DB230" s="911"/>
      <c r="DC230" s="911"/>
    </row>
    <row r="231" customFormat="false" ht="18.75" hidden="false" customHeight="true" outlineLevel="0" collapsed="false">
      <c r="A231" s="49" t="s">
        <v>814</v>
      </c>
      <c r="B231" s="863" t="n">
        <v>43586</v>
      </c>
      <c r="C231" s="288" t="n">
        <f aca="false">YEAR(B231)</f>
        <v>2019</v>
      </c>
      <c r="D231" s="864" t="n">
        <f aca="false">IF(A231="January",D230+1,D230)</f>
        <v>19</v>
      </c>
      <c r="E231" s="865" t="n">
        <v>22</v>
      </c>
      <c r="F231" s="866" t="n">
        <v>4</v>
      </c>
      <c r="G231" s="866" t="n">
        <v>4</v>
      </c>
      <c r="H231" s="866" t="n">
        <v>1</v>
      </c>
      <c r="I231" s="867" t="n">
        <f aca="false">SUM(E231:H231)</f>
        <v>31</v>
      </c>
      <c r="J231" s="868"/>
      <c r="K231" s="869" t="n">
        <f aca="false">INDEX(FX!$A$3:$C$362,MATCH(B231,FX!$A$3:$A$362,0),MATCH("Monthly Curve",FX!$A$2:$C$2,0))</f>
        <v>1.25067695497159</v>
      </c>
      <c r="L231" s="869"/>
      <c r="M231" s="993"/>
      <c r="N231" s="994"/>
      <c r="O231" s="986" t="n">
        <v>0.1</v>
      </c>
      <c r="P231" s="872" t="n">
        <f aca="false">N231+O231</f>
        <v>0.1</v>
      </c>
      <c r="Q231" s="873" t="n">
        <f aca="false">SUM(M231:O231)</f>
        <v>0.1</v>
      </c>
      <c r="R231" s="974" t="n">
        <f aca="false">IF(A231="January",(R230+R230*Assumptions!$E$32),R230)</f>
        <v>0.428939100788447</v>
      </c>
      <c r="S231" s="875" t="n">
        <f aca="false">(Q231*K231)+R231</f>
        <v>0.554006796285606</v>
      </c>
      <c r="T231" s="869"/>
      <c r="U231" s="187"/>
      <c r="V231" s="897"/>
      <c r="W231" s="897"/>
      <c r="X231" s="31"/>
      <c r="Y231" s="975" t="n">
        <f aca="false">Tables!$D$36</f>
        <v>312</v>
      </c>
      <c r="Z231" s="879" t="n">
        <f aca="false">IF($Z$10=$V$10,V231,IF($Z$10=$W$10,W231,IF($Z$10=$X$10,X231,0)))</f>
        <v>0</v>
      </c>
      <c r="AA231" s="880" t="n">
        <f aca="false">Y231*Z231</f>
        <v>0</v>
      </c>
      <c r="AB231" s="881" t="n">
        <f aca="false">AA231*K231</f>
        <v>0</v>
      </c>
      <c r="AC231" s="188"/>
      <c r="AD231" s="882" t="n">
        <f aca="false">IF(Tables!$E$30="Michigan",INDEX('Michigan Curve'!$A$4:$S$256,MATCH('Monthly Table'!B231,'Michigan Curve'!$A$4:$A$256,0),MATCH("Michigan Selected Option Value US$/month",'Michigan Curve'!$A$4:$S$4,0)),INDEX('NY Curve'!$A$4:$T$256,MATCH('Monthly Table'!B231,'NY Curve'!$A$4:$A$256,0),MATCH("New York Selected Option Value US$/month",'NY Curve'!$A$4:$T$4,0)))</f>
        <v>0</v>
      </c>
      <c r="AE231" s="883" t="n">
        <f aca="false">AD231*K231</f>
        <v>0</v>
      </c>
      <c r="AF231" s="188"/>
      <c r="AG231" s="884"/>
      <c r="AH231" s="49"/>
      <c r="AI231" s="885" t="n">
        <f aca="false">Assumptions!$B$50</f>
        <v>65</v>
      </c>
      <c r="AJ231" s="916"/>
      <c r="AK231" s="887" t="n">
        <f aca="false">IF(Tables!$E$30="Custom",'Monthly Table'!AI231,IF(Tables!$E$30="New York",INDEX('NY Curve'!$A$4:$G$256,MATCH('Monthly Table'!B231,'NY Curve'!$A$4:$A$256,0),MATCH("Super Peak Curve",'NY Curve'!$A$4:$G$4,0)),IF(Tables!$E$30="New York Flat",INDEX('NY Curve'!$A$4:$G$256,MATCH('Monthly Table'!B231,'NY Curve'!$A$4:$A$256,0),MATCH("Flat NY West",'NY Curve'!$A$4:$G$4,0)),INDEX('Michigan Curve'!$A$4:$F$256,MATCH('Monthly Table'!B231,'Michigan Curve'!$A$4:$A$256,0),MATCH("Michigan Super Peak Curve US$/MWhr",'Michigan Curve'!$A$4:$F$4,0)))))</f>
        <v>0</v>
      </c>
      <c r="AL231" s="888" t="n">
        <f aca="false">IF(D231&lt;=Tables!$B$21,IF($AL$10=$AI$10,AI231,IF($AL$10=$AJ$10,AJ231,IF($AL$10=$AK$10,AK231,0))),0)</f>
        <v>0</v>
      </c>
      <c r="AM231" s="889" t="n">
        <f aca="false">+AL231*K231</f>
        <v>0</v>
      </c>
      <c r="AN231" s="890" t="n">
        <f aca="false">IF((AL231*K231)&gt;(CP231+$BF$4),1,0)</f>
        <v>0</v>
      </c>
      <c r="AO231" s="891"/>
      <c r="AP231" s="894"/>
      <c r="AQ231" s="892" t="n">
        <f aca="false">IF(Tables!$E$30="New York",INDEX('NY Curve'!$A$4:$L$256,MATCH('Monthly Table'!B231,'NY Curve'!$A$4:$A$256,0),MATCH("New York Shoulder Hour Curve Mon-Fri",'NY Curve'!$A$4:$L$4,0)),IF(Tables!$E$30="Michigan",INDEX('Michigan Curve'!$A$4:$K$256,MATCH('Monthly Table'!B231,'Michigan Curve'!$A$4:$A$256,0),MATCH("Michigan Shoulder Hour Curve Mon-Fri",'Michigan Curve'!$A$4:$K$4,0))))</f>
        <v>0</v>
      </c>
      <c r="AR231" s="889" t="n">
        <f aca="false">AQ231*K231</f>
        <v>0</v>
      </c>
      <c r="AS231" s="893" t="n">
        <f aca="false">IF(AR231&gt;($CP231+$BF$4),1,0)</f>
        <v>0</v>
      </c>
      <c r="AU231" s="892" t="n">
        <f aca="false">IF(Tables!$E$30="New York",INDEX('NY Curve'!$A$4:$L$256,MATCH('Monthly Table'!$B231,'NY Curve'!$A$4:$A$256,0),MATCH("New York Saturday Super Peak",'NY Curve'!$A$4:$L$4,0)),IF(Tables!$E$30="Michigan",INDEX('Michigan Curve'!$A$4:$K$256,MATCH('Monthly Table'!$B231,'Michigan Curve'!$A$4:$A$256,0),MATCH("Michigan Saturday Super Peak",'Michigan Curve'!$A$4:$K$4,0))))</f>
        <v>0</v>
      </c>
      <c r="AV231" s="894" t="n">
        <f aca="false">AU231*K231</f>
        <v>0</v>
      </c>
      <c r="AW231" s="893" t="n">
        <f aca="false">IF(Tables!$B$21=15,0,IF(AV231&gt;($CP231+$BF$4),1,0))</f>
        <v>0</v>
      </c>
      <c r="AX231" s="892" t="n">
        <f aca="false">IF(Tables!$E$30="New York",INDEX('NY Curve'!$A$4:$L$256,MATCH('Monthly Table'!$B231,'NY Curve'!$A$4:$A$256,0),MATCH("New York Saturday Shoulder Peak",'NY Curve'!$A$4:$L$4,0)),IF(Tables!$E$30="Michigan",INDEX('Michigan Curve'!$A$4:$K$256,MATCH('Monthly Table'!$B231,'Michigan Curve'!$A$4:$A$256,0),MATCH("Michigan Saturday Shoulder Peak",'Michigan Curve'!$A$4:$K$4,0))))</f>
        <v>0</v>
      </c>
      <c r="AY231" s="895" t="n">
        <f aca="false">AX231*K231</f>
        <v>0</v>
      </c>
      <c r="AZ231" s="893" t="n">
        <f aca="false">IF(Tables!$B$21=15,0,IF(AY231&gt;($CP231+$BF$4),1,0))</f>
        <v>0</v>
      </c>
      <c r="BB231" s="892" t="n">
        <f aca="false">IF(Tables!$E$30="New York",INDEX('NY Curve'!$A$4:$M$256,MATCH('Monthly Table'!$B231,'NY Curve'!$A$4:$A$256,0),MATCH("NY Sunday Super Peak",'NY Curve'!$A$4:$M$4,0)),IF(Tables!$E$30="Michigan",INDEX('Michigan Curve'!$A$4:$L$256,MATCH('Monthly Table'!$B231,'Michigan Curve'!$A$4:$A$256,0),MATCH("Michigan Sunday Super Peak",'Michigan Curve'!$A$4:$L$4,0))))</f>
        <v>0</v>
      </c>
      <c r="BC231" s="894" t="n">
        <f aca="false">BB231*K231</f>
        <v>0</v>
      </c>
      <c r="BD231" s="893" t="n">
        <f aca="false">IF(BC231&gt;($CP231+$BF$4),1,0)</f>
        <v>0</v>
      </c>
      <c r="BF231" s="896" t="n">
        <f aca="false">B231</f>
        <v>43586</v>
      </c>
      <c r="BG231" s="897" t="n">
        <f aca="false">IF($AN231=1,$E231*$BF$5,0)</f>
        <v>0</v>
      </c>
      <c r="BH231" s="976" t="n">
        <f aca="false">IF(Tables!$B$36="Combined Cycle",(BF231-BF230)*24*Assumptions!$B$21,0)</f>
        <v>0</v>
      </c>
      <c r="BI231" s="714" t="n">
        <f aca="false">IF($AN231=1,$E231*$BF$5,0)</f>
        <v>0</v>
      </c>
      <c r="BJ231" s="898" t="n">
        <f aca="false">IF('Monthly Table'!D231&lt;=Tables!$B$21,IF($BJ$10=$BG$10,BG231,IF($BJ$10=$BH$10,BH231,IF($BJ$10=$BI$10,BI231,0))),0)</f>
        <v>0</v>
      </c>
      <c r="BK231" s="288"/>
      <c r="BL231" s="898" t="n">
        <f aca="false">IF($AW231=1,$F231*$BF$5,0)</f>
        <v>0</v>
      </c>
      <c r="BM231" s="898" t="n">
        <f aca="false">IF($BD231=1,($G231+H231)*$BF$5,0)</f>
        <v>0</v>
      </c>
      <c r="BO231" s="898" t="n">
        <f aca="false">IF(AS231=1,BJ231,0)</f>
        <v>0</v>
      </c>
      <c r="BP231" s="898" t="n">
        <f aca="false">IF(AZ231=1,F231*$BF$5,0)</f>
        <v>0</v>
      </c>
      <c r="BR231" s="899" t="n">
        <f aca="false">IF(BJ231&gt;0,INDEX(OperationalDetail,MATCH("Capacity Degradation",ODColumn,0),MATCH('Monthly Table'!C231,ODRow,0)),0)</f>
        <v>0</v>
      </c>
      <c r="BS231" s="900" t="n">
        <f aca="false">BJ231*(1-BR231)*Tables!$C$36</f>
        <v>0</v>
      </c>
      <c r="BT231" s="883" t="n">
        <f aca="false">BS231*AL231/1000</f>
        <v>0</v>
      </c>
      <c r="BU231" s="883" t="n">
        <f aca="false">BT231*K231</f>
        <v>0</v>
      </c>
      <c r="BV231" s="188"/>
      <c r="BW231" s="901" t="n">
        <f aca="false">$BO231*(1-$BR231)*Tables!$C$36</f>
        <v>0</v>
      </c>
      <c r="BX231" s="902" t="n">
        <f aca="false">(BW231*AQ231)/1000</f>
        <v>0</v>
      </c>
      <c r="BY231" s="883" t="n">
        <f aca="false">BX231*K231</f>
        <v>0</v>
      </c>
      <c r="BZ231" s="188"/>
      <c r="CA231" s="901" t="n">
        <f aca="false">$BL231*(1-$BR231)*Tables!$C$36</f>
        <v>0</v>
      </c>
      <c r="CB231" s="902" t="n">
        <f aca="false">(CA231*AU231)/1000</f>
        <v>0</v>
      </c>
      <c r="CC231" s="883" t="n">
        <f aca="false">CB231*K231</f>
        <v>0</v>
      </c>
      <c r="CD231" s="901" t="n">
        <f aca="false">$BP231*(1-$BR231)*Tables!$C$36</f>
        <v>0</v>
      </c>
      <c r="CE231" s="902" t="n">
        <f aca="false">(CD231*AX231)/1000</f>
        <v>0</v>
      </c>
      <c r="CF231" s="883" t="n">
        <f aca="false">CE231*K231</f>
        <v>0</v>
      </c>
      <c r="CH231" s="901" t="n">
        <f aca="false">$BM231*(1-$BR231)*Tables!$C$36</f>
        <v>0</v>
      </c>
      <c r="CI231" s="902" t="n">
        <f aca="false">(CH231*BB231)/1000</f>
        <v>0</v>
      </c>
      <c r="CJ231" s="883" t="n">
        <f aca="false">CI231*K231</f>
        <v>0</v>
      </c>
      <c r="CL231" s="292" t="n">
        <f aca="false">C231-1</f>
        <v>2018</v>
      </c>
      <c r="CM231" s="903" t="n">
        <f aca="false">INDEX(OperationalDetail,MATCH("Degraded Heat Rate",ODColumn,0),MATCH('Monthly Table'!CL231,ODRow,0))/1000</f>
        <v>11.96</v>
      </c>
      <c r="CN231" s="904" t="n">
        <f aca="false">S231*CM231</f>
        <v>6.62592128357585</v>
      </c>
      <c r="CO231" s="905" t="n">
        <f aca="false">IF(A231="January",(CO230*(1+Assumptions!$E$32)),CO230)</f>
        <v>9.62013113133094</v>
      </c>
      <c r="CP231" s="906" t="n">
        <f aca="false">CN231+CO231</f>
        <v>16.2460524149068</v>
      </c>
      <c r="CQ231" s="292"/>
      <c r="CR231" s="856" t="str">
        <f aca="false">IF(BJ231=0,"",C231)</f>
        <v/>
      </c>
      <c r="CS231" s="856" t="str">
        <f aca="false">IF(BO231=0,"",$C231)</f>
        <v/>
      </c>
      <c r="CT231" s="856" t="str">
        <f aca="false">IF(BL231=0,"",$C231)</f>
        <v/>
      </c>
      <c r="CU231" s="856" t="str">
        <f aca="false">IF(BP231=0,"",$C231)</f>
        <v/>
      </c>
      <c r="CV231" s="856" t="str">
        <f aca="false">IF(BD231=0,"",$C231)</f>
        <v/>
      </c>
      <c r="CW231" s="907" t="n">
        <f aca="false">YEAR(BF231)</f>
        <v>2019</v>
      </c>
      <c r="CX231" s="908" t="n">
        <f aca="false">INDEX('NY Curve'!$A$4:$G$256,MATCH('Monthly Table'!B231,'NY Curve'!$A$4:$A$256,0),MATCH("New York 5 X 16",'NY Curve'!$A$4:$G$4,0))</f>
        <v>0</v>
      </c>
      <c r="CY231" s="909" t="n">
        <f aca="false">K231</f>
        <v>1.25067695497159</v>
      </c>
      <c r="CZ231" s="910" t="n">
        <f aca="false">CX231*CY231</f>
        <v>0</v>
      </c>
      <c r="DB231" s="911"/>
      <c r="DC231" s="911"/>
    </row>
    <row r="232" customFormat="false" ht="18.75" hidden="false" customHeight="true" outlineLevel="0" collapsed="false">
      <c r="A232" s="49" t="s">
        <v>815</v>
      </c>
      <c r="B232" s="863" t="n">
        <v>43617</v>
      </c>
      <c r="C232" s="288" t="n">
        <f aca="false">YEAR(B232)</f>
        <v>2019</v>
      </c>
      <c r="D232" s="864" t="n">
        <f aca="false">IF(A232="January",D231+1,D231)</f>
        <v>19</v>
      </c>
      <c r="E232" s="865" t="n">
        <v>20</v>
      </c>
      <c r="F232" s="866" t="n">
        <v>5</v>
      </c>
      <c r="G232" s="866" t="n">
        <v>5</v>
      </c>
      <c r="H232" s="866" t="n">
        <v>0</v>
      </c>
      <c r="I232" s="867" t="n">
        <f aca="false">SUM(E232:H232)</f>
        <v>30</v>
      </c>
      <c r="J232" s="868"/>
      <c r="K232" s="869" t="n">
        <f aca="false">INDEX(FX!$A$3:$C$362,MATCH(B232,FX!$A$3:$A$362,0),MATCH("Monthly Curve",FX!$A$2:$C$2,0))</f>
        <v>1.25016269854382</v>
      </c>
      <c r="L232" s="869"/>
      <c r="M232" s="993"/>
      <c r="N232" s="994"/>
      <c r="O232" s="986" t="n">
        <v>0.1</v>
      </c>
      <c r="P232" s="872" t="n">
        <f aca="false">N232+O232</f>
        <v>0.1</v>
      </c>
      <c r="Q232" s="873" t="n">
        <f aca="false">SUM(M232:O232)</f>
        <v>0.1</v>
      </c>
      <c r="R232" s="974" t="n">
        <f aca="false">IF(A232="January",(R231+R231*Assumptions!$E$32),R231)</f>
        <v>0.428939100788447</v>
      </c>
      <c r="S232" s="875" t="n">
        <f aca="false">(Q232*K232)+R232</f>
        <v>0.553955370642829</v>
      </c>
      <c r="T232" s="869"/>
      <c r="U232" s="187"/>
      <c r="V232" s="897"/>
      <c r="W232" s="897"/>
      <c r="X232" s="31"/>
      <c r="Y232" s="975" t="n">
        <f aca="false">Tables!$D$36</f>
        <v>312</v>
      </c>
      <c r="Z232" s="879" t="n">
        <f aca="false">IF($Z$10=$V$10,V232,IF($Z$10=$W$10,W232,IF($Z$10=$X$10,X232,0)))</f>
        <v>0</v>
      </c>
      <c r="AA232" s="880" t="n">
        <f aca="false">Y232*Z232</f>
        <v>0</v>
      </c>
      <c r="AB232" s="881" t="n">
        <f aca="false">AA232*K232</f>
        <v>0</v>
      </c>
      <c r="AC232" s="188"/>
      <c r="AD232" s="882" t="n">
        <f aca="false">IF(Tables!$E$30="Michigan",INDEX('Michigan Curve'!$A$4:$S$256,MATCH('Monthly Table'!B232,'Michigan Curve'!$A$4:$A$256,0),MATCH("Michigan Selected Option Value US$/month",'Michigan Curve'!$A$4:$S$4,0)),INDEX('NY Curve'!$A$4:$T$256,MATCH('Monthly Table'!B232,'NY Curve'!$A$4:$A$256,0),MATCH("New York Selected Option Value US$/month",'NY Curve'!$A$4:$T$4,0)))</f>
        <v>0</v>
      </c>
      <c r="AE232" s="883" t="n">
        <f aca="false">AD232*K232</f>
        <v>0</v>
      </c>
      <c r="AF232" s="188"/>
      <c r="AG232" s="884"/>
      <c r="AH232" s="49"/>
      <c r="AI232" s="885" t="n">
        <f aca="false">Assumptions!$B$50</f>
        <v>65</v>
      </c>
      <c r="AJ232" s="916"/>
      <c r="AK232" s="887" t="e">
        <f aca="false">IF(Tables!$E$30="Custom",'Monthly Table'!AI232,IF(Tables!$E$30="New York",INDEX('NY Curve'!$A$4:$G$256,MATCH('Monthly Table'!B232,'NY Curve'!$A$4:$A$256,0),MATCH("Super Peak Curve",'NY Curve'!$A$4:$G$4,0)),IF(Tables!$E$30="New York Flat",INDEX('NY Curve'!$A$4:$G$256,MATCH('Monthly Table'!B232,'NY Curve'!$A$4:$A$256,0),MATCH("Flat NY West",'NY Curve'!$A$4:$G$4,0)),INDEX('Michigan Curve'!$A$4:$F$256,MATCH('Monthly Table'!B232,'Michigan Curve'!$A$4:$A$256,0),MATCH("Michigan Super Peak Curve US$/MWhr",'Michigan Curve'!$A$4:$F$4,0)))))</f>
        <v>#DIV/0!</v>
      </c>
      <c r="AL232" s="888" t="n">
        <f aca="false">IF(D232&lt;=Tables!$B$21,IF($AL$10=$AI$10,AI232,IF($AL$10=$AJ$10,AJ232,IF($AL$10=$AK$10,AK232,0))),0)</f>
        <v>0</v>
      </c>
      <c r="AM232" s="889" t="n">
        <f aca="false">+AL232*K232</f>
        <v>0</v>
      </c>
      <c r="AN232" s="890" t="n">
        <f aca="false">IF((AL232*K232)&gt;(CP232+$BF$4),1,0)</f>
        <v>0</v>
      </c>
      <c r="AO232" s="891"/>
      <c r="AP232" s="894"/>
      <c r="AQ232" s="892" t="e">
        <f aca="false">IF(Tables!$E$30="New York",INDEX('NY Curve'!$A$4:$L$256,MATCH('Monthly Table'!B232,'NY Curve'!$A$4:$A$256,0),MATCH("New York Shoulder Hour Curve Mon-Fri",'NY Curve'!$A$4:$L$4,0)),IF(Tables!$E$30="Michigan",INDEX('Michigan Curve'!$A$4:$K$256,MATCH('Monthly Table'!B232,'Michigan Curve'!$A$4:$A$256,0),MATCH("Michigan Shoulder Hour Curve Mon-Fri",'Michigan Curve'!$A$4:$K$4,0))))</f>
        <v>#DIV/0!</v>
      </c>
      <c r="AR232" s="889" t="e">
        <f aca="false">AQ232*K232</f>
        <v>#DIV/0!</v>
      </c>
      <c r="AS232" s="893" t="e">
        <f aca="false">IF(AR232&gt;($CP232+$BF$4),1,0)</f>
        <v>#DIV/0!</v>
      </c>
      <c r="AU232" s="892" t="e">
        <f aca="false">IF(Tables!$E$30="New York",INDEX('NY Curve'!$A$4:$L$256,MATCH('Monthly Table'!$B232,'NY Curve'!$A$4:$A$256,0),MATCH("New York Saturday Super Peak",'NY Curve'!$A$4:$L$4,0)),IF(Tables!$E$30="Michigan",INDEX('Michigan Curve'!$A$4:$K$256,MATCH('Monthly Table'!$B232,'Michigan Curve'!$A$4:$A$256,0),MATCH("Michigan Saturday Super Peak",'Michigan Curve'!$A$4:$K$4,0))))</f>
        <v>#DIV/0!</v>
      </c>
      <c r="AV232" s="894" t="e">
        <f aca="false">AU232*K232</f>
        <v>#DIV/0!</v>
      </c>
      <c r="AW232" s="893" t="n">
        <f aca="false">IF(Tables!$B$21=15,0,IF(AV232&gt;($CP232+$BF$4),1,0))</f>
        <v>0</v>
      </c>
      <c r="AX232" s="892" t="e">
        <f aca="false">IF(Tables!$E$30="New York",INDEX('NY Curve'!$A$4:$L$256,MATCH('Monthly Table'!$B232,'NY Curve'!$A$4:$A$256,0),MATCH("New York Saturday Shoulder Peak",'NY Curve'!$A$4:$L$4,0)),IF(Tables!$E$30="Michigan",INDEX('Michigan Curve'!$A$4:$K$256,MATCH('Monthly Table'!$B232,'Michigan Curve'!$A$4:$A$256,0),MATCH("Michigan Saturday Shoulder Peak",'Michigan Curve'!$A$4:$K$4,0))))</f>
        <v>#DIV/0!</v>
      </c>
      <c r="AY232" s="895" t="e">
        <f aca="false">AX232*K232</f>
        <v>#DIV/0!</v>
      </c>
      <c r="AZ232" s="893" t="n">
        <f aca="false">IF(Tables!$B$21=15,0,IF(AY232&gt;($CP232+$BF$4),1,0))</f>
        <v>0</v>
      </c>
      <c r="BB232" s="892" t="e">
        <f aca="false">IF(Tables!$E$30="New York",INDEX('NY Curve'!$A$4:$M$256,MATCH('Monthly Table'!$B232,'NY Curve'!$A$4:$A$256,0),MATCH("NY Sunday Super Peak",'NY Curve'!$A$4:$M$4,0)),IF(Tables!$E$30="Michigan",INDEX('Michigan Curve'!$A$4:$L$256,MATCH('Monthly Table'!$B232,'Michigan Curve'!$A$4:$A$256,0),MATCH("Michigan Sunday Super Peak",'Michigan Curve'!$A$4:$L$4,0))))</f>
        <v>#DIV/0!</v>
      </c>
      <c r="BC232" s="894" t="e">
        <f aca="false">BB232*K232</f>
        <v>#DIV/0!</v>
      </c>
      <c r="BD232" s="893" t="e">
        <f aca="false">IF(BC232&gt;($CP232+$BF$4),1,0)</f>
        <v>#DIV/0!</v>
      </c>
      <c r="BF232" s="896" t="n">
        <f aca="false">B232</f>
        <v>43617</v>
      </c>
      <c r="BG232" s="897" t="n">
        <f aca="false">IF($AN232=1,$E232*$BF$5,0)</f>
        <v>0</v>
      </c>
      <c r="BH232" s="976" t="n">
        <f aca="false">IF(Tables!$B$36="Combined Cycle",(BF232-BF231)*24*Assumptions!$B$21,0)</f>
        <v>0</v>
      </c>
      <c r="BI232" s="714" t="n">
        <f aca="false">IF($AN232=1,$E232*$BF$5,0)</f>
        <v>0</v>
      </c>
      <c r="BJ232" s="898" t="n">
        <f aca="false">IF('Monthly Table'!D232&lt;=Tables!$B$21,IF($BJ$10=$BG$10,BG232,IF($BJ$10=$BH$10,BH232,IF($BJ$10=$BI$10,BI232,0))),0)</f>
        <v>0</v>
      </c>
      <c r="BK232" s="288"/>
      <c r="BL232" s="898" t="n">
        <f aca="false">IF($AW232=1,$F232*$BF$5,0)</f>
        <v>0</v>
      </c>
      <c r="BM232" s="898" t="e">
        <f aca="false">IF($BD232=1,($G232+H232)*$BF$5,0)</f>
        <v>#DIV/0!</v>
      </c>
      <c r="BO232" s="898" t="e">
        <f aca="false">IF(AS232=1,BJ232,0)</f>
        <v>#DIV/0!</v>
      </c>
      <c r="BP232" s="898" t="n">
        <f aca="false">IF(AZ232=1,F232*$BF$5,0)</f>
        <v>0</v>
      </c>
      <c r="BR232" s="899" t="n">
        <f aca="false">IF(BJ232&gt;0,INDEX(OperationalDetail,MATCH("Capacity Degradation",ODColumn,0),MATCH('Monthly Table'!C232,ODRow,0)),0)</f>
        <v>0</v>
      </c>
      <c r="BS232" s="900" t="n">
        <f aca="false">BJ232*(1-BR232)*Tables!$C$36</f>
        <v>0</v>
      </c>
      <c r="BT232" s="883" t="n">
        <f aca="false">BS232*AL232/1000</f>
        <v>0</v>
      </c>
      <c r="BU232" s="902" t="n">
        <f aca="false">BT232*K232</f>
        <v>0</v>
      </c>
      <c r="BV232" s="997"/>
      <c r="BW232" s="901" t="e">
        <f aca="false">$BO232*(1-$BR232)*Tables!$C$36</f>
        <v>#DIV/0!</v>
      </c>
      <c r="BX232" s="902" t="e">
        <f aca="false">(BW232*AQ232)/1000</f>
        <v>#DIV/0!</v>
      </c>
      <c r="BY232" s="883" t="e">
        <f aca="false">BX232*K232</f>
        <v>#DIV/0!</v>
      </c>
      <c r="BZ232" s="188"/>
      <c r="CA232" s="901" t="n">
        <f aca="false">$BL232*(1-$BR232)*Tables!$C$36</f>
        <v>0</v>
      </c>
      <c r="CB232" s="902" t="e">
        <f aca="false">(CA232*AU232)/1000</f>
        <v>#DIV/0!</v>
      </c>
      <c r="CC232" s="883" t="e">
        <f aca="false">CB232*K232</f>
        <v>#DIV/0!</v>
      </c>
      <c r="CD232" s="901" t="n">
        <f aca="false">$BP232*(1-$BR232)*Tables!$C$36</f>
        <v>0</v>
      </c>
      <c r="CE232" s="902" t="e">
        <f aca="false">(CD232*AX232)/1000</f>
        <v>#DIV/0!</v>
      </c>
      <c r="CF232" s="883" t="e">
        <f aca="false">CE232*K232</f>
        <v>#DIV/0!</v>
      </c>
      <c r="CH232" s="901" t="e">
        <f aca="false">$BM232*(1-$BR232)*Tables!$C$36</f>
        <v>#DIV/0!</v>
      </c>
      <c r="CI232" s="902" t="e">
        <f aca="false">(CH232*BB232)/1000</f>
        <v>#DIV/0!</v>
      </c>
      <c r="CJ232" s="883" t="e">
        <f aca="false">CI232*K232</f>
        <v>#DIV/0!</v>
      </c>
      <c r="CL232" s="292" t="n">
        <f aca="false">C232-1</f>
        <v>2018</v>
      </c>
      <c r="CM232" s="903" t="n">
        <f aca="false">INDEX(OperationalDetail,MATCH("Degraded Heat Rate",ODColumn,0),MATCH('Monthly Table'!CL232,ODRow,0))/1000</f>
        <v>11.96</v>
      </c>
      <c r="CN232" s="904" t="n">
        <f aca="false">S232*CM232</f>
        <v>6.62530623288824</v>
      </c>
      <c r="CO232" s="905" t="n">
        <f aca="false">IF(A232="January",(CO231*(1+Assumptions!$E$32)),CO231)</f>
        <v>9.62013113133094</v>
      </c>
      <c r="CP232" s="906" t="n">
        <f aca="false">CN232+CO232</f>
        <v>16.2454373642192</v>
      </c>
      <c r="CQ232" s="292"/>
      <c r="CR232" s="856" t="str">
        <f aca="false">IF(BJ232=0,"",C232)</f>
        <v/>
      </c>
      <c r="CS232" s="856" t="e">
        <f aca="false">IF(BO232=0,"",$C232)</f>
        <v>#DIV/0!</v>
      </c>
      <c r="CT232" s="856" t="str">
        <f aca="false">IF(BL232=0,"",$C232)</f>
        <v/>
      </c>
      <c r="CU232" s="856" t="str">
        <f aca="false">IF(BP232=0,"",$C232)</f>
        <v/>
      </c>
      <c r="CV232" s="856" t="e">
        <f aca="false">IF(BD232=0,"",$C232)</f>
        <v>#DIV/0!</v>
      </c>
      <c r="CW232" s="907" t="n">
        <f aca="false">YEAR(BF232)</f>
        <v>2019</v>
      </c>
      <c r="CX232" s="908" t="n">
        <f aca="false">INDEX('NY Curve'!$A$4:$G$256,MATCH('Monthly Table'!B232,'NY Curve'!$A$4:$A$256,0),MATCH("New York 5 X 16",'NY Curve'!$A$4:$G$4,0))</f>
        <v>0</v>
      </c>
      <c r="CY232" s="909" t="n">
        <f aca="false">K232</f>
        <v>1.25016269854382</v>
      </c>
      <c r="CZ232" s="910" t="n">
        <f aca="false">CX232*CY232</f>
        <v>0</v>
      </c>
      <c r="DB232" s="911"/>
      <c r="DC232" s="911"/>
    </row>
    <row r="233" customFormat="false" ht="18.75" hidden="false" customHeight="true" outlineLevel="0" collapsed="false">
      <c r="A233" s="49" t="s">
        <v>816</v>
      </c>
      <c r="B233" s="863" t="n">
        <v>43647</v>
      </c>
      <c r="C233" s="288" t="n">
        <f aca="false">YEAR(B233)</f>
        <v>2019</v>
      </c>
      <c r="D233" s="864" t="n">
        <f aca="false">IF(A233="January",D232+1,D232)</f>
        <v>19</v>
      </c>
      <c r="E233" s="865" t="n">
        <v>22</v>
      </c>
      <c r="F233" s="866" t="n">
        <v>4</v>
      </c>
      <c r="G233" s="866" t="n">
        <v>4</v>
      </c>
      <c r="H233" s="866" t="n">
        <v>1</v>
      </c>
      <c r="I233" s="867" t="n">
        <f aca="false">SUM(E233:H233)</f>
        <v>31</v>
      </c>
      <c r="J233" s="868"/>
      <c r="K233" s="869" t="n">
        <f aca="false">INDEX(FX!$A$3:$C$362,MATCH(B233,FX!$A$3:$A$362,0),MATCH("Monthly Curve",FX!$A$2:$C$2,0))</f>
        <v>1.24966791680805</v>
      </c>
      <c r="L233" s="869"/>
      <c r="M233" s="993"/>
      <c r="N233" s="994"/>
      <c r="O233" s="986" t="n">
        <v>0.1</v>
      </c>
      <c r="P233" s="872" t="n">
        <f aca="false">N233+O233</f>
        <v>0.1</v>
      </c>
      <c r="Q233" s="873" t="n">
        <f aca="false">SUM(M233:O233)</f>
        <v>0.1</v>
      </c>
      <c r="R233" s="974" t="n">
        <f aca="false">IF(A233="January",(R232+R232*Assumptions!$E$32),R232)</f>
        <v>0.428939100788447</v>
      </c>
      <c r="S233" s="875" t="n">
        <f aca="false">(Q233*K233)+R233</f>
        <v>0.553905892469252</v>
      </c>
      <c r="T233" s="869"/>
      <c r="U233" s="187"/>
      <c r="V233" s="897"/>
      <c r="W233" s="897"/>
      <c r="X233" s="31"/>
      <c r="Y233" s="975" t="n">
        <f aca="false">Tables!$D$36</f>
        <v>312</v>
      </c>
      <c r="Z233" s="879" t="n">
        <f aca="false">IF($Z$10=$V$10,V233,IF($Z$10=$W$10,W233,IF($Z$10=$X$10,X233,0)))</f>
        <v>0</v>
      </c>
      <c r="AA233" s="880" t="n">
        <f aca="false">Y233*Z233</f>
        <v>0</v>
      </c>
      <c r="AB233" s="881" t="n">
        <f aca="false">AA233*K233</f>
        <v>0</v>
      </c>
      <c r="AC233" s="188"/>
      <c r="AD233" s="882" t="n">
        <f aca="false">IF(Tables!$E$30="Michigan",INDEX('Michigan Curve'!$A$4:$S$256,MATCH('Monthly Table'!B233,'Michigan Curve'!$A$4:$A$256,0),MATCH("Michigan Selected Option Value US$/month",'Michigan Curve'!$A$4:$S$4,0)),INDEX('NY Curve'!$A$4:$T$256,MATCH('Monthly Table'!B233,'NY Curve'!$A$4:$A$256,0),MATCH("New York Selected Option Value US$/month",'NY Curve'!$A$4:$T$4,0)))</f>
        <v>0</v>
      </c>
      <c r="AE233" s="883" t="n">
        <f aca="false">AD233*K233</f>
        <v>0</v>
      </c>
      <c r="AF233" s="188"/>
      <c r="AG233" s="884"/>
      <c r="AH233" s="49"/>
      <c r="AI233" s="885" t="n">
        <f aca="false">Assumptions!$B$50</f>
        <v>65</v>
      </c>
      <c r="AJ233" s="916"/>
      <c r="AK233" s="887" t="e">
        <f aca="false">IF(Tables!$E$30="Custom",'Monthly Table'!AI233,IF(Tables!$E$30="New York",INDEX('NY Curve'!$A$4:$G$256,MATCH('Monthly Table'!B233,'NY Curve'!$A$4:$A$256,0),MATCH("Super Peak Curve",'NY Curve'!$A$4:$G$4,0)),IF(Tables!$E$30="New York Flat",INDEX('NY Curve'!$A$4:$G$256,MATCH('Monthly Table'!B233,'NY Curve'!$A$4:$A$256,0),MATCH("Flat NY West",'NY Curve'!$A$4:$G$4,0)),INDEX('Michigan Curve'!$A$4:$F$256,MATCH('Monthly Table'!B233,'Michigan Curve'!$A$4:$A$256,0),MATCH("Michigan Super Peak Curve US$/MWhr",'Michigan Curve'!$A$4:$F$4,0)))))</f>
        <v>#DIV/0!</v>
      </c>
      <c r="AL233" s="888" t="n">
        <f aca="false">IF(D233&lt;=Tables!$B$21,IF($AL$10=$AI$10,AI233,IF($AL$10=$AJ$10,AJ233,IF($AL$10=$AK$10,AK233,0))),0)</f>
        <v>0</v>
      </c>
      <c r="AM233" s="889" t="n">
        <f aca="false">+AL233*K233</f>
        <v>0</v>
      </c>
      <c r="AN233" s="890" t="n">
        <f aca="false">IF((AL233*K233)&gt;(CP233+$BF$4),1,0)</f>
        <v>0</v>
      </c>
      <c r="AO233" s="891"/>
      <c r="AP233" s="894"/>
      <c r="AQ233" s="892" t="e">
        <f aca="false">IF(Tables!$E$30="New York",INDEX('NY Curve'!$A$4:$L$256,MATCH('Monthly Table'!B233,'NY Curve'!$A$4:$A$256,0),MATCH("New York Shoulder Hour Curve Mon-Fri",'NY Curve'!$A$4:$L$4,0)),IF(Tables!$E$30="Michigan",INDEX('Michigan Curve'!$A$4:$K$256,MATCH('Monthly Table'!B233,'Michigan Curve'!$A$4:$A$256,0),MATCH("Michigan Shoulder Hour Curve Mon-Fri",'Michigan Curve'!$A$4:$K$4,0))))</f>
        <v>#DIV/0!</v>
      </c>
      <c r="AR233" s="889" t="e">
        <f aca="false">AQ233*K233</f>
        <v>#DIV/0!</v>
      </c>
      <c r="AS233" s="893" t="e">
        <f aca="false">IF(AR233&gt;($CP233+$BF$4),1,0)</f>
        <v>#DIV/0!</v>
      </c>
      <c r="AU233" s="892" t="e">
        <f aca="false">IF(Tables!$E$30="New York",INDEX('NY Curve'!$A$4:$L$256,MATCH('Monthly Table'!$B233,'NY Curve'!$A$4:$A$256,0),MATCH("New York Saturday Super Peak",'NY Curve'!$A$4:$L$4,0)),IF(Tables!$E$30="Michigan",INDEX('Michigan Curve'!$A$4:$K$256,MATCH('Monthly Table'!$B233,'Michigan Curve'!$A$4:$A$256,0),MATCH("Michigan Saturday Super Peak",'Michigan Curve'!$A$4:$K$4,0))))</f>
        <v>#DIV/0!</v>
      </c>
      <c r="AV233" s="894" t="e">
        <f aca="false">AU233*K233</f>
        <v>#DIV/0!</v>
      </c>
      <c r="AW233" s="893" t="n">
        <f aca="false">IF(Tables!$B$21=15,0,IF(AV233&gt;($CP233+$BF$4),1,0))</f>
        <v>0</v>
      </c>
      <c r="AX233" s="892" t="e">
        <f aca="false">IF(Tables!$E$30="New York",INDEX('NY Curve'!$A$4:$L$256,MATCH('Monthly Table'!$B233,'NY Curve'!$A$4:$A$256,0),MATCH("New York Saturday Shoulder Peak",'NY Curve'!$A$4:$L$4,0)),IF(Tables!$E$30="Michigan",INDEX('Michigan Curve'!$A$4:$K$256,MATCH('Monthly Table'!$B233,'Michigan Curve'!$A$4:$A$256,0),MATCH("Michigan Saturday Shoulder Peak",'Michigan Curve'!$A$4:$K$4,0))))</f>
        <v>#DIV/0!</v>
      </c>
      <c r="AY233" s="895" t="e">
        <f aca="false">AX233*K233</f>
        <v>#DIV/0!</v>
      </c>
      <c r="AZ233" s="893" t="n">
        <f aca="false">IF(Tables!$B$21=15,0,IF(AY233&gt;($CP233+$BF$4),1,0))</f>
        <v>0</v>
      </c>
      <c r="BB233" s="892" t="e">
        <f aca="false">IF(Tables!$E$30="New York",INDEX('NY Curve'!$A$4:$M$256,MATCH('Monthly Table'!$B233,'NY Curve'!$A$4:$A$256,0),MATCH("NY Sunday Super Peak",'NY Curve'!$A$4:$M$4,0)),IF(Tables!$E$30="Michigan",INDEX('Michigan Curve'!$A$4:$L$256,MATCH('Monthly Table'!$B233,'Michigan Curve'!$A$4:$A$256,0),MATCH("Michigan Sunday Super Peak",'Michigan Curve'!$A$4:$L$4,0))))</f>
        <v>#DIV/0!</v>
      </c>
      <c r="BC233" s="894" t="e">
        <f aca="false">BB233*K233</f>
        <v>#DIV/0!</v>
      </c>
      <c r="BD233" s="893" t="e">
        <f aca="false">IF(BC233&gt;($CP233+$BF$4),1,0)</f>
        <v>#DIV/0!</v>
      </c>
      <c r="BF233" s="896" t="n">
        <f aca="false">B233</f>
        <v>43647</v>
      </c>
      <c r="BG233" s="897" t="n">
        <f aca="false">IF($AN233=1,$E233*$BF$5,0)</f>
        <v>0</v>
      </c>
      <c r="BH233" s="976" t="n">
        <f aca="false">IF(Tables!$B$36="Combined Cycle",(BF233-BF232)*24*Assumptions!$B$21,0)</f>
        <v>0</v>
      </c>
      <c r="BI233" s="714" t="n">
        <f aca="false">IF($AN233=1,$E233*$BF$5,0)</f>
        <v>0</v>
      </c>
      <c r="BJ233" s="898" t="n">
        <f aca="false">IF('Monthly Table'!D233&lt;=Tables!$B$21,IF($BJ$10=$BG$10,BG233,IF($BJ$10=$BH$10,BH233,IF($BJ$10=$BI$10,BI233,0))),0)</f>
        <v>0</v>
      </c>
      <c r="BK233" s="288"/>
      <c r="BL233" s="898" t="n">
        <f aca="false">IF($AW233=1,$F233*$BF$5,0)</f>
        <v>0</v>
      </c>
      <c r="BM233" s="898" t="e">
        <f aca="false">IF($BD233=1,($G233+H233)*$BF$5,0)</f>
        <v>#DIV/0!</v>
      </c>
      <c r="BO233" s="898" t="e">
        <f aca="false">IF(AS233=1,BJ233,0)</f>
        <v>#DIV/0!</v>
      </c>
      <c r="BP233" s="898" t="n">
        <f aca="false">IF(AZ233=1,F233*$BF$5,0)</f>
        <v>0</v>
      </c>
      <c r="BR233" s="899" t="n">
        <f aca="false">IF(BJ233&gt;0,INDEX(OperationalDetail,MATCH("Capacity Degradation",ODColumn,0),MATCH('Monthly Table'!C233,ODRow,0)),0)</f>
        <v>0</v>
      </c>
      <c r="BS233" s="900" t="n">
        <f aca="false">BJ233*(1-BR233)*Tables!$C$36</f>
        <v>0</v>
      </c>
      <c r="BT233" s="883" t="n">
        <f aca="false">BS233*AL233/1000</f>
        <v>0</v>
      </c>
      <c r="BU233" s="902" t="n">
        <f aca="false">BT233*K233</f>
        <v>0</v>
      </c>
      <c r="BV233" s="997"/>
      <c r="BW233" s="901" t="e">
        <f aca="false">$BO233*(1-$BR233)*Tables!$C$36</f>
        <v>#DIV/0!</v>
      </c>
      <c r="BX233" s="902" t="e">
        <f aca="false">(BW233*AQ233)/1000</f>
        <v>#DIV/0!</v>
      </c>
      <c r="BY233" s="883" t="e">
        <f aca="false">BX233*K233</f>
        <v>#DIV/0!</v>
      </c>
      <c r="BZ233" s="188"/>
      <c r="CA233" s="901" t="n">
        <f aca="false">$BL233*(1-$BR233)*Tables!$C$36</f>
        <v>0</v>
      </c>
      <c r="CB233" s="902" t="e">
        <f aca="false">(CA233*AU233)/1000</f>
        <v>#DIV/0!</v>
      </c>
      <c r="CC233" s="883" t="e">
        <f aca="false">CB233*K233</f>
        <v>#DIV/0!</v>
      </c>
      <c r="CD233" s="901" t="n">
        <f aca="false">$BP233*(1-$BR233)*Tables!$C$36</f>
        <v>0</v>
      </c>
      <c r="CE233" s="902" t="e">
        <f aca="false">(CD233*AX233)/1000</f>
        <v>#DIV/0!</v>
      </c>
      <c r="CF233" s="883" t="e">
        <f aca="false">CE233*K233</f>
        <v>#DIV/0!</v>
      </c>
      <c r="CH233" s="901" t="e">
        <f aca="false">$BM233*(1-$BR233)*Tables!$C$36</f>
        <v>#DIV/0!</v>
      </c>
      <c r="CI233" s="902" t="e">
        <f aca="false">(CH233*BB233)/1000</f>
        <v>#DIV/0!</v>
      </c>
      <c r="CJ233" s="883" t="e">
        <f aca="false">CI233*K233</f>
        <v>#DIV/0!</v>
      </c>
      <c r="CL233" s="292" t="n">
        <f aca="false">C233-1</f>
        <v>2018</v>
      </c>
      <c r="CM233" s="903" t="n">
        <f aca="false">INDEX(OperationalDetail,MATCH("Degraded Heat Rate",ODColumn,0),MATCH('Monthly Table'!CL233,ODRow,0))/1000</f>
        <v>11.96</v>
      </c>
      <c r="CN233" s="904" t="n">
        <f aca="false">S233*CM233</f>
        <v>6.62471447393226</v>
      </c>
      <c r="CO233" s="905" t="n">
        <f aca="false">IF(A233="January",(CO232*(1+Assumptions!$E$32)),CO232)</f>
        <v>9.62013113133094</v>
      </c>
      <c r="CP233" s="906" t="n">
        <f aca="false">CN233+CO233</f>
        <v>16.2448456052632</v>
      </c>
      <c r="CQ233" s="292"/>
      <c r="CR233" s="856" t="str">
        <f aca="false">IF(BJ233=0,"",C233)</f>
        <v/>
      </c>
      <c r="CS233" s="856" t="e">
        <f aca="false">IF(BO233=0,"",$C233)</f>
        <v>#DIV/0!</v>
      </c>
      <c r="CT233" s="856" t="str">
        <f aca="false">IF(BL233=0,"",$C233)</f>
        <v/>
      </c>
      <c r="CU233" s="856" t="str">
        <f aca="false">IF(BP233=0,"",$C233)</f>
        <v/>
      </c>
      <c r="CV233" s="856" t="e">
        <f aca="false">IF(BD233=0,"",$C233)</f>
        <v>#DIV/0!</v>
      </c>
      <c r="CW233" s="907" t="n">
        <f aca="false">YEAR(BF233)</f>
        <v>2019</v>
      </c>
      <c r="CX233" s="908" t="n">
        <f aca="false">INDEX('NY Curve'!$A$4:$G$256,MATCH('Monthly Table'!B233,'NY Curve'!$A$4:$A$256,0),MATCH("New York 5 X 16",'NY Curve'!$A$4:$G$4,0))</f>
        <v>0</v>
      </c>
      <c r="CY233" s="909" t="n">
        <f aca="false">K233</f>
        <v>1.24966791680805</v>
      </c>
      <c r="CZ233" s="910" t="n">
        <f aca="false">CX233*CY233</f>
        <v>0</v>
      </c>
      <c r="DB233" s="911"/>
      <c r="DC233" s="911"/>
    </row>
    <row r="234" customFormat="false" ht="18.75" hidden="false" customHeight="true" outlineLevel="0" collapsed="false">
      <c r="A234" s="49" t="s">
        <v>817</v>
      </c>
      <c r="B234" s="863" t="n">
        <v>43678</v>
      </c>
      <c r="C234" s="288" t="n">
        <f aca="false">YEAR(B234)</f>
        <v>2019</v>
      </c>
      <c r="D234" s="864" t="n">
        <f aca="false">IF(A234="January",D233+1,D233)</f>
        <v>19</v>
      </c>
      <c r="E234" s="865" t="n">
        <v>22</v>
      </c>
      <c r="F234" s="866" t="n">
        <v>5</v>
      </c>
      <c r="G234" s="866" t="n">
        <v>4</v>
      </c>
      <c r="H234" s="866" t="n">
        <v>0</v>
      </c>
      <c r="I234" s="867" t="n">
        <f aca="false">SUM(E234:H234)</f>
        <v>31</v>
      </c>
      <c r="J234" s="868"/>
      <c r="K234" s="869" t="n">
        <f aca="false">INDEX(FX!$A$3:$C$362,MATCH(B234,FX!$A$3:$A$362,0),MATCH("Monthly Curve",FX!$A$2:$C$2,0))</f>
        <v>1.24915962083847</v>
      </c>
      <c r="L234" s="869"/>
      <c r="M234" s="993"/>
      <c r="N234" s="994"/>
      <c r="O234" s="986" t="n">
        <v>0.1</v>
      </c>
      <c r="P234" s="872" t="n">
        <f aca="false">N234+O234</f>
        <v>0.1</v>
      </c>
      <c r="Q234" s="873" t="n">
        <f aca="false">SUM(M234:O234)</f>
        <v>0.1</v>
      </c>
      <c r="R234" s="974" t="n">
        <f aca="false">IF(A234="January",(R233+R233*Assumptions!$E$32),R233)</f>
        <v>0.428939100788447</v>
      </c>
      <c r="S234" s="875" t="n">
        <f aca="false">(Q234*K234)+R234</f>
        <v>0.553855062872294</v>
      </c>
      <c r="T234" s="869"/>
      <c r="U234" s="187"/>
      <c r="V234" s="897"/>
      <c r="W234" s="897"/>
      <c r="X234" s="31"/>
      <c r="Y234" s="975" t="n">
        <f aca="false">Tables!$D$36</f>
        <v>312</v>
      </c>
      <c r="Z234" s="879" t="n">
        <f aca="false">IF($Z$10=$V$10,V234,IF($Z$10=$W$10,W234,IF($Z$10=$X$10,X234,0)))</f>
        <v>0</v>
      </c>
      <c r="AA234" s="880" t="n">
        <f aca="false">Y234*Z234</f>
        <v>0</v>
      </c>
      <c r="AB234" s="881" t="n">
        <f aca="false">AA234*K234</f>
        <v>0</v>
      </c>
      <c r="AC234" s="188"/>
      <c r="AD234" s="882" t="n">
        <f aca="false">IF(Tables!$E$30="Michigan",INDEX('Michigan Curve'!$A$4:$S$256,MATCH('Monthly Table'!B234,'Michigan Curve'!$A$4:$A$256,0),MATCH("Michigan Selected Option Value US$/month",'Michigan Curve'!$A$4:$S$4,0)),INDEX('NY Curve'!$A$4:$T$256,MATCH('Monthly Table'!B234,'NY Curve'!$A$4:$A$256,0),MATCH("New York Selected Option Value US$/month",'NY Curve'!$A$4:$T$4,0)))</f>
        <v>0</v>
      </c>
      <c r="AE234" s="883" t="n">
        <f aca="false">AD234*K234</f>
        <v>0</v>
      </c>
      <c r="AF234" s="188"/>
      <c r="AG234" s="884"/>
      <c r="AH234" s="49"/>
      <c r="AI234" s="885" t="n">
        <f aca="false">Assumptions!$B$50</f>
        <v>65</v>
      </c>
      <c r="AJ234" s="916"/>
      <c r="AK234" s="887" t="e">
        <f aca="false">IF(Tables!$E$30="Custom",'Monthly Table'!AI234,IF(Tables!$E$30="New York",INDEX('NY Curve'!$A$4:$G$256,MATCH('Monthly Table'!B234,'NY Curve'!$A$4:$A$256,0),MATCH("Super Peak Curve",'NY Curve'!$A$4:$G$4,0)),IF(Tables!$E$30="New York Flat",INDEX('NY Curve'!$A$4:$G$256,MATCH('Monthly Table'!B234,'NY Curve'!$A$4:$A$256,0),MATCH("Flat NY West",'NY Curve'!$A$4:$G$4,0)),INDEX('Michigan Curve'!$A$4:$F$256,MATCH('Monthly Table'!B234,'Michigan Curve'!$A$4:$A$256,0),MATCH("Michigan Super Peak Curve US$/MWhr",'Michigan Curve'!$A$4:$F$4,0)))))</f>
        <v>#DIV/0!</v>
      </c>
      <c r="AL234" s="888" t="n">
        <f aca="false">IF(D234&lt;=Tables!$B$21,IF($AL$10=$AI$10,AI234,IF($AL$10=$AJ$10,AJ234,IF($AL$10=$AK$10,AK234,0))),0)</f>
        <v>0</v>
      </c>
      <c r="AM234" s="889" t="n">
        <f aca="false">+AL234*K234</f>
        <v>0</v>
      </c>
      <c r="AN234" s="890" t="n">
        <f aca="false">IF((AL234*K234)&gt;(CP234+$BF$4),1,0)</f>
        <v>0</v>
      </c>
      <c r="AO234" s="891"/>
      <c r="AP234" s="894"/>
      <c r="AQ234" s="892" t="e">
        <f aca="false">IF(Tables!$E$30="New York",INDEX('NY Curve'!$A$4:$L$256,MATCH('Monthly Table'!B234,'NY Curve'!$A$4:$A$256,0),MATCH("New York Shoulder Hour Curve Mon-Fri",'NY Curve'!$A$4:$L$4,0)),IF(Tables!$E$30="Michigan",INDEX('Michigan Curve'!$A$4:$K$256,MATCH('Monthly Table'!B234,'Michigan Curve'!$A$4:$A$256,0),MATCH("Michigan Shoulder Hour Curve Mon-Fri",'Michigan Curve'!$A$4:$K$4,0))))</f>
        <v>#DIV/0!</v>
      </c>
      <c r="AR234" s="889" t="e">
        <f aca="false">AQ234*K234</f>
        <v>#DIV/0!</v>
      </c>
      <c r="AS234" s="893" t="e">
        <f aca="false">IF(AR234&gt;($CP234+$BF$4),1,0)</f>
        <v>#DIV/0!</v>
      </c>
      <c r="AU234" s="892" t="e">
        <f aca="false">IF(Tables!$E$30="New York",INDEX('NY Curve'!$A$4:$L$256,MATCH('Monthly Table'!$B234,'NY Curve'!$A$4:$A$256,0),MATCH("New York Saturday Super Peak",'NY Curve'!$A$4:$L$4,0)),IF(Tables!$E$30="Michigan",INDEX('Michigan Curve'!$A$4:$K$256,MATCH('Monthly Table'!$B234,'Michigan Curve'!$A$4:$A$256,0),MATCH("Michigan Saturday Super Peak",'Michigan Curve'!$A$4:$K$4,0))))</f>
        <v>#DIV/0!</v>
      </c>
      <c r="AV234" s="894" t="e">
        <f aca="false">AU234*K234</f>
        <v>#DIV/0!</v>
      </c>
      <c r="AW234" s="893" t="n">
        <f aca="false">IF(Tables!$B$21=15,0,IF(AV234&gt;($CP234+$BF$4),1,0))</f>
        <v>0</v>
      </c>
      <c r="AX234" s="892" t="e">
        <f aca="false">IF(Tables!$E$30="New York",INDEX('NY Curve'!$A$4:$L$256,MATCH('Monthly Table'!$B234,'NY Curve'!$A$4:$A$256,0),MATCH("New York Saturday Shoulder Peak",'NY Curve'!$A$4:$L$4,0)),IF(Tables!$E$30="Michigan",INDEX('Michigan Curve'!$A$4:$K$256,MATCH('Monthly Table'!$B234,'Michigan Curve'!$A$4:$A$256,0),MATCH("Michigan Saturday Shoulder Peak",'Michigan Curve'!$A$4:$K$4,0))))</f>
        <v>#DIV/0!</v>
      </c>
      <c r="AY234" s="895" t="e">
        <f aca="false">AX234*K234</f>
        <v>#DIV/0!</v>
      </c>
      <c r="AZ234" s="893" t="n">
        <f aca="false">IF(Tables!$B$21=15,0,IF(AY234&gt;($CP234+$BF$4),1,0))</f>
        <v>0</v>
      </c>
      <c r="BB234" s="892" t="e">
        <f aca="false">IF(Tables!$E$30="New York",INDEX('NY Curve'!$A$4:$M$256,MATCH('Monthly Table'!$B234,'NY Curve'!$A$4:$A$256,0),MATCH("NY Sunday Super Peak",'NY Curve'!$A$4:$M$4,0)),IF(Tables!$E$30="Michigan",INDEX('Michigan Curve'!$A$4:$L$256,MATCH('Monthly Table'!$B234,'Michigan Curve'!$A$4:$A$256,0),MATCH("Michigan Sunday Super Peak",'Michigan Curve'!$A$4:$L$4,0))))</f>
        <v>#DIV/0!</v>
      </c>
      <c r="BC234" s="894" t="e">
        <f aca="false">BB234*K234</f>
        <v>#DIV/0!</v>
      </c>
      <c r="BD234" s="893" t="e">
        <f aca="false">IF(BC234&gt;($CP234+$BF$4),1,0)</f>
        <v>#DIV/0!</v>
      </c>
      <c r="BF234" s="896" t="n">
        <f aca="false">B234</f>
        <v>43678</v>
      </c>
      <c r="BG234" s="897" t="n">
        <f aca="false">IF($AN234=1,$E234*$BF$5,0)</f>
        <v>0</v>
      </c>
      <c r="BH234" s="976" t="n">
        <f aca="false">IF(Tables!$B$36="Combined Cycle",(BF234-BF233)*24*Assumptions!$B$21,0)</f>
        <v>0</v>
      </c>
      <c r="BI234" s="714" t="n">
        <f aca="false">IF($AN234=1,$E234*$BF$5,0)</f>
        <v>0</v>
      </c>
      <c r="BJ234" s="898" t="n">
        <f aca="false">IF('Monthly Table'!D234&lt;=Tables!$B$21,IF($BJ$10=$BG$10,BG234,IF($BJ$10=$BH$10,BH234,IF($BJ$10=$BI$10,BI234,0))),0)</f>
        <v>0</v>
      </c>
      <c r="BK234" s="288"/>
      <c r="BL234" s="898" t="n">
        <f aca="false">IF($AW234=1,$F234*$BF$5,0)</f>
        <v>0</v>
      </c>
      <c r="BM234" s="898" t="e">
        <f aca="false">IF($BD234=1,($G234+H234)*$BF$5,0)</f>
        <v>#DIV/0!</v>
      </c>
      <c r="BO234" s="898" t="e">
        <f aca="false">IF(AS234=1,BJ234,0)</f>
        <v>#DIV/0!</v>
      </c>
      <c r="BP234" s="898" t="n">
        <f aca="false">IF(AZ234=1,F234*$BF$5,0)</f>
        <v>0</v>
      </c>
      <c r="BR234" s="899" t="n">
        <f aca="false">IF(BJ234&gt;0,INDEX(OperationalDetail,MATCH("Capacity Degradation",ODColumn,0),MATCH('Monthly Table'!C234,ODRow,0)),0)</f>
        <v>0</v>
      </c>
      <c r="BS234" s="900" t="n">
        <f aca="false">BJ234*(1-BR234)*Tables!$C$36</f>
        <v>0</v>
      </c>
      <c r="BT234" s="883" t="n">
        <f aca="false">BS234*AL234/1000</f>
        <v>0</v>
      </c>
      <c r="BU234" s="902" t="n">
        <f aca="false">BT234*K234</f>
        <v>0</v>
      </c>
      <c r="BV234" s="997"/>
      <c r="BW234" s="901" t="e">
        <f aca="false">$BO234*(1-$BR234)*Tables!$C$36</f>
        <v>#DIV/0!</v>
      </c>
      <c r="BX234" s="902" t="e">
        <f aca="false">(BW234*AQ234)/1000</f>
        <v>#DIV/0!</v>
      </c>
      <c r="BY234" s="883" t="e">
        <f aca="false">BX234*K234</f>
        <v>#DIV/0!</v>
      </c>
      <c r="BZ234" s="188"/>
      <c r="CA234" s="901" t="n">
        <f aca="false">$BL234*(1-$BR234)*Tables!$C$36</f>
        <v>0</v>
      </c>
      <c r="CB234" s="902" t="e">
        <f aca="false">(CA234*AU234)/1000</f>
        <v>#DIV/0!</v>
      </c>
      <c r="CC234" s="883" t="e">
        <f aca="false">CB234*K234</f>
        <v>#DIV/0!</v>
      </c>
      <c r="CD234" s="901" t="n">
        <f aca="false">$BP234*(1-$BR234)*Tables!$C$36</f>
        <v>0</v>
      </c>
      <c r="CE234" s="902" t="e">
        <f aca="false">(CD234*AX234)/1000</f>
        <v>#DIV/0!</v>
      </c>
      <c r="CF234" s="883" t="e">
        <f aca="false">CE234*K234</f>
        <v>#DIV/0!</v>
      </c>
      <c r="CH234" s="901" t="e">
        <f aca="false">$BM234*(1-$BR234)*Tables!$C$36</f>
        <v>#DIV/0!</v>
      </c>
      <c r="CI234" s="902" t="e">
        <f aca="false">(CH234*BB234)/1000</f>
        <v>#DIV/0!</v>
      </c>
      <c r="CJ234" s="883" t="e">
        <f aca="false">CI234*K234</f>
        <v>#DIV/0!</v>
      </c>
      <c r="CL234" s="292" t="n">
        <f aca="false">C234-1</f>
        <v>2018</v>
      </c>
      <c r="CM234" s="903" t="n">
        <f aca="false">INDEX(OperationalDetail,MATCH("Degraded Heat Rate",ODColumn,0),MATCH('Monthly Table'!CL234,ODRow,0))/1000</f>
        <v>11.96</v>
      </c>
      <c r="CN234" s="904" t="n">
        <f aca="false">S234*CM234</f>
        <v>6.62410655195264</v>
      </c>
      <c r="CO234" s="905" t="n">
        <f aca="false">IF(A234="January",(CO233*(1+Assumptions!$E$32)),CO233)</f>
        <v>9.62013113133094</v>
      </c>
      <c r="CP234" s="906" t="n">
        <f aca="false">CN234+CO234</f>
        <v>16.2442376832836</v>
      </c>
      <c r="CR234" s="856" t="str">
        <f aca="false">IF(BJ234=0,"",C234)</f>
        <v/>
      </c>
      <c r="CS234" s="856" t="e">
        <f aca="false">IF(BO234=0,"",$C234)</f>
        <v>#DIV/0!</v>
      </c>
      <c r="CT234" s="856" t="str">
        <f aca="false">IF(BL234=0,"",$C234)</f>
        <v/>
      </c>
      <c r="CU234" s="856" t="str">
        <f aca="false">IF(BP234=0,"",$C234)</f>
        <v/>
      </c>
      <c r="CV234" s="856" t="e">
        <f aca="false">IF(BD234=0,"",$C234)</f>
        <v>#DIV/0!</v>
      </c>
      <c r="CW234" s="907" t="n">
        <f aca="false">YEAR(BF234)</f>
        <v>2019</v>
      </c>
      <c r="CX234" s="908" t="n">
        <f aca="false">INDEX('NY Curve'!$A$4:$G$256,MATCH('Monthly Table'!B234,'NY Curve'!$A$4:$A$256,0),MATCH("New York 5 X 16",'NY Curve'!$A$4:$G$4,0))</f>
        <v>0</v>
      </c>
      <c r="CY234" s="909" t="n">
        <f aca="false">K234</f>
        <v>1.24915962083847</v>
      </c>
      <c r="CZ234" s="910" t="n">
        <f aca="false">CX234*CY234</f>
        <v>0</v>
      </c>
      <c r="DB234" s="911"/>
      <c r="DC234" s="911"/>
    </row>
    <row r="235" customFormat="false" ht="18.75" hidden="false" customHeight="true" outlineLevel="0" collapsed="false">
      <c r="A235" s="49" t="s">
        <v>818</v>
      </c>
      <c r="B235" s="863" t="n">
        <v>43709</v>
      </c>
      <c r="C235" s="288" t="n">
        <f aca="false">YEAR(B235)</f>
        <v>2019</v>
      </c>
      <c r="D235" s="864" t="n">
        <f aca="false">IF(A235="January",D234+1,D234)</f>
        <v>19</v>
      </c>
      <c r="E235" s="865" t="n">
        <v>20</v>
      </c>
      <c r="F235" s="866" t="n">
        <v>4</v>
      </c>
      <c r="G235" s="866" t="n">
        <v>5</v>
      </c>
      <c r="H235" s="866" t="n">
        <v>1</v>
      </c>
      <c r="I235" s="867" t="n">
        <f aca="false">SUM(E235:H235)</f>
        <v>30</v>
      </c>
      <c r="J235" s="868"/>
      <c r="K235" s="869" t="n">
        <f aca="false">INDEX(FX!$A$3:$C$362,MATCH(B235,FX!$A$3:$A$362,0),MATCH("Monthly Curve",FX!$A$2:$C$2,0))</f>
        <v>1.24865434867508</v>
      </c>
      <c r="L235" s="869"/>
      <c r="M235" s="993"/>
      <c r="N235" s="994"/>
      <c r="O235" s="986" t="n">
        <v>0.1</v>
      </c>
      <c r="P235" s="872" t="n">
        <f aca="false">N235+O235</f>
        <v>0.1</v>
      </c>
      <c r="Q235" s="873" t="n">
        <f aca="false">SUM(M235:O235)</f>
        <v>0.1</v>
      </c>
      <c r="R235" s="974" t="n">
        <f aca="false">IF(A235="January",(R234+R234*Assumptions!$E$32),R234)</f>
        <v>0.428939100788447</v>
      </c>
      <c r="S235" s="875" t="n">
        <f aca="false">(Q235*K235)+R235</f>
        <v>0.553804535655955</v>
      </c>
      <c r="T235" s="869"/>
      <c r="U235" s="187"/>
      <c r="V235" s="897"/>
      <c r="W235" s="897"/>
      <c r="X235" s="31"/>
      <c r="Y235" s="975" t="n">
        <f aca="false">Tables!$D$36</f>
        <v>312</v>
      </c>
      <c r="Z235" s="879" t="n">
        <f aca="false">IF($Z$10=$V$10,V235,IF($Z$10=$W$10,W235,IF($Z$10=$X$10,X235,0)))</f>
        <v>0</v>
      </c>
      <c r="AA235" s="880" t="n">
        <f aca="false">Y235*Z235</f>
        <v>0</v>
      </c>
      <c r="AB235" s="881" t="n">
        <f aca="false">AA235*K235</f>
        <v>0</v>
      </c>
      <c r="AC235" s="188"/>
      <c r="AD235" s="882" t="n">
        <f aca="false">IF(Tables!$E$30="Michigan",INDEX('Michigan Curve'!$A$4:$S$256,MATCH('Monthly Table'!B235,'Michigan Curve'!$A$4:$A$256,0),MATCH("Michigan Selected Option Value US$/month",'Michigan Curve'!$A$4:$S$4,0)),INDEX('NY Curve'!$A$4:$T$256,MATCH('Monthly Table'!B235,'NY Curve'!$A$4:$A$256,0),MATCH("New York Selected Option Value US$/month",'NY Curve'!$A$4:$T$4,0)))</f>
        <v>0</v>
      </c>
      <c r="AE235" s="883" t="n">
        <f aca="false">AD235*K235</f>
        <v>0</v>
      </c>
      <c r="AF235" s="188"/>
      <c r="AG235" s="884"/>
      <c r="AH235" s="49"/>
      <c r="AI235" s="885" t="n">
        <f aca="false">Assumptions!$B$50</f>
        <v>65</v>
      </c>
      <c r="AJ235" s="916"/>
      <c r="AK235" s="887" t="n">
        <f aca="false">IF(Tables!$E$30="Custom",'Monthly Table'!AI235,IF(Tables!$E$30="New York",INDEX('NY Curve'!$A$4:$G$256,MATCH('Monthly Table'!B235,'NY Curve'!$A$4:$A$256,0),MATCH("Super Peak Curve",'NY Curve'!$A$4:$G$4,0)),IF(Tables!$E$30="New York Flat",INDEX('NY Curve'!$A$4:$G$256,MATCH('Monthly Table'!B235,'NY Curve'!$A$4:$A$256,0),MATCH("Flat NY West",'NY Curve'!$A$4:$G$4,0)),INDEX('Michigan Curve'!$A$4:$F$256,MATCH('Monthly Table'!B235,'Michigan Curve'!$A$4:$A$256,0),MATCH("Michigan Super Peak Curve US$/MWhr",'Michigan Curve'!$A$4:$F$4,0)))))</f>
        <v>0</v>
      </c>
      <c r="AL235" s="888" t="n">
        <f aca="false">IF(D235&lt;=Tables!$B$21,IF($AL$10=$AI$10,AI235,IF($AL$10=$AJ$10,AJ235,IF($AL$10=$AK$10,AK235,0))),0)</f>
        <v>0</v>
      </c>
      <c r="AM235" s="889" t="n">
        <f aca="false">+AL235*K235</f>
        <v>0</v>
      </c>
      <c r="AN235" s="890" t="n">
        <f aca="false">IF((AL235*K235)&gt;(CP235+$BF$4),1,0)</f>
        <v>0</v>
      </c>
      <c r="AO235" s="891"/>
      <c r="AP235" s="894"/>
      <c r="AQ235" s="892" t="n">
        <f aca="false">IF(Tables!$E$30="New York",INDEX('NY Curve'!$A$4:$L$256,MATCH('Monthly Table'!B235,'NY Curve'!$A$4:$A$256,0),MATCH("New York Shoulder Hour Curve Mon-Fri",'NY Curve'!$A$4:$L$4,0)),IF(Tables!$E$30="Michigan",INDEX('Michigan Curve'!$A$4:$K$256,MATCH('Monthly Table'!B235,'Michigan Curve'!$A$4:$A$256,0),MATCH("Michigan Shoulder Hour Curve Mon-Fri",'Michigan Curve'!$A$4:$K$4,0))))</f>
        <v>0</v>
      </c>
      <c r="AR235" s="889" t="n">
        <f aca="false">AQ235*K235</f>
        <v>0</v>
      </c>
      <c r="AS235" s="893" t="n">
        <f aca="false">IF(AR235&gt;($CP235+$BF$4),1,0)</f>
        <v>0</v>
      </c>
      <c r="AU235" s="892" t="n">
        <f aca="false">IF(Tables!$E$30="New York",INDEX('NY Curve'!$A$4:$L$256,MATCH('Monthly Table'!$B235,'NY Curve'!$A$4:$A$256,0),MATCH("New York Saturday Super Peak",'NY Curve'!$A$4:$L$4,0)),IF(Tables!$E$30="Michigan",INDEX('Michigan Curve'!$A$4:$K$256,MATCH('Monthly Table'!$B235,'Michigan Curve'!$A$4:$A$256,0),MATCH("Michigan Saturday Super Peak",'Michigan Curve'!$A$4:$K$4,0))))</f>
        <v>0</v>
      </c>
      <c r="AV235" s="894" t="n">
        <f aca="false">AU235*K235</f>
        <v>0</v>
      </c>
      <c r="AW235" s="893" t="n">
        <f aca="false">IF(Tables!$B$21=15,0,IF(AV235&gt;($CP235+$BF$4),1,0))</f>
        <v>0</v>
      </c>
      <c r="AX235" s="892" t="n">
        <f aca="false">IF(Tables!$E$30="New York",INDEX('NY Curve'!$A$4:$L$256,MATCH('Monthly Table'!$B235,'NY Curve'!$A$4:$A$256,0),MATCH("New York Saturday Shoulder Peak",'NY Curve'!$A$4:$L$4,0)),IF(Tables!$E$30="Michigan",INDEX('Michigan Curve'!$A$4:$K$256,MATCH('Monthly Table'!$B235,'Michigan Curve'!$A$4:$A$256,0),MATCH("Michigan Saturday Shoulder Peak",'Michigan Curve'!$A$4:$K$4,0))))</f>
        <v>0</v>
      </c>
      <c r="AY235" s="895" t="n">
        <f aca="false">AX235*K235</f>
        <v>0</v>
      </c>
      <c r="AZ235" s="893" t="n">
        <f aca="false">IF(Tables!$B$21=15,0,IF(AY235&gt;($CP235+$BF$4),1,0))</f>
        <v>0</v>
      </c>
      <c r="BB235" s="892" t="n">
        <f aca="false">IF(Tables!$E$30="New York",INDEX('NY Curve'!$A$4:$M$256,MATCH('Monthly Table'!$B235,'NY Curve'!$A$4:$A$256,0),MATCH("NY Sunday Super Peak",'NY Curve'!$A$4:$M$4,0)),IF(Tables!$E$30="Michigan",INDEX('Michigan Curve'!$A$4:$L$256,MATCH('Monthly Table'!$B235,'Michigan Curve'!$A$4:$A$256,0),MATCH("Michigan Sunday Super Peak",'Michigan Curve'!$A$4:$L$4,0))))</f>
        <v>0</v>
      </c>
      <c r="BC235" s="894" t="n">
        <f aca="false">BB235*K235</f>
        <v>0</v>
      </c>
      <c r="BD235" s="893" t="n">
        <f aca="false">IF(BC235&gt;($CP235+$BF$4),1,0)</f>
        <v>0</v>
      </c>
      <c r="BF235" s="896" t="n">
        <f aca="false">B235</f>
        <v>43709</v>
      </c>
      <c r="BG235" s="897" t="n">
        <f aca="false">IF($AN235=1,$E235*$BF$5,0)</f>
        <v>0</v>
      </c>
      <c r="BH235" s="976" t="n">
        <f aca="false">IF(Tables!$B$36="Combined Cycle",(BF235-BF234)*24*Assumptions!$B$21,0)</f>
        <v>0</v>
      </c>
      <c r="BI235" s="714" t="n">
        <f aca="false">IF($AN235=1,$E235*$BF$5,0)</f>
        <v>0</v>
      </c>
      <c r="BJ235" s="898" t="n">
        <f aca="false">IF('Monthly Table'!D235&lt;=Tables!$B$21,IF($BJ$10=$BG$10,BG235,IF($BJ$10=$BH$10,BH235,IF($BJ$10=$BI$10,BI235,0))),0)</f>
        <v>0</v>
      </c>
      <c r="BK235" s="288"/>
      <c r="BL235" s="898" t="n">
        <f aca="false">IF($AW235=1,$F235*$BF$5,0)</f>
        <v>0</v>
      </c>
      <c r="BM235" s="898" t="n">
        <f aca="false">IF($BD235=1,($G235+H235)*$BF$5,0)</f>
        <v>0</v>
      </c>
      <c r="BO235" s="898" t="n">
        <f aca="false">IF(AS235=1,BJ235,0)</f>
        <v>0</v>
      </c>
      <c r="BP235" s="898" t="n">
        <f aca="false">IF(AZ235=1,F235*$BF$5,0)</f>
        <v>0</v>
      </c>
      <c r="BR235" s="899" t="n">
        <f aca="false">IF(BJ235&gt;0,INDEX(OperationalDetail,MATCH("Capacity Degradation",ODColumn,0),MATCH('Monthly Table'!C235,ODRow,0)),0)</f>
        <v>0</v>
      </c>
      <c r="BS235" s="900" t="n">
        <f aca="false">BJ235*(1-BR235)*Tables!$C$36</f>
        <v>0</v>
      </c>
      <c r="BT235" s="883" t="n">
        <f aca="false">BS235*AL235/1000</f>
        <v>0</v>
      </c>
      <c r="BU235" s="902" t="n">
        <f aca="false">BT235*K235</f>
        <v>0</v>
      </c>
      <c r="BV235" s="997"/>
      <c r="BW235" s="901" t="n">
        <f aca="false">$BO235*(1-$BR235)*Tables!$C$36</f>
        <v>0</v>
      </c>
      <c r="BX235" s="902" t="n">
        <f aca="false">(BW235*AQ235)/1000</f>
        <v>0</v>
      </c>
      <c r="BY235" s="883" t="n">
        <f aca="false">BX235*K235</f>
        <v>0</v>
      </c>
      <c r="BZ235" s="188"/>
      <c r="CA235" s="901" t="n">
        <f aca="false">$BL235*(1-$BR235)*Tables!$C$36</f>
        <v>0</v>
      </c>
      <c r="CB235" s="902" t="n">
        <f aca="false">(CA235*AU235)/1000</f>
        <v>0</v>
      </c>
      <c r="CC235" s="883" t="n">
        <f aca="false">CB235*K235</f>
        <v>0</v>
      </c>
      <c r="CD235" s="901" t="n">
        <f aca="false">$BP235*(1-$BR235)*Tables!$C$36</f>
        <v>0</v>
      </c>
      <c r="CE235" s="902" t="n">
        <f aca="false">(CD235*AX235)/1000</f>
        <v>0</v>
      </c>
      <c r="CF235" s="883" t="n">
        <f aca="false">CE235*K235</f>
        <v>0</v>
      </c>
      <c r="CH235" s="901" t="n">
        <f aca="false">$BM235*(1-$BR235)*Tables!$C$36</f>
        <v>0</v>
      </c>
      <c r="CI235" s="902" t="n">
        <f aca="false">(CH235*BB235)/1000</f>
        <v>0</v>
      </c>
      <c r="CJ235" s="883" t="n">
        <f aca="false">CI235*K235</f>
        <v>0</v>
      </c>
      <c r="CL235" s="292" t="n">
        <f aca="false">C235-1</f>
        <v>2018</v>
      </c>
      <c r="CM235" s="903" t="n">
        <f aca="false">INDEX(OperationalDetail,MATCH("Degraded Heat Rate",ODColumn,0),MATCH('Monthly Table'!CL235,ODRow,0))/1000</f>
        <v>11.96</v>
      </c>
      <c r="CN235" s="904" t="n">
        <f aca="false">S235*CM235</f>
        <v>6.62350224644522</v>
      </c>
      <c r="CO235" s="905" t="n">
        <f aca="false">IF(A235="January",(CO234*(1+Assumptions!$E$32)),CO234)</f>
        <v>9.62013113133094</v>
      </c>
      <c r="CP235" s="906" t="n">
        <f aca="false">CN235+CO235</f>
        <v>16.2436333777762</v>
      </c>
      <c r="CR235" s="856" t="str">
        <f aca="false">IF(BJ235=0,"",C235)</f>
        <v/>
      </c>
      <c r="CS235" s="856" t="str">
        <f aca="false">IF(BO235=0,"",$C235)</f>
        <v/>
      </c>
      <c r="CT235" s="856" t="str">
        <f aca="false">IF(BL235=0,"",$C235)</f>
        <v/>
      </c>
      <c r="CU235" s="856" t="str">
        <f aca="false">IF(BP235=0,"",$C235)</f>
        <v/>
      </c>
      <c r="CV235" s="856" t="str">
        <f aca="false">IF(BD235=0,"",$C235)</f>
        <v/>
      </c>
      <c r="CW235" s="907" t="n">
        <f aca="false">YEAR(BF235)</f>
        <v>2019</v>
      </c>
      <c r="CX235" s="908" t="n">
        <f aca="false">INDEX('NY Curve'!$A$4:$G$256,MATCH('Monthly Table'!B235,'NY Curve'!$A$4:$A$256,0),MATCH("New York 5 X 16",'NY Curve'!$A$4:$G$4,0))</f>
        <v>0</v>
      </c>
      <c r="CY235" s="909" t="n">
        <f aca="false">K235</f>
        <v>1.24865434867508</v>
      </c>
      <c r="CZ235" s="910" t="n">
        <f aca="false">CX235*CY235</f>
        <v>0</v>
      </c>
      <c r="DB235" s="911"/>
      <c r="DC235" s="911"/>
    </row>
    <row r="236" customFormat="false" ht="18.75" hidden="false" customHeight="true" outlineLevel="0" collapsed="false">
      <c r="A236" s="49" t="s">
        <v>819</v>
      </c>
      <c r="B236" s="863" t="n">
        <v>43739</v>
      </c>
      <c r="C236" s="288" t="n">
        <f aca="false">YEAR(B236)</f>
        <v>2019</v>
      </c>
      <c r="D236" s="864" t="n">
        <f aca="false">IF(A236="January",D235+1,D235)</f>
        <v>19</v>
      </c>
      <c r="E236" s="865" t="n">
        <v>23</v>
      </c>
      <c r="F236" s="866" t="n">
        <v>4</v>
      </c>
      <c r="G236" s="866" t="n">
        <v>4</v>
      </c>
      <c r="H236" s="866" t="n">
        <v>0</v>
      </c>
      <c r="I236" s="867" t="n">
        <f aca="false">SUM(E236:H236)</f>
        <v>31</v>
      </c>
      <c r="J236" s="868"/>
      <c r="K236" s="869" t="n">
        <f aca="false">INDEX(FX!$A$3:$C$362,MATCH(B236,FX!$A$3:$A$362,0),MATCH("Monthly Curve",FX!$A$2:$C$2,0))</f>
        <v>1.24816825135623</v>
      </c>
      <c r="L236" s="869"/>
      <c r="M236" s="993"/>
      <c r="N236" s="994"/>
      <c r="O236" s="986" t="n">
        <v>0.1</v>
      </c>
      <c r="P236" s="872" t="n">
        <f aca="false">N236+O236</f>
        <v>0.1</v>
      </c>
      <c r="Q236" s="873" t="n">
        <f aca="false">SUM(M236:O236)</f>
        <v>0.1</v>
      </c>
      <c r="R236" s="974" t="n">
        <f aca="false">IF(A236="January",(R235+R235*Assumptions!$E$32),R235)</f>
        <v>0.428939100788447</v>
      </c>
      <c r="S236" s="875" t="n">
        <f aca="false">(Q236*K236)+R236</f>
        <v>0.55375592592407</v>
      </c>
      <c r="T236" s="869"/>
      <c r="U236" s="187"/>
      <c r="V236" s="897"/>
      <c r="W236" s="897"/>
      <c r="X236" s="31"/>
      <c r="Y236" s="975" t="n">
        <f aca="false">Tables!$D$36</f>
        <v>312</v>
      </c>
      <c r="Z236" s="879" t="n">
        <f aca="false">IF($Z$10=$V$10,V236,IF($Z$10=$W$10,W236,IF($Z$10=$X$10,X236,0)))</f>
        <v>0</v>
      </c>
      <c r="AA236" s="880" t="n">
        <f aca="false">Y236*Z236</f>
        <v>0</v>
      </c>
      <c r="AB236" s="881" t="n">
        <f aca="false">AA236*K236</f>
        <v>0</v>
      </c>
      <c r="AC236" s="188"/>
      <c r="AD236" s="882" t="n">
        <f aca="false">IF(Tables!$E$30="Michigan",INDEX('Michigan Curve'!$A$4:$S$256,MATCH('Monthly Table'!B236,'Michigan Curve'!$A$4:$A$256,0),MATCH("Michigan Selected Option Value US$/month",'Michigan Curve'!$A$4:$S$4,0)),INDEX('NY Curve'!$A$4:$T$256,MATCH('Monthly Table'!B236,'NY Curve'!$A$4:$A$256,0),MATCH("New York Selected Option Value US$/month",'NY Curve'!$A$4:$T$4,0)))</f>
        <v>0</v>
      </c>
      <c r="AE236" s="883" t="n">
        <f aca="false">AD236*K236</f>
        <v>0</v>
      </c>
      <c r="AF236" s="188"/>
      <c r="AG236" s="884"/>
      <c r="AH236" s="49"/>
      <c r="AI236" s="885" t="n">
        <f aca="false">Assumptions!$B$50</f>
        <v>65</v>
      </c>
      <c r="AJ236" s="916"/>
      <c r="AK236" s="887" t="n">
        <f aca="false">IF(Tables!$E$30="Custom",'Monthly Table'!AI236,IF(Tables!$E$30="New York",INDEX('NY Curve'!$A$4:$G$256,MATCH('Monthly Table'!B236,'NY Curve'!$A$4:$A$256,0),MATCH("Super Peak Curve",'NY Curve'!$A$4:$G$4,0)),IF(Tables!$E$30="New York Flat",INDEX('NY Curve'!$A$4:$G$256,MATCH('Monthly Table'!B236,'NY Curve'!$A$4:$A$256,0),MATCH("Flat NY West",'NY Curve'!$A$4:$G$4,0)),INDEX('Michigan Curve'!$A$4:$F$256,MATCH('Monthly Table'!B236,'Michigan Curve'!$A$4:$A$256,0),MATCH("Michigan Super Peak Curve US$/MWhr",'Michigan Curve'!$A$4:$F$4,0)))))</f>
        <v>0</v>
      </c>
      <c r="AL236" s="888" t="n">
        <f aca="false">IF(D236&lt;=Tables!$B$21,IF($AL$10=$AI$10,AI236,IF($AL$10=$AJ$10,AJ236,IF($AL$10=$AK$10,AK236,0))),0)</f>
        <v>0</v>
      </c>
      <c r="AM236" s="889" t="n">
        <f aca="false">+AL236*K236</f>
        <v>0</v>
      </c>
      <c r="AN236" s="890" t="n">
        <f aca="false">IF((AL236*K236)&gt;(CP236+$BF$4),1,0)</f>
        <v>0</v>
      </c>
      <c r="AO236" s="891"/>
      <c r="AP236" s="894"/>
      <c r="AQ236" s="892" t="n">
        <f aca="false">IF(Tables!$E$30="New York",INDEX('NY Curve'!$A$4:$L$256,MATCH('Monthly Table'!B236,'NY Curve'!$A$4:$A$256,0),MATCH("New York Shoulder Hour Curve Mon-Fri",'NY Curve'!$A$4:$L$4,0)),IF(Tables!$E$30="Michigan",INDEX('Michigan Curve'!$A$4:$K$256,MATCH('Monthly Table'!B236,'Michigan Curve'!$A$4:$A$256,0),MATCH("Michigan Shoulder Hour Curve Mon-Fri",'Michigan Curve'!$A$4:$K$4,0))))</f>
        <v>0</v>
      </c>
      <c r="AR236" s="889" t="n">
        <f aca="false">AQ236*K236</f>
        <v>0</v>
      </c>
      <c r="AS236" s="893" t="n">
        <f aca="false">IF(AR236&gt;($CP236+$BF$4),1,0)</f>
        <v>0</v>
      </c>
      <c r="AU236" s="892" t="n">
        <f aca="false">IF(Tables!$E$30="New York",INDEX('NY Curve'!$A$4:$L$256,MATCH('Monthly Table'!$B236,'NY Curve'!$A$4:$A$256,0),MATCH("New York Saturday Super Peak",'NY Curve'!$A$4:$L$4,0)),IF(Tables!$E$30="Michigan",INDEX('Michigan Curve'!$A$4:$K$256,MATCH('Monthly Table'!$B236,'Michigan Curve'!$A$4:$A$256,0),MATCH("Michigan Saturday Super Peak",'Michigan Curve'!$A$4:$K$4,0))))</f>
        <v>0</v>
      </c>
      <c r="AV236" s="894" t="n">
        <f aca="false">AU236*K236</f>
        <v>0</v>
      </c>
      <c r="AW236" s="893" t="n">
        <f aca="false">IF(Tables!$B$21=15,0,IF(AV236&gt;($CP236+$BF$4),1,0))</f>
        <v>0</v>
      </c>
      <c r="AX236" s="892" t="n">
        <f aca="false">IF(Tables!$E$30="New York",INDEX('NY Curve'!$A$4:$L$256,MATCH('Monthly Table'!$B236,'NY Curve'!$A$4:$A$256,0),MATCH("New York Saturday Shoulder Peak",'NY Curve'!$A$4:$L$4,0)),IF(Tables!$E$30="Michigan",INDEX('Michigan Curve'!$A$4:$K$256,MATCH('Monthly Table'!$B236,'Michigan Curve'!$A$4:$A$256,0),MATCH("Michigan Saturday Shoulder Peak",'Michigan Curve'!$A$4:$K$4,0))))</f>
        <v>0</v>
      </c>
      <c r="AY236" s="895" t="n">
        <f aca="false">AX236*K236</f>
        <v>0</v>
      </c>
      <c r="AZ236" s="893" t="n">
        <f aca="false">IF(Tables!$B$21=15,0,IF(AY236&gt;($CP236+$BF$4),1,0))</f>
        <v>0</v>
      </c>
      <c r="BB236" s="892" t="n">
        <f aca="false">IF(Tables!$E$30="New York",INDEX('NY Curve'!$A$4:$M$256,MATCH('Monthly Table'!$B236,'NY Curve'!$A$4:$A$256,0),MATCH("NY Sunday Super Peak",'NY Curve'!$A$4:$M$4,0)),IF(Tables!$E$30="Michigan",INDEX('Michigan Curve'!$A$4:$L$256,MATCH('Monthly Table'!$B236,'Michigan Curve'!$A$4:$A$256,0),MATCH("Michigan Sunday Super Peak",'Michigan Curve'!$A$4:$L$4,0))))</f>
        <v>0</v>
      </c>
      <c r="BC236" s="894" t="n">
        <f aca="false">BB236*K236</f>
        <v>0</v>
      </c>
      <c r="BD236" s="893" t="n">
        <f aca="false">IF(BC236&gt;($CP236+$BF$4),1,0)</f>
        <v>0</v>
      </c>
      <c r="BF236" s="896" t="n">
        <f aca="false">B236</f>
        <v>43739</v>
      </c>
      <c r="BG236" s="897" t="n">
        <f aca="false">IF($AN236=1,$E236*$BF$5,0)</f>
        <v>0</v>
      </c>
      <c r="BH236" s="976" t="n">
        <f aca="false">IF(Tables!$B$36="Combined Cycle",(BF236-BF235)*24*Assumptions!$B$21,0)</f>
        <v>0</v>
      </c>
      <c r="BI236" s="714" t="n">
        <f aca="false">IF($AN236=1,$E236*$BF$5,0)</f>
        <v>0</v>
      </c>
      <c r="BJ236" s="898" t="n">
        <f aca="false">IF('Monthly Table'!D236&lt;=Tables!$B$21,IF($BJ$10=$BG$10,BG236,IF($BJ$10=$BH$10,BH236,IF($BJ$10=$BI$10,BI236,0))),0)</f>
        <v>0</v>
      </c>
      <c r="BK236" s="288"/>
      <c r="BL236" s="898" t="n">
        <f aca="false">IF($AW236=1,$F236*$BF$5,0)</f>
        <v>0</v>
      </c>
      <c r="BM236" s="898" t="n">
        <f aca="false">IF($BD236=1,($G236+H236)*$BF$5,0)</f>
        <v>0</v>
      </c>
      <c r="BO236" s="898" t="n">
        <f aca="false">IF(AS236=1,BJ236,0)</f>
        <v>0</v>
      </c>
      <c r="BP236" s="898" t="n">
        <f aca="false">IF(AZ236=1,F236*$BF$5,0)</f>
        <v>0</v>
      </c>
      <c r="BR236" s="899" t="n">
        <f aca="false">IF(BJ236&gt;0,INDEX(OperationalDetail,MATCH("Capacity Degradation",ODColumn,0),MATCH('Monthly Table'!C236,ODRow,0)),0)</f>
        <v>0</v>
      </c>
      <c r="BS236" s="900" t="n">
        <f aca="false">BJ236*(1-BR236)*Tables!$C$36</f>
        <v>0</v>
      </c>
      <c r="BT236" s="883" t="n">
        <f aca="false">BS236*AL236/1000</f>
        <v>0</v>
      </c>
      <c r="BU236" s="902" t="n">
        <f aca="false">BT236*K236</f>
        <v>0</v>
      </c>
      <c r="BV236" s="997"/>
      <c r="BW236" s="901" t="n">
        <f aca="false">$BO236*(1-$BR236)*Tables!$C$36</f>
        <v>0</v>
      </c>
      <c r="BX236" s="902" t="n">
        <f aca="false">(BW236*AQ236)/1000</f>
        <v>0</v>
      </c>
      <c r="BY236" s="883" t="n">
        <f aca="false">BX236*K236</f>
        <v>0</v>
      </c>
      <c r="BZ236" s="188"/>
      <c r="CA236" s="901" t="n">
        <f aca="false">$BL236*(1-$BR236)*Tables!$C$36</f>
        <v>0</v>
      </c>
      <c r="CB236" s="902" t="n">
        <f aca="false">(CA236*AU236)/1000</f>
        <v>0</v>
      </c>
      <c r="CC236" s="883" t="n">
        <f aca="false">CB236*K236</f>
        <v>0</v>
      </c>
      <c r="CD236" s="901" t="n">
        <f aca="false">$BP236*(1-$BR236)*Tables!$C$36</f>
        <v>0</v>
      </c>
      <c r="CE236" s="902" t="n">
        <f aca="false">(CD236*AX236)/1000</f>
        <v>0</v>
      </c>
      <c r="CF236" s="883" t="n">
        <f aca="false">CE236*K236</f>
        <v>0</v>
      </c>
      <c r="CH236" s="901" t="n">
        <f aca="false">$BM236*(1-$BR236)*Tables!$C$36</f>
        <v>0</v>
      </c>
      <c r="CI236" s="902" t="n">
        <f aca="false">(CH236*BB236)/1000</f>
        <v>0</v>
      </c>
      <c r="CJ236" s="883" t="n">
        <f aca="false">CI236*K236</f>
        <v>0</v>
      </c>
      <c r="CL236" s="292" t="n">
        <f aca="false">C236-1</f>
        <v>2018</v>
      </c>
      <c r="CM236" s="903" t="n">
        <f aca="false">INDEX(OperationalDetail,MATCH("Degraded Heat Rate",ODColumn,0),MATCH('Monthly Table'!CL236,ODRow,0))/1000</f>
        <v>11.96</v>
      </c>
      <c r="CN236" s="904" t="n">
        <f aca="false">S236*CM236</f>
        <v>6.62292087405188</v>
      </c>
      <c r="CO236" s="905" t="n">
        <f aca="false">IF(A236="January",(CO235*(1+Assumptions!$E$32)),CO235)</f>
        <v>9.62013113133094</v>
      </c>
      <c r="CP236" s="906" t="n">
        <f aca="false">CN236+CO236</f>
        <v>16.2430520053828</v>
      </c>
      <c r="CR236" s="856" t="str">
        <f aca="false">IF(BJ236=0,"",C236)</f>
        <v/>
      </c>
      <c r="CS236" s="856" t="str">
        <f aca="false">IF(BO236=0,"",$C236)</f>
        <v/>
      </c>
      <c r="CT236" s="856" t="str">
        <f aca="false">IF(BL236=0,"",$C236)</f>
        <v/>
      </c>
      <c r="CU236" s="856" t="str">
        <f aca="false">IF(BP236=0,"",$C236)</f>
        <v/>
      </c>
      <c r="CV236" s="856" t="str">
        <f aca="false">IF(BD236=0,"",$C236)</f>
        <v/>
      </c>
      <c r="CW236" s="907" t="n">
        <f aca="false">YEAR(BF236)</f>
        <v>2019</v>
      </c>
      <c r="CX236" s="908" t="n">
        <f aca="false">INDEX('NY Curve'!$A$4:$G$256,MATCH('Monthly Table'!B236,'NY Curve'!$A$4:$A$256,0),MATCH("New York 5 X 16",'NY Curve'!$A$4:$G$4,0))</f>
        <v>0</v>
      </c>
      <c r="CY236" s="909" t="n">
        <f aca="false">K236</f>
        <v>1.24816825135623</v>
      </c>
      <c r="CZ236" s="910" t="n">
        <f aca="false">CX236*CY236</f>
        <v>0</v>
      </c>
      <c r="DB236" s="911"/>
      <c r="DC236" s="911"/>
    </row>
    <row r="237" customFormat="false" ht="18.75" hidden="false" customHeight="true" outlineLevel="0" collapsed="false">
      <c r="A237" s="49" t="s">
        <v>820</v>
      </c>
      <c r="B237" s="863" t="n">
        <v>43770</v>
      </c>
      <c r="C237" s="288" t="n">
        <f aca="false">YEAR(B237)</f>
        <v>2019</v>
      </c>
      <c r="D237" s="864" t="n">
        <f aca="false">IF(A237="January",D236+1,D236)</f>
        <v>19</v>
      </c>
      <c r="E237" s="865" t="n">
        <v>20</v>
      </c>
      <c r="F237" s="866" t="n">
        <v>5</v>
      </c>
      <c r="G237" s="866" t="n">
        <v>4</v>
      </c>
      <c r="H237" s="866" t="n">
        <v>1</v>
      </c>
      <c r="I237" s="867" t="n">
        <f aca="false">SUM(E237:H237)</f>
        <v>30</v>
      </c>
      <c r="J237" s="868"/>
      <c r="K237" s="869" t="n">
        <f aca="false">INDEX(FX!$A$3:$C$362,MATCH(B237,FX!$A$3:$A$362,0),MATCH("Monthly Curve",FX!$A$2:$C$2,0))</f>
        <v>1.24766891898053</v>
      </c>
      <c r="L237" s="869"/>
      <c r="M237" s="993"/>
      <c r="N237" s="994"/>
      <c r="O237" s="986" t="n">
        <v>0.1</v>
      </c>
      <c r="P237" s="872" t="n">
        <f aca="false">N237+O237</f>
        <v>0.1</v>
      </c>
      <c r="Q237" s="873" t="n">
        <f aca="false">SUM(M237:O237)</f>
        <v>0.1</v>
      </c>
      <c r="R237" s="974" t="n">
        <f aca="false">IF(A237="January",(R236+R236*Assumptions!$E$32),R236)</f>
        <v>0.428939100788447</v>
      </c>
      <c r="S237" s="875" t="n">
        <f aca="false">(Q237*K237)+R237</f>
        <v>0.5537059926865</v>
      </c>
      <c r="T237" s="869"/>
      <c r="U237" s="187"/>
      <c r="V237" s="897"/>
      <c r="W237" s="897"/>
      <c r="X237" s="31"/>
      <c r="Y237" s="975" t="n">
        <f aca="false">Tables!$D$36</f>
        <v>312</v>
      </c>
      <c r="Z237" s="879" t="n">
        <f aca="false">IF($Z$10=$V$10,V237,IF($Z$10=$W$10,W237,IF($Z$10=$X$10,X237,0)))</f>
        <v>0</v>
      </c>
      <c r="AA237" s="880" t="n">
        <f aca="false">Y237*Z237</f>
        <v>0</v>
      </c>
      <c r="AB237" s="881" t="n">
        <f aca="false">AA237*K237</f>
        <v>0</v>
      </c>
      <c r="AC237" s="188"/>
      <c r="AD237" s="882" t="n">
        <f aca="false">IF(Tables!$E$30="Michigan",INDEX('Michigan Curve'!$A$4:$S$256,MATCH('Monthly Table'!B237,'Michigan Curve'!$A$4:$A$256,0),MATCH("Michigan Selected Option Value US$/month",'Michigan Curve'!$A$4:$S$4,0)),INDEX('NY Curve'!$A$4:$T$256,MATCH('Monthly Table'!B237,'NY Curve'!$A$4:$A$256,0),MATCH("New York Selected Option Value US$/month",'NY Curve'!$A$4:$T$4,0)))</f>
        <v>0</v>
      </c>
      <c r="AE237" s="883" t="n">
        <f aca="false">AD237*K237</f>
        <v>0</v>
      </c>
      <c r="AF237" s="188"/>
      <c r="AG237" s="884"/>
      <c r="AH237" s="49"/>
      <c r="AI237" s="885" t="n">
        <f aca="false">Assumptions!$B$50</f>
        <v>65</v>
      </c>
      <c r="AJ237" s="916"/>
      <c r="AK237" s="887" t="n">
        <f aca="false">IF(Tables!$E$30="Custom",'Monthly Table'!AI237,IF(Tables!$E$30="New York",INDEX('NY Curve'!$A$4:$G$256,MATCH('Monthly Table'!B237,'NY Curve'!$A$4:$A$256,0),MATCH("Super Peak Curve",'NY Curve'!$A$4:$G$4,0)),IF(Tables!$E$30="New York Flat",INDEX('NY Curve'!$A$4:$G$256,MATCH('Monthly Table'!B237,'NY Curve'!$A$4:$A$256,0),MATCH("Flat NY West",'NY Curve'!$A$4:$G$4,0)),INDEX('Michigan Curve'!$A$4:$F$256,MATCH('Monthly Table'!B237,'Michigan Curve'!$A$4:$A$256,0),MATCH("Michigan Super Peak Curve US$/MWhr",'Michigan Curve'!$A$4:$F$4,0)))))</f>
        <v>0</v>
      </c>
      <c r="AL237" s="888" t="n">
        <f aca="false">IF(D237&lt;=Tables!$B$21,IF($AL$10=$AI$10,AI237,IF($AL$10=$AJ$10,AJ237,IF($AL$10=$AK$10,AK237,0))),0)</f>
        <v>0</v>
      </c>
      <c r="AM237" s="889" t="n">
        <f aca="false">+AL237*K237</f>
        <v>0</v>
      </c>
      <c r="AN237" s="890" t="n">
        <f aca="false">IF((AL237*K237)&gt;(CP237+$BF$4),1,0)</f>
        <v>0</v>
      </c>
      <c r="AO237" s="891"/>
      <c r="AP237" s="894"/>
      <c r="AQ237" s="892" t="n">
        <f aca="false">IF(Tables!$E$30="New York",INDEX('NY Curve'!$A$4:$L$256,MATCH('Monthly Table'!B237,'NY Curve'!$A$4:$A$256,0),MATCH("New York Shoulder Hour Curve Mon-Fri",'NY Curve'!$A$4:$L$4,0)),IF(Tables!$E$30="Michigan",INDEX('Michigan Curve'!$A$4:$K$256,MATCH('Monthly Table'!B237,'Michigan Curve'!$A$4:$A$256,0),MATCH("Michigan Shoulder Hour Curve Mon-Fri",'Michigan Curve'!$A$4:$K$4,0))))</f>
        <v>0</v>
      </c>
      <c r="AR237" s="889" t="n">
        <f aca="false">AQ237*K237</f>
        <v>0</v>
      </c>
      <c r="AS237" s="893" t="n">
        <f aca="false">IF(AR237&gt;($CP237+$BF$4),1,0)</f>
        <v>0</v>
      </c>
      <c r="AU237" s="892" t="n">
        <f aca="false">IF(Tables!$E$30="New York",INDEX('NY Curve'!$A$4:$L$256,MATCH('Monthly Table'!$B237,'NY Curve'!$A$4:$A$256,0),MATCH("New York Saturday Super Peak",'NY Curve'!$A$4:$L$4,0)),IF(Tables!$E$30="Michigan",INDEX('Michigan Curve'!$A$4:$K$256,MATCH('Monthly Table'!$B237,'Michigan Curve'!$A$4:$A$256,0),MATCH("Michigan Saturday Super Peak",'Michigan Curve'!$A$4:$K$4,0))))</f>
        <v>0</v>
      </c>
      <c r="AV237" s="894" t="n">
        <f aca="false">AU237*K237</f>
        <v>0</v>
      </c>
      <c r="AW237" s="893" t="n">
        <f aca="false">IF(Tables!$B$21=15,0,IF(AV237&gt;($CP237+$BF$4),1,0))</f>
        <v>0</v>
      </c>
      <c r="AX237" s="892" t="n">
        <f aca="false">IF(Tables!$E$30="New York",INDEX('NY Curve'!$A$4:$L$256,MATCH('Monthly Table'!$B237,'NY Curve'!$A$4:$A$256,0),MATCH("New York Saturday Shoulder Peak",'NY Curve'!$A$4:$L$4,0)),IF(Tables!$E$30="Michigan",INDEX('Michigan Curve'!$A$4:$K$256,MATCH('Monthly Table'!$B237,'Michigan Curve'!$A$4:$A$256,0),MATCH("Michigan Saturday Shoulder Peak",'Michigan Curve'!$A$4:$K$4,0))))</f>
        <v>0</v>
      </c>
      <c r="AY237" s="895" t="n">
        <f aca="false">AX237*K237</f>
        <v>0</v>
      </c>
      <c r="AZ237" s="893" t="n">
        <f aca="false">IF(Tables!$B$21=15,0,IF(AY237&gt;($CP237+$BF$4),1,0))</f>
        <v>0</v>
      </c>
      <c r="BB237" s="892" t="n">
        <f aca="false">IF(Tables!$E$30="New York",INDEX('NY Curve'!$A$4:$M$256,MATCH('Monthly Table'!$B237,'NY Curve'!$A$4:$A$256,0),MATCH("NY Sunday Super Peak",'NY Curve'!$A$4:$M$4,0)),IF(Tables!$E$30="Michigan",INDEX('Michigan Curve'!$A$4:$L$256,MATCH('Monthly Table'!$B237,'Michigan Curve'!$A$4:$A$256,0),MATCH("Michigan Sunday Super Peak",'Michigan Curve'!$A$4:$L$4,0))))</f>
        <v>0</v>
      </c>
      <c r="BC237" s="894" t="n">
        <f aca="false">BB237*K237</f>
        <v>0</v>
      </c>
      <c r="BD237" s="893" t="n">
        <f aca="false">IF(BC237&gt;($CP237+$BF$4),1,0)</f>
        <v>0</v>
      </c>
      <c r="BF237" s="896" t="n">
        <f aca="false">B237</f>
        <v>43770</v>
      </c>
      <c r="BG237" s="897" t="n">
        <f aca="false">IF($AN237=1,$E237*$BF$5,0)</f>
        <v>0</v>
      </c>
      <c r="BH237" s="976" t="n">
        <f aca="false">IF(Tables!$B$36="Combined Cycle",(BF237-BF236)*24*Assumptions!$B$21,0)</f>
        <v>0</v>
      </c>
      <c r="BI237" s="714" t="n">
        <f aca="false">IF($AN237=1,$E237*$BF$5,0)</f>
        <v>0</v>
      </c>
      <c r="BJ237" s="898" t="n">
        <f aca="false">IF('Monthly Table'!D237&lt;=Tables!$B$21,IF($BJ$10=$BG$10,BG237,IF($BJ$10=$BH$10,BH237,IF($BJ$10=$BI$10,BI237,0))),0)</f>
        <v>0</v>
      </c>
      <c r="BK237" s="288"/>
      <c r="BL237" s="898" t="n">
        <f aca="false">IF($AW237=1,$F237*$BF$5,0)</f>
        <v>0</v>
      </c>
      <c r="BM237" s="898" t="n">
        <f aca="false">IF($BD237=1,($G237+H237)*$BF$5,0)</f>
        <v>0</v>
      </c>
      <c r="BO237" s="898" t="n">
        <f aca="false">IF(AS237=1,BJ237,0)</f>
        <v>0</v>
      </c>
      <c r="BP237" s="898" t="n">
        <f aca="false">IF(AZ237=1,F237*$BF$5,0)</f>
        <v>0</v>
      </c>
      <c r="BR237" s="899" t="n">
        <f aca="false">IF(BJ237&gt;0,INDEX(OperationalDetail,MATCH("Capacity Degradation",ODColumn,0),MATCH('Monthly Table'!C237,ODRow,0)),0)</f>
        <v>0</v>
      </c>
      <c r="BS237" s="900" t="n">
        <f aca="false">BJ237*(1-BR237)*Tables!$C$36</f>
        <v>0</v>
      </c>
      <c r="BT237" s="883" t="n">
        <f aca="false">BS237*AL237/1000</f>
        <v>0</v>
      </c>
      <c r="BU237" s="902" t="n">
        <f aca="false">BT237*K237</f>
        <v>0</v>
      </c>
      <c r="BV237" s="997"/>
      <c r="BW237" s="901" t="n">
        <f aca="false">$BO237*(1-$BR237)*Tables!$C$36</f>
        <v>0</v>
      </c>
      <c r="BX237" s="902" t="n">
        <f aca="false">(BW237*AQ237)/1000</f>
        <v>0</v>
      </c>
      <c r="BY237" s="883" t="n">
        <f aca="false">BX237*K237</f>
        <v>0</v>
      </c>
      <c r="BZ237" s="188"/>
      <c r="CA237" s="901" t="n">
        <f aca="false">$BL237*(1-$BR237)*Tables!$C$36</f>
        <v>0</v>
      </c>
      <c r="CB237" s="902" t="n">
        <f aca="false">(CA237*AU237)/1000</f>
        <v>0</v>
      </c>
      <c r="CC237" s="883" t="n">
        <f aca="false">CB237*K237</f>
        <v>0</v>
      </c>
      <c r="CD237" s="901" t="n">
        <f aca="false">$BP237*(1-$BR237)*Tables!$C$36</f>
        <v>0</v>
      </c>
      <c r="CE237" s="902" t="n">
        <f aca="false">(CD237*AX237)/1000</f>
        <v>0</v>
      </c>
      <c r="CF237" s="883" t="n">
        <f aca="false">CE237*K237</f>
        <v>0</v>
      </c>
      <c r="CH237" s="901" t="n">
        <f aca="false">$BM237*(1-$BR237)*Tables!$C$36</f>
        <v>0</v>
      </c>
      <c r="CI237" s="902" t="n">
        <f aca="false">(CH237*BB237)/1000</f>
        <v>0</v>
      </c>
      <c r="CJ237" s="883" t="n">
        <f aca="false">CI237*K237</f>
        <v>0</v>
      </c>
      <c r="CL237" s="292" t="n">
        <f aca="false">C237-1</f>
        <v>2018</v>
      </c>
      <c r="CM237" s="903" t="n">
        <f aca="false">INDEX(OperationalDetail,MATCH("Degraded Heat Rate",ODColumn,0),MATCH('Monthly Table'!CL237,ODRow,0))/1000</f>
        <v>11.96</v>
      </c>
      <c r="CN237" s="904" t="n">
        <f aca="false">S237*CM237</f>
        <v>6.62232367253054</v>
      </c>
      <c r="CO237" s="905" t="n">
        <f aca="false">IF(A237="January",(CO236*(1+Assumptions!$E$32)),CO236)</f>
        <v>9.62013113133094</v>
      </c>
      <c r="CP237" s="906" t="n">
        <f aca="false">CN237+CO237</f>
        <v>16.2424548038615</v>
      </c>
      <c r="CR237" s="856" t="str">
        <f aca="false">IF(BJ237=0,"",C237)</f>
        <v/>
      </c>
      <c r="CS237" s="856" t="str">
        <f aca="false">IF(BO237=0,"",$C237)</f>
        <v/>
      </c>
      <c r="CT237" s="856" t="str">
        <f aca="false">IF(BL237=0,"",$C237)</f>
        <v/>
      </c>
      <c r="CU237" s="856" t="str">
        <f aca="false">IF(BP237=0,"",$C237)</f>
        <v/>
      </c>
      <c r="CV237" s="856" t="str">
        <f aca="false">IF(BD237=0,"",$C237)</f>
        <v/>
      </c>
      <c r="CW237" s="907" t="n">
        <f aca="false">YEAR(BF237)</f>
        <v>2019</v>
      </c>
      <c r="CX237" s="908" t="n">
        <f aca="false">INDEX('NY Curve'!$A$4:$G$256,MATCH('Monthly Table'!B237,'NY Curve'!$A$4:$A$256,0),MATCH("New York 5 X 16",'NY Curve'!$A$4:$G$4,0))</f>
        <v>0</v>
      </c>
      <c r="CY237" s="909" t="n">
        <f aca="false">K237</f>
        <v>1.24766891898053</v>
      </c>
      <c r="CZ237" s="910" t="n">
        <f aca="false">CX237*CY237</f>
        <v>0</v>
      </c>
      <c r="DB237" s="911"/>
      <c r="DC237" s="911"/>
    </row>
    <row r="238" customFormat="false" ht="18.75" hidden="false" customHeight="true" outlineLevel="0" collapsed="false">
      <c r="A238" s="110" t="s">
        <v>821</v>
      </c>
      <c r="B238" s="918" t="n">
        <v>43800</v>
      </c>
      <c r="C238" s="917" t="n">
        <f aca="false">YEAR(B238)</f>
        <v>2019</v>
      </c>
      <c r="D238" s="919" t="n">
        <f aca="false">IF(A238="January",D237+1,D237)</f>
        <v>19</v>
      </c>
      <c r="E238" s="865" t="n">
        <v>21</v>
      </c>
      <c r="F238" s="866" t="n">
        <v>4</v>
      </c>
      <c r="G238" s="866" t="n">
        <v>5</v>
      </c>
      <c r="H238" s="866" t="n">
        <v>1</v>
      </c>
      <c r="I238" s="867" t="n">
        <f aca="false">SUM(E238:H238)</f>
        <v>31</v>
      </c>
      <c r="J238" s="923"/>
      <c r="K238" s="924" t="n">
        <f aca="false">INDEX(FX!$A$3:$C$362,MATCH(B238,FX!$A$3:$A$362,0),MATCH("Monthly Curve",FX!$A$2:$C$2,0))</f>
        <v>1.24718856329261</v>
      </c>
      <c r="L238" s="924"/>
      <c r="M238" s="995"/>
      <c r="N238" s="996"/>
      <c r="O238" s="991" t="n">
        <v>0.1</v>
      </c>
      <c r="P238" s="928" t="n">
        <f aca="false">N238+O238</f>
        <v>0.1</v>
      </c>
      <c r="Q238" s="929" t="n">
        <f aca="false">SUM(M238:O238)</f>
        <v>0.1</v>
      </c>
      <c r="R238" s="979" t="n">
        <f aca="false">IF(A238="January",(R237+R237*Assumptions!$E$32),R237)</f>
        <v>0.428939100788447</v>
      </c>
      <c r="S238" s="931" t="n">
        <f aca="false">(Q238*K238)+R238</f>
        <v>0.553657957117708</v>
      </c>
      <c r="T238" s="924"/>
      <c r="U238" s="938"/>
      <c r="V238" s="949"/>
      <c r="W238" s="949"/>
      <c r="X238" s="949"/>
      <c r="Y238" s="981" t="n">
        <f aca="false">Tables!$D$36</f>
        <v>312</v>
      </c>
      <c r="Z238" s="935" t="n">
        <f aca="false">IF($Z$10=$V$10,V238,IF($Z$10=$W$10,W238,IF($Z$10=$X$10,X238,0)))</f>
        <v>0</v>
      </c>
      <c r="AA238" s="936" t="n">
        <f aca="false">Y238*Z238</f>
        <v>0</v>
      </c>
      <c r="AB238" s="937" t="n">
        <f aca="false">AA238*K238</f>
        <v>0</v>
      </c>
      <c r="AC238" s="938"/>
      <c r="AD238" s="882" t="n">
        <f aca="false">IF(Tables!$E$30="Michigan",INDEX('Michigan Curve'!$A$4:$S$256,MATCH('Monthly Table'!B238,'Michigan Curve'!$A$4:$A$256,0),MATCH("Michigan Selected Option Value US$/month",'Michigan Curve'!$A$4:$S$4,0)),INDEX('NY Curve'!$A$4:$T$256,MATCH('Monthly Table'!B238,'NY Curve'!$A$4:$A$256,0),MATCH("New York Selected Option Value US$/month",'NY Curve'!$A$4:$T$4,0)))</f>
        <v>0</v>
      </c>
      <c r="AE238" s="883" t="n">
        <f aca="false">AD238*K238</f>
        <v>0</v>
      </c>
      <c r="AF238" s="938"/>
      <c r="AG238" s="939"/>
      <c r="AH238" s="110"/>
      <c r="AI238" s="885" t="n">
        <f aca="false">Assumptions!$B$50</f>
        <v>65</v>
      </c>
      <c r="AJ238" s="940"/>
      <c r="AK238" s="887" t="n">
        <f aca="false">IF(Tables!$E$30="Custom",'Monthly Table'!AI238,IF(Tables!$E$30="New York",INDEX('NY Curve'!$A$4:$G$256,MATCH('Monthly Table'!B238,'NY Curve'!$A$4:$A$256,0),MATCH("Super Peak Curve",'NY Curve'!$A$4:$G$4,0)),IF(Tables!$E$30="New York Flat",INDEX('NY Curve'!$A$4:$G$256,MATCH('Monthly Table'!B238,'NY Curve'!$A$4:$A$256,0),MATCH("Flat NY West",'NY Curve'!$A$4:$G$4,0)),INDEX('Michigan Curve'!$A$4:$F$256,MATCH('Monthly Table'!B238,'Michigan Curve'!$A$4:$A$256,0),MATCH("Michigan Super Peak Curve US$/MWhr",'Michigan Curve'!$A$4:$F$4,0)))))</f>
        <v>0</v>
      </c>
      <c r="AL238" s="941" t="n">
        <f aca="false">IF(D238&lt;=Tables!$B$21,IF($AL$10=$AI$10,AI238,IF($AL$10=$AJ$10,AJ238,IF($AL$10=$AK$10,AK238,0))),0)</f>
        <v>0</v>
      </c>
      <c r="AM238" s="889" t="n">
        <f aca="false">+AL238*K238</f>
        <v>0</v>
      </c>
      <c r="AN238" s="943" t="n">
        <f aca="false">IF((AL238*K238)&gt;(CP238+$BF$4),1,0)</f>
        <v>0</v>
      </c>
      <c r="AO238" s="944"/>
      <c r="AP238" s="894"/>
      <c r="AQ238" s="892" t="n">
        <f aca="false">IF(Tables!$E$30="New York",INDEX('NY Curve'!$A$4:$L$256,MATCH('Monthly Table'!B238,'NY Curve'!$A$4:$A$256,0),MATCH("New York Shoulder Hour Curve Mon-Fri",'NY Curve'!$A$4:$L$4,0)),IF(Tables!$E$30="Michigan",INDEX('Michigan Curve'!$A$4:$K$256,MATCH('Monthly Table'!B238,'Michigan Curve'!$A$4:$A$256,0),MATCH("Michigan Shoulder Hour Curve Mon-Fri",'Michigan Curve'!$A$4:$K$4,0))))</f>
        <v>0</v>
      </c>
      <c r="AR238" s="889" t="n">
        <f aca="false">AQ238*K238</f>
        <v>0</v>
      </c>
      <c r="AS238" s="893" t="n">
        <f aca="false">IF(AR238&gt;($CP238+$BF$4),1,0)</f>
        <v>0</v>
      </c>
      <c r="AT238" s="917"/>
      <c r="AU238" s="892" t="n">
        <f aca="false">IF(Tables!$E$30="New York",INDEX('NY Curve'!$A$4:$L$256,MATCH('Monthly Table'!$B238,'NY Curve'!$A$4:$A$256,0),MATCH("New York Saturday Super Peak",'NY Curve'!$A$4:$L$4,0)),IF(Tables!$E$30="Michigan",INDEX('Michigan Curve'!$A$4:$K$256,MATCH('Monthly Table'!$B238,'Michigan Curve'!$A$4:$A$256,0),MATCH("Michigan Saturday Super Peak",'Michigan Curve'!$A$4:$K$4,0))))</f>
        <v>0</v>
      </c>
      <c r="AV238" s="894" t="n">
        <f aca="false">AU238*K238</f>
        <v>0</v>
      </c>
      <c r="AW238" s="893" t="n">
        <f aca="false">IF(Tables!$B$21=15,0,IF(AV238&gt;($CP238+$BF$4),1,0))</f>
        <v>0</v>
      </c>
      <c r="AX238" s="892" t="n">
        <f aca="false">IF(Tables!$E$30="New York",INDEX('NY Curve'!$A$4:$L$256,MATCH('Monthly Table'!$B238,'NY Curve'!$A$4:$A$256,0),MATCH("New York Saturday Shoulder Peak",'NY Curve'!$A$4:$L$4,0)),IF(Tables!$E$30="Michigan",INDEX('Michigan Curve'!$A$4:$K$256,MATCH('Monthly Table'!$B238,'Michigan Curve'!$A$4:$A$256,0),MATCH("Michigan Saturday Shoulder Peak",'Michigan Curve'!$A$4:$K$4,0))))</f>
        <v>0</v>
      </c>
      <c r="AY238" s="895" t="n">
        <f aca="false">AX238*K238</f>
        <v>0</v>
      </c>
      <c r="AZ238" s="893" t="n">
        <f aca="false">IF(Tables!$B$21=15,0,IF(AY238&gt;($CP238+$BF$4),1,0))</f>
        <v>0</v>
      </c>
      <c r="BA238" s="917"/>
      <c r="BB238" s="892" t="n">
        <f aca="false">IF(Tables!$E$30="New York",INDEX('NY Curve'!$A$4:$M$256,MATCH('Monthly Table'!$B238,'NY Curve'!$A$4:$A$256,0),MATCH("NY Sunday Super Peak",'NY Curve'!$A$4:$M$4,0)),IF(Tables!$E$30="Michigan",INDEX('Michigan Curve'!$A$4:$L$256,MATCH('Monthly Table'!$B238,'Michigan Curve'!$A$4:$A$256,0),MATCH("Michigan Sunday Super Peak",'Michigan Curve'!$A$4:$L$4,0))))</f>
        <v>0</v>
      </c>
      <c r="BC238" s="894" t="n">
        <f aca="false">BB238*K238</f>
        <v>0</v>
      </c>
      <c r="BD238" s="893" t="n">
        <f aca="false">IF(BC238&gt;($CP238+$BF$4),1,0)</f>
        <v>0</v>
      </c>
      <c r="BE238" s="917"/>
      <c r="BF238" s="948" t="n">
        <f aca="false">B238</f>
        <v>43800</v>
      </c>
      <c r="BG238" s="897" t="n">
        <f aca="false">IF($AN238=1,$E238*$BF$5,0)</f>
        <v>0</v>
      </c>
      <c r="BH238" s="982" t="n">
        <f aca="false">IF(Tables!$B$36="Combined Cycle",(BF238-BF237)*24*Assumptions!$B$21,0)</f>
        <v>0</v>
      </c>
      <c r="BI238" s="714" t="n">
        <f aca="false">IF($AN238=1,$E238*$BF$5,0)</f>
        <v>0</v>
      </c>
      <c r="BJ238" s="950" t="n">
        <f aca="false">IF('Monthly Table'!D238&lt;=Tables!$B$21,IF($BJ$10=$BG$10,BG238,IF($BJ$10=$BH$10,BH238,IF($BJ$10=$BI$10,BI238,0))),0)</f>
        <v>0</v>
      </c>
      <c r="BK238" s="288"/>
      <c r="BL238" s="898" t="n">
        <f aca="false">IF($AW238=1,$F238*$BF$5,0)</f>
        <v>0</v>
      </c>
      <c r="BM238" s="898" t="n">
        <f aca="false">IF($BD238=1,($G238+H238)*$BF$5,0)</f>
        <v>0</v>
      </c>
      <c r="BO238" s="898" t="n">
        <f aca="false">IF(AS238=1,BJ238,0)</f>
        <v>0</v>
      </c>
      <c r="BP238" s="898" t="n">
        <f aca="false">IF(AZ238=1,F238*$BF$5,0)</f>
        <v>0</v>
      </c>
      <c r="BR238" s="951" t="n">
        <f aca="false">IF(BJ238&gt;0,INDEX(OperationalDetail,MATCH("Capacity Degradation",ODColumn,0),MATCH('Monthly Table'!C238,ODRow,0)),0)</f>
        <v>0</v>
      </c>
      <c r="BS238" s="900" t="n">
        <f aca="false">BJ238*(1-BR238)*Tables!$C$36</f>
        <v>0</v>
      </c>
      <c r="BT238" s="953" t="n">
        <f aca="false">BS238*AL238/1000</f>
        <v>0</v>
      </c>
      <c r="BU238" s="955" t="n">
        <f aca="false">BT238*K238</f>
        <v>0</v>
      </c>
      <c r="BV238" s="997"/>
      <c r="BW238" s="901" t="n">
        <f aca="false">$BO238*(1-$BR238)*Tables!$C$36</f>
        <v>0</v>
      </c>
      <c r="BX238" s="902" t="n">
        <f aca="false">(BW238*AQ238)/1000</f>
        <v>0</v>
      </c>
      <c r="BY238" s="883" t="n">
        <f aca="false">BX238*K238</f>
        <v>0</v>
      </c>
      <c r="BZ238" s="938"/>
      <c r="CA238" s="901" t="n">
        <f aca="false">$BL238*(1-$BR238)*Tables!$C$36</f>
        <v>0</v>
      </c>
      <c r="CB238" s="902" t="n">
        <f aca="false">(CA238*AU238)/1000</f>
        <v>0</v>
      </c>
      <c r="CC238" s="883" t="n">
        <f aca="false">CB238*K238</f>
        <v>0</v>
      </c>
      <c r="CD238" s="901" t="n">
        <f aca="false">$BP238*(1-$BR238)*Tables!$C$36</f>
        <v>0</v>
      </c>
      <c r="CE238" s="902" t="n">
        <f aca="false">(CD238*AX238)/1000</f>
        <v>0</v>
      </c>
      <c r="CF238" s="883" t="n">
        <f aca="false">CE238*K238</f>
        <v>0</v>
      </c>
      <c r="CG238" s="110"/>
      <c r="CH238" s="901" t="n">
        <f aca="false">$BM238*(1-$BR238)*Tables!$C$36</f>
        <v>0</v>
      </c>
      <c r="CI238" s="902" t="n">
        <f aca="false">(CH238*BB238)/1000</f>
        <v>0</v>
      </c>
      <c r="CJ238" s="883" t="n">
        <f aca="false">CI238*K238</f>
        <v>0</v>
      </c>
      <c r="CK238" s="110"/>
      <c r="CL238" s="292" t="n">
        <f aca="false">C238-1</f>
        <v>2018</v>
      </c>
      <c r="CM238" s="903" t="n">
        <f aca="false">INDEX(OperationalDetail,MATCH("Degraded Heat Rate",ODColumn,0),MATCH('Monthly Table'!CL238,ODRow,0))/1000</f>
        <v>11.96</v>
      </c>
      <c r="CN238" s="958" t="n">
        <f aca="false">S238*CM238</f>
        <v>6.62174916712779</v>
      </c>
      <c r="CO238" s="959" t="n">
        <f aca="false">IF(A238="January",(CO237*(1+Assumptions!$E$32)),CO237)</f>
        <v>9.62013113133094</v>
      </c>
      <c r="CP238" s="960" t="n">
        <f aca="false">CN238+CO238</f>
        <v>16.2418802984587</v>
      </c>
      <c r="CQ238" s="110"/>
      <c r="CR238" s="961" t="str">
        <f aca="false">IF(BJ238=0,"",C238)</f>
        <v/>
      </c>
      <c r="CS238" s="856" t="str">
        <f aca="false">IF(BO238=0,"",$C238)</f>
        <v/>
      </c>
      <c r="CT238" s="856" t="str">
        <f aca="false">IF(BL238=0,"",$C238)</f>
        <v/>
      </c>
      <c r="CU238" s="856" t="str">
        <f aca="false">IF(BP238=0,"",$C238)</f>
        <v/>
      </c>
      <c r="CV238" s="856" t="str">
        <f aca="false">IF(BD238=0,"",$C238)</f>
        <v/>
      </c>
      <c r="CW238" s="962" t="n">
        <f aca="false">YEAR(BF238)</f>
        <v>2019</v>
      </c>
      <c r="CX238" s="963" t="n">
        <f aca="false">INDEX('NY Curve'!$A$4:$G$256,MATCH('Monthly Table'!B238,'NY Curve'!$A$4:$A$256,0),MATCH("New York 5 X 16",'NY Curve'!$A$4:$G$4,0))</f>
        <v>0</v>
      </c>
      <c r="CY238" s="964" t="n">
        <f aca="false">K238</f>
        <v>1.24718856329261</v>
      </c>
      <c r="CZ238" s="965" t="n">
        <f aca="false">CX238*CY238</f>
        <v>0</v>
      </c>
      <c r="DA238" s="110"/>
      <c r="DB238" s="911"/>
      <c r="DC238" s="911"/>
      <c r="DD238" s="110"/>
      <c r="DE238" s="110"/>
      <c r="DF238" s="110"/>
      <c r="DG238" s="110"/>
      <c r="DH238" s="110"/>
    </row>
    <row r="239" customFormat="false" ht="18.75" hidden="false" customHeight="true" outlineLevel="0" collapsed="false">
      <c r="A239" s="49" t="s">
        <v>810</v>
      </c>
      <c r="B239" s="863" t="n">
        <v>43831</v>
      </c>
      <c r="C239" s="288" t="n">
        <f aca="false">YEAR(B239)</f>
        <v>2020</v>
      </c>
      <c r="D239" s="864" t="n">
        <f aca="false">IF(A239="January",D238+1,D238)</f>
        <v>20</v>
      </c>
      <c r="E239" s="865" t="n">
        <v>22</v>
      </c>
      <c r="F239" s="866" t="n">
        <v>4</v>
      </c>
      <c r="G239" s="866" t="n">
        <v>4</v>
      </c>
      <c r="H239" s="866" t="n">
        <v>1</v>
      </c>
      <c r="I239" s="867" t="n">
        <f aca="false">SUM(E239:H239)</f>
        <v>31</v>
      </c>
      <c r="J239" s="868"/>
      <c r="K239" s="869" t="n">
        <f aca="false">INDEX(FX!$A$3:$C$362,MATCH(B239,FX!$A$3:$A$362,0),MATCH("Monthly Curve",FX!$A$2:$C$2,0))</f>
        <v>1.24669515720832</v>
      </c>
      <c r="L239" s="869"/>
      <c r="M239" s="993"/>
      <c r="N239" s="994"/>
      <c r="O239" s="986" t="n">
        <v>0.1</v>
      </c>
      <c r="P239" s="872" t="n">
        <f aca="false">N239+O239</f>
        <v>0.1</v>
      </c>
      <c r="Q239" s="873" t="n">
        <f aca="false">SUM(M239:O239)</f>
        <v>0.1</v>
      </c>
      <c r="R239" s="974" t="n">
        <f aca="false">IF(A239="January",(R238+R238*Assumptions!$E$32),R238)</f>
        <v>0.437517882804216</v>
      </c>
      <c r="S239" s="875" t="n">
        <f aca="false">(Q239*K239)+R239</f>
        <v>0.562187398525048</v>
      </c>
      <c r="T239" s="869"/>
      <c r="U239" s="187"/>
      <c r="V239" s="897"/>
      <c r="W239" s="897"/>
      <c r="X239" s="897"/>
      <c r="Y239" s="975" t="n">
        <f aca="false">Tables!$D$36</f>
        <v>312</v>
      </c>
      <c r="Z239" s="879" t="n">
        <f aca="false">IF($Z$10=$V$10,V239,IF($Z$10=$W$10,W239,IF($Z$10=$X$10,X239,0)))</f>
        <v>0</v>
      </c>
      <c r="AA239" s="880" t="n">
        <f aca="false">Y239*Z239</f>
        <v>0</v>
      </c>
      <c r="AB239" s="881" t="n">
        <f aca="false">AA239*K239</f>
        <v>0</v>
      </c>
      <c r="AC239" s="188"/>
      <c r="AD239" s="882" t="n">
        <f aca="false">IF(Tables!$E$30="Michigan",INDEX('Michigan Curve'!$A$4:$S$256,MATCH('Monthly Table'!B239,'Michigan Curve'!$A$4:$A$256,0),MATCH("Michigan Selected Option Value US$/month",'Michigan Curve'!$A$4:$S$4,0)),INDEX('NY Curve'!$A$4:$T$256,MATCH('Monthly Table'!B239,'NY Curve'!$A$4:$A$256,0),MATCH("New York Selected Option Value US$/month",'NY Curve'!$A$4:$T$4,0)))</f>
        <v>0</v>
      </c>
      <c r="AE239" s="883" t="n">
        <f aca="false">AD239*K239</f>
        <v>0</v>
      </c>
      <c r="AF239" s="188"/>
      <c r="AG239" s="884"/>
      <c r="AH239" s="49"/>
      <c r="AI239" s="885" t="n">
        <f aca="false">Assumptions!$B$50</f>
        <v>65</v>
      </c>
      <c r="AJ239" s="916"/>
      <c r="AK239" s="887" t="n">
        <f aca="false">IF(Tables!$E$30="Custom",'Monthly Table'!AI239,IF(Tables!$E$30="New York",INDEX('NY Curve'!$A$4:$G$256,MATCH('Monthly Table'!B239,'NY Curve'!$A$4:$A$256,0),MATCH("Super Peak Curve",'NY Curve'!$A$4:$G$4,0)),IF(Tables!$E$30="New York Flat",INDEX('NY Curve'!$A$4:$G$256,MATCH('Monthly Table'!B239,'NY Curve'!$A$4:$A$256,0),MATCH("Flat NY West",'NY Curve'!$A$4:$G$4,0)),INDEX('Michigan Curve'!$A$4:$F$256,MATCH('Monthly Table'!B239,'Michigan Curve'!$A$4:$A$256,0),MATCH("Michigan Super Peak Curve US$/MWhr",'Michigan Curve'!$A$4:$F$4,0)))))</f>
        <v>0</v>
      </c>
      <c r="AL239" s="888" t="n">
        <f aca="false">IF(D239&lt;=Tables!$B$21,IF($AL$10=$AI$10,AI239,IF($AL$10=$AJ$10,AJ239,IF($AL$10=$AK$10,AK239,0))),0)</f>
        <v>0</v>
      </c>
      <c r="AM239" s="889" t="n">
        <f aca="false">+AL239*K239</f>
        <v>0</v>
      </c>
      <c r="AN239" s="890" t="n">
        <f aca="false">IF((AL239*K239)&gt;(CP239+$BF$4),1,0)</f>
        <v>0</v>
      </c>
      <c r="AO239" s="891"/>
      <c r="AP239" s="894"/>
      <c r="AQ239" s="892" t="n">
        <f aca="false">IF(Tables!$E$30="New York",INDEX('NY Curve'!$A$4:$L$256,MATCH('Monthly Table'!B239,'NY Curve'!$A$4:$A$256,0),MATCH("New York Shoulder Hour Curve Mon-Fri",'NY Curve'!$A$4:$L$4,0)),IF(Tables!$E$30="Michigan",INDEX('Michigan Curve'!$A$4:$K$256,MATCH('Monthly Table'!B239,'Michigan Curve'!$A$4:$A$256,0),MATCH("Michigan Shoulder Hour Curve Mon-Fri",'Michigan Curve'!$A$4:$K$4,0))))</f>
        <v>0</v>
      </c>
      <c r="AR239" s="889" t="n">
        <f aca="false">AQ239*K239</f>
        <v>0</v>
      </c>
      <c r="AS239" s="893" t="n">
        <f aca="false">IF(AR239&gt;($CP239+$BF$4),1,0)</f>
        <v>0</v>
      </c>
      <c r="AU239" s="892" t="n">
        <f aca="false">IF(Tables!$E$30="New York",INDEX('NY Curve'!$A$4:$L$256,MATCH('Monthly Table'!$B239,'NY Curve'!$A$4:$A$256,0),MATCH("New York Saturday Super Peak",'NY Curve'!$A$4:$L$4,0)),IF(Tables!$E$30="Michigan",INDEX('Michigan Curve'!$A$4:$K$256,MATCH('Monthly Table'!$B239,'Michigan Curve'!$A$4:$A$256,0),MATCH("Michigan Saturday Super Peak",'Michigan Curve'!$A$4:$K$4,0))))</f>
        <v>0</v>
      </c>
      <c r="AV239" s="894" t="n">
        <f aca="false">AU239*K239</f>
        <v>0</v>
      </c>
      <c r="AW239" s="893" t="n">
        <f aca="false">IF(Tables!$B$21=15,0,IF(AV239&gt;($CP239+$BF$4),1,0))</f>
        <v>0</v>
      </c>
      <c r="AX239" s="892" t="n">
        <f aca="false">IF(Tables!$E$30="New York",INDEX('NY Curve'!$A$4:$L$256,MATCH('Monthly Table'!$B239,'NY Curve'!$A$4:$A$256,0),MATCH("New York Saturday Shoulder Peak",'NY Curve'!$A$4:$L$4,0)),IF(Tables!$E$30="Michigan",INDEX('Michigan Curve'!$A$4:$K$256,MATCH('Monthly Table'!$B239,'Michigan Curve'!$A$4:$A$256,0),MATCH("Michigan Saturday Shoulder Peak",'Michigan Curve'!$A$4:$K$4,0))))</f>
        <v>0</v>
      </c>
      <c r="AY239" s="895" t="n">
        <f aca="false">AX239*K239</f>
        <v>0</v>
      </c>
      <c r="AZ239" s="893" t="n">
        <f aca="false">IF(Tables!$B$21=15,0,IF(AY239&gt;($CP239+$BF$4),1,0))</f>
        <v>0</v>
      </c>
      <c r="BB239" s="892" t="n">
        <f aca="false">IF(Tables!$E$30="New York",INDEX('NY Curve'!$A$4:$M$256,MATCH('Monthly Table'!$B239,'NY Curve'!$A$4:$A$256,0),MATCH("NY Sunday Super Peak",'NY Curve'!$A$4:$M$4,0)),IF(Tables!$E$30="Michigan",INDEX('Michigan Curve'!$A$4:$L$256,MATCH('Monthly Table'!$B239,'Michigan Curve'!$A$4:$A$256,0),MATCH("Michigan Sunday Super Peak",'Michigan Curve'!$A$4:$L$4,0))))</f>
        <v>0</v>
      </c>
      <c r="BC239" s="894" t="n">
        <f aca="false">BB239*K239</f>
        <v>0</v>
      </c>
      <c r="BD239" s="893" t="n">
        <f aca="false">IF(BC239&gt;($CP239+$BF$4),1,0)</f>
        <v>0</v>
      </c>
      <c r="BF239" s="896" t="n">
        <f aca="false">B239</f>
        <v>43831</v>
      </c>
      <c r="BG239" s="897" t="n">
        <f aca="false">IF($AN239=1,$E239*$BF$5,0)</f>
        <v>0</v>
      </c>
      <c r="BH239" s="976" t="n">
        <f aca="false">IF(Tables!$B$36="Combined Cycle",(BF239-BF238)*24*Assumptions!$B$21,0)</f>
        <v>0</v>
      </c>
      <c r="BI239" s="714" t="n">
        <f aca="false">IF($AN239=1,$E239*$BF$5,0)</f>
        <v>0</v>
      </c>
      <c r="BJ239" s="898" t="n">
        <f aca="false">IF('Monthly Table'!D239&lt;=Tables!$B$21,IF($BJ$10=$BG$10,BG239,IF($BJ$10=$BH$10,BH239,IF($BJ$10=$BI$10,BI239,0))),0)</f>
        <v>0</v>
      </c>
      <c r="BK239" s="288"/>
      <c r="BL239" s="898" t="n">
        <f aca="false">IF($AW239=1,$F239*$BF$5,0)</f>
        <v>0</v>
      </c>
      <c r="BM239" s="898" t="n">
        <f aca="false">IF($BD239=1,($G239+H239)*$BF$5,0)</f>
        <v>0</v>
      </c>
      <c r="BO239" s="898" t="n">
        <f aca="false">IF(AS239=1,BJ239,0)</f>
        <v>0</v>
      </c>
      <c r="BP239" s="898" t="n">
        <f aca="false">IF(AZ239=1,F239*$BF$5,0)</f>
        <v>0</v>
      </c>
      <c r="BR239" s="899" t="n">
        <f aca="false">IF(BJ239&gt;0,INDEX(OperationalDetail,MATCH("Capacity Degradation",ODColumn,0),MATCH('Monthly Table'!C239,ODRow,0)),0)</f>
        <v>0</v>
      </c>
      <c r="BS239" s="900" t="n">
        <f aca="false">BJ239*(1-BR239)*Tables!$C$36</f>
        <v>0</v>
      </c>
      <c r="BT239" s="883" t="n">
        <f aca="false">BS239*AL239/1000</f>
        <v>0</v>
      </c>
      <c r="BU239" s="902" t="n">
        <f aca="false">BT239*K239</f>
        <v>0</v>
      </c>
      <c r="BV239" s="997"/>
      <c r="BW239" s="901" t="n">
        <f aca="false">$BO239*(1-$BR239)*Tables!$C$36</f>
        <v>0</v>
      </c>
      <c r="BX239" s="902" t="n">
        <f aca="false">(BW239*AQ239)/1000</f>
        <v>0</v>
      </c>
      <c r="BY239" s="883" t="n">
        <f aca="false">BX239*K239</f>
        <v>0</v>
      </c>
      <c r="BZ239" s="188"/>
      <c r="CA239" s="901" t="n">
        <f aca="false">$BL239*(1-$BR239)*Tables!$C$36</f>
        <v>0</v>
      </c>
      <c r="CB239" s="902" t="n">
        <f aca="false">(CA239*AU239)/1000</f>
        <v>0</v>
      </c>
      <c r="CC239" s="883" t="n">
        <f aca="false">CB239*K239</f>
        <v>0</v>
      </c>
      <c r="CD239" s="901" t="n">
        <f aca="false">$BP239*(1-$BR239)*Tables!$C$36</f>
        <v>0</v>
      </c>
      <c r="CE239" s="902" t="n">
        <f aca="false">(CD239*AX239)/1000</f>
        <v>0</v>
      </c>
      <c r="CF239" s="883" t="n">
        <f aca="false">CE239*K239</f>
        <v>0</v>
      </c>
      <c r="CH239" s="901" t="n">
        <f aca="false">$BM239*(1-$BR239)*Tables!$C$36</f>
        <v>0</v>
      </c>
      <c r="CI239" s="902" t="n">
        <f aca="false">(CH239*BB239)/1000</f>
        <v>0</v>
      </c>
      <c r="CJ239" s="883" t="n">
        <f aca="false">CI239*K239</f>
        <v>0</v>
      </c>
      <c r="CL239" s="292" t="n">
        <f aca="false">C239-1</f>
        <v>2019</v>
      </c>
      <c r="CM239" s="903" t="n">
        <f aca="false">INDEX(OperationalDetail,MATCH("Degraded Heat Rate",ODColumn,0),MATCH('Monthly Table'!CL239,ODRow,0))/1000</f>
        <v>11.96</v>
      </c>
      <c r="CN239" s="904" t="n">
        <f aca="false">S239*CM239</f>
        <v>6.72376128635958</v>
      </c>
      <c r="CO239" s="905" t="n">
        <f aca="false">IF(A239="January",(CO238*(1+Assumptions!$E$32)),CO238)</f>
        <v>9.81253375395756</v>
      </c>
      <c r="CP239" s="906" t="n">
        <f aca="false">CN239+CO239</f>
        <v>16.5362950403171</v>
      </c>
      <c r="CR239" s="856" t="str">
        <f aca="false">IF(BJ239=0,"",C239)</f>
        <v/>
      </c>
      <c r="CS239" s="856" t="str">
        <f aca="false">IF(BO239=0,"",$C239)</f>
        <v/>
      </c>
      <c r="CT239" s="856" t="str">
        <f aca="false">IF(BL239=0,"",$C239)</f>
        <v/>
      </c>
      <c r="CU239" s="856" t="str">
        <f aca="false">IF(BP239=0,"",$C239)</f>
        <v/>
      </c>
      <c r="CV239" s="856" t="str">
        <f aca="false">IF(BD239=0,"",$C239)</f>
        <v/>
      </c>
      <c r="CW239" s="907" t="n">
        <f aca="false">YEAR(BF239)</f>
        <v>2020</v>
      </c>
      <c r="CX239" s="908" t="n">
        <f aca="false">INDEX('NY Curve'!$A$4:$G$256,MATCH('Monthly Table'!B239,'NY Curve'!$A$4:$A$256,0),MATCH("New York 5 X 16",'NY Curve'!$A$4:$G$4,0))</f>
        <v>0</v>
      </c>
      <c r="CY239" s="909" t="n">
        <f aca="false">K239</f>
        <v>1.24669515720832</v>
      </c>
      <c r="CZ239" s="910" t="n">
        <f aca="false">CX239*CY239</f>
        <v>0</v>
      </c>
      <c r="DB239" s="911"/>
      <c r="DC239" s="911"/>
    </row>
    <row r="240" customFormat="false" ht="18.75" hidden="false" customHeight="true" outlineLevel="0" collapsed="false">
      <c r="A240" s="49" t="s">
        <v>811</v>
      </c>
      <c r="B240" s="863" t="n">
        <v>43862</v>
      </c>
      <c r="C240" s="288" t="n">
        <f aca="false">YEAR(B240)</f>
        <v>2020</v>
      </c>
      <c r="D240" s="864" t="n">
        <f aca="false">IF(A240="January",D239+1,D239)</f>
        <v>20</v>
      </c>
      <c r="E240" s="865" t="n">
        <v>20</v>
      </c>
      <c r="F240" s="866" t="n">
        <v>5</v>
      </c>
      <c r="G240" s="866" t="n">
        <v>4</v>
      </c>
      <c r="H240" s="866" t="n">
        <v>0</v>
      </c>
      <c r="I240" s="867" t="n">
        <f aca="false">SUM(E240:H240)</f>
        <v>29</v>
      </c>
      <c r="J240" s="868"/>
      <c r="K240" s="869" t="n">
        <f aca="false">INDEX(FX!$A$3:$C$362,MATCH(B240,FX!$A$3:$A$362,0),MATCH("Monthly Curve",FX!$A$2:$C$2,0))</f>
        <v>1.24620475772691</v>
      </c>
      <c r="L240" s="869"/>
      <c r="M240" s="993"/>
      <c r="N240" s="994"/>
      <c r="O240" s="986" t="n">
        <v>0.1</v>
      </c>
      <c r="P240" s="872" t="n">
        <f aca="false">N240+O240</f>
        <v>0.1</v>
      </c>
      <c r="Q240" s="873" t="n">
        <f aca="false">SUM(M240:O240)</f>
        <v>0.1</v>
      </c>
      <c r="R240" s="974" t="n">
        <f aca="false">IF(A240="January",(R239+R239*Assumptions!$E$32),R239)</f>
        <v>0.437517882804216</v>
      </c>
      <c r="S240" s="875" t="n">
        <f aca="false">(Q240*K240)+R240</f>
        <v>0.562138358576907</v>
      </c>
      <c r="T240" s="869"/>
      <c r="U240" s="187"/>
      <c r="V240" s="897"/>
      <c r="W240" s="897"/>
      <c r="X240" s="897"/>
      <c r="Y240" s="975" t="n">
        <f aca="false">Tables!$D$36</f>
        <v>312</v>
      </c>
      <c r="Z240" s="879" t="n">
        <f aca="false">IF($Z$10=$V$10,V240,IF($Z$10=$W$10,W240,IF($Z$10=$X$10,X240,0)))</f>
        <v>0</v>
      </c>
      <c r="AA240" s="880" t="n">
        <f aca="false">Y240*Z240</f>
        <v>0</v>
      </c>
      <c r="AB240" s="881" t="n">
        <f aca="false">AA240*K240</f>
        <v>0</v>
      </c>
      <c r="AC240" s="188"/>
      <c r="AD240" s="882" t="n">
        <f aca="false">IF(Tables!$E$30="Michigan",INDEX('Michigan Curve'!$A$4:$S$256,MATCH('Monthly Table'!B240,'Michigan Curve'!$A$4:$A$256,0),MATCH("Michigan Selected Option Value US$/month",'Michigan Curve'!$A$4:$S$4,0)),INDEX('NY Curve'!$A$4:$T$256,MATCH('Monthly Table'!B240,'NY Curve'!$A$4:$A$256,0),MATCH("New York Selected Option Value US$/month",'NY Curve'!$A$4:$T$4,0)))</f>
        <v>0</v>
      </c>
      <c r="AE240" s="883" t="n">
        <f aca="false">AD240*K240</f>
        <v>0</v>
      </c>
      <c r="AF240" s="188"/>
      <c r="AG240" s="884"/>
      <c r="AH240" s="49"/>
      <c r="AI240" s="885" t="n">
        <f aca="false">Assumptions!$B$50</f>
        <v>65</v>
      </c>
      <c r="AJ240" s="916"/>
      <c r="AK240" s="887" t="n">
        <f aca="false">IF(Tables!$E$30="Custom",'Monthly Table'!AI240,IF(Tables!$E$30="New York",INDEX('NY Curve'!$A$4:$G$256,MATCH('Monthly Table'!B240,'NY Curve'!$A$4:$A$256,0),MATCH("Super Peak Curve",'NY Curve'!$A$4:$G$4,0)),IF(Tables!$E$30="New York Flat",INDEX('NY Curve'!$A$4:$G$256,MATCH('Monthly Table'!B240,'NY Curve'!$A$4:$A$256,0),MATCH("Flat NY West",'NY Curve'!$A$4:$G$4,0)),INDEX('Michigan Curve'!$A$4:$F$256,MATCH('Monthly Table'!B240,'Michigan Curve'!$A$4:$A$256,0),MATCH("Michigan Super Peak Curve US$/MWhr",'Michigan Curve'!$A$4:$F$4,0)))))</f>
        <v>0</v>
      </c>
      <c r="AL240" s="888" t="n">
        <f aca="false">IF(D240&lt;=Tables!$B$21,IF($AL$10=$AI$10,AI240,IF($AL$10=$AJ$10,AJ240,IF($AL$10=$AK$10,AK240,0))),0)</f>
        <v>0</v>
      </c>
      <c r="AM240" s="889" t="n">
        <f aca="false">+AL240*K240</f>
        <v>0</v>
      </c>
      <c r="AN240" s="890" t="n">
        <f aca="false">IF((AL240*K240)&gt;(CP240+$BF$4),1,0)</f>
        <v>0</v>
      </c>
      <c r="AO240" s="891"/>
      <c r="AP240" s="894"/>
      <c r="AQ240" s="892" t="n">
        <f aca="false">IF(Tables!$E$30="New York",INDEX('NY Curve'!$A$4:$L$256,MATCH('Monthly Table'!B240,'NY Curve'!$A$4:$A$256,0),MATCH("New York Shoulder Hour Curve Mon-Fri",'NY Curve'!$A$4:$L$4,0)),IF(Tables!$E$30="Michigan",INDEX('Michigan Curve'!$A$4:$K$256,MATCH('Monthly Table'!B240,'Michigan Curve'!$A$4:$A$256,0),MATCH("Michigan Shoulder Hour Curve Mon-Fri",'Michigan Curve'!$A$4:$K$4,0))))</f>
        <v>0</v>
      </c>
      <c r="AR240" s="889" t="n">
        <f aca="false">AQ240*K240</f>
        <v>0</v>
      </c>
      <c r="AS240" s="893" t="n">
        <f aca="false">IF(AR240&gt;($CP240+$BF$4),1,0)</f>
        <v>0</v>
      </c>
      <c r="AU240" s="892" t="n">
        <f aca="false">IF(Tables!$E$30="New York",INDEX('NY Curve'!$A$4:$L$256,MATCH('Monthly Table'!$B240,'NY Curve'!$A$4:$A$256,0),MATCH("New York Saturday Super Peak",'NY Curve'!$A$4:$L$4,0)),IF(Tables!$E$30="Michigan",INDEX('Michigan Curve'!$A$4:$K$256,MATCH('Monthly Table'!$B240,'Michigan Curve'!$A$4:$A$256,0),MATCH("Michigan Saturday Super Peak",'Michigan Curve'!$A$4:$K$4,0))))</f>
        <v>0</v>
      </c>
      <c r="AV240" s="894" t="n">
        <f aca="false">AU240*K240</f>
        <v>0</v>
      </c>
      <c r="AW240" s="893" t="n">
        <f aca="false">IF(Tables!$B$21=15,0,IF(AV240&gt;($CP240+$BF$4),1,0))</f>
        <v>0</v>
      </c>
      <c r="AX240" s="892" t="n">
        <f aca="false">IF(Tables!$E$30="New York",INDEX('NY Curve'!$A$4:$L$256,MATCH('Monthly Table'!$B240,'NY Curve'!$A$4:$A$256,0),MATCH("New York Saturday Shoulder Peak",'NY Curve'!$A$4:$L$4,0)),IF(Tables!$E$30="Michigan",INDEX('Michigan Curve'!$A$4:$K$256,MATCH('Monthly Table'!$B240,'Michigan Curve'!$A$4:$A$256,0),MATCH("Michigan Saturday Shoulder Peak",'Michigan Curve'!$A$4:$K$4,0))))</f>
        <v>0</v>
      </c>
      <c r="AY240" s="895" t="n">
        <f aca="false">AX240*K240</f>
        <v>0</v>
      </c>
      <c r="AZ240" s="893" t="n">
        <f aca="false">IF(Tables!$B$21=15,0,IF(AY240&gt;($CP240+$BF$4),1,0))</f>
        <v>0</v>
      </c>
      <c r="BB240" s="892" t="n">
        <f aca="false">IF(Tables!$E$30="New York",INDEX('NY Curve'!$A$4:$M$256,MATCH('Monthly Table'!$B240,'NY Curve'!$A$4:$A$256,0),MATCH("NY Sunday Super Peak",'NY Curve'!$A$4:$M$4,0)),IF(Tables!$E$30="Michigan",INDEX('Michigan Curve'!$A$4:$L$256,MATCH('Monthly Table'!$B240,'Michigan Curve'!$A$4:$A$256,0),MATCH("Michigan Sunday Super Peak",'Michigan Curve'!$A$4:$L$4,0))))</f>
        <v>0</v>
      </c>
      <c r="BC240" s="894" t="n">
        <f aca="false">BB240*K240</f>
        <v>0</v>
      </c>
      <c r="BD240" s="893" t="n">
        <f aca="false">IF(BC240&gt;($CP240+$BF$4),1,0)</f>
        <v>0</v>
      </c>
      <c r="BF240" s="896" t="n">
        <f aca="false">B240</f>
        <v>43862</v>
      </c>
      <c r="BG240" s="897" t="n">
        <f aca="false">IF($AN240=1,$E240*$BF$5,0)</f>
        <v>0</v>
      </c>
      <c r="BH240" s="976" t="n">
        <f aca="false">IF(Tables!$B$36="Combined Cycle",(BF240-BF239)*24*Assumptions!$B$21,0)</f>
        <v>0</v>
      </c>
      <c r="BI240" s="714" t="n">
        <f aca="false">IF($AN240=1,$E240*$BF$5,0)</f>
        <v>0</v>
      </c>
      <c r="BJ240" s="898" t="n">
        <f aca="false">IF('Monthly Table'!D240&lt;=Tables!$B$21,IF($BJ$10=$BG$10,BG240,IF($BJ$10=$BH$10,BH240,IF($BJ$10=$BI$10,BI240,0))),0)</f>
        <v>0</v>
      </c>
      <c r="BK240" s="288"/>
      <c r="BL240" s="898" t="n">
        <f aca="false">IF($AW240=1,$F240*$BF$5,0)</f>
        <v>0</v>
      </c>
      <c r="BM240" s="898" t="n">
        <f aca="false">IF($BD240=1,($G240+H240)*$BF$5,0)</f>
        <v>0</v>
      </c>
      <c r="BO240" s="898" t="n">
        <f aca="false">IF(AS240=1,BJ240,0)</f>
        <v>0</v>
      </c>
      <c r="BP240" s="898" t="n">
        <f aca="false">IF(AZ240=1,F240*$BF$5,0)</f>
        <v>0</v>
      </c>
      <c r="BR240" s="899" t="n">
        <f aca="false">IF(BJ240&gt;0,INDEX(OperationalDetail,MATCH("Capacity Degradation",ODColumn,0),MATCH('Monthly Table'!C240,ODRow,0)),0)</f>
        <v>0</v>
      </c>
      <c r="BS240" s="900" t="n">
        <f aca="false">BJ240*(1-BR240)*Tables!$C$36</f>
        <v>0</v>
      </c>
      <c r="BT240" s="883" t="n">
        <f aca="false">BS240*AL240/1000</f>
        <v>0</v>
      </c>
      <c r="BU240" s="902" t="n">
        <f aca="false">BT240*K240</f>
        <v>0</v>
      </c>
      <c r="BV240" s="997"/>
      <c r="BW240" s="901" t="n">
        <f aca="false">$BO240*(1-$BR240)*Tables!$C$36</f>
        <v>0</v>
      </c>
      <c r="BX240" s="902" t="n">
        <f aca="false">(BW240*AQ240)/1000</f>
        <v>0</v>
      </c>
      <c r="BY240" s="883" t="n">
        <f aca="false">BX240*K240</f>
        <v>0</v>
      </c>
      <c r="BZ240" s="188"/>
      <c r="CA240" s="901" t="n">
        <f aca="false">$BL240*(1-$BR240)*Tables!$C$36</f>
        <v>0</v>
      </c>
      <c r="CB240" s="902" t="n">
        <f aca="false">(CA240*AU240)/1000</f>
        <v>0</v>
      </c>
      <c r="CC240" s="883" t="n">
        <f aca="false">CB240*K240</f>
        <v>0</v>
      </c>
      <c r="CD240" s="901" t="n">
        <f aca="false">$BP240*(1-$BR240)*Tables!$C$36</f>
        <v>0</v>
      </c>
      <c r="CE240" s="902" t="n">
        <f aca="false">(CD240*AX240)/1000</f>
        <v>0</v>
      </c>
      <c r="CF240" s="883" t="n">
        <f aca="false">CE240*K240</f>
        <v>0</v>
      </c>
      <c r="CH240" s="901" t="n">
        <f aca="false">$BM240*(1-$BR240)*Tables!$C$36</f>
        <v>0</v>
      </c>
      <c r="CI240" s="902" t="n">
        <f aca="false">(CH240*BB240)/1000</f>
        <v>0</v>
      </c>
      <c r="CJ240" s="883" t="n">
        <f aca="false">CI240*K240</f>
        <v>0</v>
      </c>
      <c r="CL240" s="292" t="n">
        <f aca="false">C240-1</f>
        <v>2019</v>
      </c>
      <c r="CM240" s="903" t="n">
        <f aca="false">INDEX(OperationalDetail,MATCH("Degraded Heat Rate",ODColumn,0),MATCH('Monthly Table'!CL240,ODRow,0))/1000</f>
        <v>11.96</v>
      </c>
      <c r="CN240" s="904" t="n">
        <f aca="false">S240*CM240</f>
        <v>6.72317476857981</v>
      </c>
      <c r="CO240" s="905" t="n">
        <f aca="false">IF(A240="January",(CO239*(1+Assumptions!$E$32)),CO239)</f>
        <v>9.81253375395756</v>
      </c>
      <c r="CP240" s="906" t="n">
        <f aca="false">CN240+CO240</f>
        <v>16.5357085225374</v>
      </c>
      <c r="CR240" s="856" t="str">
        <f aca="false">IF(BJ240=0,"",C240)</f>
        <v/>
      </c>
      <c r="CS240" s="856" t="str">
        <f aca="false">IF(BO240=0,"",$C240)</f>
        <v/>
      </c>
      <c r="CT240" s="856" t="str">
        <f aca="false">IF(BL240=0,"",$C240)</f>
        <v/>
      </c>
      <c r="CU240" s="856" t="str">
        <f aca="false">IF(BP240=0,"",$C240)</f>
        <v/>
      </c>
      <c r="CV240" s="856" t="str">
        <f aca="false">IF(BD240=0,"",$C240)</f>
        <v/>
      </c>
      <c r="CW240" s="907" t="n">
        <f aca="false">YEAR(BF240)</f>
        <v>2020</v>
      </c>
      <c r="CX240" s="908" t="n">
        <f aca="false">INDEX('NY Curve'!$A$4:$G$256,MATCH('Monthly Table'!B240,'NY Curve'!$A$4:$A$256,0),MATCH("New York 5 X 16",'NY Curve'!$A$4:$G$4,0))</f>
        <v>0</v>
      </c>
      <c r="CY240" s="909" t="n">
        <f aca="false">K240</f>
        <v>1.24620475772691</v>
      </c>
      <c r="CZ240" s="910" t="n">
        <f aca="false">CX240*CY240</f>
        <v>0</v>
      </c>
      <c r="DB240" s="911"/>
      <c r="DC240" s="911"/>
    </row>
    <row r="241" customFormat="false" ht="18.75" hidden="false" customHeight="true" outlineLevel="0" collapsed="false">
      <c r="A241" s="49" t="s">
        <v>812</v>
      </c>
      <c r="B241" s="863" t="n">
        <v>43891</v>
      </c>
      <c r="C241" s="288" t="n">
        <f aca="false">YEAR(B241)</f>
        <v>2020</v>
      </c>
      <c r="D241" s="864" t="n">
        <f aca="false">IF(A241="January",D240+1,D240)</f>
        <v>20</v>
      </c>
      <c r="E241" s="865" t="n">
        <v>22</v>
      </c>
      <c r="F241" s="866" t="n">
        <v>4</v>
      </c>
      <c r="G241" s="866" t="n">
        <v>5</v>
      </c>
      <c r="H241" s="866" t="n">
        <v>0</v>
      </c>
      <c r="I241" s="867" t="n">
        <f aca="false">SUM(E241:H241)</f>
        <v>31</v>
      </c>
      <c r="J241" s="868"/>
      <c r="K241" s="869" t="n">
        <f aca="false">INDEX(FX!$A$3:$C$362,MATCH(B241,FX!$A$3:$A$362,0),MATCH("Monthly Curve",FX!$A$2:$C$2,0))</f>
        <v>1.24574871578954</v>
      </c>
      <c r="L241" s="869"/>
      <c r="M241" s="993"/>
      <c r="N241" s="994"/>
      <c r="O241" s="986" t="n">
        <v>0.1</v>
      </c>
      <c r="P241" s="872" t="n">
        <f aca="false">N241+O241</f>
        <v>0.1</v>
      </c>
      <c r="Q241" s="873" t="n">
        <f aca="false">SUM(M241:O241)</f>
        <v>0.1</v>
      </c>
      <c r="R241" s="974" t="n">
        <f aca="false">IF(A241="January",(R240+R240*Assumptions!$E$32),R240)</f>
        <v>0.437517882804216</v>
      </c>
      <c r="S241" s="875" t="n">
        <f aca="false">(Q241*K241)+R241</f>
        <v>0.56209275438317</v>
      </c>
      <c r="T241" s="869"/>
      <c r="U241" s="187"/>
      <c r="V241" s="897"/>
      <c r="W241" s="897"/>
      <c r="X241" s="897"/>
      <c r="Y241" s="975" t="n">
        <f aca="false">Tables!$D$36</f>
        <v>312</v>
      </c>
      <c r="Z241" s="879" t="n">
        <f aca="false">IF($Z$10=$V$10,V241,IF($Z$10=$W$10,W241,IF($Z$10=$X$10,X241,0)))</f>
        <v>0</v>
      </c>
      <c r="AA241" s="880" t="n">
        <f aca="false">Y241*Z241</f>
        <v>0</v>
      </c>
      <c r="AB241" s="881" t="n">
        <f aca="false">AA241*K241</f>
        <v>0</v>
      </c>
      <c r="AC241" s="188"/>
      <c r="AD241" s="882" t="n">
        <f aca="false">IF(Tables!$E$30="Michigan",INDEX('Michigan Curve'!$A$4:$S$256,MATCH('Monthly Table'!B241,'Michigan Curve'!$A$4:$A$256,0),MATCH("Michigan Selected Option Value US$/month",'Michigan Curve'!$A$4:$S$4,0)),INDEX('NY Curve'!$A$4:$T$256,MATCH('Monthly Table'!B241,'NY Curve'!$A$4:$A$256,0),MATCH("New York Selected Option Value US$/month",'NY Curve'!$A$4:$T$4,0)))</f>
        <v>0</v>
      </c>
      <c r="AE241" s="883" t="n">
        <f aca="false">AD241*K241</f>
        <v>0</v>
      </c>
      <c r="AF241" s="188"/>
      <c r="AG241" s="884"/>
      <c r="AH241" s="49"/>
      <c r="AI241" s="885" t="n">
        <f aca="false">Assumptions!$B$50</f>
        <v>65</v>
      </c>
      <c r="AJ241" s="916"/>
      <c r="AK241" s="887" t="n">
        <f aca="false">IF(Tables!$E$30="Custom",'Monthly Table'!AI241,IF(Tables!$E$30="New York",INDEX('NY Curve'!$A$4:$G$256,MATCH('Monthly Table'!B241,'NY Curve'!$A$4:$A$256,0),MATCH("Super Peak Curve",'NY Curve'!$A$4:$G$4,0)),IF(Tables!$E$30="New York Flat",INDEX('NY Curve'!$A$4:$G$256,MATCH('Monthly Table'!B241,'NY Curve'!$A$4:$A$256,0),MATCH("Flat NY West",'NY Curve'!$A$4:$G$4,0)),INDEX('Michigan Curve'!$A$4:$F$256,MATCH('Monthly Table'!B241,'Michigan Curve'!$A$4:$A$256,0),MATCH("Michigan Super Peak Curve US$/MWhr",'Michigan Curve'!$A$4:$F$4,0)))))</f>
        <v>0</v>
      </c>
      <c r="AL241" s="888" t="n">
        <f aca="false">IF(D241&lt;=Tables!$B$21,IF($AL$10=$AI$10,AI241,IF($AL$10=$AJ$10,AJ241,IF($AL$10=$AK$10,AK241,0))),0)</f>
        <v>0</v>
      </c>
      <c r="AM241" s="889" t="n">
        <f aca="false">+AL241*K241</f>
        <v>0</v>
      </c>
      <c r="AN241" s="890" t="n">
        <f aca="false">IF((AL241*K241)&gt;(CP241+$BF$4),1,0)</f>
        <v>0</v>
      </c>
      <c r="AO241" s="891"/>
      <c r="AP241" s="894"/>
      <c r="AQ241" s="892" t="n">
        <f aca="false">IF(Tables!$E$30="New York",INDEX('NY Curve'!$A$4:$L$256,MATCH('Monthly Table'!B241,'NY Curve'!$A$4:$A$256,0),MATCH("New York Shoulder Hour Curve Mon-Fri",'NY Curve'!$A$4:$L$4,0)),IF(Tables!$E$30="Michigan",INDEX('Michigan Curve'!$A$4:$K$256,MATCH('Monthly Table'!B241,'Michigan Curve'!$A$4:$A$256,0),MATCH("Michigan Shoulder Hour Curve Mon-Fri",'Michigan Curve'!$A$4:$K$4,0))))</f>
        <v>0</v>
      </c>
      <c r="AR241" s="889" t="n">
        <f aca="false">AQ241*K241</f>
        <v>0</v>
      </c>
      <c r="AS241" s="893" t="n">
        <f aca="false">IF(AR241&gt;($CP241+$BF$4),1,0)</f>
        <v>0</v>
      </c>
      <c r="AU241" s="892" t="n">
        <f aca="false">IF(Tables!$E$30="New York",INDEX('NY Curve'!$A$4:$L$256,MATCH('Monthly Table'!$B241,'NY Curve'!$A$4:$A$256,0),MATCH("New York Saturday Super Peak",'NY Curve'!$A$4:$L$4,0)),IF(Tables!$E$30="Michigan",INDEX('Michigan Curve'!$A$4:$K$256,MATCH('Monthly Table'!$B241,'Michigan Curve'!$A$4:$A$256,0),MATCH("Michigan Saturday Super Peak",'Michigan Curve'!$A$4:$K$4,0))))</f>
        <v>0</v>
      </c>
      <c r="AV241" s="894" t="n">
        <f aca="false">AU241*K241</f>
        <v>0</v>
      </c>
      <c r="AW241" s="893" t="n">
        <f aca="false">IF(Tables!$B$21=15,0,IF(AV241&gt;($CP241+$BF$4),1,0))</f>
        <v>0</v>
      </c>
      <c r="AX241" s="892" t="n">
        <f aca="false">IF(Tables!$E$30="New York",INDEX('NY Curve'!$A$4:$L$256,MATCH('Monthly Table'!$B241,'NY Curve'!$A$4:$A$256,0),MATCH("New York Saturday Shoulder Peak",'NY Curve'!$A$4:$L$4,0)),IF(Tables!$E$30="Michigan",INDEX('Michigan Curve'!$A$4:$K$256,MATCH('Monthly Table'!$B241,'Michigan Curve'!$A$4:$A$256,0),MATCH("Michigan Saturday Shoulder Peak",'Michigan Curve'!$A$4:$K$4,0))))</f>
        <v>0</v>
      </c>
      <c r="AY241" s="895" t="n">
        <f aca="false">AX241*K241</f>
        <v>0</v>
      </c>
      <c r="AZ241" s="893" t="n">
        <f aca="false">IF(Tables!$B$21=15,0,IF(AY241&gt;($CP241+$BF$4),1,0))</f>
        <v>0</v>
      </c>
      <c r="BB241" s="892" t="n">
        <f aca="false">IF(Tables!$E$30="New York",INDEX('NY Curve'!$A$4:$M$256,MATCH('Monthly Table'!$B241,'NY Curve'!$A$4:$A$256,0),MATCH("NY Sunday Super Peak",'NY Curve'!$A$4:$M$4,0)),IF(Tables!$E$30="Michigan",INDEX('Michigan Curve'!$A$4:$L$256,MATCH('Monthly Table'!$B241,'Michigan Curve'!$A$4:$A$256,0),MATCH("Michigan Sunday Super Peak",'Michigan Curve'!$A$4:$L$4,0))))</f>
        <v>0</v>
      </c>
      <c r="BC241" s="894" t="n">
        <f aca="false">BB241*K241</f>
        <v>0</v>
      </c>
      <c r="BD241" s="893" t="n">
        <f aca="false">IF(BC241&gt;($CP241+$BF$4),1,0)</f>
        <v>0</v>
      </c>
      <c r="BF241" s="896" t="n">
        <f aca="false">B241</f>
        <v>43891</v>
      </c>
      <c r="BG241" s="897" t="n">
        <f aca="false">IF($AN241=1,$E241*$BF$5,0)</f>
        <v>0</v>
      </c>
      <c r="BH241" s="976" t="n">
        <f aca="false">IF(Tables!$B$36="Combined Cycle",(BF241-BF240)*24*Assumptions!$B$21,0)</f>
        <v>0</v>
      </c>
      <c r="BI241" s="714" t="n">
        <f aca="false">IF($AN241=1,$E241*$BF$5,0)</f>
        <v>0</v>
      </c>
      <c r="BJ241" s="898" t="n">
        <f aca="false">IF('Monthly Table'!D241&lt;=Tables!$B$21,IF($BJ$10=$BG$10,BG241,IF($BJ$10=$BH$10,BH241,IF($BJ$10=$BI$10,BI241,0))),0)</f>
        <v>0</v>
      </c>
      <c r="BK241" s="288"/>
      <c r="BL241" s="898" t="n">
        <f aca="false">IF($AW241=1,$F241*$BF$5,0)</f>
        <v>0</v>
      </c>
      <c r="BM241" s="898" t="n">
        <f aca="false">IF($BD241=1,($G241+H241)*$BF$5,0)</f>
        <v>0</v>
      </c>
      <c r="BO241" s="898" t="n">
        <f aca="false">IF(AS241=1,BJ241,0)</f>
        <v>0</v>
      </c>
      <c r="BP241" s="898" t="n">
        <f aca="false">IF(AZ241=1,F241*$BF$5,0)</f>
        <v>0</v>
      </c>
      <c r="BR241" s="899" t="n">
        <f aca="false">IF(BJ241&gt;0,INDEX(OperationalDetail,MATCH("Capacity Degradation",ODColumn,0),MATCH('Monthly Table'!C241,ODRow,0)),0)</f>
        <v>0</v>
      </c>
      <c r="BS241" s="900" t="n">
        <f aca="false">BJ241*(1-BR241)*Tables!$C$36</f>
        <v>0</v>
      </c>
      <c r="BT241" s="883" t="n">
        <f aca="false">BS241*AL241/1000</f>
        <v>0</v>
      </c>
      <c r="BU241" s="902" t="n">
        <f aca="false">BT241*K241</f>
        <v>0</v>
      </c>
      <c r="BV241" s="997"/>
      <c r="BW241" s="901" t="n">
        <f aca="false">$BO241*(1-$BR241)*Tables!$C$36</f>
        <v>0</v>
      </c>
      <c r="BX241" s="902" t="n">
        <f aca="false">(BW241*AQ241)/1000</f>
        <v>0</v>
      </c>
      <c r="BY241" s="883" t="n">
        <f aca="false">BX241*K241</f>
        <v>0</v>
      </c>
      <c r="BZ241" s="188"/>
      <c r="CA241" s="901" t="n">
        <f aca="false">$BL241*(1-$BR241)*Tables!$C$36</f>
        <v>0</v>
      </c>
      <c r="CB241" s="902" t="n">
        <f aca="false">(CA241*AU241)/1000</f>
        <v>0</v>
      </c>
      <c r="CC241" s="883" t="n">
        <f aca="false">CB241*K241</f>
        <v>0</v>
      </c>
      <c r="CD241" s="901" t="n">
        <f aca="false">$BP241*(1-$BR241)*Tables!$C$36</f>
        <v>0</v>
      </c>
      <c r="CE241" s="902" t="n">
        <f aca="false">(CD241*AX241)/1000</f>
        <v>0</v>
      </c>
      <c r="CF241" s="883" t="n">
        <f aca="false">CE241*K241</f>
        <v>0</v>
      </c>
      <c r="CH241" s="901" t="n">
        <f aca="false">$BM241*(1-$BR241)*Tables!$C$36</f>
        <v>0</v>
      </c>
      <c r="CI241" s="902" t="n">
        <f aca="false">(CH241*BB241)/1000</f>
        <v>0</v>
      </c>
      <c r="CJ241" s="883" t="n">
        <f aca="false">CI241*K241</f>
        <v>0</v>
      </c>
      <c r="CL241" s="292" t="n">
        <f aca="false">C241-1</f>
        <v>2019</v>
      </c>
      <c r="CM241" s="903" t="n">
        <f aca="false">INDEX(OperationalDetail,MATCH("Degraded Heat Rate",ODColumn,0),MATCH('Monthly Table'!CL241,ODRow,0))/1000</f>
        <v>11.96</v>
      </c>
      <c r="CN241" s="904" t="n">
        <f aca="false">S241*CM241</f>
        <v>6.72262934242272</v>
      </c>
      <c r="CO241" s="905" t="n">
        <f aca="false">IF(A241="January",(CO240*(1+Assumptions!$E$32)),CO240)</f>
        <v>9.81253375395756</v>
      </c>
      <c r="CP241" s="906" t="n">
        <f aca="false">CN241+CO241</f>
        <v>16.5351630963803</v>
      </c>
      <c r="CR241" s="856" t="str">
        <f aca="false">IF(BJ241=0,"",C241)</f>
        <v/>
      </c>
      <c r="CS241" s="856" t="str">
        <f aca="false">IF(BO241=0,"",$C241)</f>
        <v/>
      </c>
      <c r="CT241" s="856" t="str">
        <f aca="false">IF(BL241=0,"",$C241)</f>
        <v/>
      </c>
      <c r="CU241" s="856" t="str">
        <f aca="false">IF(BP241=0,"",$C241)</f>
        <v/>
      </c>
      <c r="CV241" s="856" t="str">
        <f aca="false">IF(BD241=0,"",$C241)</f>
        <v/>
      </c>
      <c r="CW241" s="907" t="n">
        <f aca="false">YEAR(BF241)</f>
        <v>2020</v>
      </c>
      <c r="CX241" s="908" t="n">
        <f aca="false">INDEX('NY Curve'!$A$4:$G$256,MATCH('Monthly Table'!B241,'NY Curve'!$A$4:$A$256,0),MATCH("New York 5 X 16",'NY Curve'!$A$4:$G$4,0))</f>
        <v>0</v>
      </c>
      <c r="CY241" s="909" t="n">
        <f aca="false">K241</f>
        <v>1.24574871578954</v>
      </c>
      <c r="CZ241" s="910" t="n">
        <f aca="false">CX241*CY241</f>
        <v>0</v>
      </c>
      <c r="DB241" s="911"/>
      <c r="DC241" s="911"/>
    </row>
    <row r="242" customFormat="false" ht="18.75" hidden="false" customHeight="true" outlineLevel="0" collapsed="false">
      <c r="A242" s="49" t="s">
        <v>813</v>
      </c>
      <c r="B242" s="863" t="n">
        <v>43922</v>
      </c>
      <c r="C242" s="288" t="n">
        <f aca="false">YEAR(B242)</f>
        <v>2020</v>
      </c>
      <c r="D242" s="864" t="n">
        <f aca="false">IF(A242="January",D241+1,D241)</f>
        <v>20</v>
      </c>
      <c r="E242" s="865" t="n">
        <v>22</v>
      </c>
      <c r="F242" s="866" t="n">
        <v>4</v>
      </c>
      <c r="G242" s="866" t="n">
        <v>4</v>
      </c>
      <c r="H242" s="866" t="n">
        <v>0</v>
      </c>
      <c r="I242" s="867" t="n">
        <f aca="false">SUM(E242:H242)</f>
        <v>30</v>
      </c>
      <c r="J242" s="868"/>
      <c r="K242" s="869" t="n">
        <f aca="false">INDEX(FX!$A$3:$C$362,MATCH(B242,FX!$A$3:$A$362,0),MATCH("Monthly Curve",FX!$A$2:$C$2,0))</f>
        <v>1.24526412584045</v>
      </c>
      <c r="L242" s="869"/>
      <c r="M242" s="993"/>
      <c r="N242" s="994"/>
      <c r="O242" s="986" t="n">
        <v>0.1</v>
      </c>
      <c r="P242" s="872" t="n">
        <f aca="false">N242+O242</f>
        <v>0.1</v>
      </c>
      <c r="Q242" s="873" t="n">
        <f aca="false">SUM(M242:O242)</f>
        <v>0.1</v>
      </c>
      <c r="R242" s="974" t="n">
        <f aca="false">IF(A242="January",(R241+R241*Assumptions!$E$32),R241)</f>
        <v>0.437517882804216</v>
      </c>
      <c r="S242" s="875" t="n">
        <f aca="false">(Q242*K242)+R242</f>
        <v>0.562044295388261</v>
      </c>
      <c r="T242" s="869"/>
      <c r="U242" s="187"/>
      <c r="V242" s="897"/>
      <c r="W242" s="897"/>
      <c r="X242" s="897"/>
      <c r="Y242" s="975" t="n">
        <f aca="false">Tables!$D$36</f>
        <v>312</v>
      </c>
      <c r="Z242" s="879" t="n">
        <f aca="false">IF($Z$10=$V$10,V242,IF($Z$10=$W$10,W242,IF($Z$10=$X$10,X242,0)))</f>
        <v>0</v>
      </c>
      <c r="AA242" s="880" t="n">
        <f aca="false">Y242*Z242</f>
        <v>0</v>
      </c>
      <c r="AB242" s="881" t="n">
        <f aca="false">AA242*K242</f>
        <v>0</v>
      </c>
      <c r="AC242" s="188"/>
      <c r="AD242" s="882" t="n">
        <f aca="false">IF(Tables!$E$30="Michigan",INDEX('Michigan Curve'!$A$4:$S$256,MATCH('Monthly Table'!B242,'Michigan Curve'!$A$4:$A$256,0),MATCH("Michigan Selected Option Value US$/month",'Michigan Curve'!$A$4:$S$4,0)),INDEX('NY Curve'!$A$4:$T$256,MATCH('Monthly Table'!B242,'NY Curve'!$A$4:$A$256,0),MATCH("New York Selected Option Value US$/month",'NY Curve'!$A$4:$T$4,0)))</f>
        <v>0</v>
      </c>
      <c r="AE242" s="883" t="n">
        <f aca="false">AD242*K242</f>
        <v>0</v>
      </c>
      <c r="AF242" s="188"/>
      <c r="AG242" s="884"/>
      <c r="AH242" s="49"/>
      <c r="AI242" s="885" t="n">
        <f aca="false">Assumptions!$B$50</f>
        <v>65</v>
      </c>
      <c r="AJ242" s="916"/>
      <c r="AK242" s="887" t="n">
        <f aca="false">IF(Tables!$E$30="Custom",'Monthly Table'!AI242,IF(Tables!$E$30="New York",INDEX('NY Curve'!$A$4:$G$256,MATCH('Monthly Table'!B242,'NY Curve'!$A$4:$A$256,0),MATCH("Super Peak Curve",'NY Curve'!$A$4:$G$4,0)),IF(Tables!$E$30="New York Flat",INDEX('NY Curve'!$A$4:$G$256,MATCH('Monthly Table'!B242,'NY Curve'!$A$4:$A$256,0),MATCH("Flat NY West",'NY Curve'!$A$4:$G$4,0)),INDEX('Michigan Curve'!$A$4:$F$256,MATCH('Monthly Table'!B242,'Michigan Curve'!$A$4:$A$256,0),MATCH("Michigan Super Peak Curve US$/MWhr",'Michigan Curve'!$A$4:$F$4,0)))))</f>
        <v>0</v>
      </c>
      <c r="AL242" s="888" t="n">
        <f aca="false">IF(D242&lt;=Tables!$B$21,IF($AL$10=$AI$10,AI242,IF($AL$10=$AJ$10,AJ242,IF($AL$10=$AK$10,AK242,0))),0)</f>
        <v>0</v>
      </c>
      <c r="AM242" s="889" t="n">
        <f aca="false">+AL242*K242</f>
        <v>0</v>
      </c>
      <c r="AN242" s="890" t="n">
        <f aca="false">IF((AL242*K242)&gt;(CP242+$BF$4),1,0)</f>
        <v>0</v>
      </c>
      <c r="AO242" s="891"/>
      <c r="AP242" s="894"/>
      <c r="AQ242" s="892" t="n">
        <f aca="false">IF(Tables!$E$30="New York",INDEX('NY Curve'!$A$4:$L$256,MATCH('Monthly Table'!B242,'NY Curve'!$A$4:$A$256,0),MATCH("New York Shoulder Hour Curve Mon-Fri",'NY Curve'!$A$4:$L$4,0)),IF(Tables!$E$30="Michigan",INDEX('Michigan Curve'!$A$4:$K$256,MATCH('Monthly Table'!B242,'Michigan Curve'!$A$4:$A$256,0),MATCH("Michigan Shoulder Hour Curve Mon-Fri",'Michigan Curve'!$A$4:$K$4,0))))</f>
        <v>0</v>
      </c>
      <c r="AR242" s="889" t="n">
        <f aca="false">AQ242*K242</f>
        <v>0</v>
      </c>
      <c r="AS242" s="893" t="n">
        <f aca="false">IF(AR242&gt;($CP242+$BF$4),1,0)</f>
        <v>0</v>
      </c>
      <c r="AU242" s="892" t="n">
        <f aca="false">IF(Tables!$E$30="New York",INDEX('NY Curve'!$A$4:$L$256,MATCH('Monthly Table'!$B242,'NY Curve'!$A$4:$A$256,0),MATCH("New York Saturday Super Peak",'NY Curve'!$A$4:$L$4,0)),IF(Tables!$E$30="Michigan",INDEX('Michigan Curve'!$A$4:$K$256,MATCH('Monthly Table'!$B242,'Michigan Curve'!$A$4:$A$256,0),MATCH("Michigan Saturday Super Peak",'Michigan Curve'!$A$4:$K$4,0))))</f>
        <v>0</v>
      </c>
      <c r="AV242" s="894" t="n">
        <f aca="false">AU242*K242</f>
        <v>0</v>
      </c>
      <c r="AW242" s="893" t="n">
        <f aca="false">IF(Tables!$B$21=15,0,IF(AV242&gt;($CP242+$BF$4),1,0))</f>
        <v>0</v>
      </c>
      <c r="AX242" s="892" t="n">
        <f aca="false">IF(Tables!$E$30="New York",INDEX('NY Curve'!$A$4:$L$256,MATCH('Monthly Table'!$B242,'NY Curve'!$A$4:$A$256,0),MATCH("New York Saturday Shoulder Peak",'NY Curve'!$A$4:$L$4,0)),IF(Tables!$E$30="Michigan",INDEX('Michigan Curve'!$A$4:$K$256,MATCH('Monthly Table'!$B242,'Michigan Curve'!$A$4:$A$256,0),MATCH("Michigan Saturday Shoulder Peak",'Michigan Curve'!$A$4:$K$4,0))))</f>
        <v>0</v>
      </c>
      <c r="AY242" s="895" t="n">
        <f aca="false">AX242*K242</f>
        <v>0</v>
      </c>
      <c r="AZ242" s="893" t="n">
        <f aca="false">IF(Tables!$B$21=15,0,IF(AY242&gt;($CP242+$BF$4),1,0))</f>
        <v>0</v>
      </c>
      <c r="BB242" s="892" t="n">
        <f aca="false">IF(Tables!$E$30="New York",INDEX('NY Curve'!$A$4:$M$256,MATCH('Monthly Table'!$B242,'NY Curve'!$A$4:$A$256,0),MATCH("NY Sunday Super Peak",'NY Curve'!$A$4:$M$4,0)),IF(Tables!$E$30="Michigan",INDEX('Michigan Curve'!$A$4:$L$256,MATCH('Monthly Table'!$B242,'Michigan Curve'!$A$4:$A$256,0),MATCH("Michigan Sunday Super Peak",'Michigan Curve'!$A$4:$L$4,0))))</f>
        <v>0</v>
      </c>
      <c r="BC242" s="894" t="n">
        <f aca="false">BB242*K242</f>
        <v>0</v>
      </c>
      <c r="BD242" s="893" t="n">
        <f aca="false">IF(BC242&gt;($CP242+$BF$4),1,0)</f>
        <v>0</v>
      </c>
      <c r="BF242" s="896" t="n">
        <f aca="false">B242</f>
        <v>43922</v>
      </c>
      <c r="BG242" s="897" t="n">
        <f aca="false">IF($AN242=1,$E242*$BF$5,0)</f>
        <v>0</v>
      </c>
      <c r="BH242" s="976" t="n">
        <f aca="false">IF(Tables!$B$36="Combined Cycle",(BF242-BF241)*24*Assumptions!$B$21,0)</f>
        <v>0</v>
      </c>
      <c r="BI242" s="714" t="n">
        <f aca="false">IF($AN242=1,$E242*$BF$5,0)</f>
        <v>0</v>
      </c>
      <c r="BJ242" s="898" t="n">
        <f aca="false">IF('Monthly Table'!D242&lt;=Tables!$B$21,IF($BJ$10=$BG$10,BG242,IF($BJ$10=$BH$10,BH242,IF($BJ$10=$BI$10,BI242,0))),0)</f>
        <v>0</v>
      </c>
      <c r="BK242" s="288"/>
      <c r="BL242" s="898" t="n">
        <f aca="false">IF($AW242=1,$F242*$BF$5,0)</f>
        <v>0</v>
      </c>
      <c r="BM242" s="898" t="n">
        <f aca="false">IF($BD242=1,($G242+H242)*$BF$5,0)</f>
        <v>0</v>
      </c>
      <c r="BO242" s="898" t="n">
        <f aca="false">IF(AS242=1,BJ242,0)</f>
        <v>0</v>
      </c>
      <c r="BP242" s="898" t="n">
        <f aca="false">IF(AZ242=1,F242*$BF$5,0)</f>
        <v>0</v>
      </c>
      <c r="BR242" s="899" t="n">
        <f aca="false">IF(BJ242&gt;0,INDEX(OperationalDetail,MATCH("Capacity Degradation",ODColumn,0),MATCH('Monthly Table'!C242,ODRow,0)),0)</f>
        <v>0</v>
      </c>
      <c r="BS242" s="900" t="n">
        <f aca="false">BJ242*(1-BR242)*Tables!$C$36</f>
        <v>0</v>
      </c>
      <c r="BT242" s="883" t="n">
        <f aca="false">BS242*AL242/1000</f>
        <v>0</v>
      </c>
      <c r="BU242" s="902" t="n">
        <f aca="false">BT242*K242</f>
        <v>0</v>
      </c>
      <c r="BV242" s="997"/>
      <c r="BW242" s="901" t="n">
        <f aca="false">$BO242*(1-$BR242)*Tables!$C$36</f>
        <v>0</v>
      </c>
      <c r="BX242" s="902" t="n">
        <f aca="false">(BW242*AQ242)/1000</f>
        <v>0</v>
      </c>
      <c r="BY242" s="883" t="n">
        <f aca="false">BX242*K242</f>
        <v>0</v>
      </c>
      <c r="BZ242" s="188"/>
      <c r="CA242" s="901" t="n">
        <f aca="false">$BL242*(1-$BR242)*Tables!$C$36</f>
        <v>0</v>
      </c>
      <c r="CB242" s="902" t="n">
        <f aca="false">(CA242*AU242)/1000</f>
        <v>0</v>
      </c>
      <c r="CC242" s="883" t="n">
        <f aca="false">CB242*K242</f>
        <v>0</v>
      </c>
      <c r="CD242" s="901" t="n">
        <f aca="false">$BP242*(1-$BR242)*Tables!$C$36</f>
        <v>0</v>
      </c>
      <c r="CE242" s="902" t="n">
        <f aca="false">(CD242*AX242)/1000</f>
        <v>0</v>
      </c>
      <c r="CF242" s="883" t="n">
        <f aca="false">CE242*K242</f>
        <v>0</v>
      </c>
      <c r="CH242" s="901" t="n">
        <f aca="false">$BM242*(1-$BR242)*Tables!$C$36</f>
        <v>0</v>
      </c>
      <c r="CI242" s="902" t="n">
        <f aca="false">(CH242*BB242)/1000</f>
        <v>0</v>
      </c>
      <c r="CJ242" s="883" t="n">
        <f aca="false">CI242*K242</f>
        <v>0</v>
      </c>
      <c r="CL242" s="292" t="n">
        <f aca="false">C242-1</f>
        <v>2019</v>
      </c>
      <c r="CM242" s="903" t="n">
        <f aca="false">INDEX(OperationalDetail,MATCH("Degraded Heat Rate",ODColumn,0),MATCH('Monthly Table'!CL242,ODRow,0))/1000</f>
        <v>11.96</v>
      </c>
      <c r="CN242" s="904" t="n">
        <f aca="false">S242*CM242</f>
        <v>6.7220497728436</v>
      </c>
      <c r="CO242" s="905" t="n">
        <f aca="false">IF(A242="January",(CO241*(1+Assumptions!$E$32)),CO241)</f>
        <v>9.81253375395756</v>
      </c>
      <c r="CP242" s="906" t="n">
        <f aca="false">CN242+CO242</f>
        <v>16.5345835268012</v>
      </c>
      <c r="CR242" s="856" t="str">
        <f aca="false">IF(BJ242=0,"",C242)</f>
        <v/>
      </c>
      <c r="CS242" s="856" t="str">
        <f aca="false">IF(BO242=0,"",$C242)</f>
        <v/>
      </c>
      <c r="CT242" s="856" t="str">
        <f aca="false">IF(BL242=0,"",$C242)</f>
        <v/>
      </c>
      <c r="CU242" s="856" t="str">
        <f aca="false">IF(BP242=0,"",$C242)</f>
        <v/>
      </c>
      <c r="CV242" s="856" t="str">
        <f aca="false">IF(BD242=0,"",$C242)</f>
        <v/>
      </c>
      <c r="CW242" s="907" t="n">
        <f aca="false">YEAR(BF242)</f>
        <v>2020</v>
      </c>
      <c r="CX242" s="908" t="n">
        <f aca="false">INDEX('NY Curve'!$A$4:$G$256,MATCH('Monthly Table'!B242,'NY Curve'!$A$4:$A$256,0),MATCH("New York 5 X 16",'NY Curve'!$A$4:$G$4,0))</f>
        <v>0</v>
      </c>
      <c r="CY242" s="909" t="n">
        <f aca="false">K242</f>
        <v>1.24526412584045</v>
      </c>
      <c r="CZ242" s="910" t="n">
        <f aca="false">CX242*CY242</f>
        <v>0</v>
      </c>
      <c r="DB242" s="911"/>
      <c r="DC242" s="911"/>
    </row>
    <row r="243" customFormat="false" ht="18.75" hidden="false" customHeight="true" outlineLevel="0" collapsed="false">
      <c r="A243" s="49" t="s">
        <v>814</v>
      </c>
      <c r="B243" s="863" t="n">
        <v>43952</v>
      </c>
      <c r="C243" s="288" t="n">
        <f aca="false">YEAR(B243)</f>
        <v>2020</v>
      </c>
      <c r="D243" s="864" t="n">
        <f aca="false">IF(A243="January",D242+1,D242)</f>
        <v>20</v>
      </c>
      <c r="E243" s="865" t="n">
        <v>20</v>
      </c>
      <c r="F243" s="866" t="n">
        <v>5</v>
      </c>
      <c r="G243" s="866" t="n">
        <v>5</v>
      </c>
      <c r="H243" s="866" t="n">
        <v>1</v>
      </c>
      <c r="I243" s="867" t="n">
        <f aca="false">SUM(E243:H243)</f>
        <v>31</v>
      </c>
      <c r="J243" s="868"/>
      <c r="K243" s="869" t="n">
        <f aca="false">INDEX(FX!$A$3:$C$362,MATCH(B243,FX!$A$3:$A$362,0),MATCH("Monthly Curve",FX!$A$2:$C$2,0))</f>
        <v>1.24429126853314</v>
      </c>
      <c r="L243" s="869"/>
      <c r="M243" s="993"/>
      <c r="N243" s="994"/>
      <c r="O243" s="986" t="n">
        <v>0.1</v>
      </c>
      <c r="P243" s="872" t="n">
        <f aca="false">N243+O243</f>
        <v>0.1</v>
      </c>
      <c r="Q243" s="873" t="n">
        <f aca="false">SUM(M243:O243)</f>
        <v>0.1</v>
      </c>
      <c r="R243" s="974" t="n">
        <f aca="false">IF(A243="January",(R242+R242*Assumptions!$E$32),R242)</f>
        <v>0.437517882804216</v>
      </c>
      <c r="S243" s="875" t="n">
        <f aca="false">(Q243*K243)+R243</f>
        <v>0.56194700965753</v>
      </c>
      <c r="T243" s="869"/>
      <c r="U243" s="0"/>
      <c r="V243" s="897"/>
      <c r="W243" s="897"/>
      <c r="X243" s="897"/>
      <c r="Y243" s="975" t="n">
        <f aca="false">Tables!$D$36</f>
        <v>312</v>
      </c>
      <c r="Z243" s="879" t="n">
        <f aca="false">IF($Z$10=$V$10,V243,IF($Z$10=$W$10,W243,IF($Z$10=$X$10,X243,0)))</f>
        <v>0</v>
      </c>
      <c r="AA243" s="880" t="n">
        <f aca="false">Y243*Z243</f>
        <v>0</v>
      </c>
      <c r="AB243" s="881" t="n">
        <f aca="false">AA243*K243</f>
        <v>0</v>
      </c>
      <c r="AC243" s="188"/>
      <c r="AD243" s="882" t="n">
        <f aca="false">IF(Tables!$E$30="Michigan",INDEX('Michigan Curve'!$A$4:$S$256,MATCH('Monthly Table'!B243,'Michigan Curve'!$A$4:$A$256,0),MATCH("Michigan Selected Option Value US$/month",'Michigan Curve'!$A$4:$S$4,0)),INDEX('NY Curve'!$A$4:$T$256,MATCH('Monthly Table'!B243,'NY Curve'!$A$4:$A$256,0),MATCH("New York Selected Option Value US$/month",'NY Curve'!$A$4:$T$4,0)))</f>
        <v>0</v>
      </c>
      <c r="AE243" s="883" t="n">
        <f aca="false">AD243*K243</f>
        <v>0</v>
      </c>
      <c r="AF243" s="188"/>
      <c r="AG243" s="884"/>
      <c r="AH243" s="49"/>
      <c r="AI243" s="885" t="n">
        <f aca="false">Assumptions!$B$50</f>
        <v>65</v>
      </c>
      <c r="AJ243" s="916"/>
      <c r="AK243" s="887" t="n">
        <f aca="false">IF(Tables!$E$30="Custom",'Monthly Table'!AI243,IF(Tables!$E$30="New York",INDEX('NY Curve'!$A$4:$G$256,MATCH('Monthly Table'!B243,'NY Curve'!$A$4:$A$256,0),MATCH("Super Peak Curve",'NY Curve'!$A$4:$G$4,0)),IF(Tables!$E$30="New York Flat",INDEX('NY Curve'!$A$4:$G$256,MATCH('Monthly Table'!B243,'NY Curve'!$A$4:$A$256,0),MATCH("Flat NY West",'NY Curve'!$A$4:$G$4,0)),INDEX('Michigan Curve'!$A$4:$F$256,MATCH('Monthly Table'!B243,'Michigan Curve'!$A$4:$A$256,0),MATCH("Michigan Super Peak Curve US$/MWhr",'Michigan Curve'!$A$4:$F$4,0)))))</f>
        <v>0</v>
      </c>
      <c r="AL243" s="888" t="n">
        <f aca="false">IF(D243&lt;=Tables!$B$21,IF($AL$10=$AI$10,AI243,IF($AL$10=$AJ$10,AJ243,IF($AL$10=$AK$10,AK243,0))),0)</f>
        <v>0</v>
      </c>
      <c r="AM243" s="889" t="n">
        <f aca="false">+AL243*K243</f>
        <v>0</v>
      </c>
      <c r="AN243" s="890" t="n">
        <f aca="false">IF((AL243*K243)&gt;(CP243+$BF$4),1,0)</f>
        <v>0</v>
      </c>
      <c r="AO243" s="891"/>
      <c r="AP243" s="894"/>
      <c r="AQ243" s="892" t="n">
        <f aca="false">IF(Tables!$E$30="New York",INDEX('NY Curve'!$A$4:$L$256,MATCH('Monthly Table'!B243,'NY Curve'!$A$4:$A$256,0),MATCH("New York Shoulder Hour Curve Mon-Fri",'NY Curve'!$A$4:$L$4,0)),IF(Tables!$E$30="Michigan",INDEX('Michigan Curve'!$A$4:$K$256,MATCH('Monthly Table'!B243,'Michigan Curve'!$A$4:$A$256,0),MATCH("Michigan Shoulder Hour Curve Mon-Fri",'Michigan Curve'!$A$4:$K$4,0))))</f>
        <v>0</v>
      </c>
      <c r="AR243" s="889" t="n">
        <f aca="false">AQ243*K243</f>
        <v>0</v>
      </c>
      <c r="AS243" s="893" t="n">
        <f aca="false">IF(AR243&gt;($CP243+$BF$4),1,0)</f>
        <v>0</v>
      </c>
      <c r="AU243" s="892" t="n">
        <f aca="false">IF(Tables!$E$30="New York",INDEX('NY Curve'!$A$4:$L$256,MATCH('Monthly Table'!$B243,'NY Curve'!$A$4:$A$256,0),MATCH("New York Saturday Super Peak",'NY Curve'!$A$4:$L$4,0)),IF(Tables!$E$30="Michigan",INDEX('Michigan Curve'!$A$4:$K$256,MATCH('Monthly Table'!$B243,'Michigan Curve'!$A$4:$A$256,0),MATCH("Michigan Saturday Super Peak",'Michigan Curve'!$A$4:$K$4,0))))</f>
        <v>0</v>
      </c>
      <c r="AV243" s="894" t="n">
        <f aca="false">AU243*K243</f>
        <v>0</v>
      </c>
      <c r="AW243" s="893" t="n">
        <f aca="false">IF(Tables!$B$21=15,0,IF(AV243&gt;($CP243+$BF$4),1,0))</f>
        <v>0</v>
      </c>
      <c r="AX243" s="892" t="n">
        <f aca="false">IF(Tables!$E$30="New York",INDEX('NY Curve'!$A$4:$L$256,MATCH('Monthly Table'!$B243,'NY Curve'!$A$4:$A$256,0),MATCH("New York Saturday Shoulder Peak",'NY Curve'!$A$4:$L$4,0)),IF(Tables!$E$30="Michigan",INDEX('Michigan Curve'!$A$4:$K$256,MATCH('Monthly Table'!$B243,'Michigan Curve'!$A$4:$A$256,0),MATCH("Michigan Saturday Shoulder Peak",'Michigan Curve'!$A$4:$K$4,0))))</f>
        <v>0</v>
      </c>
      <c r="AY243" s="895" t="n">
        <f aca="false">AX243*K243</f>
        <v>0</v>
      </c>
      <c r="AZ243" s="893" t="n">
        <f aca="false">IF(Tables!$B$21=15,0,IF(AY243&gt;($CP243+$BF$4),1,0))</f>
        <v>0</v>
      </c>
      <c r="BB243" s="892" t="n">
        <f aca="false">IF(Tables!$E$30="New York",INDEX('NY Curve'!$A$4:$M$256,MATCH('Monthly Table'!$B243,'NY Curve'!$A$4:$A$256,0),MATCH("NY Sunday Super Peak",'NY Curve'!$A$4:$M$4,0)),IF(Tables!$E$30="Michigan",INDEX('Michigan Curve'!$A$4:$L$256,MATCH('Monthly Table'!$B243,'Michigan Curve'!$A$4:$A$256,0),MATCH("Michigan Sunday Super Peak",'Michigan Curve'!$A$4:$L$4,0))))</f>
        <v>0</v>
      </c>
      <c r="BC243" s="894" t="n">
        <f aca="false">BB243*K243</f>
        <v>0</v>
      </c>
      <c r="BD243" s="893" t="n">
        <f aca="false">IF(BC243&gt;($CP243+$BF$4),1,0)</f>
        <v>0</v>
      </c>
      <c r="BF243" s="896" t="n">
        <f aca="false">B243</f>
        <v>43952</v>
      </c>
      <c r="BG243" s="897" t="n">
        <f aca="false">IF($AN243=1,$E243*$BF$5,0)</f>
        <v>0</v>
      </c>
      <c r="BH243" s="976" t="n">
        <f aca="false">IF(Tables!$B$36="Combined Cycle",(BF243-BF242)*24*Assumptions!$B$21,0)</f>
        <v>0</v>
      </c>
      <c r="BI243" s="714" t="n">
        <f aca="false">IF($AN243=1,$E243*$BF$5,0)</f>
        <v>0</v>
      </c>
      <c r="BJ243" s="898" t="n">
        <f aca="false">IF('Monthly Table'!D243&lt;=Tables!$B$21,IF($BJ$10=$BG$10,BG243,IF($BJ$10=$BH$10,BH243,IF($BJ$10=$BI$10,BI243,0))),0)</f>
        <v>0</v>
      </c>
      <c r="BK243" s="288"/>
      <c r="BL243" s="898" t="n">
        <f aca="false">IF($AW243=1,$F243*$BF$5,0)</f>
        <v>0</v>
      </c>
      <c r="BM243" s="898" t="n">
        <f aca="false">IF($BD243=1,($G243+H243)*$BF$5,0)</f>
        <v>0</v>
      </c>
      <c r="BO243" s="898" t="n">
        <f aca="false">IF(AS243=1,BJ243,0)</f>
        <v>0</v>
      </c>
      <c r="BP243" s="898" t="n">
        <f aca="false">IF(AZ243=1,F243*$BF$5,0)</f>
        <v>0</v>
      </c>
      <c r="BR243" s="899" t="n">
        <f aca="false">IF(BJ243&gt;0,INDEX(OperationalDetail,MATCH("Capacity Degradation",ODColumn,0),MATCH('Monthly Table'!C243,ODRow,0)),0)</f>
        <v>0</v>
      </c>
      <c r="BS243" s="900" t="n">
        <f aca="false">BJ243*(1-BR243)*Tables!$C$36</f>
        <v>0</v>
      </c>
      <c r="BT243" s="883" t="n">
        <f aca="false">BS243*AL243/1000</f>
        <v>0</v>
      </c>
      <c r="BU243" s="902" t="n">
        <f aca="false">BT243*K243</f>
        <v>0</v>
      </c>
      <c r="BV243" s="997"/>
      <c r="BW243" s="901" t="n">
        <f aca="false">$BO243*(1-$BR243)*Tables!$C$36</f>
        <v>0</v>
      </c>
      <c r="BX243" s="902" t="n">
        <f aca="false">(BW243*AQ243)/1000</f>
        <v>0</v>
      </c>
      <c r="BY243" s="883" t="n">
        <f aca="false">BX243*K243</f>
        <v>0</v>
      </c>
      <c r="BZ243" s="188"/>
      <c r="CA243" s="901" t="n">
        <f aca="false">$BL243*(1-$BR243)*Tables!$C$36</f>
        <v>0</v>
      </c>
      <c r="CB243" s="902" t="n">
        <f aca="false">(CA243*AU243)/1000</f>
        <v>0</v>
      </c>
      <c r="CC243" s="883" t="n">
        <f aca="false">CB243*K243</f>
        <v>0</v>
      </c>
      <c r="CD243" s="901" t="n">
        <f aca="false">$BP243*(1-$BR243)*Tables!$C$36</f>
        <v>0</v>
      </c>
      <c r="CE243" s="902" t="n">
        <f aca="false">(CD243*AX243)/1000</f>
        <v>0</v>
      </c>
      <c r="CF243" s="883" t="n">
        <f aca="false">CE243*K243</f>
        <v>0</v>
      </c>
      <c r="CH243" s="901" t="n">
        <f aca="false">$BM243*(1-$BR243)*Tables!$C$36</f>
        <v>0</v>
      </c>
      <c r="CI243" s="902" t="n">
        <f aca="false">(CH243*BB243)/1000</f>
        <v>0</v>
      </c>
      <c r="CJ243" s="883" t="n">
        <f aca="false">CI243*K243</f>
        <v>0</v>
      </c>
      <c r="CL243" s="292" t="n">
        <f aca="false">C243-1</f>
        <v>2019</v>
      </c>
      <c r="CM243" s="903" t="n">
        <f aca="false">INDEX(OperationalDetail,MATCH("Degraded Heat Rate",ODColumn,0),MATCH('Monthly Table'!CL243,ODRow,0))/1000</f>
        <v>11.96</v>
      </c>
      <c r="CN243" s="904" t="n">
        <f aca="false">S243*CM243</f>
        <v>6.72088623550406</v>
      </c>
      <c r="CO243" s="905" t="n">
        <f aca="false">IF(A243="January",(CO242*(1+Assumptions!$E$32)),CO242)</f>
        <v>9.81253375395756</v>
      </c>
      <c r="CP243" s="906" t="n">
        <f aca="false">CN243+CO243</f>
        <v>16.5334199894616</v>
      </c>
      <c r="CR243" s="856" t="str">
        <f aca="false">IF(BJ243=0,"",C243)</f>
        <v/>
      </c>
      <c r="CS243" s="856" t="str">
        <f aca="false">IF(BO243=0,"",$C243)</f>
        <v/>
      </c>
      <c r="CT243" s="856" t="str">
        <f aca="false">IF(BL243=0,"",$C243)</f>
        <v/>
      </c>
      <c r="CU243" s="856" t="str">
        <f aca="false">IF(BP243=0,"",$C243)</f>
        <v/>
      </c>
      <c r="CV243" s="856" t="str">
        <f aca="false">IF(BD243=0,"",$C243)</f>
        <v/>
      </c>
      <c r="CW243" s="907" t="n">
        <f aca="false">YEAR(BF243)</f>
        <v>2020</v>
      </c>
      <c r="CX243" s="908" t="n">
        <f aca="false">INDEX('NY Curve'!$A$4:$G$256,MATCH('Monthly Table'!B243,'NY Curve'!$A$4:$A$256,0),MATCH("New York 5 X 16",'NY Curve'!$A$4:$G$4,0))</f>
        <v>0</v>
      </c>
      <c r="CY243" s="909" t="n">
        <f aca="false">K243</f>
        <v>1.24429126853314</v>
      </c>
      <c r="CZ243" s="910" t="n">
        <f aca="false">CX243*CY243</f>
        <v>0</v>
      </c>
      <c r="DB243" s="911"/>
      <c r="DC243" s="911"/>
    </row>
    <row r="244" customFormat="false" ht="18.75" hidden="false" customHeight="true" outlineLevel="0" collapsed="false">
      <c r="A244" s="49" t="s">
        <v>815</v>
      </c>
      <c r="B244" s="863" t="n">
        <v>43983</v>
      </c>
      <c r="C244" s="288" t="n">
        <f aca="false">YEAR(B244)</f>
        <v>2020</v>
      </c>
      <c r="D244" s="864" t="n">
        <f aca="false">IF(A244="January",D243+1,D243)</f>
        <v>20</v>
      </c>
      <c r="E244" s="998" t="n">
        <v>22</v>
      </c>
      <c r="F244" s="999" t="n">
        <v>4</v>
      </c>
      <c r="G244" s="999" t="n">
        <v>4</v>
      </c>
      <c r="H244" s="999" t="n">
        <v>0</v>
      </c>
      <c r="I244" s="867" t="n">
        <f aca="false">SUM(E244:H244)</f>
        <v>30</v>
      </c>
      <c r="J244" s="868"/>
      <c r="K244" s="869" t="n">
        <f aca="false">INDEX(FX!$A$3:$C$362,MATCH(B244,FX!$A$3:$A$362,0),MATCH("Monthly Curve",FX!$A$2:$C$2,0))</f>
        <v>1.24318012821095</v>
      </c>
      <c r="L244" s="869"/>
      <c r="M244" s="1000"/>
      <c r="N244" s="1001"/>
      <c r="O244" s="1002" t="n">
        <v>0.1</v>
      </c>
      <c r="P244" s="1003" t="n">
        <f aca="false">N244+O244</f>
        <v>0.1</v>
      </c>
      <c r="Q244" s="1004" t="n">
        <f aca="false">SUM(M244:O244)</f>
        <v>0.1</v>
      </c>
      <c r="R244" s="1005" t="n">
        <f aca="false">IF(A244="January",(R243+R243*Assumptions!$E$32),R243)</f>
        <v>0.437517882804216</v>
      </c>
      <c r="S244" s="1006" t="n">
        <f aca="false">(Q244*K244)+R244</f>
        <v>0.561835895625311</v>
      </c>
      <c r="T244" s="869"/>
      <c r="U244" s="0"/>
      <c r="V244" s="1007"/>
      <c r="W244" s="1007"/>
      <c r="X244" s="1007"/>
      <c r="Y244" s="1008" t="n">
        <f aca="false">Tables!$D$36</f>
        <v>312</v>
      </c>
      <c r="Z244" s="1009" t="n">
        <f aca="false">IF($Z$10=$V$10,V244,IF($Z$10=$W$10,W244,IF($Z$10=$X$10,X244,0)))</f>
        <v>0</v>
      </c>
      <c r="AA244" s="1010" t="n">
        <f aca="false">Y244*Z244</f>
        <v>0</v>
      </c>
      <c r="AB244" s="1011" t="n">
        <f aca="false">AA244*K244</f>
        <v>0</v>
      </c>
      <c r="AC244" s="188"/>
      <c r="AD244" s="882" t="n">
        <f aca="false">IF(Tables!$E$30="Michigan",INDEX('Michigan Curve'!$A$4:$S$256,MATCH('Monthly Table'!B244,'Michigan Curve'!$A$4:$A$256,0),MATCH("Michigan Selected Option Value US$/month",'Michigan Curve'!$A$4:$S$4,0)),INDEX('NY Curve'!$A$4:$T$256,MATCH('Monthly Table'!B244,'NY Curve'!$A$4:$A$256,0),MATCH("New York Selected Option Value US$/month",'NY Curve'!$A$4:$T$4,0)))</f>
        <v>0</v>
      </c>
      <c r="AE244" s="883" t="n">
        <f aca="false">AD244*K244</f>
        <v>0</v>
      </c>
      <c r="AF244" s="188"/>
      <c r="AG244" s="1012"/>
      <c r="AH244" s="1013"/>
      <c r="AI244" s="885" t="n">
        <f aca="false">Assumptions!$B$50</f>
        <v>65</v>
      </c>
      <c r="AJ244" s="1014"/>
      <c r="AK244" s="887" t="e">
        <f aca="false">IF(Tables!$E$30="Custom",'Monthly Table'!AI244,IF(Tables!$E$30="New York",INDEX('NY Curve'!$A$4:$G$256,MATCH('Monthly Table'!B244,'NY Curve'!$A$4:$A$256,0),MATCH("Super Peak Curve",'NY Curve'!$A$4:$G$4,0)),IF(Tables!$E$30="New York Flat",INDEX('NY Curve'!$A$4:$G$256,MATCH('Monthly Table'!B244,'NY Curve'!$A$4:$A$256,0),MATCH("Flat NY West",'NY Curve'!$A$4:$G$4,0)),INDEX('Michigan Curve'!$A$4:$F$256,MATCH('Monthly Table'!B244,'Michigan Curve'!$A$4:$A$256,0),MATCH("Michigan Super Peak Curve US$/MWhr",'Michigan Curve'!$A$4:$F$4,0)))))</f>
        <v>#DIV/0!</v>
      </c>
      <c r="AL244" s="1015" t="n">
        <f aca="false">IF(D244&lt;=Tables!$B$21,IF($AL$10=$AI$10,AI244,IF($AL$10=$AJ$10,AJ244,IF($AL$10=$AK$10,AK244,0))),0)</f>
        <v>0</v>
      </c>
      <c r="AM244" s="1016" t="n">
        <f aca="false">+AL244*K244</f>
        <v>0</v>
      </c>
      <c r="AN244" s="1017" t="n">
        <f aca="false">IF((AL244*K244)&gt;(CP244+$BF$4),1,0)</f>
        <v>0</v>
      </c>
      <c r="AO244" s="1018"/>
      <c r="AP244" s="894"/>
      <c r="AQ244" s="892" t="e">
        <f aca="false">IF(Tables!$E$30="New York",INDEX('NY Curve'!$A$4:$L$256,MATCH('Monthly Table'!B244,'NY Curve'!$A$4:$A$256,0),MATCH("New York Shoulder Hour Curve Mon-Fri",'NY Curve'!$A$4:$L$4,0)),IF(Tables!$E$30="Michigan",INDEX('Michigan Curve'!$A$4:$K$256,MATCH('Monthly Table'!B244,'Michigan Curve'!$A$4:$A$256,0),MATCH("Michigan Shoulder Hour Curve Mon-Fri",'Michigan Curve'!$A$4:$K$4,0))))</f>
        <v>#DIV/0!</v>
      </c>
      <c r="AR244" s="1016" t="e">
        <f aca="false">AQ244*K244</f>
        <v>#DIV/0!</v>
      </c>
      <c r="AS244" s="893" t="e">
        <f aca="false">IF(AR244&gt;($CP244+$BF$4),1,0)</f>
        <v>#DIV/0!</v>
      </c>
      <c r="AT244" s="1019"/>
      <c r="AU244" s="892" t="e">
        <f aca="false">IF(Tables!$E$30="New York",INDEX('NY Curve'!$A$4:$L$256,MATCH('Monthly Table'!$B244,'NY Curve'!$A$4:$A$256,0),MATCH("New York Saturday Super Peak",'NY Curve'!$A$4:$L$4,0)),IF(Tables!$E$30="Michigan",INDEX('Michigan Curve'!$A$4:$K$256,MATCH('Monthly Table'!$B244,'Michigan Curve'!$A$4:$A$256,0),MATCH("Michigan Saturday Super Peak",'Michigan Curve'!$A$4:$K$4,0))))</f>
        <v>#DIV/0!</v>
      </c>
      <c r="AV244" s="1020" t="e">
        <f aca="false">AU244*K244</f>
        <v>#DIV/0!</v>
      </c>
      <c r="AW244" s="893" t="n">
        <f aca="false">IF(Tables!$B$21=15,0,IF(AV244&gt;($CP244+$BF$4),1,0))</f>
        <v>0</v>
      </c>
      <c r="AX244" s="892" t="e">
        <f aca="false">IF(Tables!$E$30="New York",INDEX('NY Curve'!$A$4:$L$256,MATCH('Monthly Table'!$B244,'NY Curve'!$A$4:$A$256,0),MATCH("New York Saturday Shoulder Peak",'NY Curve'!$A$4:$L$4,0)),IF(Tables!$E$30="Michigan",INDEX('Michigan Curve'!$A$4:$K$256,MATCH('Monthly Table'!$B244,'Michigan Curve'!$A$4:$A$256,0),MATCH("Michigan Saturday Shoulder Peak",'Michigan Curve'!$A$4:$K$4,0))))</f>
        <v>#DIV/0!</v>
      </c>
      <c r="AY244" s="1021" t="e">
        <f aca="false">AX244*K244</f>
        <v>#DIV/0!</v>
      </c>
      <c r="AZ244" s="893" t="n">
        <f aca="false">IF(Tables!$B$21=15,0,IF(AY244&gt;($CP244+$BF$4),1,0))</f>
        <v>0</v>
      </c>
      <c r="BA244" s="1019"/>
      <c r="BB244" s="892" t="e">
        <f aca="false">IF(Tables!$E$30="New York",INDEX('NY Curve'!$A$4:$M$256,MATCH('Monthly Table'!$B244,'NY Curve'!$A$4:$A$256,0),MATCH("NY Sunday Super Peak",'NY Curve'!$A$4:$M$4,0)),IF(Tables!$E$30="Michigan",INDEX('Michigan Curve'!$A$4:$L$256,MATCH('Monthly Table'!$B244,'Michigan Curve'!$A$4:$A$256,0),MATCH("Michigan Sunday Super Peak",'Michigan Curve'!$A$4:$L$4,0))))</f>
        <v>#DIV/0!</v>
      </c>
      <c r="BC244" s="894" t="e">
        <f aca="false">BB244*K244</f>
        <v>#DIV/0!</v>
      </c>
      <c r="BD244" s="1022" t="e">
        <f aca="false">IF(BC244&gt;($CP244+$BF$4),1,0)</f>
        <v>#DIV/0!</v>
      </c>
      <c r="BE244" s="1019"/>
      <c r="BF244" s="1023" t="n">
        <f aca="false">B244</f>
        <v>43983</v>
      </c>
      <c r="BG244" s="1007" t="n">
        <f aca="false">IF($AN244=1,$E244*$BF$5,0)</f>
        <v>0</v>
      </c>
      <c r="BH244" s="1024" t="n">
        <f aca="false">IF(Tables!$B$36="Combined Cycle",(BF244-BF243)*24*Assumptions!$B$21,0)</f>
        <v>0</v>
      </c>
      <c r="BI244" s="1025" t="n">
        <f aca="false">IF($AN244=1,$E244*$BF$5,0)</f>
        <v>0</v>
      </c>
      <c r="BJ244" s="1026" t="n">
        <f aca="false">IF('Monthly Table'!D244&lt;=Tables!$B$21,IF($BJ$10=$BG$10,BG244,IF($BJ$10=$BH$10,BH244,IF($BJ$10=$BI$10,BI244,0))),0)</f>
        <v>0</v>
      </c>
      <c r="BK244" s="288"/>
      <c r="BL244" s="898" t="n">
        <f aca="false">IF($AW244=1,$F244*$BF$5,0)</f>
        <v>0</v>
      </c>
      <c r="BM244" s="898" t="e">
        <f aca="false">IF($BD244=1,($G244+H244)*$BF$5,0)</f>
        <v>#DIV/0!</v>
      </c>
      <c r="BO244" s="1026" t="e">
        <f aca="false">IF(AS244=1,BJ244,0)</f>
        <v>#DIV/0!</v>
      </c>
      <c r="BP244" s="1026" t="n">
        <f aca="false">IF(AZ244=1,F244*$BF$5,0)</f>
        <v>0</v>
      </c>
      <c r="BR244" s="951" t="n">
        <f aca="false">IF(BJ244&gt;0,INDEX(OperationalDetail,MATCH("Capacity Degradation",ODColumn,0),MATCH('Monthly Table'!C244,ODRow,0)),0)</f>
        <v>0</v>
      </c>
      <c r="BS244" s="900" t="n">
        <f aca="false">BJ244*(1-BR244)*Tables!$C$36</f>
        <v>0</v>
      </c>
      <c r="BT244" s="1027" t="n">
        <f aca="false">BS244*AL244/1000</f>
        <v>0</v>
      </c>
      <c r="BU244" s="1028" t="n">
        <f aca="false">BT244*K244</f>
        <v>0</v>
      </c>
      <c r="BV244" s="997"/>
      <c r="BW244" s="901" t="e">
        <f aca="false">$BO244*(1-$BR244)*Tables!$C$36</f>
        <v>#DIV/0!</v>
      </c>
      <c r="BX244" s="1028" t="e">
        <f aca="false">(BW244*AQ244)/1000</f>
        <v>#DIV/0!</v>
      </c>
      <c r="BY244" s="1027" t="e">
        <f aca="false">BX244*K244</f>
        <v>#DIV/0!</v>
      </c>
      <c r="BZ244" s="1029"/>
      <c r="CA244" s="1030" t="n">
        <f aca="false">$BL244*(1-$BR244)*Tables!$C$36</f>
        <v>0</v>
      </c>
      <c r="CB244" s="1028" t="e">
        <f aca="false">(CA244*AU244)/1000</f>
        <v>#DIV/0!</v>
      </c>
      <c r="CC244" s="1027" t="e">
        <f aca="false">CB244*K244</f>
        <v>#DIV/0!</v>
      </c>
      <c r="CD244" s="1030" t="n">
        <f aca="false">$BP244*(1-$BR244)*Tables!$C$36</f>
        <v>0</v>
      </c>
      <c r="CE244" s="1028" t="e">
        <f aca="false">(CD244*AX244)/1000</f>
        <v>#DIV/0!</v>
      </c>
      <c r="CF244" s="1027" t="e">
        <f aca="false">CE244*K244</f>
        <v>#DIV/0!</v>
      </c>
      <c r="CG244" s="461"/>
      <c r="CH244" s="1030" t="e">
        <f aca="false">$BM244*(1-$BR244)*Tables!$C$36</f>
        <v>#DIV/0!</v>
      </c>
      <c r="CI244" s="1028" t="e">
        <f aca="false">(CH244*BB244)/1000</f>
        <v>#DIV/0!</v>
      </c>
      <c r="CJ244" s="1027" t="e">
        <f aca="false">CI244*K244</f>
        <v>#DIV/0!</v>
      </c>
      <c r="CK244" s="461"/>
      <c r="CL244" s="292" t="n">
        <f aca="false">C244-1</f>
        <v>2019</v>
      </c>
      <c r="CM244" s="1031" t="n">
        <f aca="false">INDEX(OperationalDetail,MATCH("Degraded Heat Rate",ODColumn,0),MATCH('Monthly Table'!CL244,ODRow,0))/1000</f>
        <v>11.96</v>
      </c>
      <c r="CN244" s="1032" t="n">
        <f aca="false">S244*CM244</f>
        <v>6.71955731167872</v>
      </c>
      <c r="CO244" s="1033" t="n">
        <f aca="false">IF(A244="January",(CO243*(1+Assumptions!$E$32)),CO243)</f>
        <v>9.81253375395756</v>
      </c>
      <c r="CP244" s="1034" t="n">
        <f aca="false">CN244+CO244</f>
        <v>16.5320910656363</v>
      </c>
      <c r="CQ244" s="461"/>
      <c r="CR244" s="1035" t="str">
        <f aca="false">IF(BJ244=0,"",C244)</f>
        <v/>
      </c>
      <c r="CS244" s="856" t="e">
        <f aca="false">IF(BO244=0,"",$C244)</f>
        <v>#DIV/0!</v>
      </c>
      <c r="CT244" s="856" t="str">
        <f aca="false">IF(BL244=0,"",$C244)</f>
        <v/>
      </c>
      <c r="CU244" s="856" t="str">
        <f aca="false">IF(BP244=0,"",$C244)</f>
        <v/>
      </c>
      <c r="CV244" s="856" t="e">
        <f aca="false">IF(BD244=0,"",$C244)</f>
        <v>#DIV/0!</v>
      </c>
      <c r="CW244" s="298" t="n">
        <f aca="false">YEAR(BF244)</f>
        <v>2020</v>
      </c>
      <c r="CX244" s="1036" t="n">
        <f aca="false">INDEX('NY Curve'!$A$4:$G$256,MATCH('Monthly Table'!B244,'NY Curve'!$A$4:$A$256,0),MATCH("New York 5 X 16",'NY Curve'!$A$4:$G$4,0))</f>
        <v>0</v>
      </c>
      <c r="CY244" s="1037" t="n">
        <f aca="false">K244</f>
        <v>1.24318012821095</v>
      </c>
      <c r="CZ244" s="1038" t="n">
        <f aca="false">CX244*CY244</f>
        <v>0</v>
      </c>
      <c r="DB244" s="911"/>
      <c r="DC244" s="911"/>
    </row>
    <row r="245" customFormat="false" ht="18.75" hidden="false" customHeight="true" outlineLevel="0" collapsed="false">
      <c r="D245" s="868"/>
      <c r="E245" s="1039"/>
      <c r="F245" s="1039"/>
      <c r="G245" s="1039"/>
      <c r="H245" s="1039"/>
      <c r="I245" s="1039"/>
      <c r="J245" s="868"/>
      <c r="M245" s="1040" t="n">
        <v>4.0925</v>
      </c>
      <c r="N245" s="1040" t="n">
        <v>0.145</v>
      </c>
      <c r="AI245" s="188"/>
      <c r="AJ245" s="1"/>
      <c r="BF245" s="1041"/>
      <c r="BG245" s="288"/>
      <c r="BM245" s="1042"/>
      <c r="BO245" s="288"/>
      <c r="CO245" s="1043"/>
      <c r="CP245" s="1043"/>
    </row>
    <row r="246" customFormat="false" ht="18.75" hidden="false" customHeight="true" outlineLevel="0" collapsed="false">
      <c r="D246" s="868"/>
      <c r="E246" s="1039"/>
      <c r="F246" s="1039"/>
      <c r="G246" s="1039"/>
      <c r="H246" s="1039"/>
      <c r="I246" s="1039"/>
      <c r="J246" s="868"/>
      <c r="M246" s="1040" t="n">
        <v>4.0995</v>
      </c>
      <c r="N246" s="1040" t="n">
        <v>0.145</v>
      </c>
      <c r="AI246" s="188"/>
      <c r="AJ246" s="1"/>
      <c r="BG246" s="288"/>
      <c r="BM246" s="1042"/>
      <c r="BO246" s="288"/>
      <c r="CO246" s="1043"/>
      <c r="CP246" s="1043"/>
    </row>
    <row r="247" customFormat="false" ht="18.75" hidden="false" customHeight="true" outlineLevel="0" collapsed="false">
      <c r="D247" s="868"/>
      <c r="E247" s="1039"/>
      <c r="F247" s="1039"/>
      <c r="G247" s="1039"/>
      <c r="H247" s="1039"/>
      <c r="I247" s="1039"/>
      <c r="J247" s="868"/>
      <c r="M247" s="1040" t="n">
        <v>4.1065</v>
      </c>
      <c r="N247" s="1040" t="n">
        <v>0.145</v>
      </c>
      <c r="AI247" s="188"/>
      <c r="AJ247" s="1"/>
      <c r="BG247" s="288"/>
      <c r="BM247" s="1042"/>
      <c r="BO247" s="288"/>
      <c r="CO247" s="1043"/>
      <c r="CP247" s="1043"/>
    </row>
    <row r="248" customFormat="false" ht="18.75" hidden="false" customHeight="true" outlineLevel="0" collapsed="false">
      <c r="D248" s="868"/>
      <c r="E248" s="1039"/>
      <c r="F248" s="1039"/>
      <c r="G248" s="1039"/>
      <c r="H248" s="1039"/>
      <c r="I248" s="1039"/>
      <c r="J248" s="868"/>
      <c r="M248" s="1040" t="n">
        <v>4.1335</v>
      </c>
      <c r="N248" s="1040" t="n">
        <v>0.145</v>
      </c>
      <c r="AI248" s="188"/>
      <c r="AJ248" s="1"/>
      <c r="BM248" s="1042"/>
      <c r="BO248" s="288"/>
      <c r="CO248" s="1043"/>
      <c r="CP248" s="1043"/>
    </row>
    <row r="249" customFormat="false" ht="18.75" hidden="false" customHeight="true" outlineLevel="0" collapsed="false">
      <c r="D249" s="868"/>
      <c r="E249" s="1039"/>
      <c r="F249" s="1039"/>
      <c r="G249" s="1039"/>
      <c r="H249" s="1039"/>
      <c r="I249" s="1039"/>
      <c r="J249" s="868"/>
      <c r="M249" s="1040" t="n">
        <v>4.2695</v>
      </c>
      <c r="N249" s="1040" t="n">
        <v>0.23</v>
      </c>
      <c r="AI249" s="188"/>
      <c r="AJ249" s="1"/>
      <c r="BM249" s="1042"/>
      <c r="BO249" s="288"/>
      <c r="CO249" s="1043"/>
      <c r="CP249" s="1043"/>
    </row>
    <row r="250" customFormat="false" ht="18.75" hidden="false" customHeight="true" outlineLevel="0" collapsed="false">
      <c r="D250" s="868"/>
      <c r="E250" s="1039"/>
      <c r="F250" s="1039"/>
      <c r="G250" s="1039"/>
      <c r="H250" s="1039"/>
      <c r="I250" s="1039"/>
      <c r="J250" s="868"/>
      <c r="M250" s="1040" t="n">
        <v>4.3955</v>
      </c>
      <c r="N250" s="1040" t="n">
        <v>0.27</v>
      </c>
      <c r="AI250" s="188"/>
      <c r="AJ250" s="1"/>
      <c r="BM250" s="1042"/>
      <c r="BO250" s="288"/>
      <c r="CO250" s="1043"/>
      <c r="CP250" s="1043"/>
    </row>
    <row r="251" customFormat="false" ht="18.75" hidden="false" customHeight="true" outlineLevel="0" collapsed="false">
      <c r="D251" s="868"/>
      <c r="E251" s="1039"/>
      <c r="F251" s="1039"/>
      <c r="G251" s="1039"/>
      <c r="H251" s="1039"/>
      <c r="I251" s="1039"/>
      <c r="J251" s="868"/>
      <c r="M251" s="1040" t="n">
        <v>4.526</v>
      </c>
      <c r="N251" s="1040" t="n">
        <v>1.52</v>
      </c>
      <c r="AI251" s="188"/>
      <c r="AJ251" s="1"/>
      <c r="BM251" s="1042"/>
      <c r="BO251" s="288"/>
      <c r="CO251" s="1043"/>
      <c r="CP251" s="1043"/>
    </row>
    <row r="252" customFormat="false" ht="18.75" hidden="false" customHeight="true" outlineLevel="0" collapsed="false">
      <c r="D252" s="868"/>
      <c r="E252" s="1039"/>
      <c r="F252" s="1039"/>
      <c r="G252" s="1039"/>
      <c r="H252" s="1039"/>
      <c r="I252" s="1039"/>
      <c r="J252" s="868"/>
      <c r="M252" s="1040" t="n">
        <v>4.413</v>
      </c>
      <c r="N252" s="1040" t="n">
        <v>1.4</v>
      </c>
      <c r="AI252" s="188"/>
      <c r="AJ252" s="1"/>
      <c r="BM252" s="1042"/>
      <c r="BO252" s="288"/>
      <c r="CO252" s="1043"/>
      <c r="CP252" s="1043"/>
    </row>
    <row r="253" customFormat="false" ht="18.75" hidden="false" customHeight="true" outlineLevel="0" collapsed="false">
      <c r="D253" s="868"/>
      <c r="E253" s="1039"/>
      <c r="F253" s="1039"/>
      <c r="G253" s="1039"/>
      <c r="H253" s="1039"/>
      <c r="I253" s="1039"/>
      <c r="J253" s="868"/>
      <c r="M253" s="1040" t="n">
        <v>4.298</v>
      </c>
      <c r="N253" s="1040" t="n">
        <v>0.88</v>
      </c>
      <c r="AI253" s="188"/>
      <c r="AJ253" s="1"/>
      <c r="BM253" s="1042"/>
      <c r="BO253" s="288"/>
      <c r="CO253" s="1043"/>
      <c r="CP253" s="1043"/>
    </row>
    <row r="254" customFormat="false" ht="18.75" hidden="false" customHeight="true" outlineLevel="0" collapsed="false">
      <c r="D254" s="868"/>
      <c r="E254" s="1039"/>
      <c r="F254" s="1039"/>
      <c r="G254" s="1039"/>
      <c r="H254" s="1039"/>
      <c r="I254" s="1039"/>
      <c r="J254" s="868"/>
      <c r="M254" s="1040" t="n">
        <v>4.2305</v>
      </c>
      <c r="N254" s="1040" t="n">
        <v>0.37</v>
      </c>
      <c r="AI254" s="188"/>
      <c r="AJ254" s="1"/>
      <c r="BM254" s="1042"/>
      <c r="BO254" s="288"/>
      <c r="CO254" s="1043"/>
      <c r="CP254" s="1043"/>
    </row>
    <row r="255" customFormat="false" ht="18.75" hidden="false" customHeight="true" outlineLevel="0" collapsed="false">
      <c r="D255" s="868"/>
      <c r="E255" s="1039"/>
      <c r="F255" s="1039"/>
      <c r="G255" s="1039"/>
      <c r="H255" s="1039"/>
      <c r="I255" s="1039"/>
      <c r="J255" s="868"/>
      <c r="M255" s="1040" t="n">
        <v>4.2045</v>
      </c>
      <c r="N255" s="1040" t="n">
        <v>0.2525</v>
      </c>
      <c r="AI255" s="188"/>
      <c r="AJ255" s="1"/>
      <c r="BM255" s="1042"/>
      <c r="BO255" s="288"/>
      <c r="CO255" s="1043"/>
      <c r="CP255" s="1043"/>
    </row>
    <row r="256" customFormat="false" ht="18.75" hidden="false" customHeight="true" outlineLevel="0" collapsed="false">
      <c r="D256" s="868"/>
      <c r="E256" s="1039"/>
      <c r="F256" s="1039"/>
      <c r="G256" s="1039"/>
      <c r="H256" s="1039"/>
      <c r="I256" s="1039"/>
      <c r="J256" s="868"/>
      <c r="M256" s="1040" t="n">
        <v>4.2135</v>
      </c>
      <c r="N256" s="1040" t="n">
        <v>0.2525</v>
      </c>
      <c r="AI256" s="188"/>
      <c r="AJ256" s="1"/>
      <c r="BM256" s="1042"/>
      <c r="BO256" s="288"/>
      <c r="CO256" s="1043"/>
      <c r="CP256" s="1043"/>
    </row>
    <row r="257" customFormat="false" ht="18.75" hidden="false" customHeight="true" outlineLevel="0" collapsed="false">
      <c r="D257" s="868"/>
      <c r="E257" s="1039"/>
      <c r="F257" s="1039"/>
      <c r="G257" s="1039"/>
      <c r="H257" s="1039"/>
      <c r="I257" s="1039"/>
      <c r="J257" s="868"/>
      <c r="M257" s="1040" t="n">
        <v>4.2225</v>
      </c>
      <c r="N257" s="1040" t="n">
        <v>0.2575</v>
      </c>
      <c r="AI257" s="188"/>
      <c r="AJ257" s="1"/>
      <c r="BM257" s="1042"/>
      <c r="BO257" s="288"/>
    </row>
    <row r="258" customFormat="false" ht="18.75" hidden="false" customHeight="true" outlineLevel="0" collapsed="false">
      <c r="D258" s="868"/>
      <c r="E258" s="1039"/>
      <c r="F258" s="1039"/>
      <c r="G258" s="1039"/>
      <c r="H258" s="1039"/>
      <c r="I258" s="1039"/>
      <c r="J258" s="868"/>
      <c r="M258" s="1040" t="n">
        <v>4.2295</v>
      </c>
      <c r="N258" s="1040" t="n">
        <v>0.2575</v>
      </c>
      <c r="AI258" s="188"/>
      <c r="AJ258" s="1"/>
      <c r="BM258" s="1042"/>
      <c r="BO258" s="288"/>
    </row>
    <row r="259" customFormat="false" ht="18.75" hidden="false" customHeight="true" outlineLevel="0" collapsed="false">
      <c r="D259" s="868"/>
      <c r="E259" s="1039"/>
      <c r="F259" s="1039"/>
      <c r="G259" s="1039"/>
      <c r="H259" s="1039"/>
      <c r="I259" s="1039"/>
      <c r="J259" s="868"/>
      <c r="M259" s="1040" t="n">
        <v>4.2365</v>
      </c>
      <c r="N259" s="1040" t="n">
        <v>0.2525</v>
      </c>
      <c r="AI259" s="188"/>
      <c r="AJ259" s="1"/>
      <c r="BM259" s="1042"/>
      <c r="BO259" s="288"/>
    </row>
    <row r="260" customFormat="false" ht="18.75" hidden="false" customHeight="true" outlineLevel="0" collapsed="false">
      <c r="D260" s="868"/>
      <c r="E260" s="1039"/>
      <c r="F260" s="1039"/>
      <c r="G260" s="1039"/>
      <c r="H260" s="1039"/>
      <c r="I260" s="1039"/>
      <c r="J260" s="868"/>
      <c r="M260" s="1040" t="n">
        <v>4.2635</v>
      </c>
      <c r="N260" s="1040" t="n">
        <v>0.255</v>
      </c>
      <c r="AI260" s="188"/>
      <c r="AJ260" s="1"/>
      <c r="BM260" s="1042"/>
      <c r="BO260" s="288"/>
    </row>
    <row r="261" customFormat="false" ht="18.75" hidden="false" customHeight="true" outlineLevel="0" collapsed="false">
      <c r="D261" s="868"/>
      <c r="E261" s="1039"/>
      <c r="F261" s="1039"/>
      <c r="G261" s="1039"/>
      <c r="H261" s="1039"/>
      <c r="I261" s="1039"/>
      <c r="J261" s="868"/>
      <c r="M261" s="1040" t="n">
        <v>4.3995</v>
      </c>
      <c r="N261" s="1040" t="n">
        <v>0.725</v>
      </c>
      <c r="AI261" s="188"/>
      <c r="AJ261" s="1"/>
      <c r="BM261" s="1042"/>
      <c r="BO261" s="288"/>
    </row>
    <row r="262" customFormat="false" ht="18.75" hidden="false" customHeight="true" outlineLevel="0" collapsed="false">
      <c r="D262" s="868"/>
      <c r="E262" s="1039"/>
      <c r="F262" s="1039"/>
      <c r="G262" s="1039"/>
      <c r="H262" s="1039"/>
      <c r="I262" s="1039"/>
      <c r="J262" s="868"/>
      <c r="M262" s="1040" t="n">
        <v>4.5255</v>
      </c>
      <c r="N262" s="1040" t="n">
        <v>1.045</v>
      </c>
      <c r="AI262" s="188"/>
      <c r="AJ262" s="1"/>
      <c r="BM262" s="1042"/>
      <c r="BO262" s="288"/>
    </row>
    <row r="263" customFormat="false" ht="18.75" hidden="false" customHeight="true" outlineLevel="0" collapsed="false">
      <c r="D263" s="868"/>
      <c r="E263" s="1039"/>
      <c r="F263" s="1039"/>
      <c r="G263" s="1039"/>
      <c r="H263" s="1039"/>
      <c r="I263" s="1039"/>
      <c r="J263" s="868"/>
      <c r="M263" s="1040" t="n">
        <v>4.661</v>
      </c>
      <c r="N263" s="1040" t="n">
        <v>1.52</v>
      </c>
      <c r="AI263" s="188"/>
      <c r="BM263" s="1042"/>
      <c r="BO263" s="288"/>
    </row>
    <row r="264" customFormat="false" ht="18.75" hidden="false" customHeight="true" outlineLevel="0" collapsed="false">
      <c r="D264" s="868"/>
      <c r="E264" s="1039"/>
      <c r="F264" s="1039"/>
      <c r="G264" s="1039"/>
      <c r="H264" s="1039"/>
      <c r="I264" s="1039"/>
      <c r="J264" s="868"/>
      <c r="M264" s="1040" t="n">
        <v>4.548</v>
      </c>
      <c r="N264" s="1040" t="n">
        <v>1.4</v>
      </c>
      <c r="AI264" s="188"/>
      <c r="BM264" s="1042"/>
      <c r="BO264" s="288"/>
    </row>
    <row r="265" customFormat="false" ht="18.75" hidden="false" customHeight="true" outlineLevel="0" collapsed="false">
      <c r="D265" s="868"/>
      <c r="E265" s="1039"/>
      <c r="F265" s="1039"/>
      <c r="G265" s="1039"/>
      <c r="H265" s="1039"/>
      <c r="I265" s="1039"/>
      <c r="J265" s="868"/>
      <c r="M265" s="1040" t="n">
        <v>4.433</v>
      </c>
      <c r="N265" s="1040" t="n">
        <v>0.88</v>
      </c>
      <c r="AI265" s="188"/>
      <c r="BM265" s="1042"/>
      <c r="BO265" s="288"/>
    </row>
    <row r="266" customFormat="false" ht="18.75" hidden="false" customHeight="true" outlineLevel="0" collapsed="false">
      <c r="D266" s="868"/>
      <c r="E266" s="1039"/>
      <c r="F266" s="1039"/>
      <c r="G266" s="1039"/>
      <c r="H266" s="1039"/>
      <c r="I266" s="1039"/>
      <c r="J266" s="868"/>
      <c r="M266" s="1040" t="n">
        <v>4.3655</v>
      </c>
      <c r="N266" s="1040" t="n">
        <v>0.37</v>
      </c>
      <c r="AI266" s="188"/>
      <c r="BM266" s="1042"/>
      <c r="BO266" s="288"/>
    </row>
    <row r="267" customFormat="false" ht="18.75" hidden="false" customHeight="true" outlineLevel="0" collapsed="false">
      <c r="D267" s="868"/>
      <c r="E267" s="1039"/>
      <c r="F267" s="1039"/>
      <c r="G267" s="1039"/>
      <c r="H267" s="1039"/>
      <c r="I267" s="1039"/>
      <c r="J267" s="868"/>
      <c r="M267" s="1040" t="n">
        <v>4.3395</v>
      </c>
      <c r="N267" s="1040" t="n">
        <v>0.2525</v>
      </c>
      <c r="AI267" s="188"/>
      <c r="BM267" s="1042"/>
      <c r="BO267" s="288"/>
    </row>
    <row r="268" customFormat="false" ht="18.75" hidden="false" customHeight="true" outlineLevel="0" collapsed="false">
      <c r="D268" s="868"/>
      <c r="E268" s="1039"/>
      <c r="F268" s="1039"/>
      <c r="G268" s="1039"/>
      <c r="H268" s="1039"/>
      <c r="I268" s="1039"/>
      <c r="J268" s="868"/>
      <c r="M268" s="1040" t="n">
        <v>4.3485</v>
      </c>
      <c r="N268" s="1040" t="n">
        <v>0.2525</v>
      </c>
      <c r="AI268" s="188"/>
      <c r="BM268" s="1042"/>
      <c r="BO268" s="288"/>
    </row>
    <row r="269" customFormat="false" ht="18.75" hidden="false" customHeight="true" outlineLevel="0" collapsed="false">
      <c r="D269" s="868"/>
      <c r="E269" s="1039"/>
      <c r="F269" s="1039"/>
      <c r="G269" s="1039"/>
      <c r="H269" s="1039"/>
      <c r="I269" s="1039"/>
      <c r="J269" s="868"/>
      <c r="M269" s="1040" t="n">
        <v>4.3575</v>
      </c>
      <c r="N269" s="1040" t="n">
        <v>0.2575</v>
      </c>
      <c r="AI269" s="188"/>
      <c r="BM269" s="1042"/>
      <c r="BO269" s="288"/>
    </row>
    <row r="270" customFormat="false" ht="18.75" hidden="false" customHeight="true" outlineLevel="0" collapsed="false">
      <c r="D270" s="868"/>
      <c r="E270" s="1039"/>
      <c r="F270" s="1039"/>
      <c r="G270" s="1039"/>
      <c r="H270" s="1039"/>
      <c r="I270" s="1039"/>
      <c r="J270" s="868"/>
      <c r="M270" s="1040" t="n">
        <v>4.3645</v>
      </c>
      <c r="N270" s="1040" t="n">
        <v>0.2575</v>
      </c>
      <c r="AI270" s="188"/>
      <c r="BM270" s="1042"/>
      <c r="BO270" s="288"/>
    </row>
    <row r="271" customFormat="false" ht="18.75" hidden="false" customHeight="true" outlineLevel="0" collapsed="false">
      <c r="D271" s="868"/>
      <c r="E271" s="1039"/>
      <c r="F271" s="1039"/>
      <c r="G271" s="1039"/>
      <c r="H271" s="1039"/>
      <c r="I271" s="1039"/>
      <c r="J271" s="868"/>
      <c r="M271" s="1040" t="n">
        <v>4.3715</v>
      </c>
      <c r="N271" s="1040" t="n">
        <v>0.2525</v>
      </c>
      <c r="AI271" s="188"/>
      <c r="BM271" s="1042"/>
      <c r="BO271" s="288"/>
    </row>
    <row r="272" customFormat="false" ht="18.75" hidden="false" customHeight="true" outlineLevel="0" collapsed="false">
      <c r="D272" s="868"/>
      <c r="E272" s="1039"/>
      <c r="F272" s="1039"/>
      <c r="G272" s="1039"/>
      <c r="H272" s="1039"/>
      <c r="I272" s="1039"/>
      <c r="J272" s="868"/>
      <c r="M272" s="1040" t="n">
        <v>4.3985</v>
      </c>
      <c r="N272" s="1040" t="n">
        <v>0.255</v>
      </c>
      <c r="AI272" s="188"/>
      <c r="BM272" s="1042"/>
      <c r="BO272" s="288"/>
    </row>
    <row r="273" customFormat="false" ht="18.75" hidden="false" customHeight="true" outlineLevel="0" collapsed="false">
      <c r="D273" s="868"/>
      <c r="E273" s="1039"/>
      <c r="F273" s="1039"/>
      <c r="G273" s="1039"/>
      <c r="H273" s="1039"/>
      <c r="I273" s="1039"/>
      <c r="J273" s="868"/>
      <c r="M273" s="1040" t="n">
        <v>4.5345</v>
      </c>
      <c r="N273" s="1040" t="n">
        <v>0.725</v>
      </c>
      <c r="AI273" s="188"/>
      <c r="BM273" s="1042"/>
      <c r="BO273" s="288"/>
    </row>
    <row r="274" customFormat="false" ht="18.75" hidden="false" customHeight="true" outlineLevel="0" collapsed="false">
      <c r="D274" s="868"/>
      <c r="E274" s="1039"/>
      <c r="F274" s="1039"/>
      <c r="G274" s="1039"/>
      <c r="H274" s="1039"/>
      <c r="I274" s="1039"/>
      <c r="J274" s="868"/>
      <c r="M274" s="1040" t="n">
        <v>4.6605</v>
      </c>
      <c r="N274" s="1040" t="n">
        <v>1.045</v>
      </c>
      <c r="AI274" s="188"/>
      <c r="BM274" s="1042"/>
      <c r="BO274" s="288"/>
    </row>
    <row r="275" customFormat="false" ht="18.75" hidden="false" customHeight="true" outlineLevel="0" collapsed="false">
      <c r="D275" s="868"/>
      <c r="E275" s="1039"/>
      <c r="F275" s="1039"/>
      <c r="G275" s="1039"/>
      <c r="H275" s="1039"/>
      <c r="I275" s="1039"/>
      <c r="J275" s="868"/>
      <c r="M275" s="1040" t="n">
        <v>4.801</v>
      </c>
      <c r="N275" s="1040" t="n">
        <v>1.52</v>
      </c>
      <c r="AI275" s="188"/>
      <c r="BM275" s="1042"/>
      <c r="BO275" s="288"/>
    </row>
    <row r="276" customFormat="false" ht="18.75" hidden="false" customHeight="true" outlineLevel="0" collapsed="false">
      <c r="D276" s="868"/>
      <c r="E276" s="1039"/>
      <c r="F276" s="1039"/>
      <c r="G276" s="1039"/>
      <c r="H276" s="1039"/>
      <c r="I276" s="1039"/>
      <c r="J276" s="868"/>
      <c r="M276" s="1040" t="n">
        <v>4.688</v>
      </c>
      <c r="N276" s="1040" t="n">
        <v>1.4</v>
      </c>
      <c r="AI276" s="188"/>
      <c r="BM276" s="1042"/>
      <c r="BO276" s="288"/>
    </row>
    <row r="277" customFormat="false" ht="18.75" hidden="false" customHeight="true" outlineLevel="0" collapsed="false">
      <c r="D277" s="868"/>
      <c r="E277" s="1039"/>
      <c r="F277" s="1039"/>
      <c r="G277" s="1039"/>
      <c r="H277" s="1039"/>
      <c r="I277" s="1039"/>
      <c r="J277" s="868"/>
      <c r="M277" s="1040" t="n">
        <v>4.573</v>
      </c>
      <c r="N277" s="1040" t="n">
        <v>0.88</v>
      </c>
      <c r="AI277" s="188"/>
      <c r="BM277" s="1042"/>
      <c r="BO277" s="288"/>
    </row>
    <row r="278" customFormat="false" ht="18.75" hidden="false" customHeight="true" outlineLevel="0" collapsed="false">
      <c r="D278" s="868"/>
      <c r="E278" s="1039"/>
      <c r="F278" s="1039"/>
      <c r="G278" s="1039"/>
      <c r="H278" s="1039"/>
      <c r="I278" s="1039"/>
      <c r="J278" s="868"/>
      <c r="M278" s="1040" t="n">
        <v>4.5055</v>
      </c>
      <c r="N278" s="1040" t="n">
        <v>0.37</v>
      </c>
      <c r="AI278" s="188"/>
      <c r="BM278" s="1042"/>
      <c r="BO278" s="288"/>
    </row>
    <row r="279" customFormat="false" ht="18.75" hidden="false" customHeight="true" outlineLevel="0" collapsed="false">
      <c r="D279" s="868"/>
      <c r="E279" s="1039"/>
      <c r="F279" s="1039"/>
      <c r="G279" s="1039"/>
      <c r="H279" s="1039"/>
      <c r="I279" s="1039"/>
      <c r="J279" s="868"/>
      <c r="M279" s="1040" t="n">
        <v>4.4795</v>
      </c>
      <c r="N279" s="1040" t="n">
        <v>0.2525</v>
      </c>
      <c r="AI279" s="188"/>
      <c r="BM279" s="1042"/>
      <c r="BO279" s="288"/>
    </row>
    <row r="280" customFormat="false" ht="18.75" hidden="false" customHeight="true" outlineLevel="0" collapsed="false">
      <c r="D280" s="868"/>
      <c r="E280" s="1039"/>
      <c r="F280" s="1039"/>
      <c r="G280" s="1039"/>
      <c r="H280" s="1039"/>
      <c r="I280" s="1039"/>
      <c r="J280" s="868"/>
      <c r="M280" s="1040" t="n">
        <v>4.4885</v>
      </c>
      <c r="N280" s="1040" t="n">
        <v>0.2525</v>
      </c>
      <c r="AI280" s="188"/>
      <c r="BM280" s="1042"/>
      <c r="BO280" s="288"/>
    </row>
    <row r="281" customFormat="false" ht="18.75" hidden="false" customHeight="true" outlineLevel="0" collapsed="false">
      <c r="D281" s="868"/>
      <c r="E281" s="1039"/>
      <c r="F281" s="1039"/>
      <c r="G281" s="1039"/>
      <c r="H281" s="1039"/>
      <c r="I281" s="1039"/>
      <c r="J281" s="868"/>
      <c r="M281" s="1040" t="n">
        <v>4.4975</v>
      </c>
      <c r="N281" s="1040" t="n">
        <v>0.2575</v>
      </c>
      <c r="AI281" s="188"/>
      <c r="BM281" s="1042"/>
      <c r="BO281" s="288"/>
    </row>
    <row r="282" customFormat="false" ht="18.75" hidden="false" customHeight="true" outlineLevel="0" collapsed="false">
      <c r="D282" s="868"/>
      <c r="E282" s="1039"/>
      <c r="F282" s="1039"/>
      <c r="G282" s="1039"/>
      <c r="H282" s="1039"/>
      <c r="I282" s="1039"/>
      <c r="J282" s="868"/>
      <c r="M282" s="1040" t="n">
        <v>4.5045</v>
      </c>
      <c r="N282" s="1040" t="n">
        <v>0.2575</v>
      </c>
      <c r="AI282" s="188"/>
      <c r="BM282" s="1042"/>
      <c r="BO282" s="288"/>
    </row>
    <row r="283" customFormat="false" ht="18.75" hidden="false" customHeight="true" outlineLevel="0" collapsed="false">
      <c r="D283" s="868"/>
      <c r="E283" s="1039"/>
      <c r="F283" s="1039"/>
      <c r="G283" s="1039"/>
      <c r="H283" s="1039"/>
      <c r="I283" s="1039"/>
      <c r="J283" s="868"/>
      <c r="M283" s="1040" t="n">
        <v>4.5115</v>
      </c>
      <c r="N283" s="1040" t="n">
        <v>0.2525</v>
      </c>
      <c r="AI283" s="188"/>
      <c r="BM283" s="1042"/>
      <c r="BO283" s="288"/>
    </row>
    <row r="284" customFormat="false" ht="18.75" hidden="false" customHeight="true" outlineLevel="0" collapsed="false">
      <c r="D284" s="868"/>
      <c r="E284" s="1039"/>
      <c r="F284" s="1039"/>
      <c r="G284" s="1039"/>
      <c r="H284" s="1039"/>
      <c r="I284" s="1039"/>
      <c r="J284" s="868"/>
      <c r="M284" s="1040" t="n">
        <v>4.5385</v>
      </c>
      <c r="N284" s="1040" t="n">
        <v>0.255</v>
      </c>
      <c r="AI284" s="188"/>
      <c r="BM284" s="1042"/>
      <c r="BO284" s="288"/>
    </row>
    <row r="285" customFormat="false" ht="18.75" hidden="false" customHeight="true" outlineLevel="0" collapsed="false">
      <c r="D285" s="868"/>
      <c r="E285" s="1039"/>
      <c r="F285" s="1039"/>
      <c r="G285" s="1039"/>
      <c r="H285" s="1039"/>
      <c r="I285" s="1039"/>
      <c r="J285" s="868"/>
      <c r="M285" s="1040" t="n">
        <v>4.6745</v>
      </c>
      <c r="N285" s="1040" t="n">
        <v>0.725</v>
      </c>
      <c r="AI285" s="188"/>
      <c r="BM285" s="1042"/>
      <c r="BO285" s="288"/>
    </row>
    <row r="286" customFormat="false" ht="18.75" hidden="false" customHeight="true" outlineLevel="0" collapsed="false">
      <c r="D286" s="868"/>
      <c r="E286" s="1039"/>
      <c r="F286" s="1039"/>
      <c r="G286" s="1039"/>
      <c r="H286" s="1039"/>
      <c r="I286" s="1039"/>
      <c r="J286" s="868"/>
      <c r="M286" s="1040" t="n">
        <v>4.8005</v>
      </c>
      <c r="N286" s="1040" t="n">
        <v>1.045</v>
      </c>
      <c r="AI286" s="188"/>
      <c r="BM286" s="1042"/>
      <c r="BO286" s="288"/>
    </row>
    <row r="287" customFormat="false" ht="18.75" hidden="false" customHeight="true" outlineLevel="0" collapsed="false">
      <c r="D287" s="868"/>
      <c r="E287" s="1039"/>
      <c r="F287" s="1039"/>
      <c r="G287" s="1039"/>
      <c r="H287" s="1039"/>
      <c r="I287" s="1039"/>
      <c r="J287" s="868"/>
      <c r="M287" s="1040" t="n">
        <v>4.946</v>
      </c>
      <c r="N287" s="1040" t="n">
        <v>1.52</v>
      </c>
      <c r="AI287" s="188"/>
      <c r="BM287" s="1042"/>
      <c r="BO287" s="288"/>
    </row>
    <row r="288" customFormat="false" ht="18.75" hidden="false" customHeight="true" outlineLevel="0" collapsed="false">
      <c r="D288" s="868"/>
      <c r="E288" s="1039"/>
      <c r="F288" s="1039"/>
      <c r="G288" s="1039"/>
      <c r="H288" s="1039"/>
      <c r="I288" s="1039"/>
      <c r="J288" s="868"/>
      <c r="M288" s="1040" t="n">
        <v>4.833</v>
      </c>
      <c r="N288" s="1040" t="n">
        <v>1.4</v>
      </c>
      <c r="AI288" s="188"/>
      <c r="BM288" s="1042"/>
      <c r="BO288" s="288"/>
    </row>
    <row r="289" customFormat="false" ht="18.75" hidden="false" customHeight="true" outlineLevel="0" collapsed="false">
      <c r="D289" s="868"/>
      <c r="E289" s="1039"/>
      <c r="F289" s="1039"/>
      <c r="G289" s="1039"/>
      <c r="H289" s="1039"/>
      <c r="I289" s="1039"/>
      <c r="J289" s="868"/>
      <c r="M289" s="1040" t="n">
        <v>4.718</v>
      </c>
      <c r="N289" s="1040" t="n">
        <v>0.88</v>
      </c>
      <c r="AI289" s="188"/>
      <c r="BM289" s="1042"/>
      <c r="BO289" s="288"/>
    </row>
    <row r="290" customFormat="false" ht="18.75" hidden="false" customHeight="true" outlineLevel="0" collapsed="false">
      <c r="D290" s="868"/>
      <c r="E290" s="1039"/>
      <c r="F290" s="1039"/>
      <c r="G290" s="1039"/>
      <c r="H290" s="1039"/>
      <c r="I290" s="1039"/>
      <c r="J290" s="868"/>
      <c r="M290" s="1040" t="n">
        <v>4.6505</v>
      </c>
      <c r="N290" s="1040" t="n">
        <v>0.37</v>
      </c>
      <c r="AI290" s="188"/>
      <c r="BM290" s="1042"/>
      <c r="BO290" s="288"/>
    </row>
    <row r="291" customFormat="false" ht="18.75" hidden="false" customHeight="true" outlineLevel="0" collapsed="false">
      <c r="D291" s="868"/>
      <c r="E291" s="1039"/>
      <c r="F291" s="1039"/>
      <c r="G291" s="1039"/>
      <c r="H291" s="1039"/>
      <c r="I291" s="1039"/>
      <c r="J291" s="868"/>
      <c r="M291" s="1040" t="n">
        <v>4.6245</v>
      </c>
      <c r="N291" s="1040" t="n">
        <v>0.2525</v>
      </c>
      <c r="AI291" s="188"/>
      <c r="BM291" s="1042"/>
      <c r="BO291" s="288"/>
    </row>
    <row r="292" customFormat="false" ht="18.75" hidden="false" customHeight="true" outlineLevel="0" collapsed="false">
      <c r="D292" s="868"/>
      <c r="E292" s="1039"/>
      <c r="F292" s="1039"/>
      <c r="G292" s="1039"/>
      <c r="H292" s="1039"/>
      <c r="I292" s="1039"/>
      <c r="J292" s="868"/>
      <c r="M292" s="1040" t="n">
        <v>4.5595</v>
      </c>
      <c r="N292" s="1040" t="n">
        <v>0.2525</v>
      </c>
      <c r="AI292" s="188"/>
      <c r="BM292" s="1042"/>
      <c r="BO292" s="288"/>
    </row>
    <row r="293" customFormat="false" ht="18.75" hidden="false" customHeight="true" outlineLevel="0" collapsed="false">
      <c r="D293" s="868"/>
      <c r="E293" s="1039"/>
      <c r="F293" s="1039"/>
      <c r="G293" s="1039"/>
      <c r="H293" s="1039"/>
      <c r="I293" s="1039"/>
      <c r="J293" s="868"/>
      <c r="M293" s="1040" t="n">
        <v>4.597</v>
      </c>
      <c r="N293" s="1040" t="n">
        <v>0.2575</v>
      </c>
      <c r="AI293" s="188"/>
      <c r="BM293" s="1042"/>
      <c r="BO293" s="288"/>
    </row>
    <row r="294" customFormat="false" ht="18.75" hidden="false" customHeight="true" outlineLevel="0" collapsed="false">
      <c r="D294" s="868"/>
      <c r="E294" s="1039"/>
      <c r="F294" s="1039"/>
      <c r="G294" s="1039"/>
      <c r="H294" s="1039"/>
      <c r="I294" s="1039"/>
      <c r="J294" s="868"/>
      <c r="M294" s="1040" t="n">
        <v>5.421</v>
      </c>
      <c r="N294" s="1040" t="n">
        <v>0.2575</v>
      </c>
      <c r="AI294" s="188"/>
      <c r="BM294" s="1042"/>
      <c r="BO294" s="288"/>
    </row>
    <row r="295" customFormat="false" ht="18.75" hidden="false" customHeight="true" outlineLevel="0" collapsed="false">
      <c r="D295" s="868"/>
      <c r="E295" s="1039"/>
      <c r="F295" s="1039"/>
      <c r="G295" s="1039"/>
      <c r="H295" s="1039"/>
      <c r="I295" s="1039"/>
      <c r="J295" s="868"/>
      <c r="M295" s="1040" t="n">
        <v>5.421</v>
      </c>
      <c r="N295" s="1040" t="n">
        <v>0.2525</v>
      </c>
      <c r="AI295" s="188"/>
      <c r="BM295" s="1042"/>
      <c r="BO295" s="288"/>
    </row>
    <row r="296" customFormat="false" ht="18.75" hidden="false" customHeight="true" outlineLevel="0" collapsed="false">
      <c r="D296" s="868"/>
      <c r="E296" s="1039"/>
      <c r="F296" s="1039"/>
      <c r="G296" s="1039"/>
      <c r="H296" s="1039"/>
      <c r="I296" s="1039"/>
      <c r="J296" s="868"/>
      <c r="N296" s="1040" t="n">
        <v>0.255</v>
      </c>
      <c r="AI296" s="188"/>
      <c r="BM296" s="1042"/>
      <c r="BO296" s="288"/>
    </row>
    <row r="297" customFormat="false" ht="18.75" hidden="false" customHeight="true" outlineLevel="0" collapsed="false">
      <c r="D297" s="868"/>
      <c r="E297" s="1039"/>
      <c r="F297" s="1039"/>
      <c r="G297" s="1039"/>
      <c r="H297" s="1039"/>
      <c r="I297" s="1039"/>
      <c r="J297" s="868"/>
      <c r="N297" s="1040" t="n">
        <v>0.725</v>
      </c>
      <c r="AI297" s="188"/>
      <c r="BM297" s="1042"/>
      <c r="BO297" s="288"/>
    </row>
    <row r="298" customFormat="false" ht="18.75" hidden="false" customHeight="true" outlineLevel="0" collapsed="false">
      <c r="D298" s="868"/>
      <c r="E298" s="1039"/>
      <c r="F298" s="1039"/>
      <c r="G298" s="1039"/>
      <c r="H298" s="1039"/>
      <c r="I298" s="1039"/>
      <c r="J298" s="868"/>
      <c r="N298" s="1040" t="n">
        <v>1.045</v>
      </c>
      <c r="AI298" s="188"/>
      <c r="BM298" s="1042"/>
      <c r="BO298" s="288"/>
    </row>
    <row r="299" customFormat="false" ht="18.75" hidden="false" customHeight="true" outlineLevel="0" collapsed="false">
      <c r="D299" s="868"/>
      <c r="E299" s="1039"/>
      <c r="F299" s="1039"/>
      <c r="G299" s="1039"/>
      <c r="H299" s="1039"/>
      <c r="I299" s="1039"/>
      <c r="J299" s="868"/>
      <c r="N299" s="1040" t="n">
        <v>1.52</v>
      </c>
      <c r="AI299" s="188"/>
      <c r="BM299" s="1042"/>
      <c r="BO299" s="288"/>
    </row>
    <row r="300" customFormat="false" ht="18.75" hidden="false" customHeight="true" outlineLevel="0" collapsed="false">
      <c r="D300" s="868"/>
      <c r="E300" s="1039"/>
      <c r="F300" s="1039"/>
      <c r="G300" s="1039"/>
      <c r="H300" s="1039"/>
      <c r="I300" s="1039"/>
      <c r="J300" s="868"/>
      <c r="N300" s="1040" t="n">
        <v>1.4</v>
      </c>
      <c r="AI300" s="188"/>
      <c r="BM300" s="1042"/>
      <c r="BO300" s="288"/>
    </row>
    <row r="301" customFormat="false" ht="18.75" hidden="false" customHeight="true" outlineLevel="0" collapsed="false">
      <c r="D301" s="868"/>
      <c r="E301" s="1039"/>
      <c r="F301" s="1039"/>
      <c r="G301" s="1039"/>
      <c r="H301" s="1039"/>
      <c r="I301" s="1039"/>
      <c r="J301" s="868"/>
      <c r="N301" s="1040" t="n">
        <v>0.88</v>
      </c>
      <c r="AI301" s="188"/>
      <c r="BM301" s="1042"/>
      <c r="BO301" s="288"/>
    </row>
    <row r="302" customFormat="false" ht="18.75" hidden="false" customHeight="true" outlineLevel="0" collapsed="false">
      <c r="D302" s="868"/>
      <c r="E302" s="1039"/>
      <c r="F302" s="1039"/>
      <c r="G302" s="1039"/>
      <c r="H302" s="1039"/>
      <c r="I302" s="1039"/>
      <c r="J302" s="868"/>
      <c r="N302" s="1040" t="n">
        <v>0.37</v>
      </c>
      <c r="AI302" s="188"/>
      <c r="BM302" s="1042"/>
      <c r="BO302" s="288"/>
    </row>
    <row r="303" customFormat="false" ht="18.75" hidden="false" customHeight="true" outlineLevel="0" collapsed="false">
      <c r="D303" s="868"/>
      <c r="E303" s="1039"/>
      <c r="F303" s="1039"/>
      <c r="G303" s="1039"/>
      <c r="H303" s="1039"/>
      <c r="I303" s="1039"/>
      <c r="J303" s="868"/>
      <c r="N303" s="1040" t="n">
        <v>0.2525</v>
      </c>
      <c r="AI303" s="188"/>
      <c r="BM303" s="1042"/>
      <c r="BO303" s="288"/>
    </row>
    <row r="304" customFormat="false" ht="18.75" hidden="false" customHeight="true" outlineLevel="0" collapsed="false">
      <c r="D304" s="868"/>
      <c r="E304" s="1039"/>
      <c r="F304" s="1039"/>
      <c r="G304" s="1039"/>
      <c r="H304" s="1039"/>
      <c r="I304" s="1039"/>
      <c r="J304" s="868"/>
      <c r="N304" s="1040" t="n">
        <v>0.2525</v>
      </c>
      <c r="AI304" s="188"/>
      <c r="BM304" s="1042"/>
      <c r="BO304" s="288"/>
    </row>
    <row r="305" customFormat="false" ht="18.75" hidden="false" customHeight="true" outlineLevel="0" collapsed="false">
      <c r="D305" s="868"/>
      <c r="E305" s="1039"/>
      <c r="F305" s="1039"/>
      <c r="G305" s="1039"/>
      <c r="H305" s="1039"/>
      <c r="I305" s="1039"/>
      <c r="J305" s="868"/>
      <c r="N305" s="1040" t="n">
        <v>0.2575</v>
      </c>
      <c r="AI305" s="188"/>
      <c r="BM305" s="1042"/>
      <c r="BO305" s="288"/>
    </row>
    <row r="306" customFormat="false" ht="18.75" hidden="false" customHeight="true" outlineLevel="0" collapsed="false">
      <c r="D306" s="868"/>
      <c r="E306" s="1039"/>
      <c r="F306" s="1039"/>
      <c r="G306" s="1039"/>
      <c r="H306" s="1039"/>
      <c r="I306" s="1039"/>
      <c r="J306" s="868"/>
      <c r="N306" s="1040" t="n">
        <v>0.2575</v>
      </c>
      <c r="BM306" s="1042"/>
      <c r="BO306" s="288"/>
    </row>
    <row r="307" customFormat="false" ht="18.75" hidden="false" customHeight="true" outlineLevel="0" collapsed="false">
      <c r="D307" s="868"/>
      <c r="E307" s="1039"/>
      <c r="F307" s="1039"/>
      <c r="G307" s="1039"/>
      <c r="H307" s="1039"/>
      <c r="I307" s="1039"/>
      <c r="J307" s="868"/>
      <c r="N307" s="1040" t="n">
        <v>0.2525</v>
      </c>
      <c r="BM307" s="1042"/>
      <c r="BO307" s="288"/>
    </row>
    <row r="308" customFormat="false" ht="18.75" hidden="false" customHeight="true" outlineLevel="0" collapsed="false">
      <c r="D308" s="868"/>
      <c r="E308" s="1039"/>
      <c r="F308" s="1039"/>
      <c r="G308" s="1039"/>
      <c r="H308" s="1039"/>
      <c r="I308" s="1039"/>
      <c r="J308" s="868"/>
      <c r="N308" s="1040" t="n">
        <v>0.255</v>
      </c>
      <c r="BM308" s="1042"/>
      <c r="BO308" s="288"/>
    </row>
    <row r="309" customFormat="false" ht="18.75" hidden="false" customHeight="true" outlineLevel="0" collapsed="false">
      <c r="D309" s="868"/>
      <c r="E309" s="1039"/>
      <c r="F309" s="1039"/>
      <c r="G309" s="1039"/>
      <c r="H309" s="1039"/>
      <c r="I309" s="1039"/>
      <c r="J309" s="868"/>
      <c r="N309" s="1040" t="n">
        <v>0.725</v>
      </c>
      <c r="BM309" s="1042"/>
      <c r="BO309" s="288"/>
    </row>
    <row r="310" customFormat="false" ht="18.75" hidden="false" customHeight="true" outlineLevel="0" collapsed="false">
      <c r="D310" s="868"/>
      <c r="E310" s="1039"/>
      <c r="F310" s="1039"/>
      <c r="G310" s="1039"/>
      <c r="H310" s="1039"/>
      <c r="I310" s="1039"/>
      <c r="J310" s="868"/>
      <c r="N310" s="1040" t="n">
        <v>1.045</v>
      </c>
      <c r="BM310" s="1042"/>
      <c r="BO310" s="288"/>
    </row>
    <row r="311" customFormat="false" ht="18.75" hidden="false" customHeight="true" outlineLevel="0" collapsed="false">
      <c r="D311" s="868"/>
      <c r="E311" s="1039"/>
      <c r="F311" s="1039"/>
      <c r="G311" s="1039"/>
      <c r="H311" s="1039"/>
      <c r="I311" s="1039"/>
      <c r="J311" s="868"/>
      <c r="N311" s="1040" t="n">
        <v>1.52</v>
      </c>
      <c r="BM311" s="1042"/>
      <c r="BO311" s="288"/>
    </row>
    <row r="312" customFormat="false" ht="18.75" hidden="false" customHeight="true" outlineLevel="0" collapsed="false">
      <c r="D312" s="868"/>
      <c r="E312" s="1039"/>
      <c r="F312" s="1039"/>
      <c r="G312" s="1039"/>
      <c r="H312" s="1039"/>
      <c r="I312" s="1039"/>
      <c r="J312" s="868"/>
      <c r="N312" s="1040" t="n">
        <v>1.4</v>
      </c>
      <c r="BM312" s="1042"/>
      <c r="BO312" s="288"/>
    </row>
    <row r="313" customFormat="false" ht="18.75" hidden="false" customHeight="true" outlineLevel="0" collapsed="false">
      <c r="D313" s="868"/>
      <c r="E313" s="1039"/>
      <c r="F313" s="1039"/>
      <c r="G313" s="1039"/>
      <c r="H313" s="1039"/>
      <c r="I313" s="1039"/>
      <c r="J313" s="868"/>
      <c r="N313" s="1040" t="n">
        <v>0.88</v>
      </c>
      <c r="BM313" s="1042"/>
      <c r="BO313" s="288"/>
    </row>
    <row r="314" customFormat="false" ht="18.75" hidden="false" customHeight="true" outlineLevel="0" collapsed="false">
      <c r="D314" s="868"/>
      <c r="E314" s="1039"/>
      <c r="F314" s="1039"/>
      <c r="G314" s="1039"/>
      <c r="H314" s="1039"/>
      <c r="I314" s="1039"/>
      <c r="J314" s="868"/>
      <c r="N314" s="1040" t="n">
        <v>0.37</v>
      </c>
      <c r="BM314" s="1042"/>
      <c r="BO314" s="288"/>
    </row>
    <row r="315" customFormat="false" ht="18.75" hidden="false" customHeight="true" outlineLevel="0" collapsed="false">
      <c r="D315" s="868"/>
      <c r="E315" s="1039"/>
      <c r="F315" s="1039"/>
      <c r="G315" s="1039"/>
      <c r="H315" s="1039"/>
      <c r="I315" s="1039"/>
      <c r="J315" s="868"/>
      <c r="N315" s="1040" t="n">
        <v>0.2525</v>
      </c>
      <c r="BM315" s="1042"/>
      <c r="BO315" s="288"/>
    </row>
    <row r="316" customFormat="false" ht="18.75" hidden="false" customHeight="true" outlineLevel="0" collapsed="false">
      <c r="D316" s="868"/>
      <c r="E316" s="1039"/>
      <c r="F316" s="1039"/>
      <c r="G316" s="1039"/>
      <c r="H316" s="1039"/>
      <c r="I316" s="1039"/>
      <c r="J316" s="868"/>
      <c r="N316" s="1040" t="n">
        <v>0.2525</v>
      </c>
      <c r="BM316" s="1042"/>
      <c r="BO316" s="288"/>
    </row>
    <row r="317" customFormat="false" ht="18.75" hidden="false" customHeight="true" outlineLevel="0" collapsed="false">
      <c r="D317" s="868"/>
      <c r="E317" s="1039"/>
      <c r="F317" s="1039"/>
      <c r="G317" s="1039"/>
      <c r="H317" s="1039"/>
      <c r="I317" s="1039"/>
      <c r="J317" s="868"/>
      <c r="N317" s="1040" t="n">
        <v>0.2575</v>
      </c>
      <c r="BM317" s="1042"/>
      <c r="BO317" s="288"/>
    </row>
    <row r="318" customFormat="false" ht="18.75" hidden="false" customHeight="true" outlineLevel="0" collapsed="false">
      <c r="D318" s="868"/>
      <c r="E318" s="1039"/>
      <c r="F318" s="1039"/>
      <c r="G318" s="1039"/>
      <c r="H318" s="1039"/>
      <c r="I318" s="1039"/>
      <c r="J318" s="868"/>
      <c r="N318" s="1040" t="n">
        <v>0.2575</v>
      </c>
      <c r="BM318" s="1042"/>
      <c r="BO318" s="288"/>
    </row>
    <row r="319" customFormat="false" ht="18.75" hidden="false" customHeight="true" outlineLevel="0" collapsed="false">
      <c r="D319" s="868"/>
      <c r="E319" s="1039"/>
      <c r="F319" s="1039"/>
      <c r="G319" s="1039"/>
      <c r="H319" s="1039"/>
      <c r="I319" s="1039"/>
      <c r="J319" s="868"/>
      <c r="N319" s="1040" t="n">
        <v>0.2525</v>
      </c>
      <c r="BM319" s="1042"/>
      <c r="BO319" s="288"/>
    </row>
    <row r="320" customFormat="false" ht="18.75" hidden="false" customHeight="true" outlineLevel="0" collapsed="false">
      <c r="D320" s="868"/>
      <c r="E320" s="1039"/>
      <c r="F320" s="1039"/>
      <c r="G320" s="1039"/>
      <c r="H320" s="1039"/>
      <c r="I320" s="1039"/>
      <c r="J320" s="868"/>
      <c r="N320" s="1040" t="n">
        <v>0.255</v>
      </c>
      <c r="BM320" s="1042"/>
      <c r="BO320" s="288"/>
    </row>
    <row r="321" customFormat="false" ht="18.75" hidden="false" customHeight="true" outlineLevel="0" collapsed="false">
      <c r="D321" s="868"/>
      <c r="E321" s="1039"/>
      <c r="F321" s="1039"/>
      <c r="G321" s="1039"/>
      <c r="H321" s="1039"/>
      <c r="I321" s="1039"/>
      <c r="J321" s="868"/>
      <c r="N321" s="1040" t="n">
        <v>0.725</v>
      </c>
      <c r="BM321" s="1042"/>
      <c r="BO321" s="288"/>
    </row>
    <row r="322" customFormat="false" ht="18.75" hidden="false" customHeight="true" outlineLevel="0" collapsed="false">
      <c r="D322" s="868"/>
      <c r="E322" s="1039"/>
      <c r="F322" s="1039"/>
      <c r="G322" s="1039"/>
      <c r="H322" s="1039"/>
      <c r="I322" s="1039"/>
      <c r="J322" s="868"/>
      <c r="N322" s="1040" t="n">
        <v>1.045</v>
      </c>
      <c r="BM322" s="1042"/>
      <c r="BO322" s="288"/>
    </row>
    <row r="323" customFormat="false" ht="18.75" hidden="false" customHeight="true" outlineLevel="0" collapsed="false">
      <c r="D323" s="868"/>
      <c r="E323" s="1039"/>
      <c r="F323" s="1039"/>
      <c r="G323" s="1039"/>
      <c r="H323" s="1039"/>
      <c r="I323" s="1039"/>
      <c r="J323" s="868"/>
      <c r="N323" s="1040" t="n">
        <v>1.52</v>
      </c>
      <c r="BM323" s="1042"/>
      <c r="BO323" s="288"/>
    </row>
    <row r="324" customFormat="false" ht="18.75" hidden="false" customHeight="true" outlineLevel="0" collapsed="false">
      <c r="D324" s="868"/>
      <c r="E324" s="1039"/>
      <c r="F324" s="1039"/>
      <c r="G324" s="1039"/>
      <c r="H324" s="1039"/>
      <c r="I324" s="1039"/>
      <c r="J324" s="868"/>
      <c r="N324" s="1040" t="n">
        <v>1.4</v>
      </c>
      <c r="BM324" s="1042"/>
      <c r="BO324" s="288"/>
    </row>
    <row r="325" customFormat="false" ht="18.75" hidden="false" customHeight="true" outlineLevel="0" collapsed="false">
      <c r="D325" s="868"/>
      <c r="E325" s="1039"/>
      <c r="F325" s="1039"/>
      <c r="G325" s="1039"/>
      <c r="H325" s="1039"/>
      <c r="I325" s="1039"/>
      <c r="J325" s="868"/>
      <c r="N325" s="1040" t="n">
        <v>0.88</v>
      </c>
      <c r="BM325" s="1042"/>
      <c r="BO325" s="288"/>
    </row>
    <row r="326" customFormat="false" ht="18.75" hidden="false" customHeight="true" outlineLevel="0" collapsed="false">
      <c r="D326" s="868"/>
      <c r="E326" s="1039"/>
      <c r="F326" s="1039"/>
      <c r="G326" s="1039"/>
      <c r="H326" s="1039"/>
      <c r="I326" s="1039"/>
      <c r="J326" s="868"/>
      <c r="N326" s="1040" t="n">
        <v>0.37</v>
      </c>
      <c r="BM326" s="1042"/>
      <c r="BO326" s="288"/>
    </row>
    <row r="327" customFormat="false" ht="18.75" hidden="false" customHeight="true" outlineLevel="0" collapsed="false">
      <c r="D327" s="868"/>
      <c r="E327" s="1039"/>
      <c r="F327" s="1039"/>
      <c r="G327" s="1039"/>
      <c r="H327" s="1039"/>
      <c r="I327" s="1039"/>
      <c r="J327" s="868"/>
      <c r="N327" s="1040" t="n">
        <v>0.2525</v>
      </c>
      <c r="BM327" s="1042"/>
      <c r="BO327" s="288"/>
    </row>
    <row r="328" customFormat="false" ht="18.75" hidden="false" customHeight="true" outlineLevel="0" collapsed="false">
      <c r="D328" s="868"/>
      <c r="E328" s="1039"/>
      <c r="F328" s="1039"/>
      <c r="G328" s="1039"/>
      <c r="H328" s="1039"/>
      <c r="I328" s="1039"/>
      <c r="J328" s="868"/>
      <c r="N328" s="1040" t="n">
        <v>0.2525</v>
      </c>
      <c r="BM328" s="1042"/>
      <c r="BO328" s="288"/>
    </row>
    <row r="329" customFormat="false" ht="18.75" hidden="false" customHeight="true" outlineLevel="0" collapsed="false">
      <c r="D329" s="868"/>
      <c r="E329" s="1039"/>
      <c r="F329" s="1039"/>
      <c r="G329" s="1039"/>
      <c r="H329" s="1039"/>
      <c r="I329" s="1039"/>
      <c r="J329" s="868"/>
      <c r="N329" s="1040" t="n">
        <v>0.2575</v>
      </c>
      <c r="BM329" s="1042"/>
      <c r="BO329" s="288"/>
    </row>
    <row r="330" customFormat="false" ht="18.75" hidden="false" customHeight="true" outlineLevel="0" collapsed="false">
      <c r="D330" s="868"/>
      <c r="E330" s="1039"/>
      <c r="F330" s="1039"/>
      <c r="G330" s="1039"/>
      <c r="H330" s="1039"/>
      <c r="I330" s="1039"/>
      <c r="J330" s="868"/>
      <c r="N330" s="1040" t="n">
        <v>0.2575</v>
      </c>
      <c r="BM330" s="1042"/>
      <c r="BO330" s="288"/>
    </row>
    <row r="331" customFormat="false" ht="18.75" hidden="false" customHeight="true" outlineLevel="0" collapsed="false">
      <c r="D331" s="868"/>
      <c r="E331" s="1039"/>
      <c r="F331" s="1039"/>
      <c r="G331" s="1039"/>
      <c r="H331" s="1039"/>
      <c r="I331" s="1039"/>
      <c r="J331" s="868"/>
      <c r="N331" s="1040" t="n">
        <v>0.2525</v>
      </c>
      <c r="BM331" s="1042"/>
      <c r="BO331" s="288"/>
    </row>
    <row r="332" customFormat="false" ht="18.75" hidden="false" customHeight="true" outlineLevel="0" collapsed="false">
      <c r="D332" s="868"/>
      <c r="E332" s="1039"/>
      <c r="F332" s="1039"/>
      <c r="G332" s="1039"/>
      <c r="H332" s="1039"/>
      <c r="I332" s="1039"/>
      <c r="J332" s="868"/>
      <c r="N332" s="1040" t="n">
        <v>0.255</v>
      </c>
      <c r="BM332" s="1042"/>
      <c r="BO332" s="288"/>
    </row>
    <row r="333" customFormat="false" ht="18.75" hidden="false" customHeight="true" outlineLevel="0" collapsed="false">
      <c r="D333" s="868"/>
      <c r="E333" s="1039"/>
      <c r="F333" s="1039"/>
      <c r="G333" s="1039"/>
      <c r="H333" s="1039"/>
      <c r="I333" s="1039"/>
      <c r="J333" s="868"/>
      <c r="N333" s="1040" t="n">
        <v>0.725</v>
      </c>
      <c r="BM333" s="1042"/>
      <c r="BO333" s="288"/>
    </row>
    <row r="334" customFormat="false" ht="18.75" hidden="false" customHeight="true" outlineLevel="0" collapsed="false">
      <c r="D334" s="868"/>
      <c r="E334" s="1039"/>
      <c r="F334" s="1039"/>
      <c r="G334" s="1039"/>
      <c r="H334" s="1039"/>
      <c r="I334" s="1039"/>
      <c r="J334" s="868"/>
      <c r="N334" s="1040" t="n">
        <v>1.045</v>
      </c>
      <c r="BM334" s="1042"/>
      <c r="BO334" s="288"/>
    </row>
    <row r="335" customFormat="false" ht="18.75" hidden="false" customHeight="true" outlineLevel="0" collapsed="false">
      <c r="D335" s="868"/>
      <c r="E335" s="1039"/>
      <c r="F335" s="1039"/>
      <c r="G335" s="1039"/>
      <c r="H335" s="1039"/>
      <c r="I335" s="1039"/>
      <c r="J335" s="868"/>
      <c r="N335" s="1040" t="n">
        <v>1.52</v>
      </c>
      <c r="BM335" s="1042"/>
      <c r="BO335" s="288"/>
    </row>
    <row r="336" customFormat="false" ht="18.75" hidden="false" customHeight="true" outlineLevel="0" collapsed="false">
      <c r="D336" s="868"/>
      <c r="E336" s="1039"/>
      <c r="F336" s="1039"/>
      <c r="G336" s="1039"/>
      <c r="H336" s="1039"/>
      <c r="I336" s="1039"/>
      <c r="J336" s="868"/>
      <c r="N336" s="1040" t="n">
        <v>1.4</v>
      </c>
      <c r="BM336" s="1042"/>
      <c r="BO336" s="288"/>
    </row>
    <row r="337" customFormat="false" ht="18.75" hidden="false" customHeight="true" outlineLevel="0" collapsed="false">
      <c r="D337" s="868"/>
      <c r="E337" s="1039"/>
      <c r="F337" s="1039"/>
      <c r="G337" s="1039"/>
      <c r="H337" s="1039"/>
      <c r="I337" s="1039"/>
      <c r="J337" s="868"/>
      <c r="N337" s="1040" t="n">
        <v>0.88</v>
      </c>
      <c r="BM337" s="1042"/>
      <c r="BO337" s="288"/>
    </row>
    <row r="338" customFormat="false" ht="18.75" hidden="false" customHeight="true" outlineLevel="0" collapsed="false">
      <c r="D338" s="868"/>
      <c r="E338" s="1039"/>
      <c r="F338" s="1039"/>
      <c r="G338" s="1039"/>
      <c r="H338" s="1039"/>
      <c r="I338" s="1039"/>
      <c r="J338" s="868"/>
      <c r="N338" s="1040" t="n">
        <v>0.37</v>
      </c>
      <c r="BM338" s="1042"/>
      <c r="BO338" s="288"/>
    </row>
    <row r="339" customFormat="false" ht="18.75" hidden="false" customHeight="true" outlineLevel="0" collapsed="false">
      <c r="D339" s="868"/>
      <c r="E339" s="1039"/>
      <c r="F339" s="1039"/>
      <c r="G339" s="1039"/>
      <c r="H339" s="1039"/>
      <c r="I339" s="1039"/>
      <c r="J339" s="868"/>
      <c r="N339" s="1040" t="n">
        <v>0.2525</v>
      </c>
      <c r="BM339" s="1042"/>
      <c r="BO339" s="288"/>
    </row>
    <row r="340" customFormat="false" ht="18.75" hidden="false" customHeight="true" outlineLevel="0" collapsed="false">
      <c r="D340" s="868"/>
      <c r="E340" s="1039"/>
      <c r="F340" s="1039"/>
      <c r="G340" s="1039"/>
      <c r="H340" s="1039"/>
      <c r="I340" s="1039"/>
      <c r="J340" s="868"/>
      <c r="N340" s="1040" t="n">
        <v>0.2525</v>
      </c>
      <c r="BM340" s="1042"/>
      <c r="BO340" s="288"/>
    </row>
    <row r="341" customFormat="false" ht="18.75" hidden="false" customHeight="true" outlineLevel="0" collapsed="false">
      <c r="D341" s="868"/>
      <c r="E341" s="1039"/>
      <c r="F341" s="1039"/>
      <c r="G341" s="1039"/>
      <c r="H341" s="1039"/>
      <c r="I341" s="1039"/>
      <c r="J341" s="868"/>
      <c r="N341" s="1040" t="n">
        <v>0.2575</v>
      </c>
      <c r="BM341" s="1042"/>
      <c r="BO341" s="288"/>
    </row>
    <row r="342" customFormat="false" ht="18.75" hidden="false" customHeight="true" outlineLevel="0" collapsed="false">
      <c r="D342" s="868"/>
      <c r="E342" s="1039"/>
      <c r="F342" s="1039"/>
      <c r="G342" s="1039"/>
      <c r="H342" s="1039"/>
      <c r="I342" s="1039"/>
      <c r="J342" s="868"/>
      <c r="N342" s="1040" t="n">
        <v>0.2575</v>
      </c>
      <c r="BM342" s="1042"/>
      <c r="BO342" s="288"/>
    </row>
    <row r="343" customFormat="false" ht="18.75" hidden="false" customHeight="true" outlineLevel="0" collapsed="false">
      <c r="D343" s="868"/>
      <c r="E343" s="1039"/>
      <c r="F343" s="1039"/>
      <c r="G343" s="1039"/>
      <c r="H343" s="1039"/>
      <c r="I343" s="1039"/>
      <c r="J343" s="868"/>
      <c r="N343" s="1040" t="n">
        <v>0.2525</v>
      </c>
      <c r="BM343" s="1042"/>
      <c r="BO343" s="288"/>
    </row>
    <row r="344" customFormat="false" ht="18.75" hidden="false" customHeight="true" outlineLevel="0" collapsed="false">
      <c r="D344" s="868"/>
      <c r="E344" s="1039"/>
      <c r="F344" s="1039"/>
      <c r="G344" s="1039"/>
      <c r="H344" s="1039"/>
      <c r="I344" s="1039"/>
      <c r="J344" s="868"/>
      <c r="N344" s="1040" t="n">
        <v>0.255</v>
      </c>
      <c r="BM344" s="1042"/>
      <c r="BO344" s="288"/>
    </row>
    <row r="345" customFormat="false" ht="18.75" hidden="false" customHeight="true" outlineLevel="0" collapsed="false">
      <c r="D345" s="868"/>
      <c r="E345" s="1039"/>
      <c r="F345" s="1039"/>
      <c r="G345" s="1039"/>
      <c r="H345" s="1039"/>
      <c r="I345" s="1039"/>
      <c r="J345" s="868"/>
      <c r="N345" s="1040" t="n">
        <v>0.725</v>
      </c>
      <c r="BM345" s="1042"/>
      <c r="BO345" s="288"/>
    </row>
    <row r="346" customFormat="false" ht="18.75" hidden="false" customHeight="true" outlineLevel="0" collapsed="false">
      <c r="D346" s="868"/>
      <c r="E346" s="1039"/>
      <c r="F346" s="1039"/>
      <c r="G346" s="1039"/>
      <c r="H346" s="1039"/>
      <c r="I346" s="1039"/>
      <c r="J346" s="868"/>
      <c r="N346" s="1040" t="n">
        <v>1.045</v>
      </c>
      <c r="BM346" s="1042"/>
      <c r="BO346" s="288"/>
    </row>
    <row r="347" customFormat="false" ht="18.75" hidden="false" customHeight="true" outlineLevel="0" collapsed="false">
      <c r="D347" s="868"/>
      <c r="E347" s="1039"/>
      <c r="F347" s="1039"/>
      <c r="G347" s="1039"/>
      <c r="H347" s="1039"/>
      <c r="I347" s="1039"/>
      <c r="J347" s="868"/>
      <c r="N347" s="1040" t="n">
        <v>1.52</v>
      </c>
      <c r="BM347" s="1042"/>
      <c r="BO347" s="288"/>
    </row>
    <row r="348" customFormat="false" ht="18.75" hidden="false" customHeight="true" outlineLevel="0" collapsed="false">
      <c r="D348" s="868"/>
      <c r="E348" s="1039"/>
      <c r="F348" s="1039"/>
      <c r="G348" s="1039"/>
      <c r="H348" s="1039"/>
      <c r="I348" s="1039"/>
      <c r="J348" s="868"/>
      <c r="N348" s="1040" t="n">
        <v>1.4</v>
      </c>
      <c r="BM348" s="1042"/>
      <c r="BO348" s="288"/>
    </row>
    <row r="349" customFormat="false" ht="18.75" hidden="false" customHeight="true" outlineLevel="0" collapsed="false">
      <c r="D349" s="868"/>
      <c r="E349" s="1039"/>
      <c r="F349" s="1039"/>
      <c r="G349" s="1039"/>
      <c r="H349" s="1039"/>
      <c r="I349" s="1039"/>
      <c r="J349" s="868"/>
      <c r="N349" s="1040" t="n">
        <v>0.88</v>
      </c>
      <c r="BM349" s="1042"/>
      <c r="BO349" s="288"/>
    </row>
    <row r="350" customFormat="false" ht="18.75" hidden="false" customHeight="true" outlineLevel="0" collapsed="false">
      <c r="D350" s="868"/>
      <c r="E350" s="1039"/>
      <c r="F350" s="1039"/>
      <c r="G350" s="1039"/>
      <c r="H350" s="1039"/>
      <c r="I350" s="1039"/>
      <c r="J350" s="868"/>
      <c r="N350" s="1040" t="n">
        <v>0.37</v>
      </c>
      <c r="BM350" s="1042"/>
      <c r="BO350" s="288"/>
    </row>
    <row r="351" customFormat="false" ht="18.75" hidden="false" customHeight="true" outlineLevel="0" collapsed="false">
      <c r="D351" s="868"/>
      <c r="E351" s="1039"/>
      <c r="F351" s="1039"/>
      <c r="G351" s="1039"/>
      <c r="H351" s="1039"/>
      <c r="I351" s="1039"/>
      <c r="J351" s="868"/>
      <c r="N351" s="1040" t="n">
        <v>0.2525</v>
      </c>
      <c r="BM351" s="1042"/>
      <c r="BO351" s="288"/>
    </row>
    <row r="352" customFormat="false" ht="18.75" hidden="false" customHeight="true" outlineLevel="0" collapsed="false">
      <c r="D352" s="868"/>
      <c r="E352" s="1039"/>
      <c r="F352" s="1039"/>
      <c r="G352" s="1039"/>
      <c r="H352" s="1039"/>
      <c r="I352" s="1039"/>
      <c r="J352" s="868"/>
      <c r="N352" s="1040" t="n">
        <v>0.2525</v>
      </c>
      <c r="BM352" s="1042"/>
      <c r="BO352" s="288"/>
    </row>
    <row r="353" customFormat="false" ht="18.75" hidden="false" customHeight="true" outlineLevel="0" collapsed="false">
      <c r="D353" s="868"/>
      <c r="E353" s="1039"/>
      <c r="F353" s="1039"/>
      <c r="G353" s="1039"/>
      <c r="H353" s="1039"/>
      <c r="I353" s="1039"/>
      <c r="J353" s="868"/>
      <c r="N353" s="1040" t="n">
        <v>0.2575</v>
      </c>
      <c r="BM353" s="1042"/>
      <c r="BO353" s="288"/>
    </row>
    <row r="354" customFormat="false" ht="18.75" hidden="false" customHeight="true" outlineLevel="0" collapsed="false">
      <c r="D354" s="868"/>
      <c r="E354" s="1039"/>
      <c r="F354" s="1039"/>
      <c r="G354" s="1039"/>
      <c r="H354" s="1039"/>
      <c r="I354" s="1039"/>
      <c r="J354" s="868"/>
      <c r="N354" s="1040" t="n">
        <v>0.2575</v>
      </c>
      <c r="BM354" s="1042"/>
      <c r="BO354" s="288"/>
    </row>
    <row r="355" customFormat="false" ht="18.75" hidden="false" customHeight="true" outlineLevel="0" collapsed="false">
      <c r="D355" s="868"/>
      <c r="E355" s="1039"/>
      <c r="F355" s="1039"/>
      <c r="G355" s="1039"/>
      <c r="H355" s="1039"/>
      <c r="I355" s="1039"/>
      <c r="J355" s="868"/>
      <c r="N355" s="1040" t="n">
        <v>0.2525</v>
      </c>
      <c r="BM355" s="1042"/>
      <c r="BO355" s="288"/>
    </row>
    <row r="356" customFormat="false" ht="18.75" hidden="false" customHeight="true" outlineLevel="0" collapsed="false">
      <c r="D356" s="868"/>
      <c r="E356" s="1039"/>
      <c r="F356" s="1039"/>
      <c r="G356" s="1039"/>
      <c r="H356" s="1039"/>
      <c r="I356" s="1039"/>
      <c r="J356" s="868"/>
      <c r="N356" s="1040" t="n">
        <v>0.255</v>
      </c>
      <c r="BM356" s="1042"/>
      <c r="BO356" s="288"/>
    </row>
    <row r="357" customFormat="false" ht="18.75" hidden="false" customHeight="true" outlineLevel="0" collapsed="false">
      <c r="D357" s="868"/>
      <c r="E357" s="1039"/>
      <c r="F357" s="1039"/>
      <c r="G357" s="1039"/>
      <c r="H357" s="1039"/>
      <c r="I357" s="1039"/>
      <c r="J357" s="868"/>
      <c r="N357" s="1040" t="n">
        <v>0.725</v>
      </c>
      <c r="BM357" s="1042"/>
      <c r="BO357" s="288"/>
    </row>
    <row r="358" customFormat="false" ht="18.75" hidden="false" customHeight="true" outlineLevel="0" collapsed="false">
      <c r="D358" s="868"/>
      <c r="E358" s="1039"/>
      <c r="F358" s="1039"/>
      <c r="G358" s="1039"/>
      <c r="H358" s="1039"/>
      <c r="I358" s="1039"/>
      <c r="J358" s="868"/>
      <c r="N358" s="1040" t="n">
        <v>1.045</v>
      </c>
      <c r="BM358" s="1042"/>
      <c r="BO358" s="288"/>
    </row>
    <row r="359" customFormat="false" ht="18.75" hidden="false" customHeight="true" outlineLevel="0" collapsed="false">
      <c r="D359" s="868"/>
      <c r="E359" s="1039"/>
      <c r="F359" s="1039"/>
      <c r="G359" s="1039"/>
      <c r="H359" s="1039"/>
      <c r="I359" s="1039"/>
      <c r="J359" s="868"/>
      <c r="BM359" s="1042"/>
      <c r="BO359" s="288"/>
    </row>
    <row r="360" customFormat="false" ht="18.75" hidden="false" customHeight="true" outlineLevel="0" collapsed="false">
      <c r="D360" s="868"/>
      <c r="E360" s="1039"/>
      <c r="F360" s="1039"/>
      <c r="G360" s="1039"/>
      <c r="H360" s="1039"/>
      <c r="I360" s="1039"/>
      <c r="J360" s="868"/>
      <c r="BM360" s="1042"/>
      <c r="BO360" s="288"/>
    </row>
    <row r="361" customFormat="false" ht="18.75" hidden="false" customHeight="true" outlineLevel="0" collapsed="false">
      <c r="D361" s="868"/>
      <c r="E361" s="1039"/>
      <c r="F361" s="1039"/>
      <c r="G361" s="1039"/>
      <c r="H361" s="1039"/>
      <c r="I361" s="1039"/>
      <c r="J361" s="868"/>
      <c r="BM361" s="1042"/>
      <c r="BO361" s="288"/>
    </row>
    <row r="362" customFormat="false" ht="18.75" hidden="false" customHeight="true" outlineLevel="0" collapsed="false">
      <c r="D362" s="868"/>
      <c r="E362" s="1039"/>
      <c r="F362" s="1039"/>
      <c r="G362" s="1039"/>
      <c r="H362" s="1039"/>
      <c r="I362" s="1039"/>
      <c r="J362" s="868"/>
      <c r="BM362" s="1042"/>
      <c r="BO362" s="288"/>
    </row>
    <row r="363" customFormat="false" ht="18.75" hidden="false" customHeight="true" outlineLevel="0" collapsed="false">
      <c r="D363" s="868"/>
      <c r="E363" s="1039"/>
      <c r="F363" s="1039"/>
      <c r="G363" s="1039"/>
      <c r="H363" s="1039"/>
      <c r="I363" s="1039"/>
      <c r="J363" s="868"/>
      <c r="BM363" s="1042"/>
      <c r="BO363" s="288"/>
    </row>
    <row r="364" customFormat="false" ht="18.75" hidden="false" customHeight="true" outlineLevel="0" collapsed="false">
      <c r="D364" s="868"/>
      <c r="E364" s="1039"/>
      <c r="F364" s="1039"/>
      <c r="G364" s="1039"/>
      <c r="H364" s="1039"/>
      <c r="I364" s="1039"/>
      <c r="J364" s="868"/>
      <c r="BM364" s="1042"/>
      <c r="BO364" s="288"/>
    </row>
    <row r="365" customFormat="false" ht="18.75" hidden="false" customHeight="true" outlineLevel="0" collapsed="false">
      <c r="D365" s="868"/>
      <c r="E365" s="1039"/>
      <c r="F365" s="1039"/>
      <c r="G365" s="1039"/>
      <c r="H365" s="1039"/>
      <c r="I365" s="1039"/>
      <c r="J365" s="868"/>
      <c r="BM365" s="1042"/>
      <c r="BO365" s="288"/>
    </row>
    <row r="366" customFormat="false" ht="18.75" hidden="false" customHeight="true" outlineLevel="0" collapsed="false">
      <c r="D366" s="868"/>
      <c r="E366" s="1039"/>
      <c r="F366" s="1039"/>
      <c r="G366" s="1039"/>
      <c r="H366" s="1039"/>
      <c r="I366" s="1039"/>
      <c r="J366" s="868"/>
      <c r="BM366" s="1042"/>
      <c r="BO366" s="288"/>
    </row>
    <row r="367" customFormat="false" ht="18.75" hidden="false" customHeight="true" outlineLevel="0" collapsed="false">
      <c r="D367" s="868"/>
      <c r="E367" s="1039"/>
      <c r="F367" s="1039"/>
      <c r="G367" s="1039"/>
      <c r="H367" s="1039"/>
      <c r="I367" s="1039"/>
      <c r="J367" s="868"/>
      <c r="BM367" s="1042"/>
      <c r="BO367" s="288"/>
    </row>
    <row r="368" customFormat="false" ht="18.75" hidden="false" customHeight="true" outlineLevel="0" collapsed="false">
      <c r="D368" s="868"/>
      <c r="E368" s="1039"/>
      <c r="F368" s="1039"/>
      <c r="G368" s="1039"/>
      <c r="H368" s="1039"/>
      <c r="I368" s="1039"/>
      <c r="J368" s="868"/>
      <c r="BM368" s="1042"/>
      <c r="BO368" s="288"/>
    </row>
    <row r="369" customFormat="false" ht="18.75" hidden="false" customHeight="true" outlineLevel="0" collapsed="false">
      <c r="D369" s="868"/>
      <c r="E369" s="1039"/>
      <c r="F369" s="1039"/>
      <c r="G369" s="1039"/>
      <c r="H369" s="1039"/>
      <c r="I369" s="1039"/>
      <c r="J369" s="868"/>
      <c r="BM369" s="1042"/>
      <c r="BO369" s="288"/>
    </row>
    <row r="370" customFormat="false" ht="18.75" hidden="false" customHeight="true" outlineLevel="0" collapsed="false">
      <c r="D370" s="868"/>
      <c r="E370" s="1039"/>
      <c r="F370" s="1039"/>
      <c r="G370" s="1039"/>
      <c r="H370" s="1039"/>
      <c r="I370" s="1039"/>
      <c r="J370" s="868"/>
      <c r="BM370" s="1042"/>
      <c r="BO370" s="288"/>
    </row>
    <row r="371" customFormat="false" ht="18.75" hidden="false" customHeight="true" outlineLevel="0" collapsed="false">
      <c r="D371" s="868"/>
      <c r="E371" s="1039"/>
      <c r="F371" s="1039"/>
      <c r="G371" s="1039"/>
      <c r="H371" s="1039"/>
      <c r="I371" s="1039"/>
      <c r="J371" s="868"/>
      <c r="BM371" s="1042"/>
      <c r="BO371" s="288"/>
    </row>
    <row r="372" customFormat="false" ht="18.75" hidden="false" customHeight="true" outlineLevel="0" collapsed="false">
      <c r="D372" s="868"/>
      <c r="E372" s="1039"/>
      <c r="F372" s="1039"/>
      <c r="G372" s="1039"/>
      <c r="H372" s="1039"/>
      <c r="I372" s="1039"/>
      <c r="J372" s="868"/>
      <c r="BM372" s="1042"/>
      <c r="BO372" s="288"/>
    </row>
    <row r="373" customFormat="false" ht="18.75" hidden="false" customHeight="true" outlineLevel="0" collapsed="false">
      <c r="D373" s="868"/>
      <c r="E373" s="1039"/>
      <c r="F373" s="1039"/>
      <c r="G373" s="1039"/>
      <c r="H373" s="1039"/>
      <c r="I373" s="1039"/>
      <c r="J373" s="868"/>
      <c r="BM373" s="1042"/>
      <c r="BO373" s="288"/>
    </row>
    <row r="374" customFormat="false" ht="18.75" hidden="false" customHeight="true" outlineLevel="0" collapsed="false">
      <c r="D374" s="868"/>
      <c r="E374" s="1039"/>
      <c r="F374" s="1039"/>
      <c r="G374" s="1039"/>
      <c r="H374" s="1039"/>
      <c r="I374" s="1039"/>
      <c r="J374" s="868"/>
      <c r="BM374" s="1042"/>
      <c r="BO374" s="288"/>
    </row>
    <row r="375" customFormat="false" ht="18.75" hidden="false" customHeight="true" outlineLevel="0" collapsed="false">
      <c r="D375" s="868"/>
      <c r="E375" s="1039"/>
      <c r="F375" s="1039"/>
      <c r="G375" s="1039"/>
      <c r="H375" s="1039"/>
      <c r="I375" s="1039"/>
      <c r="J375" s="868"/>
      <c r="BM375" s="1042"/>
      <c r="BO375" s="288"/>
    </row>
    <row r="376" customFormat="false" ht="18.75" hidden="false" customHeight="true" outlineLevel="0" collapsed="false">
      <c r="D376" s="868"/>
      <c r="E376" s="1039"/>
      <c r="F376" s="1039"/>
      <c r="G376" s="1039"/>
      <c r="H376" s="1039"/>
      <c r="I376" s="1039"/>
      <c r="J376" s="868"/>
      <c r="BM376" s="1042"/>
      <c r="BO376" s="288"/>
    </row>
    <row r="377" customFormat="false" ht="18.75" hidden="false" customHeight="true" outlineLevel="0" collapsed="false">
      <c r="D377" s="868"/>
      <c r="E377" s="1039"/>
      <c r="F377" s="1039"/>
      <c r="G377" s="1039"/>
      <c r="H377" s="1039"/>
      <c r="I377" s="1039"/>
      <c r="J377" s="868"/>
      <c r="BM377" s="1042"/>
      <c r="BO377" s="288"/>
    </row>
    <row r="378" customFormat="false" ht="18.75" hidden="false" customHeight="true" outlineLevel="0" collapsed="false">
      <c r="D378" s="868"/>
      <c r="E378" s="1039"/>
      <c r="F378" s="1039"/>
      <c r="G378" s="1039"/>
      <c r="H378" s="1039"/>
      <c r="I378" s="1039"/>
      <c r="J378" s="868"/>
      <c r="BM378" s="1042"/>
      <c r="BO378" s="288"/>
    </row>
    <row r="379" customFormat="false" ht="18.75" hidden="false" customHeight="true" outlineLevel="0" collapsed="false">
      <c r="D379" s="868"/>
      <c r="E379" s="1039"/>
      <c r="F379" s="1039"/>
      <c r="G379" s="1039"/>
      <c r="H379" s="1039"/>
      <c r="I379" s="1039"/>
      <c r="J379" s="868"/>
      <c r="BM379" s="1042"/>
      <c r="BO379" s="288"/>
    </row>
    <row r="380" customFormat="false" ht="18.75" hidden="false" customHeight="true" outlineLevel="0" collapsed="false">
      <c r="D380" s="868"/>
      <c r="E380" s="1039"/>
      <c r="F380" s="1039"/>
      <c r="G380" s="1039"/>
      <c r="H380" s="1039"/>
      <c r="I380" s="1039"/>
      <c r="J380" s="868"/>
      <c r="BM380" s="1042"/>
      <c r="BO380" s="288"/>
    </row>
    <row r="381" customFormat="false" ht="18.75" hidden="false" customHeight="true" outlineLevel="0" collapsed="false">
      <c r="D381" s="868"/>
      <c r="E381" s="1039"/>
      <c r="F381" s="1039"/>
      <c r="G381" s="1039"/>
      <c r="H381" s="1039"/>
      <c r="I381" s="1039"/>
      <c r="J381" s="868"/>
      <c r="BM381" s="1042"/>
      <c r="BO381" s="288"/>
    </row>
    <row r="382" customFormat="false" ht="18.75" hidden="false" customHeight="true" outlineLevel="0" collapsed="false">
      <c r="D382" s="868"/>
      <c r="E382" s="1039"/>
      <c r="F382" s="1039"/>
      <c r="G382" s="1039"/>
      <c r="H382" s="1039"/>
      <c r="I382" s="1039"/>
      <c r="J382" s="868"/>
      <c r="BM382" s="1042"/>
      <c r="BO382" s="288"/>
    </row>
    <row r="383" customFormat="false" ht="18.75" hidden="false" customHeight="true" outlineLevel="0" collapsed="false">
      <c r="D383" s="868"/>
      <c r="E383" s="1039"/>
      <c r="F383" s="1039"/>
      <c r="G383" s="1039"/>
      <c r="H383" s="1039"/>
      <c r="I383" s="1039"/>
      <c r="J383" s="868"/>
      <c r="BM383" s="1042"/>
      <c r="BO383" s="288"/>
    </row>
    <row r="384" customFormat="false" ht="18.75" hidden="false" customHeight="true" outlineLevel="0" collapsed="false">
      <c r="D384" s="868"/>
      <c r="E384" s="1039"/>
      <c r="F384" s="1039"/>
      <c r="G384" s="1039"/>
      <c r="H384" s="1039"/>
      <c r="I384" s="1039"/>
      <c r="J384" s="868"/>
      <c r="BM384" s="1042"/>
      <c r="BO384" s="288"/>
    </row>
    <row r="385" customFormat="false" ht="18.75" hidden="false" customHeight="true" outlineLevel="0" collapsed="false">
      <c r="D385" s="868"/>
      <c r="E385" s="1039"/>
      <c r="F385" s="1039"/>
      <c r="G385" s="1039"/>
      <c r="H385" s="1039"/>
      <c r="I385" s="1039"/>
      <c r="J385" s="868"/>
      <c r="BM385" s="1042"/>
      <c r="BO385" s="288"/>
    </row>
    <row r="386" customFormat="false" ht="18.75" hidden="false" customHeight="true" outlineLevel="0" collapsed="false">
      <c r="D386" s="868"/>
      <c r="E386" s="1039"/>
      <c r="F386" s="1039"/>
      <c r="G386" s="1039"/>
      <c r="H386" s="1039"/>
      <c r="I386" s="1039"/>
      <c r="J386" s="868"/>
      <c r="BM386" s="1042"/>
      <c r="BO386" s="288"/>
    </row>
    <row r="387" customFormat="false" ht="18.75" hidden="false" customHeight="true" outlineLevel="0" collapsed="false">
      <c r="D387" s="868"/>
      <c r="E387" s="1039"/>
      <c r="F387" s="1039"/>
      <c r="G387" s="1039"/>
      <c r="H387" s="1039"/>
      <c r="I387" s="1039"/>
      <c r="J387" s="868"/>
      <c r="BM387" s="1042"/>
      <c r="BO387" s="288"/>
    </row>
    <row r="388" customFormat="false" ht="18.75" hidden="false" customHeight="true" outlineLevel="0" collapsed="false">
      <c r="D388" s="868"/>
      <c r="E388" s="1039"/>
      <c r="F388" s="1039"/>
      <c r="G388" s="1039"/>
      <c r="H388" s="1039"/>
      <c r="I388" s="1039"/>
      <c r="J388" s="868"/>
      <c r="BM388" s="1042"/>
      <c r="BO388" s="288"/>
    </row>
    <row r="389" customFormat="false" ht="18.75" hidden="false" customHeight="true" outlineLevel="0" collapsed="false">
      <c r="D389" s="868"/>
      <c r="E389" s="1039"/>
      <c r="F389" s="1039"/>
      <c r="G389" s="1039"/>
      <c r="H389" s="1039"/>
      <c r="I389" s="1039"/>
      <c r="J389" s="868"/>
      <c r="BM389" s="1042"/>
      <c r="BO389" s="288"/>
    </row>
    <row r="390" customFormat="false" ht="18.75" hidden="false" customHeight="true" outlineLevel="0" collapsed="false">
      <c r="D390" s="868"/>
      <c r="E390" s="1039"/>
      <c r="F390" s="1039"/>
      <c r="G390" s="1039"/>
      <c r="H390" s="1039"/>
      <c r="I390" s="1039"/>
      <c r="J390" s="868"/>
      <c r="BM390" s="1042"/>
      <c r="BO390" s="288"/>
    </row>
    <row r="391" customFormat="false" ht="18.75" hidden="false" customHeight="true" outlineLevel="0" collapsed="false">
      <c r="D391" s="868"/>
      <c r="E391" s="1039"/>
      <c r="F391" s="1039"/>
      <c r="G391" s="1039"/>
      <c r="H391" s="1039"/>
      <c r="I391" s="1039"/>
      <c r="J391" s="868"/>
      <c r="BM391" s="1042"/>
      <c r="BO391" s="288"/>
    </row>
    <row r="392" customFormat="false" ht="18.75" hidden="false" customHeight="true" outlineLevel="0" collapsed="false">
      <c r="D392" s="868"/>
      <c r="E392" s="1039"/>
      <c r="F392" s="1039"/>
      <c r="G392" s="1039"/>
      <c r="H392" s="1039"/>
      <c r="I392" s="1039"/>
      <c r="J392" s="868"/>
      <c r="BM392" s="1042"/>
      <c r="BO392" s="288"/>
    </row>
    <row r="393" customFormat="false" ht="18.75" hidden="false" customHeight="true" outlineLevel="0" collapsed="false">
      <c r="D393" s="868"/>
      <c r="E393" s="1039"/>
      <c r="F393" s="1039"/>
      <c r="G393" s="1039"/>
      <c r="H393" s="1039"/>
      <c r="I393" s="1039"/>
      <c r="J393" s="868"/>
      <c r="BM393" s="1042"/>
      <c r="BO393" s="288"/>
    </row>
    <row r="394" customFormat="false" ht="18.75" hidden="false" customHeight="true" outlineLevel="0" collapsed="false">
      <c r="D394" s="868"/>
      <c r="E394" s="1039"/>
      <c r="F394" s="1039"/>
      <c r="G394" s="1039"/>
      <c r="H394" s="1039"/>
      <c r="I394" s="1039"/>
      <c r="J394" s="868"/>
      <c r="BM394" s="1042"/>
      <c r="BO394" s="288"/>
    </row>
    <row r="395" customFormat="false" ht="18.75" hidden="false" customHeight="true" outlineLevel="0" collapsed="false">
      <c r="D395" s="868"/>
      <c r="E395" s="1039"/>
      <c r="F395" s="1039"/>
      <c r="G395" s="1039"/>
      <c r="H395" s="1039"/>
      <c r="I395" s="1039"/>
      <c r="J395" s="868"/>
      <c r="BM395" s="1042"/>
      <c r="BO395" s="288"/>
    </row>
    <row r="396" customFormat="false" ht="18.75" hidden="false" customHeight="true" outlineLevel="0" collapsed="false">
      <c r="D396" s="868"/>
      <c r="E396" s="1039"/>
      <c r="F396" s="1039"/>
      <c r="G396" s="1039"/>
      <c r="H396" s="1039"/>
      <c r="I396" s="1039"/>
      <c r="J396" s="868"/>
      <c r="BM396" s="1042"/>
      <c r="BO396" s="288"/>
    </row>
    <row r="397" customFormat="false" ht="18.75" hidden="false" customHeight="true" outlineLevel="0" collapsed="false">
      <c r="D397" s="868"/>
      <c r="E397" s="1039"/>
      <c r="F397" s="1039"/>
      <c r="G397" s="1039"/>
      <c r="H397" s="1039"/>
      <c r="I397" s="1039"/>
      <c r="J397" s="868"/>
      <c r="BM397" s="1042"/>
      <c r="BO397" s="288"/>
    </row>
    <row r="398" customFormat="false" ht="18.75" hidden="false" customHeight="true" outlineLevel="0" collapsed="false">
      <c r="D398" s="868"/>
      <c r="E398" s="1039"/>
      <c r="F398" s="1039"/>
      <c r="G398" s="1039"/>
      <c r="H398" s="1039"/>
      <c r="I398" s="1039"/>
      <c r="J398" s="868"/>
      <c r="BM398" s="1042"/>
      <c r="BO398" s="288"/>
    </row>
    <row r="399" customFormat="false" ht="18.75" hidden="false" customHeight="true" outlineLevel="0" collapsed="false">
      <c r="D399" s="868"/>
      <c r="E399" s="1039"/>
      <c r="F399" s="1039"/>
      <c r="G399" s="1039"/>
      <c r="H399" s="1039"/>
      <c r="I399" s="1039"/>
      <c r="J399" s="868"/>
      <c r="BM399" s="1042"/>
      <c r="BO399" s="288"/>
    </row>
    <row r="400" customFormat="false" ht="18.75" hidden="false" customHeight="true" outlineLevel="0" collapsed="false">
      <c r="D400" s="868"/>
      <c r="E400" s="1039"/>
      <c r="F400" s="1039"/>
      <c r="G400" s="1039"/>
      <c r="H400" s="1039"/>
      <c r="I400" s="1039"/>
      <c r="J400" s="868"/>
      <c r="BM400" s="1042"/>
      <c r="BO400" s="288"/>
    </row>
    <row r="401" customFormat="false" ht="18.75" hidden="false" customHeight="true" outlineLevel="0" collapsed="false">
      <c r="D401" s="868"/>
      <c r="E401" s="1039"/>
      <c r="F401" s="1039"/>
      <c r="G401" s="1039"/>
      <c r="H401" s="1039"/>
      <c r="I401" s="1039"/>
      <c r="J401" s="868"/>
      <c r="BM401" s="1042"/>
      <c r="BO401" s="288"/>
    </row>
    <row r="402" customFormat="false" ht="18.75" hidden="false" customHeight="true" outlineLevel="0" collapsed="false">
      <c r="D402" s="868"/>
      <c r="E402" s="1039"/>
      <c r="F402" s="1039"/>
      <c r="G402" s="1039"/>
      <c r="H402" s="1039"/>
      <c r="I402" s="1039"/>
      <c r="J402" s="868"/>
      <c r="BM402" s="1042"/>
      <c r="BO402" s="288"/>
    </row>
    <row r="403" customFormat="false" ht="18.75" hidden="false" customHeight="true" outlineLevel="0" collapsed="false">
      <c r="D403" s="868"/>
      <c r="E403" s="1039"/>
      <c r="F403" s="1039"/>
      <c r="G403" s="1039"/>
      <c r="H403" s="1039"/>
      <c r="I403" s="1039"/>
      <c r="J403" s="868"/>
      <c r="BM403" s="1042"/>
      <c r="BO403" s="288"/>
    </row>
    <row r="404" customFormat="false" ht="18.75" hidden="false" customHeight="true" outlineLevel="0" collapsed="false">
      <c r="D404" s="868"/>
      <c r="E404" s="1039"/>
      <c r="F404" s="1039"/>
      <c r="G404" s="1039"/>
      <c r="H404" s="1039"/>
      <c r="I404" s="1039"/>
      <c r="J404" s="868"/>
      <c r="BM404" s="1042"/>
      <c r="BO404" s="288"/>
    </row>
    <row r="405" customFormat="false" ht="18.75" hidden="false" customHeight="true" outlineLevel="0" collapsed="false">
      <c r="D405" s="868"/>
      <c r="E405" s="1039"/>
      <c r="F405" s="1039"/>
      <c r="G405" s="1039"/>
      <c r="H405" s="1039"/>
      <c r="I405" s="1039"/>
      <c r="J405" s="868"/>
      <c r="BM405" s="1042"/>
      <c r="BO405" s="288"/>
    </row>
    <row r="406" customFormat="false" ht="18.75" hidden="false" customHeight="true" outlineLevel="0" collapsed="false">
      <c r="D406" s="868"/>
      <c r="E406" s="1039"/>
      <c r="F406" s="1039"/>
      <c r="G406" s="1039"/>
      <c r="H406" s="1039"/>
      <c r="I406" s="1039"/>
      <c r="J406" s="868"/>
      <c r="BM406" s="1042"/>
      <c r="BO406" s="288"/>
    </row>
    <row r="407" customFormat="false" ht="18.75" hidden="false" customHeight="true" outlineLevel="0" collapsed="false">
      <c r="D407" s="868"/>
      <c r="E407" s="1039"/>
      <c r="F407" s="1039"/>
      <c r="G407" s="1039"/>
      <c r="H407" s="1039"/>
      <c r="I407" s="1039"/>
      <c r="J407" s="868"/>
      <c r="BM407" s="1042"/>
      <c r="BO407" s="288"/>
    </row>
    <row r="408" customFormat="false" ht="18.75" hidden="false" customHeight="true" outlineLevel="0" collapsed="false">
      <c r="D408" s="868"/>
      <c r="E408" s="1039"/>
      <c r="F408" s="1039"/>
      <c r="G408" s="1039"/>
      <c r="H408" s="1039"/>
      <c r="I408" s="1039"/>
      <c r="J408" s="868"/>
      <c r="BM408" s="1042"/>
      <c r="BO408" s="288"/>
    </row>
    <row r="409" customFormat="false" ht="18.75" hidden="false" customHeight="true" outlineLevel="0" collapsed="false">
      <c r="D409" s="868"/>
      <c r="E409" s="1039"/>
      <c r="F409" s="1039"/>
      <c r="G409" s="1039"/>
      <c r="H409" s="1039"/>
      <c r="I409" s="1039"/>
      <c r="J409" s="868"/>
      <c r="BM409" s="1042"/>
      <c r="BO409" s="288"/>
    </row>
    <row r="410" customFormat="false" ht="18.75" hidden="false" customHeight="true" outlineLevel="0" collapsed="false">
      <c r="D410" s="868"/>
      <c r="E410" s="1039"/>
      <c r="F410" s="1039"/>
      <c r="G410" s="1039"/>
      <c r="H410" s="1039"/>
      <c r="I410" s="1039"/>
      <c r="J410" s="868"/>
      <c r="BM410" s="1042"/>
      <c r="BO410" s="288"/>
    </row>
    <row r="411" customFormat="false" ht="18.75" hidden="false" customHeight="true" outlineLevel="0" collapsed="false">
      <c r="D411" s="868"/>
      <c r="E411" s="1039"/>
      <c r="F411" s="1039"/>
      <c r="G411" s="1039"/>
      <c r="H411" s="1039"/>
      <c r="I411" s="1039"/>
      <c r="J411" s="868"/>
      <c r="BM411" s="1042"/>
      <c r="BO411" s="288"/>
    </row>
    <row r="412" customFormat="false" ht="18.75" hidden="false" customHeight="true" outlineLevel="0" collapsed="false">
      <c r="D412" s="868"/>
      <c r="E412" s="1039"/>
      <c r="F412" s="1039"/>
      <c r="G412" s="1039"/>
      <c r="H412" s="1039"/>
      <c r="I412" s="1039"/>
      <c r="J412" s="868"/>
      <c r="BM412" s="1042"/>
      <c r="BO412" s="288"/>
    </row>
    <row r="413" customFormat="false" ht="18.75" hidden="false" customHeight="true" outlineLevel="0" collapsed="false">
      <c r="D413" s="868"/>
      <c r="E413" s="1039"/>
      <c r="F413" s="1039"/>
      <c r="G413" s="1039"/>
      <c r="H413" s="1039"/>
      <c r="I413" s="1039"/>
      <c r="J413" s="868"/>
      <c r="BM413" s="1042"/>
      <c r="BO413" s="288"/>
    </row>
    <row r="414" customFormat="false" ht="18.75" hidden="false" customHeight="true" outlineLevel="0" collapsed="false">
      <c r="D414" s="868"/>
      <c r="E414" s="1039"/>
      <c r="F414" s="1039"/>
      <c r="G414" s="1039"/>
      <c r="H414" s="1039"/>
      <c r="I414" s="1039"/>
      <c r="J414" s="868"/>
      <c r="BM414" s="1042"/>
      <c r="BO414" s="288"/>
    </row>
    <row r="415" customFormat="false" ht="18.75" hidden="false" customHeight="true" outlineLevel="0" collapsed="false">
      <c r="D415" s="868"/>
      <c r="E415" s="1039"/>
      <c r="F415" s="1039"/>
      <c r="G415" s="1039"/>
      <c r="H415" s="1039"/>
      <c r="I415" s="1039"/>
      <c r="J415" s="868"/>
      <c r="BM415" s="1042"/>
      <c r="BO415" s="288"/>
    </row>
    <row r="416" customFormat="false" ht="18.75" hidden="false" customHeight="true" outlineLevel="0" collapsed="false">
      <c r="D416" s="868"/>
      <c r="E416" s="1039"/>
      <c r="F416" s="1039"/>
      <c r="G416" s="1039"/>
      <c r="H416" s="1039"/>
      <c r="I416" s="1039"/>
      <c r="J416" s="868"/>
      <c r="BM416" s="1042"/>
      <c r="BO416" s="288"/>
    </row>
    <row r="417" customFormat="false" ht="18.75" hidden="false" customHeight="true" outlineLevel="0" collapsed="false">
      <c r="D417" s="868"/>
      <c r="E417" s="1039"/>
      <c r="F417" s="1039"/>
      <c r="G417" s="1039"/>
      <c r="H417" s="1039"/>
      <c r="I417" s="1039"/>
      <c r="J417" s="868"/>
      <c r="BM417" s="1042"/>
      <c r="BO417" s="288"/>
    </row>
    <row r="418" customFormat="false" ht="18.75" hidden="false" customHeight="true" outlineLevel="0" collapsed="false">
      <c r="D418" s="868"/>
      <c r="E418" s="1039"/>
      <c r="F418" s="1039"/>
      <c r="G418" s="1039"/>
      <c r="H418" s="1039"/>
      <c r="I418" s="1039"/>
      <c r="J418" s="868"/>
      <c r="BM418" s="1042"/>
      <c r="BO418" s="288"/>
    </row>
    <row r="419" customFormat="false" ht="18.75" hidden="false" customHeight="true" outlineLevel="0" collapsed="false">
      <c r="D419" s="868"/>
      <c r="E419" s="1039"/>
      <c r="F419" s="1039"/>
      <c r="G419" s="1039"/>
      <c r="H419" s="1039"/>
      <c r="I419" s="1039"/>
      <c r="J419" s="868"/>
      <c r="BM419" s="1042"/>
      <c r="BO419" s="288"/>
    </row>
    <row r="420" customFormat="false" ht="18.75" hidden="false" customHeight="true" outlineLevel="0" collapsed="false">
      <c r="D420" s="868"/>
      <c r="E420" s="1039"/>
      <c r="F420" s="1039"/>
      <c r="G420" s="1039"/>
      <c r="H420" s="1039"/>
      <c r="I420" s="1039"/>
      <c r="J420" s="868"/>
      <c r="BM420" s="1042"/>
      <c r="BO420" s="288"/>
    </row>
    <row r="421" customFormat="false" ht="18.75" hidden="false" customHeight="true" outlineLevel="0" collapsed="false">
      <c r="D421" s="868"/>
      <c r="E421" s="1039"/>
      <c r="F421" s="1039"/>
      <c r="G421" s="1039"/>
      <c r="H421" s="1039"/>
      <c r="I421" s="1039"/>
      <c r="J421" s="868"/>
      <c r="BM421" s="1042"/>
      <c r="BO421" s="288"/>
    </row>
    <row r="422" customFormat="false" ht="18.75" hidden="false" customHeight="true" outlineLevel="0" collapsed="false">
      <c r="D422" s="868"/>
      <c r="E422" s="1039"/>
      <c r="F422" s="1039"/>
      <c r="G422" s="1039"/>
      <c r="H422" s="1039"/>
      <c r="I422" s="1039"/>
      <c r="J422" s="868"/>
      <c r="BM422" s="1042"/>
      <c r="BO422" s="288"/>
    </row>
    <row r="423" customFormat="false" ht="18.75" hidden="false" customHeight="true" outlineLevel="0" collapsed="false">
      <c r="D423" s="868"/>
      <c r="E423" s="1039"/>
      <c r="F423" s="1039"/>
      <c r="G423" s="1039"/>
      <c r="H423" s="1039"/>
      <c r="I423" s="1039"/>
      <c r="J423" s="868"/>
      <c r="BM423" s="1042"/>
      <c r="BO423" s="288"/>
    </row>
    <row r="424" customFormat="false" ht="18.75" hidden="false" customHeight="true" outlineLevel="0" collapsed="false">
      <c r="D424" s="868"/>
      <c r="E424" s="1039"/>
      <c r="F424" s="1039"/>
      <c r="G424" s="1039"/>
      <c r="H424" s="1039"/>
      <c r="I424" s="1039"/>
      <c r="J424" s="868"/>
      <c r="BM424" s="1042"/>
      <c r="BO424" s="288"/>
    </row>
    <row r="425" customFormat="false" ht="18.75" hidden="false" customHeight="true" outlineLevel="0" collapsed="false">
      <c r="D425" s="868"/>
      <c r="E425" s="1039"/>
      <c r="F425" s="1039"/>
      <c r="G425" s="1039"/>
      <c r="H425" s="1039"/>
      <c r="I425" s="1039"/>
      <c r="J425" s="868"/>
      <c r="BM425" s="1042"/>
      <c r="BO425" s="288"/>
    </row>
    <row r="426" customFormat="false" ht="18.75" hidden="false" customHeight="true" outlineLevel="0" collapsed="false">
      <c r="D426" s="868"/>
      <c r="E426" s="1039"/>
      <c r="F426" s="1039"/>
      <c r="G426" s="1039"/>
      <c r="H426" s="1039"/>
      <c r="I426" s="1039"/>
      <c r="J426" s="868"/>
      <c r="BM426" s="1042"/>
      <c r="BO426" s="288"/>
    </row>
    <row r="427" customFormat="false" ht="18.75" hidden="false" customHeight="true" outlineLevel="0" collapsed="false">
      <c r="D427" s="868"/>
      <c r="E427" s="1039"/>
      <c r="F427" s="1039"/>
      <c r="G427" s="1039"/>
      <c r="H427" s="1039"/>
      <c r="I427" s="1039"/>
      <c r="J427" s="868"/>
      <c r="BM427" s="1042"/>
      <c r="BO427" s="288"/>
    </row>
    <row r="428" customFormat="false" ht="18.75" hidden="false" customHeight="true" outlineLevel="0" collapsed="false">
      <c r="D428" s="868"/>
      <c r="E428" s="1039"/>
      <c r="F428" s="1039"/>
      <c r="G428" s="1039"/>
      <c r="H428" s="1039"/>
      <c r="I428" s="1039"/>
      <c r="J428" s="868"/>
      <c r="BM428" s="1042"/>
      <c r="BO428" s="288"/>
    </row>
    <row r="429" customFormat="false" ht="18.75" hidden="false" customHeight="true" outlineLevel="0" collapsed="false">
      <c r="D429" s="868"/>
      <c r="E429" s="1039"/>
      <c r="F429" s="1039"/>
      <c r="G429" s="1039"/>
      <c r="H429" s="1039"/>
      <c r="I429" s="1039"/>
      <c r="J429" s="868"/>
      <c r="BM429" s="1042"/>
      <c r="BO429" s="288"/>
    </row>
    <row r="430" customFormat="false" ht="18.75" hidden="false" customHeight="true" outlineLevel="0" collapsed="false">
      <c r="D430" s="868"/>
      <c r="E430" s="1039"/>
      <c r="F430" s="1039"/>
      <c r="G430" s="1039"/>
      <c r="H430" s="1039"/>
      <c r="I430" s="1039"/>
      <c r="J430" s="868"/>
      <c r="BM430" s="1042"/>
      <c r="BO430" s="288"/>
    </row>
    <row r="431" customFormat="false" ht="18.75" hidden="false" customHeight="true" outlineLevel="0" collapsed="false">
      <c r="D431" s="868"/>
      <c r="E431" s="1039"/>
      <c r="F431" s="1039"/>
      <c r="G431" s="1039"/>
      <c r="H431" s="1039"/>
      <c r="I431" s="1039"/>
      <c r="J431" s="868"/>
      <c r="BM431" s="1042"/>
      <c r="BO431" s="288"/>
    </row>
    <row r="432" customFormat="false" ht="18.75" hidden="false" customHeight="true" outlineLevel="0" collapsed="false">
      <c r="D432" s="868"/>
      <c r="E432" s="1039"/>
      <c r="F432" s="1039"/>
      <c r="G432" s="1039"/>
      <c r="H432" s="1039"/>
      <c r="I432" s="1039"/>
      <c r="J432" s="868"/>
      <c r="BM432" s="1042"/>
      <c r="BO432" s="288"/>
    </row>
    <row r="433" customFormat="false" ht="18.75" hidden="false" customHeight="true" outlineLevel="0" collapsed="false">
      <c r="D433" s="868"/>
      <c r="E433" s="1039"/>
      <c r="F433" s="1039"/>
      <c r="G433" s="1039"/>
      <c r="H433" s="1039"/>
      <c r="I433" s="1039"/>
      <c r="J433" s="868"/>
      <c r="BM433" s="1042"/>
      <c r="BO433" s="288"/>
    </row>
    <row r="434" customFormat="false" ht="18.75" hidden="false" customHeight="true" outlineLevel="0" collapsed="false">
      <c r="D434" s="868"/>
      <c r="E434" s="1039"/>
      <c r="F434" s="1039"/>
      <c r="G434" s="1039"/>
      <c r="H434" s="1039"/>
      <c r="I434" s="1039"/>
      <c r="J434" s="868"/>
      <c r="BM434" s="1042"/>
      <c r="BO434" s="288"/>
    </row>
    <row r="435" customFormat="false" ht="18.75" hidden="false" customHeight="true" outlineLevel="0" collapsed="false">
      <c r="D435" s="868"/>
      <c r="E435" s="1039"/>
      <c r="F435" s="1039"/>
      <c r="G435" s="1039"/>
      <c r="H435" s="1039"/>
      <c r="I435" s="1039"/>
      <c r="J435" s="868"/>
      <c r="BM435" s="1042"/>
      <c r="BO435" s="288"/>
    </row>
    <row r="436" customFormat="false" ht="18.75" hidden="false" customHeight="true" outlineLevel="0" collapsed="false">
      <c r="D436" s="868"/>
      <c r="E436" s="1039"/>
      <c r="F436" s="1039"/>
      <c r="G436" s="1039"/>
      <c r="H436" s="1039"/>
      <c r="I436" s="1039"/>
      <c r="J436" s="868"/>
      <c r="BM436" s="1042"/>
      <c r="BO436" s="288"/>
    </row>
    <row r="437" customFormat="false" ht="18.75" hidden="false" customHeight="true" outlineLevel="0" collapsed="false">
      <c r="D437" s="868"/>
      <c r="E437" s="1039"/>
      <c r="F437" s="1039"/>
      <c r="G437" s="1039"/>
      <c r="H437" s="1039"/>
      <c r="I437" s="1039"/>
      <c r="J437" s="868"/>
      <c r="BM437" s="1042"/>
      <c r="BO437" s="288"/>
    </row>
    <row r="438" customFormat="false" ht="18.75" hidden="false" customHeight="true" outlineLevel="0" collapsed="false">
      <c r="D438" s="868"/>
      <c r="E438" s="1039"/>
      <c r="F438" s="1039"/>
      <c r="G438" s="1039"/>
      <c r="H438" s="1039"/>
      <c r="I438" s="1039"/>
      <c r="J438" s="868"/>
      <c r="BM438" s="1042"/>
      <c r="BO438" s="288"/>
    </row>
    <row r="439" customFormat="false" ht="18.75" hidden="false" customHeight="true" outlineLevel="0" collapsed="false">
      <c r="D439" s="868"/>
      <c r="E439" s="1039"/>
      <c r="F439" s="1039"/>
      <c r="G439" s="1039"/>
      <c r="H439" s="1039"/>
      <c r="I439" s="1039"/>
      <c r="J439" s="868"/>
      <c r="BM439" s="1042"/>
      <c r="BO439" s="288"/>
    </row>
    <row r="440" customFormat="false" ht="18.75" hidden="false" customHeight="true" outlineLevel="0" collapsed="false">
      <c r="D440" s="868"/>
      <c r="E440" s="1039"/>
      <c r="F440" s="1039"/>
      <c r="G440" s="1039"/>
      <c r="H440" s="1039"/>
      <c r="I440" s="1039"/>
      <c r="J440" s="868"/>
      <c r="BM440" s="1042"/>
      <c r="BO440" s="288"/>
    </row>
    <row r="441" customFormat="false" ht="18.75" hidden="false" customHeight="true" outlineLevel="0" collapsed="false">
      <c r="D441" s="868"/>
      <c r="E441" s="1039"/>
      <c r="F441" s="1039"/>
      <c r="G441" s="1039"/>
      <c r="H441" s="1039"/>
      <c r="I441" s="1039"/>
      <c r="J441" s="868"/>
      <c r="BM441" s="1042"/>
      <c r="BO441" s="288"/>
    </row>
    <row r="442" customFormat="false" ht="18.75" hidden="false" customHeight="true" outlineLevel="0" collapsed="false">
      <c r="D442" s="868"/>
      <c r="E442" s="1039"/>
      <c r="F442" s="1039"/>
      <c r="G442" s="1039"/>
      <c r="H442" s="1039"/>
      <c r="I442" s="1039"/>
      <c r="J442" s="868"/>
      <c r="BM442" s="1042"/>
      <c r="BO442" s="288"/>
    </row>
    <row r="443" customFormat="false" ht="18.75" hidden="false" customHeight="true" outlineLevel="0" collapsed="false">
      <c r="D443" s="868"/>
      <c r="E443" s="868"/>
      <c r="F443" s="868"/>
      <c r="G443" s="868"/>
      <c r="H443" s="868"/>
      <c r="I443" s="868"/>
      <c r="J443" s="868"/>
      <c r="BM443" s="1042"/>
      <c r="BO443" s="288"/>
    </row>
    <row r="444" customFormat="false" ht="18.75" hidden="false" customHeight="true" outlineLevel="0" collapsed="false">
      <c r="D444" s="868"/>
      <c r="E444" s="868"/>
      <c r="F444" s="868"/>
      <c r="G444" s="868"/>
      <c r="H444" s="868"/>
      <c r="I444" s="868"/>
      <c r="J444" s="868"/>
      <c r="BM444" s="1042"/>
      <c r="BO444" s="288"/>
    </row>
    <row r="445" customFormat="false" ht="18.75" hidden="false" customHeight="true" outlineLevel="0" collapsed="false">
      <c r="D445" s="868"/>
      <c r="E445" s="868"/>
      <c r="F445" s="868"/>
      <c r="G445" s="868"/>
      <c r="H445" s="868"/>
      <c r="I445" s="868"/>
      <c r="J445" s="868"/>
      <c r="BM445" s="1042"/>
      <c r="BO445" s="288"/>
    </row>
    <row r="446" customFormat="false" ht="18.75" hidden="false" customHeight="true" outlineLevel="0" collapsed="false">
      <c r="D446" s="868"/>
      <c r="E446" s="868"/>
      <c r="F446" s="868"/>
      <c r="G446" s="868"/>
      <c r="H446" s="868"/>
      <c r="I446" s="868"/>
      <c r="J446" s="868"/>
      <c r="BM446" s="1042"/>
      <c r="BO446" s="288"/>
    </row>
    <row r="447" customFormat="false" ht="18.75" hidden="false" customHeight="true" outlineLevel="0" collapsed="false">
      <c r="D447" s="868"/>
      <c r="E447" s="868"/>
      <c r="F447" s="868"/>
      <c r="G447" s="868"/>
      <c r="H447" s="868"/>
      <c r="I447" s="868"/>
      <c r="J447" s="868"/>
      <c r="BM447" s="1042"/>
      <c r="BO447" s="288"/>
    </row>
    <row r="448" customFormat="false" ht="18.75" hidden="false" customHeight="true" outlineLevel="0" collapsed="false">
      <c r="D448" s="868"/>
      <c r="E448" s="868"/>
      <c r="F448" s="868"/>
      <c r="G448" s="868"/>
      <c r="H448" s="868"/>
      <c r="I448" s="868"/>
      <c r="J448" s="868"/>
      <c r="BM448" s="1042"/>
      <c r="BO448" s="288"/>
    </row>
    <row r="449" customFormat="false" ht="18.75" hidden="false" customHeight="true" outlineLevel="0" collapsed="false">
      <c r="D449" s="868"/>
      <c r="E449" s="868"/>
      <c r="F449" s="868"/>
      <c r="G449" s="868"/>
      <c r="H449" s="868"/>
      <c r="I449" s="868"/>
      <c r="J449" s="868"/>
      <c r="BM449" s="1042"/>
      <c r="BO449" s="288"/>
    </row>
    <row r="450" customFormat="false" ht="18.75" hidden="false" customHeight="true" outlineLevel="0" collapsed="false">
      <c r="D450" s="868"/>
      <c r="E450" s="868"/>
      <c r="F450" s="868"/>
      <c r="G450" s="868"/>
      <c r="H450" s="868"/>
      <c r="I450" s="868"/>
      <c r="J450" s="868"/>
      <c r="BM450" s="1042"/>
      <c r="BO450" s="288"/>
    </row>
    <row r="451" customFormat="false" ht="18.75" hidden="false" customHeight="true" outlineLevel="0" collapsed="false">
      <c r="D451" s="868"/>
      <c r="E451" s="868"/>
      <c r="F451" s="868"/>
      <c r="G451" s="868"/>
      <c r="H451" s="868"/>
      <c r="I451" s="868"/>
      <c r="J451" s="868"/>
      <c r="BM451" s="1042"/>
      <c r="BO451" s="288"/>
    </row>
    <row r="452" customFormat="false" ht="18.75" hidden="false" customHeight="true" outlineLevel="0" collapsed="false">
      <c r="D452" s="868"/>
      <c r="E452" s="868"/>
      <c r="F452" s="868"/>
      <c r="G452" s="868"/>
      <c r="H452" s="868"/>
      <c r="I452" s="868"/>
      <c r="J452" s="868"/>
      <c r="BM452" s="1042"/>
      <c r="BO452" s="288"/>
    </row>
    <row r="453" customFormat="false" ht="18.75" hidden="false" customHeight="true" outlineLevel="0" collapsed="false">
      <c r="D453" s="868"/>
      <c r="E453" s="868"/>
      <c r="F453" s="868"/>
      <c r="G453" s="868"/>
      <c r="H453" s="868"/>
      <c r="I453" s="868"/>
      <c r="J453" s="868"/>
      <c r="BM453" s="1042"/>
      <c r="BO453" s="288"/>
    </row>
    <row r="454" customFormat="false" ht="18.75" hidden="false" customHeight="true" outlineLevel="0" collapsed="false">
      <c r="D454" s="868"/>
      <c r="E454" s="868"/>
      <c r="F454" s="868"/>
      <c r="G454" s="868"/>
      <c r="H454" s="868"/>
      <c r="I454" s="868"/>
      <c r="J454" s="868"/>
      <c r="BM454" s="1042"/>
      <c r="BO454" s="288"/>
    </row>
    <row r="455" customFormat="false" ht="18.75" hidden="false" customHeight="true" outlineLevel="0" collapsed="false">
      <c r="D455" s="868"/>
      <c r="E455" s="868"/>
      <c r="F455" s="868"/>
      <c r="G455" s="868"/>
      <c r="H455" s="868"/>
      <c r="I455" s="868"/>
      <c r="J455" s="868"/>
      <c r="BM455" s="1042"/>
      <c r="BO455" s="288"/>
    </row>
    <row r="456" customFormat="false" ht="18.75" hidden="false" customHeight="true" outlineLevel="0" collapsed="false">
      <c r="D456" s="868"/>
      <c r="E456" s="868"/>
      <c r="F456" s="868"/>
      <c r="G456" s="868"/>
      <c r="H456" s="868"/>
      <c r="I456" s="868"/>
      <c r="J456" s="868"/>
      <c r="BM456" s="1042"/>
      <c r="BO456" s="288"/>
    </row>
    <row r="457" customFormat="false" ht="18.75" hidden="false" customHeight="true" outlineLevel="0" collapsed="false">
      <c r="D457" s="868"/>
      <c r="E457" s="868"/>
      <c r="F457" s="868"/>
      <c r="G457" s="868"/>
      <c r="H457" s="868"/>
      <c r="I457" s="868"/>
      <c r="J457" s="868"/>
      <c r="BM457" s="1042"/>
      <c r="BO457" s="288"/>
    </row>
    <row r="458" customFormat="false" ht="18.75" hidden="false" customHeight="true" outlineLevel="0" collapsed="false">
      <c r="D458" s="868"/>
      <c r="E458" s="868"/>
      <c r="F458" s="868"/>
      <c r="G458" s="868"/>
      <c r="H458" s="868"/>
      <c r="I458" s="868"/>
      <c r="J458" s="868"/>
      <c r="BM458" s="1042"/>
      <c r="BO458" s="288"/>
    </row>
    <row r="459" customFormat="false" ht="18.75" hidden="false" customHeight="true" outlineLevel="0" collapsed="false">
      <c r="D459" s="868"/>
      <c r="E459" s="868"/>
      <c r="F459" s="868"/>
      <c r="G459" s="868"/>
      <c r="H459" s="868"/>
      <c r="I459" s="868"/>
      <c r="J459" s="868"/>
      <c r="BM459" s="1042"/>
      <c r="BO459" s="288"/>
    </row>
    <row r="460" customFormat="false" ht="18.75" hidden="false" customHeight="true" outlineLevel="0" collapsed="false">
      <c r="D460" s="868"/>
      <c r="E460" s="868"/>
      <c r="F460" s="868"/>
      <c r="G460" s="868"/>
      <c r="H460" s="868"/>
      <c r="I460" s="868"/>
      <c r="J460" s="868"/>
      <c r="BM460" s="1042"/>
      <c r="BO460" s="288"/>
    </row>
    <row r="461" customFormat="false" ht="18.75" hidden="false" customHeight="true" outlineLevel="0" collapsed="false">
      <c r="D461" s="868"/>
      <c r="E461" s="868"/>
      <c r="F461" s="868"/>
      <c r="G461" s="868"/>
      <c r="H461" s="868"/>
      <c r="I461" s="868"/>
      <c r="J461" s="868"/>
      <c r="BM461" s="1042"/>
      <c r="BO461" s="288"/>
    </row>
    <row r="462" customFormat="false" ht="18.75" hidden="false" customHeight="true" outlineLevel="0" collapsed="false">
      <c r="D462" s="868"/>
      <c r="E462" s="868"/>
      <c r="F462" s="868"/>
      <c r="G462" s="868"/>
      <c r="H462" s="868"/>
      <c r="I462" s="868"/>
      <c r="J462" s="868"/>
      <c r="BM462" s="1042"/>
      <c r="BO462" s="288"/>
    </row>
    <row r="463" customFormat="false" ht="18.75" hidden="false" customHeight="true" outlineLevel="0" collapsed="false">
      <c r="D463" s="868"/>
      <c r="E463" s="868"/>
      <c r="F463" s="868"/>
      <c r="G463" s="868"/>
      <c r="H463" s="868"/>
      <c r="I463" s="868"/>
      <c r="J463" s="868"/>
      <c r="BM463" s="1042"/>
      <c r="BO463" s="288"/>
    </row>
    <row r="464" customFormat="false" ht="18.75" hidden="false" customHeight="true" outlineLevel="0" collapsed="false">
      <c r="D464" s="868"/>
      <c r="E464" s="868"/>
      <c r="F464" s="868"/>
      <c r="G464" s="868"/>
      <c r="H464" s="868"/>
      <c r="I464" s="868"/>
      <c r="J464" s="868"/>
      <c r="BM464" s="1042"/>
      <c r="BO464" s="288"/>
    </row>
    <row r="465" customFormat="false" ht="18.75" hidden="false" customHeight="true" outlineLevel="0" collapsed="false">
      <c r="D465" s="868"/>
      <c r="E465" s="868"/>
      <c r="F465" s="868"/>
      <c r="G465" s="868"/>
      <c r="H465" s="868"/>
      <c r="I465" s="868"/>
      <c r="J465" s="868"/>
      <c r="BM465" s="1042"/>
      <c r="BO465" s="288"/>
    </row>
    <row r="466" customFormat="false" ht="18.75" hidden="false" customHeight="true" outlineLevel="0" collapsed="false">
      <c r="D466" s="868"/>
      <c r="E466" s="868"/>
      <c r="F466" s="868"/>
      <c r="G466" s="868"/>
      <c r="H466" s="868"/>
      <c r="I466" s="868"/>
      <c r="J466" s="868"/>
      <c r="BM466" s="1042"/>
      <c r="BO466" s="288"/>
    </row>
    <row r="467" customFormat="false" ht="18.75" hidden="false" customHeight="true" outlineLevel="0" collapsed="false">
      <c r="D467" s="868"/>
      <c r="E467" s="868"/>
      <c r="F467" s="868"/>
      <c r="G467" s="868"/>
      <c r="H467" s="868"/>
      <c r="I467" s="868"/>
      <c r="J467" s="868"/>
      <c r="BM467" s="1042"/>
      <c r="BO467" s="288"/>
    </row>
    <row r="468" customFormat="false" ht="18.75" hidden="false" customHeight="true" outlineLevel="0" collapsed="false">
      <c r="D468" s="868"/>
      <c r="E468" s="868"/>
      <c r="F468" s="868"/>
      <c r="G468" s="868"/>
      <c r="H468" s="868"/>
      <c r="I468" s="868"/>
      <c r="J468" s="868"/>
      <c r="BM468" s="1042"/>
      <c r="BO468" s="288"/>
    </row>
    <row r="469" customFormat="false" ht="18.75" hidden="false" customHeight="true" outlineLevel="0" collapsed="false">
      <c r="D469" s="868"/>
      <c r="E469" s="868"/>
      <c r="F469" s="868"/>
      <c r="G469" s="868"/>
      <c r="H469" s="868"/>
      <c r="I469" s="868"/>
      <c r="J469" s="868"/>
      <c r="BM469" s="1042"/>
      <c r="BO469" s="288"/>
    </row>
    <row r="470" customFormat="false" ht="18.75" hidden="false" customHeight="true" outlineLevel="0" collapsed="false">
      <c r="D470" s="868"/>
      <c r="E470" s="868"/>
      <c r="F470" s="868"/>
      <c r="G470" s="868"/>
      <c r="H470" s="868"/>
      <c r="I470" s="868"/>
      <c r="J470" s="868"/>
      <c r="BM470" s="1042"/>
      <c r="BO470" s="288"/>
    </row>
    <row r="471" customFormat="false" ht="18.75" hidden="false" customHeight="true" outlineLevel="0" collapsed="false">
      <c r="D471" s="868"/>
      <c r="E471" s="868"/>
      <c r="F471" s="868"/>
      <c r="G471" s="868"/>
      <c r="H471" s="868"/>
      <c r="I471" s="868"/>
      <c r="J471" s="868"/>
      <c r="BM471" s="1042"/>
      <c r="BO471" s="288"/>
    </row>
    <row r="472" customFormat="false" ht="18.75" hidden="false" customHeight="true" outlineLevel="0" collapsed="false">
      <c r="D472" s="868"/>
      <c r="E472" s="868"/>
      <c r="F472" s="868"/>
      <c r="G472" s="868"/>
      <c r="H472" s="868"/>
      <c r="I472" s="868"/>
      <c r="J472" s="868"/>
      <c r="BM472" s="1042"/>
      <c r="BO472" s="288"/>
    </row>
    <row r="473" customFormat="false" ht="18.75" hidden="false" customHeight="true" outlineLevel="0" collapsed="false">
      <c r="D473" s="868"/>
      <c r="E473" s="868"/>
      <c r="F473" s="868"/>
      <c r="G473" s="868"/>
      <c r="H473" s="868"/>
      <c r="I473" s="868"/>
      <c r="J473" s="868"/>
      <c r="BM473" s="1042"/>
      <c r="BO473" s="288"/>
    </row>
    <row r="474" customFormat="false" ht="18.75" hidden="false" customHeight="true" outlineLevel="0" collapsed="false">
      <c r="D474" s="868"/>
      <c r="E474" s="868"/>
      <c r="F474" s="868"/>
      <c r="G474" s="868"/>
      <c r="H474" s="868"/>
      <c r="I474" s="868"/>
      <c r="J474" s="868"/>
      <c r="BM474" s="1042"/>
      <c r="BO474" s="288"/>
    </row>
    <row r="475" customFormat="false" ht="18.75" hidden="false" customHeight="true" outlineLevel="0" collapsed="false">
      <c r="D475" s="868"/>
      <c r="E475" s="868"/>
      <c r="F475" s="868"/>
      <c r="G475" s="868"/>
      <c r="H475" s="868"/>
      <c r="I475" s="868"/>
      <c r="J475" s="868"/>
      <c r="BM475" s="1042"/>
      <c r="BO475" s="288"/>
    </row>
    <row r="476" customFormat="false" ht="18.75" hidden="false" customHeight="true" outlineLevel="0" collapsed="false">
      <c r="D476" s="868"/>
      <c r="E476" s="868"/>
      <c r="F476" s="868"/>
      <c r="G476" s="868"/>
      <c r="H476" s="868"/>
      <c r="I476" s="868"/>
      <c r="J476" s="868"/>
      <c r="BM476" s="1042"/>
      <c r="BO476" s="288"/>
    </row>
    <row r="477" customFormat="false" ht="18.75" hidden="false" customHeight="true" outlineLevel="0" collapsed="false">
      <c r="D477" s="868"/>
      <c r="E477" s="868"/>
      <c r="F477" s="868"/>
      <c r="G477" s="868"/>
      <c r="H477" s="868"/>
      <c r="I477" s="868"/>
      <c r="J477" s="868"/>
      <c r="BM477" s="1042"/>
      <c r="BO477" s="288"/>
    </row>
    <row r="478" customFormat="false" ht="18.75" hidden="false" customHeight="true" outlineLevel="0" collapsed="false">
      <c r="D478" s="868"/>
      <c r="E478" s="868"/>
      <c r="F478" s="868"/>
      <c r="G478" s="868"/>
      <c r="H478" s="868"/>
      <c r="I478" s="868"/>
      <c r="J478" s="868"/>
      <c r="BM478" s="1042"/>
      <c r="BO478" s="288"/>
    </row>
    <row r="479" customFormat="false" ht="18.75" hidden="false" customHeight="true" outlineLevel="0" collapsed="false">
      <c r="D479" s="868"/>
      <c r="E479" s="868"/>
      <c r="F479" s="868"/>
      <c r="G479" s="868"/>
      <c r="H479" s="868"/>
      <c r="I479" s="868"/>
      <c r="J479" s="868"/>
      <c r="BM479" s="1042"/>
      <c r="BO479" s="288"/>
    </row>
    <row r="480" customFormat="false" ht="18.75" hidden="false" customHeight="true" outlineLevel="0" collapsed="false">
      <c r="D480" s="868"/>
      <c r="E480" s="868"/>
      <c r="F480" s="868"/>
      <c r="G480" s="868"/>
      <c r="H480" s="868"/>
      <c r="I480" s="868"/>
      <c r="J480" s="868"/>
      <c r="BM480" s="1042"/>
      <c r="BO480" s="288"/>
    </row>
    <row r="481" customFormat="false" ht="18.75" hidden="false" customHeight="true" outlineLevel="0" collapsed="false">
      <c r="D481" s="868"/>
      <c r="E481" s="868"/>
      <c r="F481" s="868"/>
      <c r="G481" s="868"/>
      <c r="H481" s="868"/>
      <c r="I481" s="868"/>
      <c r="J481" s="868"/>
      <c r="BM481" s="1042"/>
      <c r="BO481" s="288"/>
    </row>
    <row r="482" customFormat="false" ht="18.75" hidden="false" customHeight="true" outlineLevel="0" collapsed="false">
      <c r="D482" s="868"/>
      <c r="E482" s="868"/>
      <c r="F482" s="868"/>
      <c r="G482" s="868"/>
      <c r="H482" s="868"/>
      <c r="I482" s="868"/>
      <c r="J482" s="868"/>
      <c r="BM482" s="1042"/>
      <c r="BO482" s="288"/>
    </row>
    <row r="483" customFormat="false" ht="18.75" hidden="false" customHeight="true" outlineLevel="0" collapsed="false">
      <c r="D483" s="868"/>
      <c r="E483" s="868"/>
      <c r="F483" s="868"/>
      <c r="G483" s="868"/>
      <c r="H483" s="868"/>
      <c r="I483" s="868"/>
      <c r="J483" s="868"/>
      <c r="BM483" s="1042"/>
      <c r="BO483" s="288"/>
    </row>
    <row r="484" customFormat="false" ht="18.75" hidden="false" customHeight="true" outlineLevel="0" collapsed="false">
      <c r="D484" s="868"/>
      <c r="E484" s="868"/>
      <c r="F484" s="868"/>
      <c r="G484" s="868"/>
      <c r="H484" s="868"/>
      <c r="I484" s="868"/>
      <c r="J484" s="868"/>
      <c r="BM484" s="1042"/>
      <c r="BO484" s="288"/>
    </row>
    <row r="485" customFormat="false" ht="18.75" hidden="false" customHeight="true" outlineLevel="0" collapsed="false">
      <c r="D485" s="868"/>
      <c r="E485" s="868"/>
      <c r="F485" s="868"/>
      <c r="G485" s="868"/>
      <c r="H485" s="868"/>
      <c r="I485" s="868"/>
      <c r="J485" s="868"/>
      <c r="BM485" s="1042"/>
      <c r="BO485" s="288"/>
    </row>
    <row r="486" customFormat="false" ht="18.75" hidden="false" customHeight="true" outlineLevel="0" collapsed="false">
      <c r="D486" s="868"/>
      <c r="E486" s="868"/>
      <c r="F486" s="868"/>
      <c r="G486" s="868"/>
      <c r="H486" s="868"/>
      <c r="I486" s="868"/>
      <c r="J486" s="868"/>
      <c r="BM486" s="1042"/>
      <c r="BO486" s="288"/>
    </row>
    <row r="487" customFormat="false" ht="18.75" hidden="false" customHeight="true" outlineLevel="0" collapsed="false">
      <c r="D487" s="868"/>
      <c r="E487" s="868"/>
      <c r="F487" s="868"/>
      <c r="G487" s="868"/>
      <c r="H487" s="868"/>
      <c r="I487" s="868"/>
      <c r="J487" s="868"/>
      <c r="BM487" s="1042"/>
      <c r="BO487" s="288"/>
    </row>
    <row r="488" customFormat="false" ht="18.75" hidden="false" customHeight="true" outlineLevel="0" collapsed="false">
      <c r="D488" s="868"/>
      <c r="E488" s="868"/>
      <c r="F488" s="868"/>
      <c r="G488" s="868"/>
      <c r="H488" s="868"/>
      <c r="I488" s="868"/>
      <c r="J488" s="868"/>
      <c r="BM488" s="1042"/>
      <c r="BO488" s="288"/>
    </row>
    <row r="489" customFormat="false" ht="18.75" hidden="false" customHeight="true" outlineLevel="0" collapsed="false">
      <c r="D489" s="868"/>
      <c r="E489" s="868"/>
      <c r="F489" s="868"/>
      <c r="G489" s="868"/>
      <c r="H489" s="868"/>
      <c r="I489" s="868"/>
      <c r="J489" s="868"/>
      <c r="BM489" s="1042"/>
      <c r="BO489" s="288"/>
    </row>
    <row r="490" customFormat="false" ht="18.75" hidden="false" customHeight="true" outlineLevel="0" collapsed="false">
      <c r="D490" s="868"/>
      <c r="E490" s="868"/>
      <c r="F490" s="868"/>
      <c r="G490" s="868"/>
      <c r="H490" s="868"/>
      <c r="I490" s="868"/>
      <c r="J490" s="868"/>
      <c r="BM490" s="1042"/>
      <c r="BO490" s="288"/>
    </row>
    <row r="491" customFormat="false" ht="18.75" hidden="false" customHeight="true" outlineLevel="0" collapsed="false">
      <c r="D491" s="868"/>
      <c r="E491" s="868"/>
      <c r="F491" s="868"/>
      <c r="G491" s="868"/>
      <c r="H491" s="868"/>
      <c r="I491" s="868"/>
      <c r="J491" s="868"/>
      <c r="BM491" s="1042"/>
      <c r="BO491" s="288"/>
    </row>
    <row r="492" customFormat="false" ht="18.75" hidden="false" customHeight="true" outlineLevel="0" collapsed="false">
      <c r="D492" s="868"/>
      <c r="E492" s="868"/>
      <c r="F492" s="868"/>
      <c r="G492" s="868"/>
      <c r="H492" s="868"/>
      <c r="I492" s="868"/>
      <c r="J492" s="868"/>
      <c r="BM492" s="1042"/>
      <c r="BO492" s="288"/>
    </row>
    <row r="493" customFormat="false" ht="18.75" hidden="false" customHeight="true" outlineLevel="0" collapsed="false">
      <c r="D493" s="868"/>
      <c r="E493" s="868"/>
      <c r="F493" s="868"/>
      <c r="G493" s="868"/>
      <c r="H493" s="868"/>
      <c r="I493" s="868"/>
      <c r="J493" s="868"/>
      <c r="BM493" s="1042"/>
      <c r="BO493" s="288"/>
    </row>
    <row r="494" customFormat="false" ht="18.75" hidden="false" customHeight="true" outlineLevel="0" collapsed="false">
      <c r="D494" s="868"/>
      <c r="E494" s="868"/>
      <c r="F494" s="868"/>
      <c r="G494" s="868"/>
      <c r="H494" s="868"/>
      <c r="I494" s="868"/>
      <c r="J494" s="868"/>
      <c r="BM494" s="1042"/>
      <c r="BO494" s="288"/>
    </row>
    <row r="495" customFormat="false" ht="18.75" hidden="false" customHeight="true" outlineLevel="0" collapsed="false">
      <c r="D495" s="868"/>
      <c r="E495" s="868"/>
      <c r="F495" s="868"/>
      <c r="G495" s="868"/>
      <c r="H495" s="868"/>
      <c r="I495" s="868"/>
      <c r="J495" s="868"/>
      <c r="BM495" s="1042"/>
      <c r="BO495" s="288"/>
    </row>
    <row r="496" customFormat="false" ht="18.75" hidden="false" customHeight="true" outlineLevel="0" collapsed="false">
      <c r="D496" s="868"/>
      <c r="E496" s="868"/>
      <c r="F496" s="868"/>
      <c r="G496" s="868"/>
      <c r="H496" s="868"/>
      <c r="I496" s="868"/>
      <c r="J496" s="868"/>
      <c r="BM496" s="1042"/>
      <c r="BO496" s="288"/>
    </row>
    <row r="497" customFormat="false" ht="18.75" hidden="false" customHeight="true" outlineLevel="0" collapsed="false">
      <c r="D497" s="868"/>
      <c r="E497" s="868"/>
      <c r="F497" s="868"/>
      <c r="G497" s="868"/>
      <c r="H497" s="868"/>
      <c r="I497" s="868"/>
      <c r="J497" s="868"/>
      <c r="BM497" s="1042"/>
      <c r="BO497" s="288"/>
    </row>
    <row r="498" customFormat="false" ht="18.75" hidden="false" customHeight="true" outlineLevel="0" collapsed="false">
      <c r="D498" s="868"/>
      <c r="E498" s="868"/>
      <c r="F498" s="868"/>
      <c r="G498" s="868"/>
      <c r="H498" s="868"/>
      <c r="I498" s="868"/>
      <c r="J498" s="868"/>
      <c r="BM498" s="1042"/>
      <c r="BO498" s="288"/>
    </row>
    <row r="499" customFormat="false" ht="18.75" hidden="false" customHeight="true" outlineLevel="0" collapsed="false">
      <c r="D499" s="868"/>
      <c r="E499" s="868"/>
      <c r="F499" s="868"/>
      <c r="G499" s="868"/>
      <c r="H499" s="868"/>
      <c r="I499" s="868"/>
      <c r="J499" s="868"/>
      <c r="BM499" s="1042"/>
      <c r="BO499" s="288"/>
    </row>
    <row r="500" customFormat="false" ht="18.75" hidden="false" customHeight="true" outlineLevel="0" collapsed="false">
      <c r="D500" s="868"/>
      <c r="E500" s="868"/>
      <c r="F500" s="868"/>
      <c r="G500" s="868"/>
      <c r="H500" s="868"/>
      <c r="I500" s="868"/>
      <c r="J500" s="868"/>
      <c r="BM500" s="1042"/>
      <c r="BO500" s="288"/>
    </row>
    <row r="501" customFormat="false" ht="18.75" hidden="false" customHeight="true" outlineLevel="0" collapsed="false">
      <c r="D501" s="868"/>
      <c r="E501" s="868"/>
      <c r="F501" s="868"/>
      <c r="G501" s="868"/>
      <c r="H501" s="868"/>
      <c r="I501" s="868"/>
      <c r="J501" s="868"/>
      <c r="BM501" s="1042"/>
      <c r="BO501" s="288"/>
    </row>
    <row r="502" customFormat="false" ht="18.75" hidden="false" customHeight="true" outlineLevel="0" collapsed="false">
      <c r="D502" s="868"/>
      <c r="E502" s="868"/>
      <c r="F502" s="868"/>
      <c r="G502" s="868"/>
      <c r="H502" s="868"/>
      <c r="I502" s="868"/>
      <c r="J502" s="868"/>
      <c r="BM502" s="1042"/>
      <c r="BO502" s="288"/>
    </row>
    <row r="503" customFormat="false" ht="18.75" hidden="false" customHeight="true" outlineLevel="0" collapsed="false">
      <c r="D503" s="868"/>
      <c r="E503" s="868"/>
      <c r="F503" s="868"/>
      <c r="G503" s="868"/>
      <c r="H503" s="868"/>
      <c r="I503" s="868"/>
      <c r="J503" s="868"/>
      <c r="BM503" s="1042"/>
      <c r="BO503" s="288"/>
    </row>
    <row r="504" customFormat="false" ht="18.75" hidden="false" customHeight="true" outlineLevel="0" collapsed="false">
      <c r="D504" s="868"/>
      <c r="E504" s="868"/>
      <c r="F504" s="868"/>
      <c r="G504" s="868"/>
      <c r="H504" s="868"/>
      <c r="I504" s="868"/>
      <c r="J504" s="868"/>
      <c r="BM504" s="1042"/>
      <c r="BO504" s="288"/>
    </row>
    <row r="505" customFormat="false" ht="18.75" hidden="false" customHeight="true" outlineLevel="0" collapsed="false">
      <c r="D505" s="868"/>
      <c r="E505" s="868"/>
      <c r="F505" s="868"/>
      <c r="G505" s="868"/>
      <c r="H505" s="868"/>
      <c r="I505" s="868"/>
      <c r="J505" s="868"/>
      <c r="BM505" s="1042"/>
      <c r="BO505" s="288"/>
    </row>
    <row r="506" customFormat="false" ht="18.75" hidden="false" customHeight="true" outlineLevel="0" collapsed="false">
      <c r="D506" s="868"/>
      <c r="E506" s="868"/>
      <c r="F506" s="868"/>
      <c r="G506" s="868"/>
      <c r="H506" s="868"/>
      <c r="I506" s="868"/>
      <c r="J506" s="868"/>
      <c r="BM506" s="1042"/>
      <c r="BO506" s="288"/>
    </row>
    <row r="507" customFormat="false" ht="18.75" hidden="false" customHeight="true" outlineLevel="0" collapsed="false">
      <c r="D507" s="868"/>
      <c r="E507" s="868"/>
      <c r="F507" s="868"/>
      <c r="G507" s="868"/>
      <c r="H507" s="868"/>
      <c r="I507" s="868"/>
      <c r="J507" s="868"/>
      <c r="BM507" s="1042"/>
      <c r="BO507" s="288"/>
    </row>
    <row r="508" customFormat="false" ht="18.75" hidden="false" customHeight="true" outlineLevel="0" collapsed="false">
      <c r="D508" s="868"/>
      <c r="E508" s="868"/>
      <c r="F508" s="868"/>
      <c r="G508" s="868"/>
      <c r="H508" s="868"/>
      <c r="I508" s="868"/>
      <c r="J508" s="868"/>
      <c r="BM508" s="1042"/>
      <c r="BO508" s="288"/>
    </row>
    <row r="509" customFormat="false" ht="18.75" hidden="false" customHeight="true" outlineLevel="0" collapsed="false">
      <c r="D509" s="868"/>
      <c r="E509" s="868"/>
      <c r="F509" s="868"/>
      <c r="G509" s="868"/>
      <c r="H509" s="868"/>
      <c r="I509" s="868"/>
      <c r="J509" s="868"/>
      <c r="BM509" s="1042"/>
      <c r="BO509" s="288"/>
    </row>
    <row r="510" customFormat="false" ht="18.75" hidden="false" customHeight="true" outlineLevel="0" collapsed="false">
      <c r="D510" s="868"/>
      <c r="E510" s="868"/>
      <c r="F510" s="868"/>
      <c r="G510" s="868"/>
      <c r="H510" s="868"/>
      <c r="I510" s="868"/>
      <c r="J510" s="868"/>
      <c r="BM510" s="1042"/>
      <c r="BO510" s="288"/>
    </row>
    <row r="511" customFormat="false" ht="18.75" hidden="false" customHeight="true" outlineLevel="0" collapsed="false">
      <c r="D511" s="868"/>
      <c r="E511" s="868"/>
      <c r="F511" s="868"/>
      <c r="G511" s="868"/>
      <c r="H511" s="868"/>
      <c r="I511" s="868"/>
      <c r="J511" s="868"/>
      <c r="BM511" s="1042"/>
      <c r="BO511" s="288"/>
    </row>
    <row r="512" customFormat="false" ht="18.75" hidden="false" customHeight="true" outlineLevel="0" collapsed="false">
      <c r="D512" s="868"/>
      <c r="E512" s="868"/>
      <c r="F512" s="868"/>
      <c r="G512" s="868"/>
      <c r="H512" s="868"/>
      <c r="I512" s="868"/>
      <c r="J512" s="868"/>
      <c r="BM512" s="1042"/>
      <c r="BO512" s="288"/>
    </row>
    <row r="513" customFormat="false" ht="18.75" hidden="false" customHeight="true" outlineLevel="0" collapsed="false">
      <c r="D513" s="868"/>
      <c r="E513" s="868"/>
      <c r="F513" s="868"/>
      <c r="G513" s="868"/>
      <c r="H513" s="868"/>
      <c r="I513" s="868"/>
      <c r="J513" s="868"/>
      <c r="BM513" s="1042"/>
      <c r="BO513" s="288"/>
    </row>
    <row r="514" customFormat="false" ht="18.75" hidden="false" customHeight="true" outlineLevel="0" collapsed="false">
      <c r="D514" s="868"/>
      <c r="E514" s="868"/>
      <c r="F514" s="868"/>
      <c r="G514" s="868"/>
      <c r="H514" s="868"/>
      <c r="I514" s="868"/>
      <c r="J514" s="868"/>
      <c r="BM514" s="1042"/>
      <c r="BO514" s="288"/>
    </row>
    <row r="515" customFormat="false" ht="18.75" hidden="false" customHeight="true" outlineLevel="0" collapsed="false">
      <c r="D515" s="868"/>
      <c r="E515" s="868"/>
      <c r="F515" s="868"/>
      <c r="G515" s="868"/>
      <c r="H515" s="868"/>
      <c r="I515" s="868"/>
      <c r="J515" s="868"/>
      <c r="BM515" s="1042"/>
      <c r="BO515" s="288"/>
    </row>
    <row r="516" customFormat="false" ht="18.75" hidden="false" customHeight="true" outlineLevel="0" collapsed="false">
      <c r="D516" s="868"/>
      <c r="E516" s="868"/>
      <c r="F516" s="868"/>
      <c r="G516" s="868"/>
      <c r="H516" s="868"/>
      <c r="I516" s="868"/>
      <c r="J516" s="868"/>
      <c r="BM516" s="1042"/>
      <c r="BO516" s="288"/>
    </row>
    <row r="517" customFormat="false" ht="18.75" hidden="false" customHeight="true" outlineLevel="0" collapsed="false">
      <c r="D517" s="868"/>
      <c r="E517" s="868"/>
      <c r="F517" s="868"/>
      <c r="G517" s="868"/>
      <c r="H517" s="868"/>
      <c r="I517" s="868"/>
      <c r="J517" s="868"/>
      <c r="BM517" s="1042"/>
      <c r="BO517" s="288"/>
    </row>
    <row r="518" customFormat="false" ht="18.75" hidden="false" customHeight="true" outlineLevel="0" collapsed="false">
      <c r="D518" s="868"/>
      <c r="E518" s="868"/>
      <c r="F518" s="868"/>
      <c r="G518" s="868"/>
      <c r="H518" s="868"/>
      <c r="I518" s="868"/>
      <c r="J518" s="868"/>
      <c r="BM518" s="1042"/>
      <c r="BO518" s="288"/>
    </row>
    <row r="519" customFormat="false" ht="18.75" hidden="false" customHeight="true" outlineLevel="0" collapsed="false">
      <c r="D519" s="868"/>
      <c r="E519" s="868"/>
      <c r="F519" s="868"/>
      <c r="G519" s="868"/>
      <c r="H519" s="868"/>
      <c r="I519" s="868"/>
      <c r="J519" s="868"/>
      <c r="BM519" s="1042"/>
      <c r="BO519" s="288"/>
    </row>
    <row r="520" customFormat="false" ht="18.75" hidden="false" customHeight="true" outlineLevel="0" collapsed="false">
      <c r="D520" s="868"/>
      <c r="E520" s="868"/>
      <c r="F520" s="868"/>
      <c r="G520" s="868"/>
      <c r="H520" s="868"/>
      <c r="I520" s="868"/>
      <c r="J520" s="868"/>
      <c r="BM520" s="1042"/>
      <c r="BO520" s="288"/>
    </row>
    <row r="521" customFormat="false" ht="18.75" hidden="false" customHeight="true" outlineLevel="0" collapsed="false">
      <c r="D521" s="868"/>
      <c r="E521" s="868"/>
      <c r="F521" s="868"/>
      <c r="G521" s="868"/>
      <c r="H521" s="868"/>
      <c r="I521" s="868"/>
      <c r="J521" s="868"/>
      <c r="BM521" s="1042"/>
      <c r="BO521" s="288"/>
    </row>
    <row r="522" customFormat="false" ht="18.75" hidden="false" customHeight="true" outlineLevel="0" collapsed="false">
      <c r="D522" s="868"/>
      <c r="E522" s="868"/>
      <c r="F522" s="868"/>
      <c r="G522" s="868"/>
      <c r="H522" s="868"/>
      <c r="I522" s="868"/>
      <c r="J522" s="868"/>
      <c r="BM522" s="1042"/>
      <c r="BO522" s="288"/>
    </row>
    <row r="523" customFormat="false" ht="18.75" hidden="false" customHeight="true" outlineLevel="0" collapsed="false">
      <c r="D523" s="868"/>
      <c r="E523" s="868"/>
      <c r="F523" s="868"/>
      <c r="G523" s="868"/>
      <c r="H523" s="868"/>
      <c r="I523" s="868"/>
      <c r="J523" s="868"/>
      <c r="BM523" s="1042"/>
      <c r="BO523" s="288"/>
    </row>
    <row r="524" customFormat="false" ht="18.75" hidden="false" customHeight="true" outlineLevel="0" collapsed="false">
      <c r="D524" s="868"/>
      <c r="E524" s="868"/>
      <c r="F524" s="868"/>
      <c r="G524" s="868"/>
      <c r="H524" s="868"/>
      <c r="I524" s="868"/>
      <c r="J524" s="868"/>
      <c r="BM524" s="1042"/>
      <c r="BO524" s="288"/>
    </row>
    <row r="525" customFormat="false" ht="18.75" hidden="false" customHeight="true" outlineLevel="0" collapsed="false">
      <c r="D525" s="868"/>
      <c r="E525" s="868"/>
      <c r="F525" s="868"/>
      <c r="G525" s="868"/>
      <c r="H525" s="868"/>
      <c r="I525" s="868"/>
      <c r="J525" s="868"/>
      <c r="BM525" s="1042"/>
      <c r="BO525" s="288"/>
    </row>
    <row r="526" customFormat="false" ht="18.75" hidden="false" customHeight="true" outlineLevel="0" collapsed="false">
      <c r="D526" s="868"/>
      <c r="E526" s="868"/>
      <c r="F526" s="868"/>
      <c r="G526" s="868"/>
      <c r="H526" s="868"/>
      <c r="I526" s="868"/>
      <c r="J526" s="868"/>
      <c r="BM526" s="1042"/>
      <c r="BO526" s="288"/>
    </row>
    <row r="527" customFormat="false" ht="18.75" hidden="false" customHeight="true" outlineLevel="0" collapsed="false">
      <c r="D527" s="868"/>
      <c r="E527" s="868"/>
      <c r="F527" s="868"/>
      <c r="G527" s="868"/>
      <c r="H527" s="868"/>
      <c r="I527" s="868"/>
      <c r="J527" s="868"/>
      <c r="BM527" s="1042"/>
      <c r="BO527" s="288"/>
    </row>
    <row r="528" customFormat="false" ht="18.75" hidden="false" customHeight="true" outlineLevel="0" collapsed="false">
      <c r="D528" s="868"/>
      <c r="E528" s="868"/>
      <c r="F528" s="868"/>
      <c r="G528" s="868"/>
      <c r="H528" s="868"/>
      <c r="I528" s="868"/>
      <c r="J528" s="868"/>
      <c r="BM528" s="1042"/>
      <c r="BO528" s="288"/>
    </row>
    <row r="529" customFormat="false" ht="18.75" hidden="false" customHeight="true" outlineLevel="0" collapsed="false">
      <c r="D529" s="868"/>
      <c r="E529" s="868"/>
      <c r="F529" s="868"/>
      <c r="G529" s="868"/>
      <c r="H529" s="868"/>
      <c r="I529" s="868"/>
      <c r="J529" s="868"/>
      <c r="BM529" s="1042"/>
      <c r="BO529" s="288"/>
    </row>
    <row r="530" customFormat="false" ht="18.75" hidden="false" customHeight="true" outlineLevel="0" collapsed="false">
      <c r="D530" s="868"/>
      <c r="E530" s="868"/>
      <c r="F530" s="868"/>
      <c r="G530" s="868"/>
      <c r="H530" s="868"/>
      <c r="I530" s="868"/>
      <c r="J530" s="868"/>
      <c r="BM530" s="1042"/>
      <c r="BO530" s="288"/>
    </row>
    <row r="531" customFormat="false" ht="18.75" hidden="false" customHeight="true" outlineLevel="0" collapsed="false">
      <c r="D531" s="868"/>
      <c r="E531" s="868"/>
      <c r="F531" s="868"/>
      <c r="G531" s="868"/>
      <c r="H531" s="868"/>
      <c r="I531" s="868"/>
      <c r="J531" s="868"/>
      <c r="BM531" s="1042"/>
      <c r="BO531" s="288"/>
    </row>
    <row r="532" customFormat="false" ht="18.75" hidden="false" customHeight="true" outlineLevel="0" collapsed="false">
      <c r="D532" s="868"/>
      <c r="E532" s="868"/>
      <c r="F532" s="868"/>
      <c r="G532" s="868"/>
      <c r="H532" s="868"/>
      <c r="I532" s="868"/>
      <c r="J532" s="868"/>
      <c r="BM532" s="1042"/>
      <c r="BO532" s="288"/>
    </row>
    <row r="533" customFormat="false" ht="18.75" hidden="false" customHeight="true" outlineLevel="0" collapsed="false">
      <c r="D533" s="868"/>
      <c r="E533" s="868"/>
      <c r="F533" s="868"/>
      <c r="G533" s="868"/>
      <c r="H533" s="868"/>
      <c r="I533" s="868"/>
      <c r="J533" s="868"/>
      <c r="BM533" s="1042"/>
      <c r="BO533" s="288"/>
    </row>
    <row r="534" customFormat="false" ht="18.75" hidden="false" customHeight="true" outlineLevel="0" collapsed="false">
      <c r="D534" s="868"/>
      <c r="E534" s="868"/>
      <c r="F534" s="868"/>
      <c r="G534" s="868"/>
      <c r="H534" s="868"/>
      <c r="I534" s="868"/>
      <c r="J534" s="868"/>
      <c r="BM534" s="1042"/>
      <c r="BO534" s="288"/>
    </row>
    <row r="535" customFormat="false" ht="18.75" hidden="false" customHeight="true" outlineLevel="0" collapsed="false">
      <c r="D535" s="868"/>
      <c r="E535" s="868"/>
      <c r="F535" s="868"/>
      <c r="G535" s="868"/>
      <c r="H535" s="868"/>
      <c r="I535" s="868"/>
      <c r="J535" s="868"/>
      <c r="BM535" s="1042"/>
      <c r="BO535" s="288"/>
    </row>
    <row r="536" customFormat="false" ht="18.75" hidden="false" customHeight="true" outlineLevel="0" collapsed="false">
      <c r="D536" s="868"/>
      <c r="E536" s="868"/>
      <c r="F536" s="868"/>
      <c r="G536" s="868"/>
      <c r="H536" s="868"/>
      <c r="I536" s="868"/>
      <c r="J536" s="868"/>
      <c r="BM536" s="1042"/>
      <c r="BO536" s="288"/>
    </row>
    <row r="537" customFormat="false" ht="18.75" hidden="false" customHeight="true" outlineLevel="0" collapsed="false">
      <c r="D537" s="868"/>
      <c r="E537" s="868"/>
      <c r="F537" s="868"/>
      <c r="G537" s="868"/>
      <c r="H537" s="868"/>
      <c r="I537" s="868"/>
      <c r="J537" s="868"/>
      <c r="BM537" s="1042"/>
      <c r="BO537" s="288"/>
    </row>
    <row r="538" customFormat="false" ht="18.75" hidden="false" customHeight="true" outlineLevel="0" collapsed="false">
      <c r="D538" s="868"/>
      <c r="E538" s="868"/>
      <c r="F538" s="868"/>
      <c r="G538" s="868"/>
      <c r="H538" s="868"/>
      <c r="I538" s="868"/>
      <c r="J538" s="868"/>
      <c r="BM538" s="1042"/>
      <c r="BO538" s="288"/>
    </row>
    <row r="539" customFormat="false" ht="18.75" hidden="false" customHeight="true" outlineLevel="0" collapsed="false">
      <c r="D539" s="868"/>
      <c r="E539" s="868"/>
      <c r="F539" s="868"/>
      <c r="G539" s="868"/>
      <c r="H539" s="868"/>
      <c r="I539" s="868"/>
      <c r="J539" s="868"/>
      <c r="BM539" s="1042"/>
      <c r="BO539" s="288"/>
    </row>
    <row r="540" customFormat="false" ht="18.75" hidden="false" customHeight="true" outlineLevel="0" collapsed="false">
      <c r="D540" s="868"/>
      <c r="E540" s="868"/>
      <c r="F540" s="868"/>
      <c r="G540" s="868"/>
      <c r="H540" s="868"/>
      <c r="I540" s="868"/>
      <c r="J540" s="868"/>
      <c r="BM540" s="1042"/>
      <c r="BO540" s="288"/>
    </row>
    <row r="541" customFormat="false" ht="18.75" hidden="false" customHeight="true" outlineLevel="0" collapsed="false">
      <c r="D541" s="868"/>
      <c r="E541" s="868"/>
      <c r="F541" s="868"/>
      <c r="G541" s="868"/>
      <c r="H541" s="868"/>
      <c r="I541" s="868"/>
      <c r="J541" s="868"/>
      <c r="BM541" s="1042"/>
      <c r="BO541" s="288"/>
    </row>
    <row r="542" customFormat="false" ht="18.75" hidden="false" customHeight="true" outlineLevel="0" collapsed="false">
      <c r="D542" s="868"/>
      <c r="E542" s="868"/>
      <c r="F542" s="868"/>
      <c r="G542" s="868"/>
      <c r="H542" s="868"/>
      <c r="I542" s="868"/>
      <c r="J542" s="868"/>
      <c r="BM542" s="1042"/>
      <c r="BO542" s="288"/>
    </row>
    <row r="543" customFormat="false" ht="18.75" hidden="false" customHeight="true" outlineLevel="0" collapsed="false">
      <c r="D543" s="868"/>
      <c r="E543" s="868"/>
      <c r="F543" s="868"/>
      <c r="G543" s="868"/>
      <c r="H543" s="868"/>
      <c r="I543" s="868"/>
      <c r="J543" s="868"/>
      <c r="BM543" s="1042"/>
      <c r="BO543" s="288"/>
    </row>
    <row r="544" customFormat="false" ht="18.75" hidden="false" customHeight="true" outlineLevel="0" collapsed="false">
      <c r="D544" s="868"/>
      <c r="E544" s="868"/>
      <c r="F544" s="868"/>
      <c r="G544" s="868"/>
      <c r="H544" s="868"/>
      <c r="I544" s="868"/>
      <c r="J544" s="868"/>
      <c r="BM544" s="1042"/>
      <c r="BO544" s="288"/>
    </row>
    <row r="545" customFormat="false" ht="18.75" hidden="false" customHeight="true" outlineLevel="0" collapsed="false">
      <c r="D545" s="868"/>
      <c r="E545" s="868"/>
      <c r="F545" s="868"/>
      <c r="G545" s="868"/>
      <c r="H545" s="868"/>
      <c r="I545" s="868"/>
      <c r="J545" s="868"/>
      <c r="BM545" s="1042"/>
      <c r="BO545" s="288"/>
    </row>
    <row r="546" customFormat="false" ht="18.75" hidden="false" customHeight="true" outlineLevel="0" collapsed="false">
      <c r="D546" s="868"/>
      <c r="E546" s="868"/>
      <c r="F546" s="868"/>
      <c r="G546" s="868"/>
      <c r="H546" s="868"/>
      <c r="I546" s="868"/>
      <c r="J546" s="868"/>
      <c r="BM546" s="1042"/>
      <c r="BO546" s="288"/>
    </row>
    <row r="547" customFormat="false" ht="18.75" hidden="false" customHeight="true" outlineLevel="0" collapsed="false">
      <c r="D547" s="868"/>
      <c r="E547" s="868"/>
      <c r="F547" s="868"/>
      <c r="G547" s="868"/>
      <c r="H547" s="868"/>
      <c r="I547" s="868"/>
      <c r="J547" s="868"/>
      <c r="BM547" s="1042"/>
      <c r="BO547" s="288"/>
    </row>
    <row r="548" customFormat="false" ht="18.75" hidden="false" customHeight="true" outlineLevel="0" collapsed="false">
      <c r="D548" s="868"/>
      <c r="E548" s="868"/>
      <c r="F548" s="868"/>
      <c r="G548" s="868"/>
      <c r="H548" s="868"/>
      <c r="I548" s="868"/>
      <c r="J548" s="868"/>
      <c r="BM548" s="1042"/>
      <c r="BO548" s="288"/>
    </row>
    <row r="549" customFormat="false" ht="18.75" hidden="false" customHeight="true" outlineLevel="0" collapsed="false">
      <c r="D549" s="868"/>
      <c r="E549" s="868"/>
      <c r="F549" s="868"/>
      <c r="G549" s="868"/>
      <c r="H549" s="868"/>
      <c r="I549" s="868"/>
      <c r="J549" s="868"/>
      <c r="BM549" s="1042"/>
      <c r="BO549" s="288"/>
    </row>
    <row r="550" customFormat="false" ht="18.75" hidden="false" customHeight="true" outlineLevel="0" collapsed="false">
      <c r="D550" s="868"/>
      <c r="E550" s="868"/>
      <c r="F550" s="868"/>
      <c r="G550" s="868"/>
      <c r="H550" s="868"/>
      <c r="I550" s="868"/>
      <c r="J550" s="868"/>
      <c r="BM550" s="1042"/>
      <c r="BO550" s="288"/>
    </row>
    <row r="551" customFormat="false" ht="18.75" hidden="false" customHeight="true" outlineLevel="0" collapsed="false">
      <c r="D551" s="868"/>
      <c r="E551" s="868"/>
      <c r="F551" s="868"/>
      <c r="G551" s="868"/>
      <c r="H551" s="868"/>
      <c r="I551" s="868"/>
      <c r="J551" s="868"/>
      <c r="BM551" s="1042"/>
      <c r="BO551" s="288"/>
    </row>
    <row r="552" customFormat="false" ht="18.75" hidden="false" customHeight="true" outlineLevel="0" collapsed="false">
      <c r="D552" s="868"/>
      <c r="E552" s="868"/>
      <c r="F552" s="868"/>
      <c r="G552" s="868"/>
      <c r="H552" s="868"/>
      <c r="I552" s="868"/>
      <c r="J552" s="868"/>
      <c r="BM552" s="1042"/>
      <c r="BO552" s="288"/>
    </row>
    <row r="553" customFormat="false" ht="18.75" hidden="false" customHeight="true" outlineLevel="0" collapsed="false">
      <c r="D553" s="868"/>
      <c r="E553" s="868"/>
      <c r="F553" s="868"/>
      <c r="G553" s="868"/>
      <c r="H553" s="868"/>
      <c r="I553" s="868"/>
      <c r="J553" s="868"/>
      <c r="BM553" s="1042"/>
      <c r="BO553" s="288"/>
    </row>
    <row r="554" customFormat="false" ht="18.75" hidden="false" customHeight="true" outlineLevel="0" collapsed="false">
      <c r="D554" s="868"/>
      <c r="E554" s="868"/>
      <c r="F554" s="868"/>
      <c r="G554" s="868"/>
      <c r="H554" s="868"/>
      <c r="I554" s="868"/>
      <c r="J554" s="868"/>
      <c r="BM554" s="1042"/>
      <c r="BO554" s="288"/>
    </row>
    <row r="555" customFormat="false" ht="18.75" hidden="false" customHeight="true" outlineLevel="0" collapsed="false">
      <c r="D555" s="868"/>
      <c r="E555" s="868"/>
      <c r="F555" s="868"/>
      <c r="G555" s="868"/>
      <c r="H555" s="868"/>
      <c r="I555" s="868"/>
      <c r="J555" s="868"/>
      <c r="BM555" s="1042"/>
      <c r="BO555" s="288"/>
    </row>
    <row r="556" customFormat="false" ht="18.75" hidden="false" customHeight="true" outlineLevel="0" collapsed="false">
      <c r="D556" s="868"/>
      <c r="E556" s="868"/>
      <c r="F556" s="868"/>
      <c r="G556" s="868"/>
      <c r="H556" s="868"/>
      <c r="I556" s="868"/>
      <c r="J556" s="868"/>
      <c r="BM556" s="1042"/>
      <c r="BO556" s="288"/>
    </row>
    <row r="557" customFormat="false" ht="18.75" hidden="false" customHeight="true" outlineLevel="0" collapsed="false">
      <c r="D557" s="868"/>
      <c r="E557" s="868"/>
      <c r="F557" s="868"/>
      <c r="G557" s="868"/>
      <c r="H557" s="868"/>
      <c r="I557" s="868"/>
      <c r="J557" s="868"/>
      <c r="BM557" s="1042"/>
      <c r="BO557" s="288"/>
    </row>
    <row r="558" customFormat="false" ht="18.75" hidden="false" customHeight="true" outlineLevel="0" collapsed="false">
      <c r="D558" s="868"/>
      <c r="E558" s="868"/>
      <c r="F558" s="868"/>
      <c r="G558" s="868"/>
      <c r="H558" s="868"/>
      <c r="I558" s="868"/>
      <c r="J558" s="868"/>
      <c r="BM558" s="1042"/>
      <c r="BO558" s="288"/>
    </row>
    <row r="559" customFormat="false" ht="18.75" hidden="false" customHeight="true" outlineLevel="0" collapsed="false">
      <c r="D559" s="868"/>
      <c r="E559" s="868"/>
      <c r="F559" s="868"/>
      <c r="G559" s="868"/>
      <c r="H559" s="868"/>
      <c r="I559" s="868"/>
      <c r="J559" s="868"/>
      <c r="BM559" s="1042"/>
      <c r="BO559" s="288"/>
    </row>
    <row r="560" customFormat="false" ht="18.75" hidden="false" customHeight="true" outlineLevel="0" collapsed="false">
      <c r="D560" s="868"/>
      <c r="E560" s="868"/>
      <c r="F560" s="868"/>
      <c r="G560" s="868"/>
      <c r="H560" s="868"/>
      <c r="I560" s="868"/>
      <c r="J560" s="868"/>
      <c r="BM560" s="1042"/>
      <c r="BO560" s="288"/>
    </row>
    <row r="561" customFormat="false" ht="18.75" hidden="false" customHeight="true" outlineLevel="0" collapsed="false">
      <c r="D561" s="868"/>
      <c r="E561" s="868"/>
      <c r="F561" s="868"/>
      <c r="G561" s="868"/>
      <c r="H561" s="868"/>
      <c r="I561" s="868"/>
      <c r="J561" s="868"/>
      <c r="BM561" s="1042"/>
      <c r="BO561" s="288"/>
    </row>
    <row r="562" customFormat="false" ht="18.75" hidden="false" customHeight="true" outlineLevel="0" collapsed="false">
      <c r="D562" s="868"/>
      <c r="E562" s="868"/>
      <c r="F562" s="868"/>
      <c r="G562" s="868"/>
      <c r="H562" s="868"/>
      <c r="I562" s="868"/>
      <c r="J562" s="868"/>
      <c r="BM562" s="1042"/>
      <c r="BO562" s="288"/>
    </row>
    <row r="563" customFormat="false" ht="18.75" hidden="false" customHeight="true" outlineLevel="0" collapsed="false">
      <c r="D563" s="868"/>
      <c r="E563" s="868"/>
      <c r="F563" s="868"/>
      <c r="G563" s="868"/>
      <c r="H563" s="868"/>
      <c r="I563" s="868"/>
      <c r="J563" s="868"/>
      <c r="BM563" s="1042"/>
      <c r="BO563" s="288"/>
    </row>
    <row r="564" customFormat="false" ht="18.75" hidden="false" customHeight="true" outlineLevel="0" collapsed="false">
      <c r="D564" s="868"/>
      <c r="E564" s="868"/>
      <c r="F564" s="868"/>
      <c r="G564" s="868"/>
      <c r="H564" s="868"/>
      <c r="I564" s="868"/>
      <c r="J564" s="868"/>
      <c r="BM564" s="1042"/>
      <c r="BO564" s="288"/>
    </row>
    <row r="565" customFormat="false" ht="18.75" hidden="false" customHeight="true" outlineLevel="0" collapsed="false">
      <c r="D565" s="868"/>
      <c r="E565" s="868"/>
      <c r="F565" s="868"/>
      <c r="G565" s="868"/>
      <c r="H565" s="868"/>
      <c r="I565" s="868"/>
      <c r="J565" s="868"/>
      <c r="BM565" s="1042"/>
      <c r="BO565" s="288"/>
    </row>
    <row r="566" customFormat="false" ht="18.75" hidden="false" customHeight="true" outlineLevel="0" collapsed="false">
      <c r="D566" s="868"/>
      <c r="E566" s="868"/>
      <c r="F566" s="868"/>
      <c r="G566" s="868"/>
      <c r="H566" s="868"/>
      <c r="I566" s="868"/>
      <c r="J566" s="868"/>
      <c r="BM566" s="1042"/>
      <c r="BO566" s="288"/>
    </row>
    <row r="567" customFormat="false" ht="18.75" hidden="false" customHeight="true" outlineLevel="0" collapsed="false">
      <c r="D567" s="868"/>
      <c r="E567" s="868"/>
      <c r="F567" s="868"/>
      <c r="G567" s="868"/>
      <c r="H567" s="868"/>
      <c r="I567" s="868"/>
      <c r="J567" s="868"/>
      <c r="BM567" s="1042"/>
      <c r="BO567" s="288"/>
    </row>
    <row r="568" customFormat="false" ht="18.75" hidden="false" customHeight="true" outlineLevel="0" collapsed="false">
      <c r="D568" s="868"/>
      <c r="E568" s="868"/>
      <c r="F568" s="868"/>
      <c r="G568" s="868"/>
      <c r="H568" s="868"/>
      <c r="I568" s="868"/>
      <c r="J568" s="868"/>
      <c r="BM568" s="1042"/>
      <c r="BO568" s="288"/>
    </row>
    <row r="569" customFormat="false" ht="18.75" hidden="false" customHeight="true" outlineLevel="0" collapsed="false">
      <c r="D569" s="868"/>
      <c r="E569" s="868"/>
      <c r="F569" s="868"/>
      <c r="G569" s="868"/>
      <c r="H569" s="868"/>
      <c r="I569" s="868"/>
      <c r="J569" s="868"/>
      <c r="BM569" s="1042"/>
      <c r="BO569" s="288"/>
    </row>
    <row r="570" customFormat="false" ht="18.75" hidden="false" customHeight="true" outlineLevel="0" collapsed="false">
      <c r="D570" s="868"/>
      <c r="E570" s="868"/>
      <c r="F570" s="868"/>
      <c r="G570" s="868"/>
      <c r="H570" s="868"/>
      <c r="I570" s="868"/>
      <c r="J570" s="868"/>
      <c r="BM570" s="1042"/>
      <c r="BO570" s="288"/>
    </row>
    <row r="571" customFormat="false" ht="18.75" hidden="false" customHeight="true" outlineLevel="0" collapsed="false">
      <c r="D571" s="868"/>
      <c r="E571" s="868"/>
      <c r="F571" s="868"/>
      <c r="G571" s="868"/>
      <c r="H571" s="868"/>
      <c r="I571" s="868"/>
      <c r="J571" s="868"/>
      <c r="BM571" s="1042"/>
      <c r="BO571" s="288"/>
    </row>
    <row r="572" customFormat="false" ht="18.75" hidden="false" customHeight="true" outlineLevel="0" collapsed="false">
      <c r="D572" s="868"/>
      <c r="E572" s="868"/>
      <c r="F572" s="868"/>
      <c r="G572" s="868"/>
      <c r="H572" s="868"/>
      <c r="I572" s="868"/>
      <c r="J572" s="868"/>
      <c r="BM572" s="1042"/>
      <c r="BO572" s="288"/>
    </row>
    <row r="573" customFormat="false" ht="18.75" hidden="false" customHeight="true" outlineLevel="0" collapsed="false">
      <c r="D573" s="868"/>
      <c r="E573" s="868"/>
      <c r="F573" s="868"/>
      <c r="G573" s="868"/>
      <c r="H573" s="868"/>
      <c r="I573" s="868"/>
      <c r="J573" s="868"/>
      <c r="BM573" s="1042"/>
      <c r="BO573" s="288"/>
    </row>
    <row r="574" customFormat="false" ht="18.75" hidden="false" customHeight="true" outlineLevel="0" collapsed="false">
      <c r="D574" s="868"/>
      <c r="E574" s="868"/>
      <c r="F574" s="868"/>
      <c r="G574" s="868"/>
      <c r="H574" s="868"/>
      <c r="I574" s="868"/>
      <c r="J574" s="868"/>
      <c r="BM574" s="1042"/>
      <c r="BO574" s="288"/>
    </row>
    <row r="575" customFormat="false" ht="18.75" hidden="false" customHeight="true" outlineLevel="0" collapsed="false">
      <c r="D575" s="868"/>
      <c r="E575" s="868"/>
      <c r="F575" s="868"/>
      <c r="G575" s="868"/>
      <c r="H575" s="868"/>
      <c r="I575" s="868"/>
      <c r="J575" s="868"/>
      <c r="BM575" s="1042"/>
      <c r="BO575" s="288"/>
    </row>
    <row r="576" customFormat="false" ht="18.75" hidden="false" customHeight="true" outlineLevel="0" collapsed="false">
      <c r="D576" s="868"/>
      <c r="E576" s="868"/>
      <c r="F576" s="868"/>
      <c r="G576" s="868"/>
      <c r="H576" s="868"/>
      <c r="I576" s="868"/>
      <c r="J576" s="868"/>
      <c r="BM576" s="1042"/>
      <c r="BO576" s="288"/>
    </row>
    <row r="577" customFormat="false" ht="18.75" hidden="false" customHeight="true" outlineLevel="0" collapsed="false">
      <c r="D577" s="868"/>
      <c r="E577" s="868"/>
      <c r="F577" s="868"/>
      <c r="G577" s="868"/>
      <c r="H577" s="868"/>
      <c r="I577" s="868"/>
      <c r="J577" s="868"/>
      <c r="BM577" s="1042"/>
      <c r="BO577" s="288"/>
    </row>
    <row r="578" customFormat="false" ht="18.75" hidden="false" customHeight="true" outlineLevel="0" collapsed="false">
      <c r="D578" s="868"/>
      <c r="E578" s="868"/>
      <c r="F578" s="868"/>
      <c r="G578" s="868"/>
      <c r="H578" s="868"/>
      <c r="I578" s="868"/>
      <c r="J578" s="868"/>
      <c r="BM578" s="1042"/>
      <c r="BO578" s="288"/>
    </row>
    <row r="579" customFormat="false" ht="18.75" hidden="false" customHeight="true" outlineLevel="0" collapsed="false">
      <c r="D579" s="868"/>
      <c r="E579" s="868"/>
      <c r="F579" s="868"/>
      <c r="G579" s="868"/>
      <c r="H579" s="868"/>
      <c r="I579" s="868"/>
      <c r="J579" s="868"/>
      <c r="BM579" s="1042"/>
      <c r="BO579" s="288"/>
    </row>
    <row r="580" customFormat="false" ht="18.75" hidden="false" customHeight="true" outlineLevel="0" collapsed="false">
      <c r="D580" s="868"/>
      <c r="E580" s="868"/>
      <c r="F580" s="868"/>
      <c r="G580" s="868"/>
      <c r="H580" s="868"/>
      <c r="I580" s="868"/>
      <c r="J580" s="868"/>
      <c r="BM580" s="1042"/>
      <c r="BO580" s="288"/>
    </row>
    <row r="581" customFormat="false" ht="18.75" hidden="false" customHeight="true" outlineLevel="0" collapsed="false">
      <c r="D581" s="868"/>
      <c r="E581" s="868"/>
      <c r="F581" s="868"/>
      <c r="G581" s="868"/>
      <c r="H581" s="868"/>
      <c r="I581" s="868"/>
      <c r="J581" s="868"/>
      <c r="BM581" s="1042"/>
      <c r="BO581" s="288"/>
    </row>
    <row r="582" customFormat="false" ht="18.75" hidden="false" customHeight="true" outlineLevel="0" collapsed="false">
      <c r="D582" s="868"/>
      <c r="E582" s="868"/>
      <c r="F582" s="868"/>
      <c r="G582" s="868"/>
      <c r="H582" s="868"/>
      <c r="I582" s="868"/>
      <c r="J582" s="868"/>
      <c r="BM582" s="1042"/>
      <c r="BO582" s="288"/>
    </row>
    <row r="583" customFormat="false" ht="18.75" hidden="false" customHeight="true" outlineLevel="0" collapsed="false">
      <c r="D583" s="868"/>
      <c r="E583" s="868"/>
      <c r="F583" s="868"/>
      <c r="G583" s="868"/>
      <c r="H583" s="868"/>
      <c r="I583" s="868"/>
      <c r="J583" s="868"/>
      <c r="BM583" s="1042"/>
      <c r="BO583" s="288"/>
    </row>
    <row r="584" customFormat="false" ht="18.75" hidden="false" customHeight="true" outlineLevel="0" collapsed="false">
      <c r="D584" s="868"/>
      <c r="E584" s="868"/>
      <c r="F584" s="868"/>
      <c r="G584" s="868"/>
      <c r="H584" s="868"/>
      <c r="I584" s="868"/>
      <c r="J584" s="868"/>
      <c r="BM584" s="1042"/>
      <c r="BO584" s="288"/>
    </row>
    <row r="585" customFormat="false" ht="18.75" hidden="false" customHeight="true" outlineLevel="0" collapsed="false">
      <c r="D585" s="868"/>
      <c r="E585" s="868"/>
      <c r="F585" s="868"/>
      <c r="G585" s="868"/>
      <c r="H585" s="868"/>
      <c r="I585" s="868"/>
      <c r="J585" s="868"/>
      <c r="BM585" s="1042"/>
      <c r="BO585" s="288"/>
    </row>
    <row r="586" customFormat="false" ht="18.75" hidden="false" customHeight="true" outlineLevel="0" collapsed="false">
      <c r="D586" s="868"/>
      <c r="E586" s="868"/>
      <c r="F586" s="868"/>
      <c r="G586" s="868"/>
      <c r="H586" s="868"/>
      <c r="I586" s="868"/>
      <c r="J586" s="868"/>
      <c r="BM586" s="1042"/>
      <c r="BO586" s="288"/>
    </row>
    <row r="587" customFormat="false" ht="18.75" hidden="false" customHeight="true" outlineLevel="0" collapsed="false">
      <c r="D587" s="868"/>
      <c r="E587" s="868"/>
      <c r="F587" s="868"/>
      <c r="G587" s="868"/>
      <c r="H587" s="868"/>
      <c r="I587" s="868"/>
      <c r="J587" s="868"/>
      <c r="BM587" s="1042"/>
      <c r="BO587" s="288"/>
    </row>
    <row r="588" customFormat="false" ht="18.75" hidden="false" customHeight="true" outlineLevel="0" collapsed="false">
      <c r="D588" s="868"/>
      <c r="E588" s="868"/>
      <c r="F588" s="868"/>
      <c r="G588" s="868"/>
      <c r="H588" s="868"/>
      <c r="I588" s="868"/>
      <c r="J588" s="868"/>
      <c r="BM588" s="1042"/>
      <c r="BO588" s="288"/>
    </row>
    <row r="589" customFormat="false" ht="18.75" hidden="false" customHeight="true" outlineLevel="0" collapsed="false">
      <c r="D589" s="868"/>
      <c r="E589" s="868"/>
      <c r="F589" s="868"/>
      <c r="G589" s="868"/>
      <c r="H589" s="868"/>
      <c r="I589" s="868"/>
      <c r="J589" s="868"/>
      <c r="BM589" s="1042"/>
      <c r="BO589" s="288"/>
    </row>
    <row r="590" customFormat="false" ht="18.75" hidden="false" customHeight="true" outlineLevel="0" collapsed="false">
      <c r="D590" s="868"/>
      <c r="E590" s="868"/>
      <c r="F590" s="868"/>
      <c r="G590" s="868"/>
      <c r="H590" s="868"/>
      <c r="I590" s="868"/>
      <c r="J590" s="868"/>
      <c r="BM590" s="1042"/>
      <c r="BO590" s="288"/>
    </row>
    <row r="591" customFormat="false" ht="18.75" hidden="false" customHeight="true" outlineLevel="0" collapsed="false">
      <c r="D591" s="868"/>
      <c r="E591" s="868"/>
      <c r="F591" s="868"/>
      <c r="G591" s="868"/>
      <c r="H591" s="868"/>
      <c r="I591" s="868"/>
      <c r="J591" s="868"/>
      <c r="BM591" s="1042"/>
      <c r="BO591" s="288"/>
    </row>
    <row r="592" customFormat="false" ht="18.75" hidden="false" customHeight="true" outlineLevel="0" collapsed="false">
      <c r="D592" s="868"/>
      <c r="E592" s="868"/>
      <c r="F592" s="868"/>
      <c r="G592" s="868"/>
      <c r="H592" s="868"/>
      <c r="I592" s="868"/>
      <c r="J592" s="868"/>
      <c r="BM592" s="1042"/>
      <c r="BO592" s="288"/>
    </row>
    <row r="593" customFormat="false" ht="18.75" hidden="false" customHeight="true" outlineLevel="0" collapsed="false">
      <c r="D593" s="868"/>
      <c r="E593" s="868"/>
      <c r="F593" s="868"/>
      <c r="G593" s="868"/>
      <c r="H593" s="868"/>
      <c r="I593" s="868"/>
      <c r="J593" s="868"/>
      <c r="BM593" s="1042"/>
      <c r="BO593" s="288"/>
    </row>
    <row r="594" customFormat="false" ht="18.75" hidden="false" customHeight="true" outlineLevel="0" collapsed="false">
      <c r="D594" s="868"/>
      <c r="E594" s="868"/>
      <c r="F594" s="868"/>
      <c r="G594" s="868"/>
      <c r="H594" s="868"/>
      <c r="I594" s="868"/>
      <c r="J594" s="868"/>
      <c r="BM594" s="1042"/>
      <c r="BO594" s="288"/>
    </row>
    <row r="595" customFormat="false" ht="18.75" hidden="false" customHeight="true" outlineLevel="0" collapsed="false">
      <c r="D595" s="868"/>
      <c r="E595" s="868"/>
      <c r="F595" s="868"/>
      <c r="G595" s="868"/>
      <c r="H595" s="868"/>
      <c r="I595" s="868"/>
      <c r="J595" s="868"/>
      <c r="BM595" s="1042"/>
      <c r="BO595" s="288"/>
    </row>
    <row r="596" customFormat="false" ht="18.75" hidden="false" customHeight="true" outlineLevel="0" collapsed="false">
      <c r="D596" s="868"/>
      <c r="E596" s="868"/>
      <c r="F596" s="868"/>
      <c r="G596" s="868"/>
      <c r="H596" s="868"/>
      <c r="I596" s="868"/>
      <c r="J596" s="868"/>
      <c r="BM596" s="1042"/>
      <c r="BO596" s="288"/>
    </row>
    <row r="597" customFormat="false" ht="18.75" hidden="false" customHeight="true" outlineLevel="0" collapsed="false">
      <c r="D597" s="868"/>
      <c r="E597" s="868"/>
      <c r="F597" s="868"/>
      <c r="G597" s="868"/>
      <c r="H597" s="868"/>
      <c r="I597" s="868"/>
      <c r="J597" s="868"/>
      <c r="BM597" s="1042"/>
      <c r="BO597" s="288"/>
    </row>
    <row r="598" customFormat="false" ht="18.75" hidden="false" customHeight="true" outlineLevel="0" collapsed="false">
      <c r="D598" s="868"/>
      <c r="E598" s="868"/>
      <c r="F598" s="868"/>
      <c r="G598" s="868"/>
      <c r="H598" s="868"/>
      <c r="I598" s="868"/>
      <c r="J598" s="868"/>
      <c r="BM598" s="1042"/>
      <c r="BO598" s="288"/>
    </row>
    <row r="599" customFormat="false" ht="18.75" hidden="false" customHeight="true" outlineLevel="0" collapsed="false">
      <c r="D599" s="868"/>
      <c r="E599" s="868"/>
      <c r="F599" s="868"/>
      <c r="G599" s="868"/>
      <c r="H599" s="868"/>
      <c r="I599" s="868"/>
      <c r="J599" s="868"/>
      <c r="BM599" s="1042"/>
      <c r="BO599" s="288"/>
    </row>
    <row r="600" customFormat="false" ht="18.75" hidden="false" customHeight="true" outlineLevel="0" collapsed="false">
      <c r="D600" s="868"/>
      <c r="E600" s="868"/>
      <c r="F600" s="868"/>
      <c r="G600" s="868"/>
      <c r="H600" s="868"/>
      <c r="I600" s="868"/>
      <c r="J600" s="868"/>
      <c r="BM600" s="1042"/>
      <c r="BO600" s="288"/>
    </row>
    <row r="601" customFormat="false" ht="18.75" hidden="false" customHeight="true" outlineLevel="0" collapsed="false">
      <c r="D601" s="868"/>
      <c r="E601" s="868"/>
      <c r="F601" s="868"/>
      <c r="G601" s="868"/>
      <c r="H601" s="868"/>
      <c r="I601" s="868"/>
      <c r="J601" s="868"/>
      <c r="BM601" s="1042"/>
      <c r="BO601" s="288"/>
    </row>
    <row r="602" customFormat="false" ht="18.75" hidden="false" customHeight="true" outlineLevel="0" collapsed="false">
      <c r="D602" s="868"/>
      <c r="E602" s="868"/>
      <c r="F602" s="868"/>
      <c r="G602" s="868"/>
      <c r="H602" s="868"/>
      <c r="I602" s="868"/>
      <c r="J602" s="868"/>
      <c r="BM602" s="1042"/>
      <c r="BO602" s="288"/>
    </row>
    <row r="603" customFormat="false" ht="18.75" hidden="false" customHeight="true" outlineLevel="0" collapsed="false">
      <c r="D603" s="868"/>
      <c r="E603" s="868"/>
      <c r="F603" s="868"/>
      <c r="G603" s="868"/>
      <c r="H603" s="868"/>
      <c r="I603" s="868"/>
      <c r="J603" s="868"/>
      <c r="BM603" s="1042"/>
      <c r="BO603" s="288"/>
    </row>
    <row r="604" customFormat="false" ht="18.75" hidden="false" customHeight="true" outlineLevel="0" collapsed="false">
      <c r="D604" s="868"/>
      <c r="E604" s="868"/>
      <c r="F604" s="868"/>
      <c r="G604" s="868"/>
      <c r="H604" s="868"/>
      <c r="I604" s="868"/>
      <c r="J604" s="868"/>
      <c r="BM604" s="1042"/>
      <c r="BO604" s="288"/>
    </row>
    <row r="605" customFormat="false" ht="18.75" hidden="false" customHeight="true" outlineLevel="0" collapsed="false">
      <c r="D605" s="868"/>
      <c r="E605" s="868"/>
      <c r="F605" s="868"/>
      <c r="G605" s="868"/>
      <c r="H605" s="868"/>
      <c r="I605" s="868"/>
      <c r="J605" s="868"/>
      <c r="BM605" s="1042"/>
      <c r="BO605" s="288"/>
    </row>
    <row r="606" customFormat="false" ht="18.75" hidden="false" customHeight="true" outlineLevel="0" collapsed="false">
      <c r="D606" s="868"/>
      <c r="E606" s="868"/>
      <c r="F606" s="868"/>
      <c r="G606" s="868"/>
      <c r="H606" s="868"/>
      <c r="I606" s="868"/>
      <c r="J606" s="868"/>
      <c r="BM606" s="1042"/>
      <c r="BO606" s="288"/>
    </row>
    <row r="607" customFormat="false" ht="18.75" hidden="false" customHeight="true" outlineLevel="0" collapsed="false">
      <c r="D607" s="868"/>
      <c r="E607" s="868"/>
      <c r="F607" s="868"/>
      <c r="G607" s="868"/>
      <c r="H607" s="868"/>
      <c r="I607" s="868"/>
      <c r="J607" s="868"/>
      <c r="BM607" s="1042"/>
      <c r="BO607" s="288"/>
    </row>
    <row r="608" customFormat="false" ht="18.75" hidden="false" customHeight="true" outlineLevel="0" collapsed="false">
      <c r="D608" s="868"/>
      <c r="E608" s="868"/>
      <c r="F608" s="868"/>
      <c r="G608" s="868"/>
      <c r="H608" s="868"/>
      <c r="I608" s="868"/>
      <c r="J608" s="868"/>
      <c r="BM608" s="1042"/>
      <c r="BO608" s="288"/>
    </row>
    <row r="609" customFormat="false" ht="18.75" hidden="false" customHeight="true" outlineLevel="0" collapsed="false">
      <c r="D609" s="868"/>
      <c r="E609" s="868"/>
      <c r="F609" s="868"/>
      <c r="G609" s="868"/>
      <c r="H609" s="868"/>
      <c r="I609" s="868"/>
      <c r="J609" s="868"/>
      <c r="BM609" s="1042"/>
      <c r="BO609" s="288"/>
    </row>
    <row r="610" customFormat="false" ht="18.75" hidden="false" customHeight="true" outlineLevel="0" collapsed="false">
      <c r="D610" s="868"/>
      <c r="E610" s="868"/>
      <c r="F610" s="868"/>
      <c r="G610" s="868"/>
      <c r="H610" s="868"/>
      <c r="I610" s="868"/>
      <c r="J610" s="868"/>
      <c r="BM610" s="1042"/>
      <c r="BO610" s="288"/>
    </row>
    <row r="611" customFormat="false" ht="18.75" hidden="false" customHeight="true" outlineLevel="0" collapsed="false">
      <c r="D611" s="868"/>
      <c r="E611" s="868"/>
      <c r="F611" s="868"/>
      <c r="G611" s="868"/>
      <c r="H611" s="868"/>
      <c r="I611" s="868"/>
      <c r="J611" s="868"/>
      <c r="BM611" s="1042"/>
      <c r="BO611" s="288"/>
    </row>
    <row r="612" customFormat="false" ht="18.75" hidden="false" customHeight="true" outlineLevel="0" collapsed="false">
      <c r="D612" s="868"/>
      <c r="E612" s="868"/>
      <c r="F612" s="868"/>
      <c r="G612" s="868"/>
      <c r="H612" s="868"/>
      <c r="I612" s="868"/>
      <c r="J612" s="868"/>
      <c r="BM612" s="1042"/>
      <c r="BO612" s="288"/>
    </row>
    <row r="613" customFormat="false" ht="18.75" hidden="false" customHeight="true" outlineLevel="0" collapsed="false">
      <c r="D613" s="868"/>
      <c r="E613" s="868"/>
      <c r="F613" s="868"/>
      <c r="G613" s="868"/>
      <c r="H613" s="868"/>
      <c r="I613" s="868"/>
      <c r="J613" s="868"/>
      <c r="BM613" s="1042"/>
      <c r="BO613" s="288"/>
    </row>
    <row r="614" customFormat="false" ht="18.75" hidden="false" customHeight="true" outlineLevel="0" collapsed="false">
      <c r="D614" s="868"/>
      <c r="E614" s="868"/>
      <c r="F614" s="868"/>
      <c r="G614" s="868"/>
      <c r="H614" s="868"/>
      <c r="I614" s="868"/>
      <c r="J614" s="868"/>
      <c r="BM614" s="1042"/>
      <c r="BO614" s="288"/>
    </row>
    <row r="615" customFormat="false" ht="18.75" hidden="false" customHeight="true" outlineLevel="0" collapsed="false">
      <c r="D615" s="868"/>
      <c r="E615" s="868"/>
      <c r="F615" s="868"/>
      <c r="G615" s="868"/>
      <c r="H615" s="868"/>
      <c r="I615" s="868"/>
      <c r="J615" s="868"/>
      <c r="BM615" s="1042"/>
      <c r="BO615" s="288"/>
    </row>
    <row r="616" customFormat="false" ht="18.75" hidden="false" customHeight="true" outlineLevel="0" collapsed="false">
      <c r="D616" s="868"/>
      <c r="E616" s="868"/>
      <c r="F616" s="868"/>
      <c r="G616" s="868"/>
      <c r="H616" s="868"/>
      <c r="I616" s="868"/>
      <c r="J616" s="868"/>
      <c r="BM616" s="1042"/>
      <c r="BO616" s="288"/>
    </row>
    <row r="617" customFormat="false" ht="18.75" hidden="false" customHeight="true" outlineLevel="0" collapsed="false">
      <c r="D617" s="868"/>
      <c r="E617" s="868"/>
      <c r="F617" s="868"/>
      <c r="G617" s="868"/>
      <c r="H617" s="868"/>
      <c r="I617" s="868"/>
      <c r="J617" s="868"/>
      <c r="BM617" s="1042"/>
      <c r="BO617" s="288"/>
    </row>
    <row r="618" customFormat="false" ht="18.75" hidden="false" customHeight="true" outlineLevel="0" collapsed="false">
      <c r="D618" s="868"/>
      <c r="E618" s="868"/>
      <c r="F618" s="868"/>
      <c r="G618" s="868"/>
      <c r="H618" s="868"/>
      <c r="I618" s="868"/>
      <c r="J618" s="868"/>
      <c r="BM618" s="1042"/>
      <c r="BO618" s="288"/>
    </row>
    <row r="619" customFormat="false" ht="18.75" hidden="false" customHeight="true" outlineLevel="0" collapsed="false">
      <c r="D619" s="868"/>
      <c r="E619" s="868"/>
      <c r="F619" s="868"/>
      <c r="G619" s="868"/>
      <c r="H619" s="868"/>
      <c r="I619" s="868"/>
      <c r="J619" s="868"/>
      <c r="BM619" s="1042"/>
      <c r="BO619" s="288"/>
    </row>
    <row r="620" customFormat="false" ht="18.75" hidden="false" customHeight="true" outlineLevel="0" collapsed="false">
      <c r="D620" s="868"/>
      <c r="E620" s="868"/>
      <c r="F620" s="868"/>
      <c r="G620" s="868"/>
      <c r="H620" s="868"/>
      <c r="I620" s="868"/>
      <c r="J620" s="868"/>
      <c r="BM620" s="1042"/>
      <c r="BO620" s="288"/>
    </row>
    <row r="621" customFormat="false" ht="18.75" hidden="false" customHeight="true" outlineLevel="0" collapsed="false">
      <c r="D621" s="868"/>
      <c r="E621" s="868"/>
      <c r="F621" s="868"/>
      <c r="G621" s="868"/>
      <c r="H621" s="868"/>
      <c r="I621" s="868"/>
      <c r="J621" s="868"/>
      <c r="BM621" s="1042"/>
      <c r="BO621" s="288"/>
    </row>
    <row r="622" customFormat="false" ht="18.75" hidden="false" customHeight="true" outlineLevel="0" collapsed="false">
      <c r="D622" s="868"/>
      <c r="E622" s="868"/>
      <c r="F622" s="868"/>
      <c r="G622" s="868"/>
      <c r="H622" s="868"/>
      <c r="I622" s="868"/>
      <c r="J622" s="868"/>
      <c r="BM622" s="1042"/>
      <c r="BO622" s="288"/>
    </row>
    <row r="623" customFormat="false" ht="18.75" hidden="false" customHeight="true" outlineLevel="0" collapsed="false">
      <c r="D623" s="868"/>
      <c r="E623" s="868"/>
      <c r="F623" s="868"/>
      <c r="G623" s="868"/>
      <c r="H623" s="868"/>
      <c r="I623" s="868"/>
      <c r="J623" s="868"/>
      <c r="BM623" s="1042"/>
      <c r="BO623" s="288"/>
    </row>
    <row r="624" customFormat="false" ht="18.75" hidden="false" customHeight="true" outlineLevel="0" collapsed="false">
      <c r="D624" s="868"/>
      <c r="E624" s="868"/>
      <c r="F624" s="868"/>
      <c r="G624" s="868"/>
      <c r="H624" s="868"/>
      <c r="I624" s="868"/>
      <c r="J624" s="868"/>
      <c r="BM624" s="1042"/>
      <c r="BO624" s="288"/>
    </row>
    <row r="625" customFormat="false" ht="18.75" hidden="false" customHeight="true" outlineLevel="0" collapsed="false">
      <c r="D625" s="868"/>
      <c r="E625" s="868"/>
      <c r="F625" s="868"/>
      <c r="G625" s="868"/>
      <c r="H625" s="868"/>
      <c r="I625" s="868"/>
      <c r="J625" s="868"/>
      <c r="BM625" s="1042"/>
      <c r="BO625" s="288"/>
    </row>
    <row r="626" customFormat="false" ht="18.75" hidden="false" customHeight="true" outlineLevel="0" collapsed="false">
      <c r="D626" s="868"/>
      <c r="E626" s="868"/>
      <c r="F626" s="868"/>
      <c r="G626" s="868"/>
      <c r="H626" s="868"/>
      <c r="I626" s="868"/>
      <c r="J626" s="868"/>
      <c r="BM626" s="1042"/>
      <c r="BO626" s="288"/>
    </row>
    <row r="627" customFormat="false" ht="18.75" hidden="false" customHeight="true" outlineLevel="0" collapsed="false">
      <c r="D627" s="868"/>
      <c r="E627" s="868"/>
      <c r="F627" s="868"/>
      <c r="G627" s="868"/>
      <c r="H627" s="868"/>
      <c r="I627" s="868"/>
      <c r="J627" s="868"/>
      <c r="BM627" s="1042"/>
      <c r="BO627" s="288"/>
    </row>
    <row r="628" customFormat="false" ht="18.75" hidden="false" customHeight="true" outlineLevel="0" collapsed="false">
      <c r="D628" s="868"/>
      <c r="E628" s="868"/>
      <c r="F628" s="868"/>
      <c r="G628" s="868"/>
      <c r="H628" s="868"/>
      <c r="I628" s="868"/>
      <c r="J628" s="868"/>
      <c r="BM628" s="1042"/>
      <c r="BO628" s="288"/>
    </row>
    <row r="629" customFormat="false" ht="18.75" hidden="false" customHeight="true" outlineLevel="0" collapsed="false">
      <c r="D629" s="868"/>
      <c r="E629" s="868"/>
      <c r="F629" s="868"/>
      <c r="G629" s="868"/>
      <c r="H629" s="868"/>
      <c r="I629" s="868"/>
      <c r="J629" s="868"/>
      <c r="BM629" s="1042"/>
      <c r="BO629" s="288"/>
    </row>
    <row r="630" customFormat="false" ht="18.75" hidden="false" customHeight="true" outlineLevel="0" collapsed="false">
      <c r="D630" s="868"/>
      <c r="E630" s="868"/>
      <c r="F630" s="868"/>
      <c r="G630" s="868"/>
      <c r="H630" s="868"/>
      <c r="I630" s="868"/>
      <c r="J630" s="868"/>
      <c r="BM630" s="1042"/>
      <c r="BO630" s="288"/>
    </row>
    <row r="631" customFormat="false" ht="18.75" hidden="false" customHeight="true" outlineLevel="0" collapsed="false">
      <c r="D631" s="868"/>
      <c r="E631" s="868"/>
      <c r="F631" s="868"/>
      <c r="G631" s="868"/>
      <c r="H631" s="868"/>
      <c r="I631" s="868"/>
      <c r="J631" s="868"/>
      <c r="BM631" s="1042"/>
      <c r="BO631" s="288"/>
    </row>
    <row r="632" customFormat="false" ht="18.75" hidden="false" customHeight="true" outlineLevel="0" collapsed="false">
      <c r="D632" s="868"/>
      <c r="E632" s="868"/>
      <c r="F632" s="868"/>
      <c r="G632" s="868"/>
      <c r="H632" s="868"/>
      <c r="I632" s="868"/>
      <c r="J632" s="868"/>
      <c r="BM632" s="1042"/>
      <c r="BO632" s="288"/>
    </row>
    <row r="633" customFormat="false" ht="18.75" hidden="false" customHeight="true" outlineLevel="0" collapsed="false">
      <c r="D633" s="868"/>
      <c r="E633" s="868"/>
      <c r="F633" s="868"/>
      <c r="G633" s="868"/>
      <c r="H633" s="868"/>
      <c r="I633" s="868"/>
      <c r="J633" s="868"/>
      <c r="BM633" s="1042"/>
      <c r="BO633" s="288"/>
    </row>
    <row r="634" customFormat="false" ht="18.75" hidden="false" customHeight="true" outlineLevel="0" collapsed="false">
      <c r="D634" s="868"/>
      <c r="E634" s="868"/>
      <c r="F634" s="868"/>
      <c r="G634" s="868"/>
      <c r="H634" s="868"/>
      <c r="I634" s="868"/>
      <c r="J634" s="868"/>
      <c r="BM634" s="1042"/>
      <c r="BO634" s="288"/>
    </row>
    <row r="635" customFormat="false" ht="18.75" hidden="false" customHeight="true" outlineLevel="0" collapsed="false">
      <c r="D635" s="868"/>
      <c r="E635" s="868"/>
      <c r="F635" s="868"/>
      <c r="G635" s="868"/>
      <c r="H635" s="868"/>
      <c r="I635" s="868"/>
      <c r="J635" s="868"/>
      <c r="BM635" s="1042"/>
      <c r="BO635" s="288"/>
    </row>
    <row r="636" customFormat="false" ht="18.75" hidden="false" customHeight="true" outlineLevel="0" collapsed="false">
      <c r="D636" s="868"/>
      <c r="E636" s="868"/>
      <c r="F636" s="868"/>
      <c r="G636" s="868"/>
      <c r="H636" s="868"/>
      <c r="I636" s="868"/>
      <c r="J636" s="868"/>
      <c r="BM636" s="1042"/>
      <c r="BO636" s="288"/>
    </row>
    <row r="637" customFormat="false" ht="18.75" hidden="false" customHeight="true" outlineLevel="0" collapsed="false">
      <c r="D637" s="868"/>
      <c r="E637" s="868"/>
      <c r="F637" s="868"/>
      <c r="G637" s="868"/>
      <c r="H637" s="868"/>
      <c r="I637" s="868"/>
      <c r="J637" s="868"/>
      <c r="BM637" s="1042"/>
      <c r="BO637" s="288"/>
    </row>
    <row r="638" customFormat="false" ht="18.75" hidden="false" customHeight="true" outlineLevel="0" collapsed="false">
      <c r="D638" s="868"/>
      <c r="E638" s="868"/>
      <c r="F638" s="868"/>
      <c r="G638" s="868"/>
      <c r="H638" s="868"/>
      <c r="I638" s="868"/>
      <c r="J638" s="868"/>
      <c r="BM638" s="1042"/>
      <c r="BO638" s="288"/>
    </row>
    <row r="639" customFormat="false" ht="18.75" hidden="false" customHeight="true" outlineLevel="0" collapsed="false">
      <c r="D639" s="868"/>
      <c r="E639" s="868"/>
      <c r="F639" s="868"/>
      <c r="G639" s="868"/>
      <c r="H639" s="868"/>
      <c r="I639" s="868"/>
      <c r="J639" s="868"/>
      <c r="BM639" s="1042"/>
      <c r="BO639" s="288"/>
    </row>
    <row r="640" customFormat="false" ht="18.75" hidden="false" customHeight="true" outlineLevel="0" collapsed="false">
      <c r="D640" s="868"/>
      <c r="E640" s="868"/>
      <c r="F640" s="868"/>
      <c r="G640" s="868"/>
      <c r="H640" s="868"/>
      <c r="I640" s="868"/>
      <c r="J640" s="868"/>
      <c r="BM640" s="1042"/>
      <c r="BO640" s="288"/>
    </row>
    <row r="641" customFormat="false" ht="18.75" hidden="false" customHeight="true" outlineLevel="0" collapsed="false">
      <c r="D641" s="868"/>
      <c r="E641" s="868"/>
      <c r="F641" s="868"/>
      <c r="G641" s="868"/>
      <c r="H641" s="868"/>
      <c r="I641" s="868"/>
      <c r="J641" s="868"/>
      <c r="BM641" s="1042"/>
      <c r="BO641" s="288"/>
    </row>
    <row r="642" customFormat="false" ht="18.75" hidden="false" customHeight="true" outlineLevel="0" collapsed="false">
      <c r="D642" s="868"/>
      <c r="E642" s="868"/>
      <c r="F642" s="868"/>
      <c r="G642" s="868"/>
      <c r="H642" s="868"/>
      <c r="I642" s="868"/>
      <c r="J642" s="868"/>
      <c r="BM642" s="1042"/>
      <c r="BO642" s="288"/>
    </row>
    <row r="643" customFormat="false" ht="18.75" hidden="false" customHeight="true" outlineLevel="0" collapsed="false">
      <c r="D643" s="868"/>
      <c r="E643" s="868"/>
      <c r="F643" s="868"/>
      <c r="G643" s="868"/>
      <c r="H643" s="868"/>
      <c r="I643" s="868"/>
      <c r="J643" s="868"/>
      <c r="BM643" s="1042"/>
      <c r="BO643" s="288"/>
    </row>
    <row r="644" customFormat="false" ht="18.75" hidden="false" customHeight="true" outlineLevel="0" collapsed="false">
      <c r="D644" s="868"/>
      <c r="E644" s="868"/>
      <c r="F644" s="868"/>
      <c r="G644" s="868"/>
      <c r="H644" s="868"/>
      <c r="I644" s="868"/>
      <c r="J644" s="868"/>
      <c r="BM644" s="1042"/>
      <c r="BO644" s="288"/>
    </row>
    <row r="645" customFormat="false" ht="18.75" hidden="false" customHeight="true" outlineLevel="0" collapsed="false">
      <c r="D645" s="868"/>
      <c r="E645" s="868"/>
      <c r="F645" s="868"/>
      <c r="G645" s="868"/>
      <c r="H645" s="868"/>
      <c r="I645" s="868"/>
      <c r="J645" s="868"/>
      <c r="BM645" s="1042"/>
      <c r="BO645" s="288"/>
    </row>
    <row r="646" customFormat="false" ht="18.75" hidden="false" customHeight="true" outlineLevel="0" collapsed="false">
      <c r="D646" s="868"/>
      <c r="E646" s="868"/>
      <c r="F646" s="868"/>
      <c r="G646" s="868"/>
      <c r="H646" s="868"/>
      <c r="I646" s="868"/>
      <c r="J646" s="868"/>
      <c r="BM646" s="1042"/>
      <c r="BO646" s="288"/>
    </row>
    <row r="647" customFormat="false" ht="18.75" hidden="false" customHeight="true" outlineLevel="0" collapsed="false">
      <c r="D647" s="868"/>
      <c r="E647" s="868"/>
      <c r="F647" s="868"/>
      <c r="G647" s="868"/>
      <c r="H647" s="868"/>
      <c r="I647" s="868"/>
      <c r="J647" s="868"/>
      <c r="BM647" s="1042"/>
      <c r="BO647" s="288"/>
    </row>
    <row r="648" customFormat="false" ht="18.75" hidden="false" customHeight="true" outlineLevel="0" collapsed="false">
      <c r="D648" s="868"/>
      <c r="E648" s="868"/>
      <c r="F648" s="868"/>
      <c r="G648" s="868"/>
      <c r="H648" s="868"/>
      <c r="I648" s="868"/>
      <c r="J648" s="868"/>
      <c r="BM648" s="1042"/>
      <c r="BO648" s="288"/>
    </row>
    <row r="649" customFormat="false" ht="18.75" hidden="false" customHeight="true" outlineLevel="0" collapsed="false">
      <c r="D649" s="868"/>
      <c r="E649" s="868"/>
      <c r="F649" s="868"/>
      <c r="G649" s="868"/>
      <c r="H649" s="868"/>
      <c r="I649" s="868"/>
      <c r="J649" s="868"/>
      <c r="BM649" s="1042"/>
      <c r="BO649" s="288"/>
    </row>
    <row r="650" customFormat="false" ht="18.75" hidden="false" customHeight="true" outlineLevel="0" collapsed="false">
      <c r="D650" s="868"/>
      <c r="E650" s="868"/>
      <c r="F650" s="868"/>
      <c r="G650" s="868"/>
      <c r="H650" s="868"/>
      <c r="I650" s="868"/>
      <c r="J650" s="868"/>
      <c r="BM650" s="1042"/>
      <c r="BO650" s="288"/>
    </row>
    <row r="651" customFormat="false" ht="18.75" hidden="false" customHeight="true" outlineLevel="0" collapsed="false">
      <c r="D651" s="868"/>
      <c r="E651" s="868"/>
      <c r="F651" s="868"/>
      <c r="G651" s="868"/>
      <c r="H651" s="868"/>
      <c r="I651" s="868"/>
      <c r="J651" s="868"/>
      <c r="BM651" s="1042"/>
      <c r="BO651" s="288"/>
    </row>
    <row r="652" customFormat="false" ht="18.75" hidden="false" customHeight="true" outlineLevel="0" collapsed="false">
      <c r="D652" s="868"/>
      <c r="E652" s="868"/>
      <c r="F652" s="868"/>
      <c r="G652" s="868"/>
      <c r="H652" s="868"/>
      <c r="I652" s="868"/>
      <c r="J652" s="868"/>
      <c r="BM652" s="1042"/>
      <c r="BO652" s="288"/>
    </row>
    <row r="653" customFormat="false" ht="18.75" hidden="false" customHeight="true" outlineLevel="0" collapsed="false">
      <c r="D653" s="868"/>
      <c r="E653" s="868"/>
      <c r="F653" s="868"/>
      <c r="G653" s="868"/>
      <c r="H653" s="868"/>
      <c r="I653" s="868"/>
      <c r="J653" s="868"/>
      <c r="BM653" s="1042"/>
      <c r="BO653" s="288"/>
    </row>
    <row r="654" customFormat="false" ht="18.75" hidden="false" customHeight="true" outlineLevel="0" collapsed="false">
      <c r="D654" s="868"/>
      <c r="E654" s="868"/>
      <c r="F654" s="868"/>
      <c r="G654" s="868"/>
      <c r="H654" s="868"/>
      <c r="I654" s="868"/>
      <c r="J654" s="868"/>
      <c r="BM654" s="1042"/>
      <c r="BO654" s="288"/>
    </row>
    <row r="655" customFormat="false" ht="18.75" hidden="false" customHeight="true" outlineLevel="0" collapsed="false">
      <c r="D655" s="868"/>
      <c r="E655" s="868"/>
      <c r="F655" s="868"/>
      <c r="G655" s="868"/>
      <c r="H655" s="868"/>
      <c r="I655" s="868"/>
      <c r="J655" s="868"/>
      <c r="BM655" s="1042"/>
      <c r="BO655" s="288"/>
    </row>
    <row r="656" customFormat="false" ht="18.75" hidden="false" customHeight="true" outlineLevel="0" collapsed="false">
      <c r="D656" s="868"/>
      <c r="E656" s="868"/>
      <c r="F656" s="868"/>
      <c r="G656" s="868"/>
      <c r="H656" s="868"/>
      <c r="I656" s="868"/>
      <c r="J656" s="868"/>
      <c r="BM656" s="1042"/>
      <c r="BO656" s="288"/>
    </row>
    <row r="657" customFormat="false" ht="18.75" hidden="false" customHeight="true" outlineLevel="0" collapsed="false">
      <c r="D657" s="868"/>
      <c r="E657" s="868"/>
      <c r="F657" s="868"/>
      <c r="G657" s="868"/>
      <c r="H657" s="868"/>
      <c r="I657" s="868"/>
      <c r="J657" s="868"/>
      <c r="BM657" s="1042"/>
      <c r="BO657" s="288"/>
    </row>
    <row r="658" customFormat="false" ht="18.75" hidden="false" customHeight="true" outlineLevel="0" collapsed="false">
      <c r="D658" s="868"/>
      <c r="E658" s="868"/>
      <c r="F658" s="868"/>
      <c r="G658" s="868"/>
      <c r="H658" s="868"/>
      <c r="I658" s="868"/>
      <c r="J658" s="868"/>
      <c r="BM658" s="1042"/>
      <c r="BO658" s="288"/>
    </row>
    <row r="659" customFormat="false" ht="18.75" hidden="false" customHeight="true" outlineLevel="0" collapsed="false">
      <c r="D659" s="868"/>
      <c r="E659" s="868"/>
      <c r="F659" s="868"/>
      <c r="G659" s="868"/>
      <c r="H659" s="868"/>
      <c r="I659" s="868"/>
      <c r="J659" s="868"/>
      <c r="BM659" s="1042"/>
      <c r="BO659" s="288"/>
    </row>
    <row r="660" customFormat="false" ht="18.75" hidden="false" customHeight="true" outlineLevel="0" collapsed="false">
      <c r="D660" s="868"/>
      <c r="E660" s="868"/>
      <c r="F660" s="868"/>
      <c r="G660" s="868"/>
      <c r="H660" s="868"/>
      <c r="I660" s="868"/>
      <c r="J660" s="868"/>
      <c r="BM660" s="1042"/>
      <c r="BO660" s="288"/>
    </row>
    <row r="661" customFormat="false" ht="18.75" hidden="false" customHeight="true" outlineLevel="0" collapsed="false">
      <c r="D661" s="868"/>
      <c r="E661" s="868"/>
      <c r="F661" s="868"/>
      <c r="G661" s="868"/>
      <c r="H661" s="868"/>
      <c r="I661" s="868"/>
      <c r="J661" s="868"/>
      <c r="BM661" s="1042"/>
      <c r="BO661" s="288"/>
    </row>
    <row r="662" customFormat="false" ht="18.75" hidden="false" customHeight="true" outlineLevel="0" collapsed="false">
      <c r="D662" s="868"/>
      <c r="E662" s="868"/>
      <c r="F662" s="868"/>
      <c r="G662" s="868"/>
      <c r="H662" s="868"/>
      <c r="I662" s="868"/>
      <c r="J662" s="868"/>
      <c r="BM662" s="1042"/>
      <c r="BO662" s="288"/>
    </row>
    <row r="663" customFormat="false" ht="18.75" hidden="false" customHeight="true" outlineLevel="0" collapsed="false">
      <c r="D663" s="868"/>
      <c r="E663" s="868"/>
      <c r="F663" s="868"/>
      <c r="G663" s="868"/>
      <c r="H663" s="868"/>
      <c r="I663" s="868"/>
      <c r="J663" s="868"/>
      <c r="BM663" s="1042"/>
      <c r="BO663" s="288"/>
    </row>
    <row r="664" customFormat="false" ht="18.75" hidden="false" customHeight="true" outlineLevel="0" collapsed="false">
      <c r="D664" s="868"/>
      <c r="E664" s="868"/>
      <c r="F664" s="868"/>
      <c r="G664" s="868"/>
      <c r="H664" s="868"/>
      <c r="I664" s="868"/>
      <c r="J664" s="868"/>
      <c r="BM664" s="1042"/>
      <c r="BO664" s="288"/>
    </row>
    <row r="665" customFormat="false" ht="18.75" hidden="false" customHeight="true" outlineLevel="0" collapsed="false">
      <c r="D665" s="868"/>
      <c r="E665" s="868"/>
      <c r="F665" s="868"/>
      <c r="G665" s="868"/>
      <c r="H665" s="868"/>
      <c r="I665" s="868"/>
      <c r="J665" s="868"/>
      <c r="BM665" s="1042"/>
      <c r="BO665" s="288"/>
    </row>
    <row r="666" customFormat="false" ht="18.75" hidden="false" customHeight="true" outlineLevel="0" collapsed="false">
      <c r="D666" s="868"/>
      <c r="E666" s="868"/>
      <c r="F666" s="868"/>
      <c r="G666" s="868"/>
      <c r="H666" s="868"/>
      <c r="I666" s="868"/>
      <c r="J666" s="868"/>
      <c r="BM666" s="1042"/>
      <c r="BO666" s="288"/>
    </row>
    <row r="667" customFormat="false" ht="18.75" hidden="false" customHeight="true" outlineLevel="0" collapsed="false">
      <c r="D667" s="868"/>
      <c r="E667" s="868"/>
      <c r="F667" s="868"/>
      <c r="G667" s="868"/>
      <c r="H667" s="868"/>
      <c r="I667" s="868"/>
      <c r="J667" s="868"/>
      <c r="BM667" s="1042"/>
      <c r="BO667" s="288"/>
    </row>
    <row r="668" customFormat="false" ht="18.75" hidden="false" customHeight="true" outlineLevel="0" collapsed="false">
      <c r="D668" s="868"/>
      <c r="E668" s="868"/>
      <c r="F668" s="868"/>
      <c r="G668" s="868"/>
      <c r="H668" s="868"/>
      <c r="I668" s="868"/>
      <c r="J668" s="868"/>
      <c r="BM668" s="1042"/>
      <c r="BO668" s="288"/>
    </row>
    <row r="669" customFormat="false" ht="18.75" hidden="false" customHeight="true" outlineLevel="0" collapsed="false">
      <c r="D669" s="868"/>
      <c r="E669" s="868"/>
      <c r="F669" s="868"/>
      <c r="G669" s="868"/>
      <c r="H669" s="868"/>
      <c r="I669" s="868"/>
      <c r="J669" s="868"/>
      <c r="BM669" s="1042"/>
      <c r="BO669" s="288"/>
    </row>
    <row r="670" customFormat="false" ht="18.75" hidden="false" customHeight="true" outlineLevel="0" collapsed="false">
      <c r="D670" s="868"/>
      <c r="E670" s="868"/>
      <c r="F670" s="868"/>
      <c r="G670" s="868"/>
      <c r="H670" s="868"/>
      <c r="I670" s="868"/>
      <c r="J670" s="868"/>
      <c r="BM670" s="1042"/>
      <c r="BO670" s="288"/>
    </row>
    <row r="671" customFormat="false" ht="18.75" hidden="false" customHeight="true" outlineLevel="0" collapsed="false">
      <c r="D671" s="868"/>
      <c r="E671" s="868"/>
      <c r="F671" s="868"/>
      <c r="G671" s="868"/>
      <c r="H671" s="868"/>
      <c r="I671" s="868"/>
      <c r="J671" s="868"/>
      <c r="BM671" s="1042"/>
      <c r="BO671" s="288"/>
    </row>
    <row r="672" customFormat="false" ht="18.75" hidden="false" customHeight="true" outlineLevel="0" collapsed="false">
      <c r="D672" s="868"/>
      <c r="E672" s="868"/>
      <c r="F672" s="868"/>
      <c r="G672" s="868"/>
      <c r="H672" s="868"/>
      <c r="I672" s="868"/>
      <c r="J672" s="868"/>
      <c r="BM672" s="1042"/>
      <c r="BO672" s="288"/>
    </row>
    <row r="673" customFormat="false" ht="18.75" hidden="false" customHeight="true" outlineLevel="0" collapsed="false">
      <c r="D673" s="868"/>
      <c r="E673" s="868"/>
      <c r="F673" s="868"/>
      <c r="G673" s="868"/>
      <c r="H673" s="868"/>
      <c r="I673" s="868"/>
      <c r="J673" s="868"/>
      <c r="BM673" s="1042"/>
      <c r="BO673" s="288"/>
    </row>
    <row r="674" customFormat="false" ht="18.75" hidden="false" customHeight="true" outlineLevel="0" collapsed="false">
      <c r="D674" s="868"/>
      <c r="E674" s="868"/>
      <c r="F674" s="868"/>
      <c r="G674" s="868"/>
      <c r="H674" s="868"/>
      <c r="I674" s="868"/>
      <c r="J674" s="868"/>
      <c r="BM674" s="1042"/>
      <c r="BO674" s="288"/>
    </row>
    <row r="675" customFormat="false" ht="18.75" hidden="false" customHeight="true" outlineLevel="0" collapsed="false">
      <c r="D675" s="868"/>
      <c r="E675" s="868"/>
      <c r="F675" s="868"/>
      <c r="G675" s="868"/>
      <c r="H675" s="868"/>
      <c r="I675" s="868"/>
      <c r="J675" s="868"/>
      <c r="BM675" s="1042"/>
      <c r="BO675" s="288"/>
    </row>
    <row r="676" customFormat="false" ht="18.75" hidden="false" customHeight="true" outlineLevel="0" collapsed="false">
      <c r="D676" s="868"/>
      <c r="E676" s="868"/>
      <c r="F676" s="868"/>
      <c r="G676" s="868"/>
      <c r="H676" s="868"/>
      <c r="I676" s="868"/>
      <c r="J676" s="868"/>
      <c r="BM676" s="1042"/>
      <c r="BO676" s="288"/>
    </row>
    <row r="677" customFormat="false" ht="18.75" hidden="false" customHeight="true" outlineLevel="0" collapsed="false">
      <c r="D677" s="868"/>
      <c r="E677" s="868"/>
      <c r="F677" s="868"/>
      <c r="G677" s="868"/>
      <c r="H677" s="868"/>
      <c r="I677" s="868"/>
      <c r="J677" s="868"/>
      <c r="BM677" s="1042"/>
      <c r="BO677" s="288"/>
    </row>
    <row r="678" customFormat="false" ht="18.75" hidden="false" customHeight="true" outlineLevel="0" collapsed="false">
      <c r="D678" s="868"/>
      <c r="E678" s="868"/>
      <c r="F678" s="868"/>
      <c r="G678" s="868"/>
      <c r="H678" s="868"/>
      <c r="I678" s="868"/>
      <c r="J678" s="868"/>
      <c r="BM678" s="1042"/>
      <c r="BO678" s="288"/>
    </row>
    <row r="679" customFormat="false" ht="18.75" hidden="false" customHeight="true" outlineLevel="0" collapsed="false">
      <c r="D679" s="868"/>
      <c r="E679" s="868"/>
      <c r="F679" s="868"/>
      <c r="G679" s="868"/>
      <c r="H679" s="868"/>
      <c r="I679" s="868"/>
      <c r="J679" s="868"/>
      <c r="BM679" s="1042"/>
      <c r="BO679" s="288"/>
    </row>
    <row r="680" customFormat="false" ht="18.75" hidden="false" customHeight="true" outlineLevel="0" collapsed="false">
      <c r="D680" s="868"/>
      <c r="E680" s="868"/>
      <c r="F680" s="868"/>
      <c r="G680" s="868"/>
      <c r="H680" s="868"/>
      <c r="I680" s="868"/>
      <c r="J680" s="868"/>
      <c r="BM680" s="1042"/>
      <c r="BO680" s="288"/>
    </row>
    <row r="681" customFormat="false" ht="18.75" hidden="false" customHeight="true" outlineLevel="0" collapsed="false">
      <c r="D681" s="868"/>
      <c r="E681" s="868"/>
      <c r="F681" s="868"/>
      <c r="G681" s="868"/>
      <c r="H681" s="868"/>
      <c r="I681" s="868"/>
      <c r="J681" s="868"/>
      <c r="BM681" s="1042"/>
      <c r="BO681" s="288"/>
    </row>
    <row r="682" customFormat="false" ht="18.75" hidden="false" customHeight="true" outlineLevel="0" collapsed="false">
      <c r="D682" s="868"/>
      <c r="E682" s="868"/>
      <c r="F682" s="868"/>
      <c r="G682" s="868"/>
      <c r="H682" s="868"/>
      <c r="I682" s="868"/>
      <c r="J682" s="868"/>
      <c r="BM682" s="1042"/>
      <c r="BO682" s="288"/>
    </row>
    <row r="683" customFormat="false" ht="18.75" hidden="false" customHeight="true" outlineLevel="0" collapsed="false">
      <c r="D683" s="868"/>
      <c r="E683" s="868"/>
      <c r="F683" s="868"/>
      <c r="G683" s="868"/>
      <c r="H683" s="868"/>
      <c r="I683" s="868"/>
      <c r="J683" s="868"/>
      <c r="BM683" s="1042"/>
      <c r="BO683" s="288"/>
    </row>
    <row r="684" customFormat="false" ht="18.75" hidden="false" customHeight="true" outlineLevel="0" collapsed="false">
      <c r="D684" s="868"/>
      <c r="E684" s="868"/>
      <c r="F684" s="868"/>
      <c r="G684" s="868"/>
      <c r="H684" s="868"/>
      <c r="I684" s="868"/>
      <c r="J684" s="868"/>
      <c r="BM684" s="1042"/>
      <c r="BO684" s="288"/>
    </row>
    <row r="685" customFormat="false" ht="18.75" hidden="false" customHeight="true" outlineLevel="0" collapsed="false">
      <c r="D685" s="868"/>
      <c r="E685" s="868"/>
      <c r="F685" s="868"/>
      <c r="G685" s="868"/>
      <c r="H685" s="868"/>
      <c r="I685" s="868"/>
      <c r="J685" s="868"/>
      <c r="BM685" s="1042"/>
      <c r="BO685" s="288"/>
    </row>
    <row r="686" customFormat="false" ht="18.75" hidden="false" customHeight="true" outlineLevel="0" collapsed="false">
      <c r="D686" s="868"/>
      <c r="E686" s="868"/>
      <c r="F686" s="868"/>
      <c r="G686" s="868"/>
      <c r="H686" s="868"/>
      <c r="I686" s="868"/>
      <c r="J686" s="868"/>
      <c r="BM686" s="1042"/>
      <c r="BO686" s="288"/>
    </row>
    <row r="687" customFormat="false" ht="18.75" hidden="false" customHeight="true" outlineLevel="0" collapsed="false">
      <c r="D687" s="868"/>
      <c r="E687" s="868"/>
      <c r="F687" s="868"/>
      <c r="G687" s="868"/>
      <c r="H687" s="868"/>
      <c r="I687" s="868"/>
      <c r="J687" s="868"/>
      <c r="BM687" s="1042"/>
      <c r="BO687" s="288"/>
    </row>
    <row r="688" customFormat="false" ht="18.75" hidden="false" customHeight="true" outlineLevel="0" collapsed="false">
      <c r="D688" s="868"/>
      <c r="E688" s="868"/>
      <c r="F688" s="868"/>
      <c r="G688" s="868"/>
      <c r="H688" s="868"/>
      <c r="I688" s="868"/>
      <c r="J688" s="868"/>
      <c r="BM688" s="1042"/>
      <c r="BO688" s="288"/>
    </row>
    <row r="689" customFormat="false" ht="18.75" hidden="false" customHeight="true" outlineLevel="0" collapsed="false">
      <c r="D689" s="868"/>
      <c r="E689" s="868"/>
      <c r="F689" s="868"/>
      <c r="G689" s="868"/>
      <c r="H689" s="868"/>
      <c r="I689" s="868"/>
      <c r="J689" s="868"/>
      <c r="BM689" s="1042"/>
      <c r="BO689" s="288"/>
    </row>
    <row r="690" customFormat="false" ht="18.75" hidden="false" customHeight="true" outlineLevel="0" collapsed="false">
      <c r="D690" s="868"/>
      <c r="E690" s="868"/>
      <c r="F690" s="868"/>
      <c r="G690" s="868"/>
      <c r="H690" s="868"/>
      <c r="I690" s="868"/>
      <c r="J690" s="868"/>
      <c r="BM690" s="1042"/>
      <c r="BO690" s="288"/>
    </row>
    <row r="691" customFormat="false" ht="18.75" hidden="false" customHeight="true" outlineLevel="0" collapsed="false">
      <c r="D691" s="868"/>
      <c r="E691" s="868"/>
      <c r="F691" s="868"/>
      <c r="G691" s="868"/>
      <c r="H691" s="868"/>
      <c r="I691" s="868"/>
      <c r="J691" s="868"/>
      <c r="BM691" s="1042"/>
      <c r="BO691" s="288"/>
    </row>
    <row r="692" customFormat="false" ht="18.75" hidden="false" customHeight="true" outlineLevel="0" collapsed="false">
      <c r="D692" s="868"/>
      <c r="E692" s="868"/>
      <c r="F692" s="868"/>
      <c r="G692" s="868"/>
      <c r="H692" s="868"/>
      <c r="I692" s="868"/>
      <c r="J692" s="868"/>
      <c r="BM692" s="1042"/>
      <c r="BO692" s="288"/>
    </row>
    <row r="693" customFormat="false" ht="18.75" hidden="false" customHeight="true" outlineLevel="0" collapsed="false">
      <c r="D693" s="868"/>
      <c r="E693" s="868"/>
      <c r="F693" s="868"/>
      <c r="G693" s="868"/>
      <c r="H693" s="868"/>
      <c r="I693" s="868"/>
      <c r="J693" s="868"/>
      <c r="BM693" s="1042"/>
      <c r="BO693" s="288"/>
    </row>
    <row r="694" customFormat="false" ht="18.75" hidden="false" customHeight="true" outlineLevel="0" collapsed="false">
      <c r="D694" s="868"/>
      <c r="E694" s="868"/>
      <c r="F694" s="868"/>
      <c r="G694" s="868"/>
      <c r="H694" s="868"/>
      <c r="I694" s="868"/>
      <c r="J694" s="868"/>
      <c r="BM694" s="1042"/>
      <c r="BO694" s="288"/>
    </row>
    <row r="695" customFormat="false" ht="18.75" hidden="false" customHeight="true" outlineLevel="0" collapsed="false">
      <c r="D695" s="868"/>
      <c r="E695" s="868"/>
      <c r="F695" s="868"/>
      <c r="G695" s="868"/>
      <c r="H695" s="868"/>
      <c r="I695" s="868"/>
      <c r="J695" s="868"/>
      <c r="BM695" s="1042"/>
      <c r="BO695" s="288"/>
    </row>
    <row r="696" customFormat="false" ht="18.75" hidden="false" customHeight="true" outlineLevel="0" collapsed="false">
      <c r="D696" s="868"/>
      <c r="E696" s="868"/>
      <c r="F696" s="868"/>
      <c r="G696" s="868"/>
      <c r="H696" s="868"/>
      <c r="I696" s="868"/>
      <c r="J696" s="868"/>
      <c r="BM696" s="1042"/>
      <c r="BO696" s="288"/>
    </row>
    <row r="697" customFormat="false" ht="18.75" hidden="false" customHeight="true" outlineLevel="0" collapsed="false">
      <c r="D697" s="868"/>
      <c r="E697" s="868"/>
      <c r="F697" s="868"/>
      <c r="G697" s="868"/>
      <c r="H697" s="868"/>
      <c r="I697" s="868"/>
      <c r="J697" s="868"/>
      <c r="BM697" s="1042"/>
      <c r="BO697" s="288"/>
    </row>
    <row r="698" customFormat="false" ht="18.75" hidden="false" customHeight="true" outlineLevel="0" collapsed="false">
      <c r="D698" s="868"/>
      <c r="E698" s="868"/>
      <c r="F698" s="868"/>
      <c r="G698" s="868"/>
      <c r="H698" s="868"/>
      <c r="I698" s="868"/>
      <c r="J698" s="868"/>
      <c r="BM698" s="1042"/>
      <c r="BO698" s="288"/>
    </row>
    <row r="699" customFormat="false" ht="18.75" hidden="false" customHeight="true" outlineLevel="0" collapsed="false">
      <c r="D699" s="868"/>
      <c r="E699" s="868"/>
      <c r="F699" s="868"/>
      <c r="G699" s="868"/>
      <c r="H699" s="868"/>
      <c r="I699" s="868"/>
      <c r="J699" s="868"/>
      <c r="BM699" s="1042"/>
      <c r="BO699" s="288"/>
    </row>
    <row r="700" customFormat="false" ht="18.75" hidden="false" customHeight="true" outlineLevel="0" collapsed="false">
      <c r="D700" s="868"/>
      <c r="E700" s="868"/>
      <c r="F700" s="868"/>
      <c r="G700" s="868"/>
      <c r="H700" s="868"/>
      <c r="I700" s="868"/>
      <c r="J700" s="868"/>
      <c r="BM700" s="1042"/>
      <c r="BO700" s="288"/>
    </row>
    <row r="701" customFormat="false" ht="18.75" hidden="false" customHeight="true" outlineLevel="0" collapsed="false">
      <c r="D701" s="868"/>
      <c r="E701" s="868"/>
      <c r="F701" s="868"/>
      <c r="G701" s="868"/>
      <c r="H701" s="868"/>
      <c r="I701" s="868"/>
      <c r="J701" s="868"/>
      <c r="BM701" s="1042"/>
      <c r="BO701" s="288"/>
    </row>
    <row r="702" customFormat="false" ht="18.75" hidden="false" customHeight="true" outlineLevel="0" collapsed="false">
      <c r="D702" s="868"/>
      <c r="E702" s="868"/>
      <c r="F702" s="868"/>
      <c r="G702" s="868"/>
      <c r="H702" s="868"/>
      <c r="I702" s="868"/>
      <c r="J702" s="868"/>
      <c r="BM702" s="1042"/>
      <c r="BO702" s="288"/>
    </row>
    <row r="703" customFormat="false" ht="18.75" hidden="false" customHeight="true" outlineLevel="0" collapsed="false">
      <c r="D703" s="868"/>
      <c r="E703" s="868"/>
      <c r="F703" s="868"/>
      <c r="G703" s="868"/>
      <c r="H703" s="868"/>
      <c r="I703" s="868"/>
      <c r="J703" s="868"/>
      <c r="BM703" s="1042"/>
      <c r="BO703" s="288"/>
    </row>
    <row r="704" customFormat="false" ht="18.75" hidden="false" customHeight="true" outlineLevel="0" collapsed="false">
      <c r="D704" s="868"/>
      <c r="E704" s="868"/>
      <c r="F704" s="868"/>
      <c r="G704" s="868"/>
      <c r="H704" s="868"/>
      <c r="I704" s="868"/>
      <c r="J704" s="868"/>
      <c r="BM704" s="1042"/>
      <c r="BO704" s="288"/>
    </row>
    <row r="705" customFormat="false" ht="18.75" hidden="false" customHeight="true" outlineLevel="0" collapsed="false">
      <c r="D705" s="868"/>
      <c r="E705" s="868"/>
      <c r="F705" s="868"/>
      <c r="G705" s="868"/>
      <c r="H705" s="868"/>
      <c r="I705" s="868"/>
      <c r="J705" s="868"/>
      <c r="BM705" s="1042"/>
      <c r="BO705" s="288"/>
    </row>
    <row r="706" customFormat="false" ht="18.75" hidden="false" customHeight="true" outlineLevel="0" collapsed="false">
      <c r="D706" s="868"/>
      <c r="E706" s="868"/>
      <c r="F706" s="868"/>
      <c r="G706" s="868"/>
      <c r="H706" s="868"/>
      <c r="I706" s="868"/>
      <c r="J706" s="868"/>
      <c r="BM706" s="1042"/>
      <c r="BO706" s="288"/>
    </row>
    <row r="707" customFormat="false" ht="18.75" hidden="false" customHeight="true" outlineLevel="0" collapsed="false">
      <c r="D707" s="868"/>
      <c r="E707" s="868"/>
      <c r="F707" s="868"/>
      <c r="G707" s="868"/>
      <c r="H707" s="868"/>
      <c r="I707" s="868"/>
      <c r="J707" s="868"/>
      <c r="BM707" s="1042"/>
      <c r="BO707" s="288"/>
    </row>
    <row r="708" customFormat="false" ht="18.75" hidden="false" customHeight="true" outlineLevel="0" collapsed="false">
      <c r="D708" s="868"/>
      <c r="E708" s="868"/>
      <c r="F708" s="868"/>
      <c r="G708" s="868"/>
      <c r="H708" s="868"/>
      <c r="I708" s="868"/>
      <c r="J708" s="868"/>
      <c r="BM708" s="1042"/>
      <c r="BO708" s="288"/>
    </row>
    <row r="709" customFormat="false" ht="18.75" hidden="false" customHeight="true" outlineLevel="0" collapsed="false">
      <c r="D709" s="868"/>
      <c r="E709" s="868"/>
      <c r="F709" s="868"/>
      <c r="G709" s="868"/>
      <c r="H709" s="868"/>
      <c r="I709" s="868"/>
      <c r="J709" s="868"/>
      <c r="BM709" s="1042"/>
      <c r="BO709" s="288"/>
    </row>
    <row r="710" customFormat="false" ht="18.75" hidden="false" customHeight="true" outlineLevel="0" collapsed="false">
      <c r="D710" s="868"/>
      <c r="E710" s="868"/>
      <c r="F710" s="868"/>
      <c r="G710" s="868"/>
      <c r="H710" s="868"/>
      <c r="I710" s="868"/>
      <c r="J710" s="868"/>
      <c r="BM710" s="1042"/>
      <c r="BO710" s="288"/>
    </row>
    <row r="711" customFormat="false" ht="18.75" hidden="false" customHeight="true" outlineLevel="0" collapsed="false">
      <c r="D711" s="868"/>
      <c r="E711" s="868"/>
      <c r="F711" s="868"/>
      <c r="G711" s="868"/>
      <c r="H711" s="868"/>
      <c r="I711" s="868"/>
      <c r="J711" s="868"/>
      <c r="BM711" s="1042"/>
      <c r="BO711" s="288"/>
    </row>
    <row r="712" customFormat="false" ht="18.75" hidden="false" customHeight="true" outlineLevel="0" collapsed="false">
      <c r="D712" s="868"/>
      <c r="E712" s="868"/>
      <c r="F712" s="868"/>
      <c r="G712" s="868"/>
      <c r="H712" s="868"/>
      <c r="I712" s="868"/>
      <c r="J712" s="868"/>
      <c r="BM712" s="1042"/>
      <c r="BO712" s="288"/>
    </row>
    <row r="713" customFormat="false" ht="18.75" hidden="false" customHeight="true" outlineLevel="0" collapsed="false">
      <c r="D713" s="868"/>
      <c r="E713" s="868"/>
      <c r="F713" s="868"/>
      <c r="G713" s="868"/>
      <c r="H713" s="868"/>
      <c r="I713" s="868"/>
      <c r="J713" s="868"/>
      <c r="BM713" s="1042"/>
      <c r="BO713" s="288"/>
    </row>
    <row r="714" customFormat="false" ht="18.75" hidden="false" customHeight="true" outlineLevel="0" collapsed="false">
      <c r="D714" s="868"/>
      <c r="E714" s="868"/>
      <c r="F714" s="868"/>
      <c r="G714" s="868"/>
      <c r="H714" s="868"/>
      <c r="I714" s="868"/>
      <c r="J714" s="868"/>
      <c r="BM714" s="1042"/>
      <c r="BO714" s="288"/>
    </row>
    <row r="715" customFormat="false" ht="18.75" hidden="false" customHeight="true" outlineLevel="0" collapsed="false">
      <c r="D715" s="868"/>
      <c r="E715" s="868"/>
      <c r="F715" s="868"/>
      <c r="G715" s="868"/>
      <c r="H715" s="868"/>
      <c r="I715" s="868"/>
      <c r="J715" s="868"/>
      <c r="BM715" s="1042"/>
      <c r="BO715" s="288"/>
    </row>
    <row r="716" customFormat="false" ht="18.75" hidden="false" customHeight="true" outlineLevel="0" collapsed="false">
      <c r="D716" s="868"/>
      <c r="E716" s="868"/>
      <c r="F716" s="868"/>
      <c r="G716" s="868"/>
      <c r="H716" s="868"/>
      <c r="I716" s="868"/>
      <c r="J716" s="868"/>
      <c r="BM716" s="1042"/>
      <c r="BO716" s="288"/>
    </row>
    <row r="717" customFormat="false" ht="18.75" hidden="false" customHeight="true" outlineLevel="0" collapsed="false">
      <c r="D717" s="868"/>
      <c r="E717" s="868"/>
      <c r="F717" s="868"/>
      <c r="G717" s="868"/>
      <c r="H717" s="868"/>
      <c r="I717" s="868"/>
      <c r="J717" s="868"/>
      <c r="BM717" s="1042"/>
      <c r="BO717" s="288"/>
    </row>
    <row r="718" customFormat="false" ht="18.75" hidden="false" customHeight="true" outlineLevel="0" collapsed="false">
      <c r="D718" s="868"/>
      <c r="E718" s="868"/>
      <c r="F718" s="868"/>
      <c r="G718" s="868"/>
      <c r="H718" s="868"/>
      <c r="I718" s="868"/>
      <c r="J718" s="868"/>
      <c r="BM718" s="1042"/>
      <c r="BO718" s="288"/>
    </row>
    <row r="719" customFormat="false" ht="18.75" hidden="false" customHeight="true" outlineLevel="0" collapsed="false">
      <c r="D719" s="868"/>
      <c r="E719" s="868"/>
      <c r="F719" s="868"/>
      <c r="G719" s="868"/>
      <c r="H719" s="868"/>
      <c r="I719" s="868"/>
      <c r="J719" s="868"/>
      <c r="BM719" s="1042"/>
      <c r="BO719" s="288"/>
    </row>
    <row r="720" customFormat="false" ht="18.75" hidden="false" customHeight="true" outlineLevel="0" collapsed="false">
      <c r="D720" s="868"/>
      <c r="E720" s="868"/>
      <c r="F720" s="868"/>
      <c r="G720" s="868"/>
      <c r="H720" s="868"/>
      <c r="I720" s="868"/>
      <c r="J720" s="868"/>
      <c r="BM720" s="1042"/>
      <c r="BO720" s="288"/>
    </row>
    <row r="721" customFormat="false" ht="18.75" hidden="false" customHeight="true" outlineLevel="0" collapsed="false">
      <c r="D721" s="868"/>
      <c r="E721" s="868"/>
      <c r="F721" s="868"/>
      <c r="G721" s="868"/>
      <c r="H721" s="868"/>
      <c r="I721" s="868"/>
      <c r="J721" s="868"/>
      <c r="BM721" s="1042"/>
      <c r="BO721" s="288"/>
    </row>
    <row r="722" customFormat="false" ht="18.75" hidden="false" customHeight="true" outlineLevel="0" collapsed="false">
      <c r="D722" s="868"/>
      <c r="E722" s="868"/>
      <c r="F722" s="868"/>
      <c r="G722" s="868"/>
      <c r="H722" s="868"/>
      <c r="I722" s="868"/>
      <c r="J722" s="868"/>
      <c r="BM722" s="1042"/>
      <c r="BO722" s="288"/>
    </row>
    <row r="723" customFormat="false" ht="18.75" hidden="false" customHeight="true" outlineLevel="0" collapsed="false">
      <c r="D723" s="868"/>
      <c r="E723" s="868"/>
      <c r="F723" s="868"/>
      <c r="G723" s="868"/>
      <c r="H723" s="868"/>
      <c r="I723" s="868"/>
      <c r="J723" s="868"/>
      <c r="BM723" s="1042"/>
      <c r="BO723" s="288"/>
    </row>
    <row r="724" customFormat="false" ht="18.75" hidden="false" customHeight="true" outlineLevel="0" collapsed="false">
      <c r="D724" s="868"/>
      <c r="E724" s="868"/>
      <c r="F724" s="868"/>
      <c r="G724" s="868"/>
      <c r="H724" s="868"/>
      <c r="I724" s="868"/>
      <c r="J724" s="868"/>
      <c r="BM724" s="1042"/>
      <c r="BO724" s="288"/>
    </row>
    <row r="725" customFormat="false" ht="18.75" hidden="false" customHeight="true" outlineLevel="0" collapsed="false">
      <c r="D725" s="868"/>
      <c r="E725" s="868"/>
      <c r="F725" s="868"/>
      <c r="G725" s="868"/>
      <c r="H725" s="868"/>
      <c r="I725" s="868"/>
      <c r="J725" s="868"/>
      <c r="BM725" s="1042"/>
      <c r="BO725" s="288"/>
    </row>
    <row r="726" customFormat="false" ht="18.75" hidden="false" customHeight="true" outlineLevel="0" collapsed="false">
      <c r="D726" s="868"/>
      <c r="E726" s="868"/>
      <c r="F726" s="868"/>
      <c r="G726" s="868"/>
      <c r="H726" s="868"/>
      <c r="I726" s="868"/>
      <c r="J726" s="868"/>
      <c r="BM726" s="1042"/>
      <c r="BO726" s="288"/>
    </row>
    <row r="727" customFormat="false" ht="18.75" hidden="false" customHeight="true" outlineLevel="0" collapsed="false">
      <c r="D727" s="868"/>
      <c r="E727" s="868"/>
      <c r="F727" s="868"/>
      <c r="G727" s="868"/>
      <c r="H727" s="868"/>
      <c r="I727" s="868"/>
      <c r="J727" s="868"/>
      <c r="BM727" s="1042"/>
      <c r="BO727" s="288"/>
    </row>
    <row r="728" customFormat="false" ht="18.75" hidden="false" customHeight="true" outlineLevel="0" collapsed="false">
      <c r="D728" s="868"/>
      <c r="E728" s="868"/>
      <c r="F728" s="868"/>
      <c r="G728" s="868"/>
      <c r="H728" s="868"/>
      <c r="I728" s="868"/>
      <c r="J728" s="868"/>
      <c r="BM728" s="1042"/>
      <c r="BO728" s="288"/>
    </row>
    <row r="729" customFormat="false" ht="18.75" hidden="false" customHeight="true" outlineLevel="0" collapsed="false">
      <c r="D729" s="868"/>
      <c r="E729" s="868"/>
      <c r="F729" s="868"/>
      <c r="G729" s="868"/>
      <c r="H729" s="868"/>
      <c r="I729" s="868"/>
      <c r="J729" s="868"/>
      <c r="BM729" s="1042"/>
      <c r="BO729" s="288"/>
    </row>
    <row r="730" customFormat="false" ht="18.75" hidden="false" customHeight="true" outlineLevel="0" collapsed="false">
      <c r="D730" s="868"/>
      <c r="E730" s="868"/>
      <c r="F730" s="868"/>
      <c r="G730" s="868"/>
      <c r="H730" s="868"/>
      <c r="I730" s="868"/>
      <c r="J730" s="868"/>
      <c r="BM730" s="1042"/>
      <c r="BO730" s="288"/>
    </row>
    <row r="731" customFormat="false" ht="18.75" hidden="false" customHeight="true" outlineLevel="0" collapsed="false">
      <c r="D731" s="868"/>
      <c r="E731" s="868"/>
      <c r="F731" s="868"/>
      <c r="G731" s="868"/>
      <c r="H731" s="868"/>
      <c r="I731" s="868"/>
      <c r="J731" s="868"/>
      <c r="BM731" s="1042"/>
      <c r="BO731" s="288"/>
    </row>
    <row r="732" customFormat="false" ht="18.75" hidden="false" customHeight="true" outlineLevel="0" collapsed="false">
      <c r="D732" s="868"/>
      <c r="E732" s="868"/>
      <c r="F732" s="868"/>
      <c r="G732" s="868"/>
      <c r="H732" s="868"/>
      <c r="I732" s="868"/>
      <c r="J732" s="868"/>
      <c r="BM732" s="1042"/>
      <c r="BO732" s="288"/>
    </row>
    <row r="733" customFormat="false" ht="18.75" hidden="false" customHeight="true" outlineLevel="0" collapsed="false">
      <c r="D733" s="868"/>
      <c r="E733" s="868"/>
      <c r="F733" s="868"/>
      <c r="G733" s="868"/>
      <c r="H733" s="868"/>
      <c r="I733" s="868"/>
      <c r="J733" s="868"/>
      <c r="BM733" s="1042"/>
      <c r="BO733" s="288"/>
    </row>
    <row r="734" customFormat="false" ht="18.75" hidden="false" customHeight="true" outlineLevel="0" collapsed="false">
      <c r="D734" s="868"/>
      <c r="E734" s="868"/>
      <c r="F734" s="868"/>
      <c r="G734" s="868"/>
      <c r="H734" s="868"/>
      <c r="I734" s="868"/>
      <c r="J734" s="868"/>
      <c r="BM734" s="1042"/>
      <c r="BO734" s="288"/>
    </row>
    <row r="735" customFormat="false" ht="18.75" hidden="false" customHeight="true" outlineLevel="0" collapsed="false">
      <c r="D735" s="868"/>
      <c r="E735" s="868"/>
      <c r="F735" s="868"/>
      <c r="G735" s="868"/>
      <c r="H735" s="868"/>
      <c r="I735" s="868"/>
      <c r="J735" s="868"/>
      <c r="BM735" s="1042"/>
      <c r="BO735" s="288"/>
    </row>
    <row r="736" customFormat="false" ht="18.75" hidden="false" customHeight="true" outlineLevel="0" collapsed="false">
      <c r="D736" s="868"/>
      <c r="E736" s="868"/>
      <c r="F736" s="868"/>
      <c r="G736" s="868"/>
      <c r="H736" s="868"/>
      <c r="I736" s="868"/>
      <c r="J736" s="868"/>
      <c r="BM736" s="1042"/>
      <c r="BO736" s="288"/>
    </row>
    <row r="737" customFormat="false" ht="18.75" hidden="false" customHeight="true" outlineLevel="0" collapsed="false">
      <c r="D737" s="868"/>
      <c r="E737" s="868"/>
      <c r="F737" s="868"/>
      <c r="G737" s="868"/>
      <c r="H737" s="868"/>
      <c r="I737" s="868"/>
      <c r="J737" s="868"/>
      <c r="BM737" s="1042"/>
      <c r="BO737" s="288"/>
    </row>
    <row r="738" customFormat="false" ht="18.75" hidden="false" customHeight="true" outlineLevel="0" collapsed="false">
      <c r="D738" s="868"/>
      <c r="E738" s="868"/>
      <c r="F738" s="868"/>
      <c r="G738" s="868"/>
      <c r="H738" s="868"/>
      <c r="I738" s="868"/>
      <c r="J738" s="868"/>
      <c r="BM738" s="1042"/>
      <c r="BO738" s="288"/>
    </row>
    <row r="739" customFormat="false" ht="18.75" hidden="false" customHeight="true" outlineLevel="0" collapsed="false">
      <c r="D739" s="868"/>
      <c r="E739" s="868"/>
      <c r="F739" s="868"/>
      <c r="G739" s="868"/>
      <c r="H739" s="868"/>
      <c r="I739" s="868"/>
      <c r="J739" s="868"/>
      <c r="BM739" s="1042"/>
      <c r="BO739" s="288"/>
    </row>
    <row r="740" customFormat="false" ht="18.75" hidden="false" customHeight="true" outlineLevel="0" collapsed="false">
      <c r="D740" s="868"/>
      <c r="E740" s="868"/>
      <c r="F740" s="868"/>
      <c r="G740" s="868"/>
      <c r="H740" s="868"/>
      <c r="I740" s="868"/>
      <c r="J740" s="868"/>
      <c r="BM740" s="1042"/>
      <c r="BO740" s="288"/>
    </row>
    <row r="741" customFormat="false" ht="18.75" hidden="false" customHeight="true" outlineLevel="0" collapsed="false">
      <c r="D741" s="868"/>
      <c r="E741" s="868"/>
      <c r="F741" s="868"/>
      <c r="G741" s="868"/>
      <c r="H741" s="868"/>
      <c r="I741" s="868"/>
      <c r="J741" s="868"/>
      <c r="BM741" s="1042"/>
      <c r="BO741" s="288"/>
    </row>
    <row r="742" customFormat="false" ht="18.75" hidden="false" customHeight="true" outlineLevel="0" collapsed="false">
      <c r="D742" s="868"/>
      <c r="E742" s="868"/>
      <c r="F742" s="868"/>
      <c r="G742" s="868"/>
      <c r="H742" s="868"/>
      <c r="I742" s="868"/>
      <c r="J742" s="868"/>
      <c r="BM742" s="1042"/>
      <c r="BO742" s="288"/>
    </row>
    <row r="743" customFormat="false" ht="18.75" hidden="false" customHeight="true" outlineLevel="0" collapsed="false">
      <c r="D743" s="868"/>
      <c r="E743" s="868"/>
      <c r="F743" s="868"/>
      <c r="G743" s="868"/>
      <c r="H743" s="868"/>
      <c r="I743" s="868"/>
      <c r="J743" s="868"/>
      <c r="BM743" s="1042"/>
      <c r="BO743" s="288"/>
    </row>
    <row r="744" customFormat="false" ht="18.75" hidden="false" customHeight="true" outlineLevel="0" collapsed="false">
      <c r="D744" s="868"/>
      <c r="E744" s="868"/>
      <c r="F744" s="868"/>
      <c r="G744" s="868"/>
      <c r="H744" s="868"/>
      <c r="I744" s="868"/>
      <c r="J744" s="868"/>
      <c r="BM744" s="1042"/>
      <c r="BO744" s="288"/>
    </row>
    <row r="745" customFormat="false" ht="18.75" hidden="false" customHeight="true" outlineLevel="0" collapsed="false">
      <c r="D745" s="868"/>
      <c r="E745" s="868"/>
      <c r="F745" s="868"/>
      <c r="G745" s="868"/>
      <c r="H745" s="868"/>
      <c r="I745" s="868"/>
      <c r="J745" s="868"/>
      <c r="BM745" s="1042"/>
      <c r="BO745" s="288"/>
    </row>
    <row r="746" customFormat="false" ht="18.75" hidden="false" customHeight="true" outlineLevel="0" collapsed="false">
      <c r="D746" s="868"/>
      <c r="E746" s="868"/>
      <c r="F746" s="868"/>
      <c r="G746" s="868"/>
      <c r="H746" s="868"/>
      <c r="I746" s="868"/>
      <c r="J746" s="868"/>
      <c r="BM746" s="1042"/>
      <c r="BO746" s="288"/>
    </row>
    <row r="747" customFormat="false" ht="18.75" hidden="false" customHeight="true" outlineLevel="0" collapsed="false">
      <c r="D747" s="868"/>
      <c r="E747" s="868"/>
      <c r="F747" s="868"/>
      <c r="G747" s="868"/>
      <c r="H747" s="868"/>
      <c r="I747" s="868"/>
      <c r="J747" s="868"/>
      <c r="BM747" s="1042"/>
      <c r="BO747" s="288"/>
    </row>
    <row r="748" customFormat="false" ht="18.75" hidden="false" customHeight="true" outlineLevel="0" collapsed="false">
      <c r="D748" s="868"/>
      <c r="E748" s="868"/>
      <c r="F748" s="868"/>
      <c r="G748" s="868"/>
      <c r="H748" s="868"/>
      <c r="I748" s="868"/>
      <c r="J748" s="868"/>
      <c r="BM748" s="1042"/>
      <c r="BO748" s="288"/>
    </row>
    <row r="749" customFormat="false" ht="18.75" hidden="false" customHeight="true" outlineLevel="0" collapsed="false">
      <c r="D749" s="868"/>
      <c r="E749" s="868"/>
      <c r="F749" s="868"/>
      <c r="G749" s="868"/>
      <c r="H749" s="868"/>
      <c r="I749" s="868"/>
      <c r="J749" s="868"/>
      <c r="BM749" s="1042"/>
      <c r="BO749" s="288"/>
    </row>
    <row r="750" customFormat="false" ht="18.75" hidden="false" customHeight="true" outlineLevel="0" collapsed="false">
      <c r="D750" s="868"/>
      <c r="E750" s="868"/>
      <c r="F750" s="868"/>
      <c r="G750" s="868"/>
      <c r="H750" s="868"/>
      <c r="I750" s="868"/>
      <c r="J750" s="868"/>
      <c r="BM750" s="1042"/>
      <c r="BO750" s="288"/>
    </row>
    <row r="751" customFormat="false" ht="18.75" hidden="false" customHeight="true" outlineLevel="0" collapsed="false">
      <c r="D751" s="868"/>
      <c r="E751" s="868"/>
      <c r="F751" s="868"/>
      <c r="G751" s="868"/>
      <c r="H751" s="868"/>
      <c r="I751" s="868"/>
      <c r="J751" s="868"/>
      <c r="BM751" s="1042"/>
      <c r="BO751" s="288"/>
    </row>
    <row r="752" customFormat="false" ht="18.75" hidden="false" customHeight="true" outlineLevel="0" collapsed="false">
      <c r="D752" s="868"/>
      <c r="E752" s="868"/>
      <c r="F752" s="868"/>
      <c r="G752" s="868"/>
      <c r="H752" s="868"/>
      <c r="I752" s="868"/>
      <c r="J752" s="868"/>
      <c r="BM752" s="1042"/>
      <c r="BO752" s="288"/>
    </row>
    <row r="753" customFormat="false" ht="18.75" hidden="false" customHeight="true" outlineLevel="0" collapsed="false">
      <c r="D753" s="868"/>
      <c r="E753" s="868"/>
      <c r="F753" s="868"/>
      <c r="G753" s="868"/>
      <c r="H753" s="868"/>
      <c r="I753" s="868"/>
      <c r="J753" s="868"/>
      <c r="BM753" s="1042"/>
      <c r="BO753" s="288"/>
    </row>
    <row r="754" customFormat="false" ht="18.75" hidden="false" customHeight="true" outlineLevel="0" collapsed="false">
      <c r="D754" s="868"/>
      <c r="E754" s="868"/>
      <c r="F754" s="868"/>
      <c r="G754" s="868"/>
      <c r="H754" s="868"/>
      <c r="I754" s="868"/>
      <c r="J754" s="868"/>
      <c r="BM754" s="1042"/>
      <c r="BO754" s="288"/>
    </row>
    <row r="755" customFormat="false" ht="18.75" hidden="false" customHeight="true" outlineLevel="0" collapsed="false">
      <c r="D755" s="868"/>
      <c r="E755" s="868"/>
      <c r="F755" s="868"/>
      <c r="G755" s="868"/>
      <c r="H755" s="868"/>
      <c r="I755" s="868"/>
      <c r="J755" s="868"/>
      <c r="BM755" s="1042"/>
      <c r="BO755" s="288"/>
    </row>
    <row r="756" customFormat="false" ht="18.75" hidden="false" customHeight="true" outlineLevel="0" collapsed="false">
      <c r="D756" s="868"/>
      <c r="E756" s="868"/>
      <c r="F756" s="868"/>
      <c r="G756" s="868"/>
      <c r="H756" s="868"/>
      <c r="I756" s="868"/>
      <c r="J756" s="868"/>
      <c r="BM756" s="1042"/>
      <c r="BO756" s="288"/>
    </row>
    <row r="757" customFormat="false" ht="18.75" hidden="false" customHeight="true" outlineLevel="0" collapsed="false">
      <c r="D757" s="868"/>
      <c r="E757" s="868"/>
      <c r="F757" s="868"/>
      <c r="G757" s="868"/>
      <c r="H757" s="868"/>
      <c r="I757" s="868"/>
      <c r="J757" s="868"/>
      <c r="BM757" s="1042"/>
      <c r="BO757" s="288"/>
    </row>
    <row r="758" customFormat="false" ht="18.75" hidden="false" customHeight="true" outlineLevel="0" collapsed="false">
      <c r="D758" s="868"/>
      <c r="E758" s="868"/>
      <c r="F758" s="868"/>
      <c r="G758" s="868"/>
      <c r="H758" s="868"/>
      <c r="I758" s="868"/>
      <c r="J758" s="868"/>
      <c r="BM758" s="1042"/>
      <c r="BO758" s="288"/>
    </row>
    <row r="759" customFormat="false" ht="18.75" hidden="false" customHeight="true" outlineLevel="0" collapsed="false">
      <c r="D759" s="868"/>
      <c r="E759" s="868"/>
      <c r="F759" s="868"/>
      <c r="G759" s="868"/>
      <c r="H759" s="868"/>
      <c r="I759" s="868"/>
      <c r="J759" s="868"/>
      <c r="BM759" s="1042"/>
      <c r="BO759" s="288"/>
    </row>
    <row r="760" customFormat="false" ht="18.75" hidden="false" customHeight="true" outlineLevel="0" collapsed="false">
      <c r="D760" s="868"/>
      <c r="E760" s="868"/>
      <c r="F760" s="868"/>
      <c r="G760" s="868"/>
      <c r="H760" s="868"/>
      <c r="I760" s="868"/>
      <c r="J760" s="868"/>
      <c r="BM760" s="1042"/>
      <c r="BO760" s="288"/>
    </row>
    <row r="761" customFormat="false" ht="18.75" hidden="false" customHeight="true" outlineLevel="0" collapsed="false">
      <c r="D761" s="868"/>
      <c r="E761" s="868"/>
      <c r="F761" s="868"/>
      <c r="G761" s="868"/>
      <c r="H761" s="868"/>
      <c r="I761" s="868"/>
      <c r="J761" s="868"/>
      <c r="BM761" s="1042"/>
      <c r="BO761" s="288"/>
    </row>
    <row r="762" customFormat="false" ht="18.75" hidden="false" customHeight="true" outlineLevel="0" collapsed="false">
      <c r="D762" s="868"/>
      <c r="E762" s="868"/>
      <c r="F762" s="868"/>
      <c r="G762" s="868"/>
      <c r="H762" s="868"/>
      <c r="I762" s="868"/>
      <c r="J762" s="868"/>
      <c r="BM762" s="1042"/>
      <c r="BO762" s="288"/>
    </row>
    <row r="763" customFormat="false" ht="18.75" hidden="false" customHeight="true" outlineLevel="0" collapsed="false">
      <c r="D763" s="868"/>
      <c r="E763" s="868"/>
      <c r="F763" s="868"/>
      <c r="G763" s="868"/>
      <c r="H763" s="868"/>
      <c r="I763" s="868"/>
      <c r="J763" s="868"/>
      <c r="BM763" s="1042"/>
      <c r="BO763" s="288"/>
    </row>
    <row r="764" customFormat="false" ht="18.75" hidden="false" customHeight="true" outlineLevel="0" collapsed="false">
      <c r="D764" s="868"/>
      <c r="E764" s="868"/>
      <c r="F764" s="868"/>
      <c r="G764" s="868"/>
      <c r="H764" s="868"/>
      <c r="I764" s="868"/>
      <c r="J764" s="868"/>
      <c r="BM764" s="1042"/>
      <c r="BO764" s="288"/>
    </row>
    <row r="765" customFormat="false" ht="18.75" hidden="false" customHeight="true" outlineLevel="0" collapsed="false">
      <c r="D765" s="868"/>
      <c r="E765" s="868"/>
      <c r="F765" s="868"/>
      <c r="G765" s="868"/>
      <c r="H765" s="868"/>
      <c r="I765" s="868"/>
      <c r="J765" s="868"/>
      <c r="BM765" s="1042"/>
      <c r="BO765" s="288"/>
    </row>
    <row r="766" customFormat="false" ht="18.75" hidden="false" customHeight="true" outlineLevel="0" collapsed="false">
      <c r="D766" s="868"/>
      <c r="E766" s="868"/>
      <c r="F766" s="868"/>
      <c r="G766" s="868"/>
      <c r="H766" s="868"/>
      <c r="I766" s="868"/>
      <c r="J766" s="868"/>
      <c r="BM766" s="1042"/>
      <c r="BO766" s="288"/>
    </row>
    <row r="767" customFormat="false" ht="18.75" hidden="false" customHeight="true" outlineLevel="0" collapsed="false">
      <c r="D767" s="868"/>
      <c r="E767" s="868"/>
      <c r="F767" s="868"/>
      <c r="G767" s="868"/>
      <c r="H767" s="868"/>
      <c r="I767" s="868"/>
      <c r="J767" s="868"/>
      <c r="BM767" s="1042"/>
      <c r="BO767" s="288"/>
    </row>
    <row r="768" customFormat="false" ht="18.75" hidden="false" customHeight="true" outlineLevel="0" collapsed="false">
      <c r="D768" s="868"/>
      <c r="E768" s="868"/>
      <c r="F768" s="868"/>
      <c r="G768" s="868"/>
      <c r="H768" s="868"/>
      <c r="I768" s="868"/>
      <c r="J768" s="868"/>
      <c r="BM768" s="1042"/>
      <c r="BO768" s="288"/>
    </row>
    <row r="769" customFormat="false" ht="18.75" hidden="false" customHeight="true" outlineLevel="0" collapsed="false">
      <c r="D769" s="868"/>
      <c r="E769" s="868"/>
      <c r="F769" s="868"/>
      <c r="G769" s="868"/>
      <c r="H769" s="868"/>
      <c r="I769" s="868"/>
      <c r="J769" s="868"/>
      <c r="BM769" s="1042"/>
      <c r="BO769" s="288"/>
    </row>
    <row r="770" customFormat="false" ht="18.75" hidden="false" customHeight="true" outlineLevel="0" collapsed="false">
      <c r="D770" s="868"/>
      <c r="E770" s="868"/>
      <c r="F770" s="868"/>
      <c r="G770" s="868"/>
      <c r="H770" s="868"/>
      <c r="I770" s="868"/>
      <c r="J770" s="868"/>
      <c r="BM770" s="1042"/>
      <c r="BO770" s="288"/>
    </row>
    <row r="771" customFormat="false" ht="18.75" hidden="false" customHeight="true" outlineLevel="0" collapsed="false">
      <c r="D771" s="868"/>
      <c r="E771" s="868"/>
      <c r="F771" s="868"/>
      <c r="G771" s="868"/>
      <c r="H771" s="868"/>
      <c r="I771" s="868"/>
      <c r="J771" s="868"/>
      <c r="BM771" s="1042"/>
      <c r="BO771" s="288"/>
    </row>
    <row r="772" customFormat="false" ht="18.75" hidden="false" customHeight="true" outlineLevel="0" collapsed="false">
      <c r="D772" s="868"/>
      <c r="E772" s="868"/>
      <c r="F772" s="868"/>
      <c r="G772" s="868"/>
      <c r="H772" s="868"/>
      <c r="I772" s="868"/>
      <c r="J772" s="868"/>
      <c r="BM772" s="1042"/>
      <c r="BO772" s="288"/>
    </row>
    <row r="773" customFormat="false" ht="18.75" hidden="false" customHeight="true" outlineLevel="0" collapsed="false">
      <c r="D773" s="868"/>
      <c r="E773" s="868"/>
      <c r="F773" s="868"/>
      <c r="G773" s="868"/>
      <c r="H773" s="868"/>
      <c r="I773" s="868"/>
      <c r="J773" s="868"/>
      <c r="BM773" s="1042"/>
      <c r="BO773" s="288"/>
    </row>
    <row r="774" customFormat="false" ht="18.75" hidden="false" customHeight="true" outlineLevel="0" collapsed="false">
      <c r="D774" s="868"/>
      <c r="E774" s="868"/>
      <c r="F774" s="868"/>
      <c r="G774" s="868"/>
      <c r="H774" s="868"/>
      <c r="I774" s="868"/>
      <c r="J774" s="868"/>
      <c r="BM774" s="1042"/>
      <c r="BO774" s="288"/>
    </row>
    <row r="775" customFormat="false" ht="18.75" hidden="false" customHeight="true" outlineLevel="0" collapsed="false">
      <c r="D775" s="868"/>
      <c r="E775" s="868"/>
      <c r="F775" s="868"/>
      <c r="G775" s="868"/>
      <c r="H775" s="868"/>
      <c r="I775" s="868"/>
      <c r="J775" s="868"/>
      <c r="BM775" s="1042"/>
      <c r="BO775" s="288"/>
    </row>
    <row r="776" customFormat="false" ht="18.75" hidden="false" customHeight="true" outlineLevel="0" collapsed="false">
      <c r="D776" s="868"/>
      <c r="E776" s="868"/>
      <c r="F776" s="868"/>
      <c r="G776" s="868"/>
      <c r="H776" s="868"/>
      <c r="I776" s="868"/>
      <c r="J776" s="868"/>
      <c r="BM776" s="1042"/>
      <c r="BO776" s="288"/>
    </row>
    <row r="777" customFormat="false" ht="18.75" hidden="false" customHeight="true" outlineLevel="0" collapsed="false">
      <c r="D777" s="868"/>
      <c r="E777" s="868"/>
      <c r="F777" s="868"/>
      <c r="G777" s="868"/>
      <c r="H777" s="868"/>
      <c r="I777" s="868"/>
      <c r="J777" s="868"/>
      <c r="BM777" s="1042"/>
      <c r="BO777" s="288"/>
    </row>
    <row r="778" customFormat="false" ht="18.75" hidden="false" customHeight="true" outlineLevel="0" collapsed="false">
      <c r="D778" s="868"/>
      <c r="E778" s="868"/>
      <c r="F778" s="868"/>
      <c r="G778" s="868"/>
      <c r="H778" s="868"/>
      <c r="I778" s="868"/>
      <c r="J778" s="868"/>
      <c r="BM778" s="1042"/>
      <c r="BO778" s="288"/>
    </row>
    <row r="779" customFormat="false" ht="18.75" hidden="false" customHeight="true" outlineLevel="0" collapsed="false">
      <c r="D779" s="868"/>
      <c r="E779" s="868"/>
      <c r="F779" s="868"/>
      <c r="G779" s="868"/>
      <c r="H779" s="868"/>
      <c r="I779" s="868"/>
      <c r="J779" s="868"/>
      <c r="BM779" s="1042"/>
      <c r="BO779" s="288"/>
    </row>
    <row r="780" customFormat="false" ht="18.75" hidden="false" customHeight="true" outlineLevel="0" collapsed="false">
      <c r="D780" s="868"/>
      <c r="E780" s="868"/>
      <c r="F780" s="868"/>
      <c r="G780" s="868"/>
      <c r="H780" s="868"/>
      <c r="I780" s="868"/>
      <c r="J780" s="868"/>
      <c r="BM780" s="1042"/>
      <c r="BO780" s="288"/>
    </row>
    <row r="781" customFormat="false" ht="18.75" hidden="false" customHeight="true" outlineLevel="0" collapsed="false">
      <c r="D781" s="868"/>
      <c r="E781" s="868"/>
      <c r="F781" s="868"/>
      <c r="G781" s="868"/>
      <c r="H781" s="868"/>
      <c r="I781" s="868"/>
      <c r="J781" s="868"/>
      <c r="BM781" s="1042"/>
      <c r="BO781" s="288"/>
    </row>
    <row r="782" customFormat="false" ht="18.75" hidden="false" customHeight="true" outlineLevel="0" collapsed="false">
      <c r="D782" s="868"/>
      <c r="E782" s="868"/>
      <c r="F782" s="868"/>
      <c r="G782" s="868"/>
      <c r="H782" s="868"/>
      <c r="I782" s="868"/>
      <c r="J782" s="868"/>
      <c r="BM782" s="1042"/>
      <c r="BO782" s="288"/>
    </row>
    <row r="783" customFormat="false" ht="18.75" hidden="false" customHeight="true" outlineLevel="0" collapsed="false">
      <c r="D783" s="868"/>
      <c r="E783" s="868"/>
      <c r="F783" s="868"/>
      <c r="G783" s="868"/>
      <c r="H783" s="868"/>
      <c r="I783" s="868"/>
      <c r="J783" s="868"/>
      <c r="BM783" s="1042"/>
      <c r="BO783" s="288"/>
    </row>
    <row r="784" customFormat="false" ht="18.75" hidden="false" customHeight="true" outlineLevel="0" collapsed="false">
      <c r="D784" s="868"/>
      <c r="E784" s="868"/>
      <c r="F784" s="868"/>
      <c r="G784" s="868"/>
      <c r="H784" s="868"/>
      <c r="I784" s="868"/>
      <c r="J784" s="868"/>
      <c r="BM784" s="1042"/>
      <c r="BO784" s="288"/>
    </row>
    <row r="785" customFormat="false" ht="18.75" hidden="false" customHeight="true" outlineLevel="0" collapsed="false">
      <c r="D785" s="868"/>
      <c r="E785" s="868"/>
      <c r="F785" s="868"/>
      <c r="G785" s="868"/>
      <c r="H785" s="868"/>
      <c r="I785" s="868"/>
      <c r="J785" s="868"/>
      <c r="BM785" s="1042"/>
      <c r="BO785" s="288"/>
    </row>
    <row r="786" customFormat="false" ht="18.75" hidden="false" customHeight="true" outlineLevel="0" collapsed="false">
      <c r="D786" s="868"/>
      <c r="E786" s="868"/>
      <c r="F786" s="868"/>
      <c r="G786" s="868"/>
      <c r="H786" s="868"/>
      <c r="I786" s="868"/>
      <c r="J786" s="868"/>
      <c r="BM786" s="1042"/>
      <c r="BO786" s="288"/>
    </row>
    <row r="787" customFormat="false" ht="18.75" hidden="false" customHeight="true" outlineLevel="0" collapsed="false">
      <c r="D787" s="868"/>
      <c r="E787" s="868"/>
      <c r="F787" s="868"/>
      <c r="G787" s="868"/>
      <c r="H787" s="868"/>
      <c r="I787" s="868"/>
      <c r="J787" s="868"/>
      <c r="BM787" s="1042"/>
      <c r="BO787" s="288"/>
    </row>
    <row r="788" customFormat="false" ht="18.75" hidden="false" customHeight="true" outlineLevel="0" collapsed="false">
      <c r="D788" s="868"/>
      <c r="E788" s="868"/>
      <c r="F788" s="868"/>
      <c r="G788" s="868"/>
      <c r="H788" s="868"/>
      <c r="I788" s="868"/>
      <c r="J788" s="868"/>
      <c r="BM788" s="1042"/>
      <c r="BO788" s="288"/>
    </row>
    <row r="789" customFormat="false" ht="18.75" hidden="false" customHeight="true" outlineLevel="0" collapsed="false">
      <c r="D789" s="868"/>
      <c r="E789" s="868"/>
      <c r="F789" s="868"/>
      <c r="G789" s="868"/>
      <c r="H789" s="868"/>
      <c r="I789" s="868"/>
      <c r="J789" s="868"/>
      <c r="BM789" s="1042"/>
      <c r="BO789" s="288"/>
    </row>
    <row r="790" customFormat="false" ht="18.75" hidden="false" customHeight="true" outlineLevel="0" collapsed="false">
      <c r="D790" s="868"/>
      <c r="E790" s="868"/>
      <c r="F790" s="868"/>
      <c r="G790" s="868"/>
      <c r="H790" s="868"/>
      <c r="I790" s="868"/>
      <c r="J790" s="868"/>
      <c r="BM790" s="1042"/>
      <c r="BO790" s="288"/>
    </row>
    <row r="791" customFormat="false" ht="18.75" hidden="false" customHeight="true" outlineLevel="0" collapsed="false">
      <c r="D791" s="868"/>
      <c r="E791" s="868"/>
      <c r="F791" s="868"/>
      <c r="G791" s="868"/>
      <c r="H791" s="868"/>
      <c r="I791" s="868"/>
      <c r="J791" s="868"/>
      <c r="BM791" s="1042"/>
      <c r="BO791" s="288"/>
    </row>
    <row r="792" customFormat="false" ht="18.75" hidden="false" customHeight="true" outlineLevel="0" collapsed="false">
      <c r="D792" s="868"/>
      <c r="E792" s="868"/>
      <c r="F792" s="868"/>
      <c r="G792" s="868"/>
      <c r="H792" s="868"/>
      <c r="I792" s="868"/>
      <c r="J792" s="868"/>
      <c r="BM792" s="1042"/>
      <c r="BO792" s="288"/>
    </row>
    <row r="793" customFormat="false" ht="18.75" hidden="false" customHeight="true" outlineLevel="0" collapsed="false">
      <c r="D793" s="868"/>
      <c r="E793" s="868"/>
      <c r="F793" s="868"/>
      <c r="G793" s="868"/>
      <c r="H793" s="868"/>
      <c r="I793" s="868"/>
      <c r="J793" s="868"/>
      <c r="BM793" s="1042"/>
      <c r="BO793" s="288"/>
    </row>
    <row r="794" customFormat="false" ht="18.75" hidden="false" customHeight="true" outlineLevel="0" collapsed="false">
      <c r="D794" s="868"/>
      <c r="E794" s="868"/>
      <c r="F794" s="868"/>
      <c r="G794" s="868"/>
      <c r="H794" s="868"/>
      <c r="I794" s="868"/>
      <c r="J794" s="868"/>
      <c r="BM794" s="1042"/>
      <c r="BO794" s="288"/>
    </row>
    <row r="795" customFormat="false" ht="18.75" hidden="false" customHeight="true" outlineLevel="0" collapsed="false">
      <c r="D795" s="868"/>
      <c r="E795" s="868"/>
      <c r="F795" s="868"/>
      <c r="G795" s="868"/>
      <c r="H795" s="868"/>
      <c r="I795" s="868"/>
      <c r="J795" s="868"/>
      <c r="BM795" s="1042"/>
      <c r="BO795" s="288"/>
    </row>
    <row r="796" customFormat="false" ht="18.75" hidden="false" customHeight="true" outlineLevel="0" collapsed="false">
      <c r="D796" s="868"/>
      <c r="E796" s="868"/>
      <c r="F796" s="868"/>
      <c r="G796" s="868"/>
      <c r="H796" s="868"/>
      <c r="I796" s="868"/>
      <c r="J796" s="868"/>
      <c r="BM796" s="1042"/>
      <c r="BO796" s="288"/>
    </row>
    <row r="797" customFormat="false" ht="18.75" hidden="false" customHeight="true" outlineLevel="0" collapsed="false">
      <c r="D797" s="868"/>
      <c r="E797" s="868"/>
      <c r="F797" s="868"/>
      <c r="G797" s="868"/>
      <c r="H797" s="868"/>
      <c r="I797" s="868"/>
      <c r="J797" s="868"/>
      <c r="BM797" s="1042"/>
      <c r="BO797" s="288"/>
    </row>
    <row r="798" customFormat="false" ht="18.75" hidden="false" customHeight="true" outlineLevel="0" collapsed="false">
      <c r="D798" s="868"/>
      <c r="E798" s="868"/>
      <c r="F798" s="868"/>
      <c r="G798" s="868"/>
      <c r="H798" s="868"/>
      <c r="I798" s="868"/>
      <c r="J798" s="868"/>
      <c r="BM798" s="1042"/>
      <c r="BO798" s="288"/>
    </row>
    <row r="799" customFormat="false" ht="18.75" hidden="false" customHeight="true" outlineLevel="0" collapsed="false">
      <c r="D799" s="868"/>
      <c r="E799" s="868"/>
      <c r="F799" s="868"/>
      <c r="G799" s="868"/>
      <c r="H799" s="868"/>
      <c r="I799" s="868"/>
      <c r="J799" s="868"/>
      <c r="BM799" s="1042"/>
      <c r="BO799" s="288"/>
    </row>
    <row r="800" customFormat="false" ht="18.75" hidden="false" customHeight="true" outlineLevel="0" collapsed="false">
      <c r="D800" s="868"/>
      <c r="E800" s="868"/>
      <c r="F800" s="868"/>
      <c r="G800" s="868"/>
      <c r="H800" s="868"/>
      <c r="I800" s="868"/>
      <c r="J800" s="868"/>
      <c r="BM800" s="1042"/>
      <c r="BO800" s="288"/>
    </row>
    <row r="801" customFormat="false" ht="18.75" hidden="false" customHeight="true" outlineLevel="0" collapsed="false">
      <c r="D801" s="868"/>
      <c r="E801" s="868"/>
      <c r="F801" s="868"/>
      <c r="G801" s="868"/>
      <c r="H801" s="868"/>
      <c r="I801" s="868"/>
      <c r="J801" s="868"/>
      <c r="BM801" s="1042"/>
      <c r="BO801" s="288"/>
    </row>
    <row r="802" customFormat="false" ht="18.75" hidden="false" customHeight="true" outlineLevel="0" collapsed="false">
      <c r="D802" s="868"/>
      <c r="E802" s="868"/>
      <c r="F802" s="868"/>
      <c r="G802" s="868"/>
      <c r="H802" s="868"/>
      <c r="I802" s="868"/>
      <c r="J802" s="868"/>
      <c r="BM802" s="1042"/>
      <c r="BO802" s="288"/>
    </row>
    <row r="803" customFormat="false" ht="18.75" hidden="false" customHeight="true" outlineLevel="0" collapsed="false">
      <c r="D803" s="868"/>
      <c r="E803" s="868"/>
      <c r="F803" s="868"/>
      <c r="G803" s="868"/>
      <c r="H803" s="868"/>
      <c r="I803" s="868"/>
      <c r="J803" s="868"/>
      <c r="BM803" s="1042"/>
      <c r="BO803" s="288"/>
    </row>
    <row r="804" customFormat="false" ht="18.75" hidden="false" customHeight="true" outlineLevel="0" collapsed="false">
      <c r="D804" s="868"/>
      <c r="E804" s="868"/>
      <c r="F804" s="868"/>
      <c r="G804" s="868"/>
      <c r="H804" s="868"/>
      <c r="I804" s="868"/>
      <c r="J804" s="868"/>
      <c r="BM804" s="1042"/>
      <c r="BO804" s="288"/>
    </row>
    <row r="805" customFormat="false" ht="18.75" hidden="false" customHeight="true" outlineLevel="0" collapsed="false">
      <c r="D805" s="868"/>
      <c r="E805" s="868"/>
      <c r="F805" s="868"/>
      <c r="G805" s="868"/>
      <c r="H805" s="868"/>
      <c r="I805" s="868"/>
      <c r="J805" s="868"/>
      <c r="BM805" s="1042"/>
      <c r="BO805" s="288"/>
    </row>
    <row r="806" customFormat="false" ht="18.75" hidden="false" customHeight="true" outlineLevel="0" collapsed="false">
      <c r="D806" s="868"/>
      <c r="E806" s="868"/>
      <c r="F806" s="868"/>
      <c r="G806" s="868"/>
      <c r="H806" s="868"/>
      <c r="I806" s="868"/>
      <c r="J806" s="868"/>
      <c r="BM806" s="1042"/>
      <c r="BO806" s="288"/>
    </row>
    <row r="807" customFormat="false" ht="18.75" hidden="false" customHeight="true" outlineLevel="0" collapsed="false">
      <c r="D807" s="868"/>
      <c r="E807" s="868"/>
      <c r="F807" s="868"/>
      <c r="G807" s="868"/>
      <c r="H807" s="868"/>
      <c r="I807" s="868"/>
      <c r="J807" s="868"/>
      <c r="BM807" s="1042"/>
      <c r="BO807" s="288"/>
    </row>
    <row r="808" customFormat="false" ht="18.75" hidden="false" customHeight="true" outlineLevel="0" collapsed="false">
      <c r="D808" s="868"/>
      <c r="E808" s="868"/>
      <c r="F808" s="868"/>
      <c r="G808" s="868"/>
      <c r="H808" s="868"/>
      <c r="I808" s="868"/>
      <c r="J808" s="868"/>
      <c r="BM808" s="1042"/>
      <c r="BO808" s="288"/>
    </row>
    <row r="809" customFormat="false" ht="18.75" hidden="false" customHeight="true" outlineLevel="0" collapsed="false">
      <c r="D809" s="868"/>
      <c r="E809" s="868"/>
      <c r="F809" s="868"/>
      <c r="G809" s="868"/>
      <c r="H809" s="868"/>
      <c r="I809" s="868"/>
      <c r="J809" s="868"/>
      <c r="BM809" s="1042"/>
      <c r="BO809" s="288"/>
    </row>
    <row r="810" customFormat="false" ht="18.75" hidden="false" customHeight="true" outlineLevel="0" collapsed="false">
      <c r="D810" s="868"/>
      <c r="E810" s="868"/>
      <c r="F810" s="868"/>
      <c r="G810" s="868"/>
      <c r="H810" s="868"/>
      <c r="I810" s="868"/>
      <c r="J810" s="868"/>
      <c r="BM810" s="1042"/>
      <c r="BO810" s="288"/>
    </row>
    <row r="811" customFormat="false" ht="18.75" hidden="false" customHeight="true" outlineLevel="0" collapsed="false">
      <c r="D811" s="868"/>
      <c r="E811" s="868"/>
      <c r="F811" s="868"/>
      <c r="G811" s="868"/>
      <c r="H811" s="868"/>
      <c r="I811" s="868"/>
      <c r="J811" s="868"/>
      <c r="BM811" s="1042"/>
      <c r="BO811" s="288"/>
    </row>
    <row r="812" customFormat="false" ht="18.75" hidden="false" customHeight="true" outlineLevel="0" collapsed="false">
      <c r="D812" s="868"/>
      <c r="E812" s="868"/>
      <c r="F812" s="868"/>
      <c r="G812" s="868"/>
      <c r="H812" s="868"/>
      <c r="I812" s="868"/>
      <c r="J812" s="868"/>
      <c r="BM812" s="1042"/>
      <c r="BO812" s="288"/>
    </row>
    <row r="813" customFormat="false" ht="18.75" hidden="false" customHeight="true" outlineLevel="0" collapsed="false">
      <c r="D813" s="868"/>
      <c r="E813" s="868"/>
      <c r="F813" s="868"/>
      <c r="G813" s="868"/>
      <c r="H813" s="868"/>
      <c r="I813" s="868"/>
      <c r="J813" s="868"/>
      <c r="BM813" s="1042"/>
      <c r="BO813" s="288"/>
    </row>
    <row r="814" customFormat="false" ht="18.75" hidden="false" customHeight="true" outlineLevel="0" collapsed="false">
      <c r="D814" s="868"/>
      <c r="E814" s="868"/>
      <c r="F814" s="868"/>
      <c r="G814" s="868"/>
      <c r="H814" s="868"/>
      <c r="I814" s="868"/>
      <c r="J814" s="868"/>
      <c r="BM814" s="1042"/>
      <c r="BO814" s="288"/>
    </row>
    <row r="815" customFormat="false" ht="18.75" hidden="false" customHeight="true" outlineLevel="0" collapsed="false">
      <c r="D815" s="868"/>
      <c r="E815" s="868"/>
      <c r="F815" s="868"/>
      <c r="G815" s="868"/>
      <c r="H815" s="868"/>
      <c r="I815" s="868"/>
      <c r="J815" s="868"/>
      <c r="BM815" s="1042"/>
      <c r="BO815" s="288"/>
    </row>
    <row r="816" customFormat="false" ht="18.75" hidden="false" customHeight="true" outlineLevel="0" collapsed="false">
      <c r="D816" s="868"/>
      <c r="E816" s="868"/>
      <c r="F816" s="868"/>
      <c r="G816" s="868"/>
      <c r="H816" s="868"/>
      <c r="I816" s="868"/>
      <c r="J816" s="868"/>
      <c r="BM816" s="1042"/>
      <c r="BO816" s="288"/>
    </row>
    <row r="817" customFormat="false" ht="18.75" hidden="false" customHeight="true" outlineLevel="0" collapsed="false">
      <c r="D817" s="868"/>
      <c r="E817" s="868"/>
      <c r="F817" s="868"/>
      <c r="G817" s="868"/>
      <c r="H817" s="868"/>
      <c r="I817" s="868"/>
      <c r="J817" s="868"/>
      <c r="BM817" s="1042"/>
      <c r="BO817" s="288"/>
    </row>
    <row r="818" customFormat="false" ht="18.75" hidden="false" customHeight="true" outlineLevel="0" collapsed="false">
      <c r="D818" s="868"/>
      <c r="E818" s="868"/>
      <c r="F818" s="868"/>
      <c r="G818" s="868"/>
      <c r="H818" s="868"/>
      <c r="I818" s="868"/>
      <c r="J818" s="868"/>
      <c r="BM818" s="1042"/>
      <c r="BO818" s="288"/>
    </row>
    <row r="819" customFormat="false" ht="18.75" hidden="false" customHeight="true" outlineLevel="0" collapsed="false">
      <c r="D819" s="868"/>
      <c r="E819" s="868"/>
      <c r="F819" s="868"/>
      <c r="G819" s="868"/>
      <c r="H819" s="868"/>
      <c r="I819" s="868"/>
      <c r="J819" s="868"/>
      <c r="BM819" s="1042"/>
      <c r="BO819" s="288"/>
    </row>
    <row r="820" customFormat="false" ht="18.75" hidden="false" customHeight="true" outlineLevel="0" collapsed="false">
      <c r="D820" s="868"/>
      <c r="E820" s="868"/>
      <c r="F820" s="868"/>
      <c r="G820" s="868"/>
      <c r="H820" s="868"/>
      <c r="I820" s="868"/>
      <c r="J820" s="868"/>
      <c r="BM820" s="1042"/>
      <c r="BO820" s="288"/>
    </row>
    <row r="821" customFormat="false" ht="18.75" hidden="false" customHeight="true" outlineLevel="0" collapsed="false">
      <c r="D821" s="868"/>
      <c r="E821" s="868"/>
      <c r="F821" s="868"/>
      <c r="G821" s="868"/>
      <c r="H821" s="868"/>
      <c r="I821" s="868"/>
      <c r="J821" s="868"/>
      <c r="BM821" s="1042"/>
      <c r="BO821" s="288"/>
    </row>
    <row r="822" customFormat="false" ht="18.75" hidden="false" customHeight="true" outlineLevel="0" collapsed="false">
      <c r="D822" s="868"/>
      <c r="E822" s="868"/>
      <c r="F822" s="868"/>
      <c r="G822" s="868"/>
      <c r="H822" s="868"/>
      <c r="I822" s="868"/>
      <c r="J822" s="868"/>
      <c r="BM822" s="1042"/>
      <c r="BO822" s="288"/>
    </row>
    <row r="823" customFormat="false" ht="18.75" hidden="false" customHeight="true" outlineLevel="0" collapsed="false">
      <c r="D823" s="868"/>
      <c r="E823" s="868"/>
      <c r="F823" s="868"/>
      <c r="G823" s="868"/>
      <c r="H823" s="868"/>
      <c r="I823" s="868"/>
      <c r="J823" s="868"/>
      <c r="BM823" s="1042"/>
      <c r="BO823" s="288"/>
    </row>
    <row r="824" customFormat="false" ht="18.75" hidden="false" customHeight="true" outlineLevel="0" collapsed="false">
      <c r="D824" s="868"/>
      <c r="E824" s="868"/>
      <c r="F824" s="868"/>
      <c r="G824" s="868"/>
      <c r="H824" s="868"/>
      <c r="I824" s="868"/>
      <c r="J824" s="868"/>
      <c r="BM824" s="1042"/>
      <c r="BO824" s="288"/>
    </row>
    <row r="825" customFormat="false" ht="18.75" hidden="false" customHeight="true" outlineLevel="0" collapsed="false">
      <c r="D825" s="868"/>
      <c r="E825" s="868"/>
      <c r="F825" s="868"/>
      <c r="G825" s="868"/>
      <c r="H825" s="868"/>
      <c r="I825" s="868"/>
      <c r="J825" s="868"/>
      <c r="BM825" s="1042"/>
      <c r="BO825" s="288"/>
    </row>
    <row r="826" customFormat="false" ht="18.75" hidden="false" customHeight="true" outlineLevel="0" collapsed="false">
      <c r="D826" s="868"/>
      <c r="E826" s="868"/>
      <c r="F826" s="868"/>
      <c r="G826" s="868"/>
      <c r="H826" s="868"/>
      <c r="I826" s="868"/>
      <c r="J826" s="868"/>
      <c r="BM826" s="1042"/>
      <c r="BO826" s="288"/>
    </row>
    <row r="827" customFormat="false" ht="18.75" hidden="false" customHeight="true" outlineLevel="0" collapsed="false">
      <c r="D827" s="868"/>
      <c r="E827" s="868"/>
      <c r="F827" s="868"/>
      <c r="G827" s="868"/>
      <c r="H827" s="868"/>
      <c r="I827" s="868"/>
      <c r="J827" s="868"/>
      <c r="BM827" s="1042"/>
      <c r="BO827" s="288"/>
    </row>
    <row r="828" customFormat="false" ht="18.75" hidden="false" customHeight="true" outlineLevel="0" collapsed="false">
      <c r="D828" s="868"/>
      <c r="E828" s="868"/>
      <c r="F828" s="868"/>
      <c r="G828" s="868"/>
      <c r="H828" s="868"/>
      <c r="I828" s="868"/>
      <c r="J828" s="868"/>
      <c r="BM828" s="1042"/>
      <c r="BO828" s="288"/>
    </row>
    <row r="829" customFormat="false" ht="18.75" hidden="false" customHeight="true" outlineLevel="0" collapsed="false">
      <c r="D829" s="868"/>
      <c r="E829" s="868"/>
      <c r="F829" s="868"/>
      <c r="G829" s="868"/>
      <c r="H829" s="868"/>
      <c r="I829" s="868"/>
      <c r="J829" s="868"/>
      <c r="BM829" s="1042"/>
      <c r="BO829" s="288"/>
    </row>
    <row r="830" customFormat="false" ht="18.75" hidden="false" customHeight="true" outlineLevel="0" collapsed="false">
      <c r="D830" s="868"/>
      <c r="E830" s="868"/>
      <c r="F830" s="868"/>
      <c r="G830" s="868"/>
      <c r="H830" s="868"/>
      <c r="I830" s="868"/>
      <c r="J830" s="868"/>
      <c r="BM830" s="1042"/>
      <c r="BO830" s="288"/>
    </row>
    <row r="831" customFormat="false" ht="18.75" hidden="false" customHeight="true" outlineLevel="0" collapsed="false">
      <c r="D831" s="868"/>
      <c r="E831" s="868"/>
      <c r="F831" s="868"/>
      <c r="G831" s="868"/>
      <c r="H831" s="868"/>
      <c r="I831" s="868"/>
      <c r="J831" s="868"/>
      <c r="BM831" s="1042"/>
      <c r="BO831" s="288"/>
    </row>
    <row r="832" customFormat="false" ht="18.75" hidden="false" customHeight="true" outlineLevel="0" collapsed="false">
      <c r="D832" s="868"/>
      <c r="E832" s="868"/>
      <c r="F832" s="868"/>
      <c r="G832" s="868"/>
      <c r="H832" s="868"/>
      <c r="I832" s="868"/>
      <c r="J832" s="868"/>
      <c r="BM832" s="1042"/>
      <c r="BO832" s="288"/>
    </row>
    <row r="833" customFormat="false" ht="18.75" hidden="false" customHeight="true" outlineLevel="0" collapsed="false">
      <c r="D833" s="868"/>
      <c r="E833" s="868"/>
      <c r="F833" s="868"/>
      <c r="G833" s="868"/>
      <c r="H833" s="868"/>
      <c r="I833" s="868"/>
      <c r="J833" s="868"/>
      <c r="BM833" s="1042"/>
      <c r="BO833" s="288"/>
    </row>
    <row r="834" customFormat="false" ht="18.75" hidden="false" customHeight="true" outlineLevel="0" collapsed="false">
      <c r="D834" s="868"/>
      <c r="E834" s="868"/>
      <c r="F834" s="868"/>
      <c r="G834" s="868"/>
      <c r="H834" s="868"/>
      <c r="I834" s="868"/>
      <c r="J834" s="868"/>
      <c r="BM834" s="1042"/>
      <c r="BO834" s="288"/>
    </row>
    <row r="835" customFormat="false" ht="18.75" hidden="false" customHeight="true" outlineLevel="0" collapsed="false">
      <c r="D835" s="868"/>
      <c r="E835" s="868"/>
      <c r="F835" s="868"/>
      <c r="G835" s="868"/>
      <c r="H835" s="868"/>
      <c r="I835" s="868"/>
      <c r="J835" s="868"/>
      <c r="BM835" s="1042"/>
      <c r="BO835" s="288"/>
    </row>
    <row r="836" customFormat="false" ht="18.75" hidden="false" customHeight="true" outlineLevel="0" collapsed="false">
      <c r="D836" s="868"/>
      <c r="E836" s="868"/>
      <c r="F836" s="868"/>
      <c r="G836" s="868"/>
      <c r="H836" s="868"/>
      <c r="I836" s="868"/>
      <c r="J836" s="868"/>
      <c r="BM836" s="1042"/>
      <c r="BO836" s="288"/>
    </row>
    <row r="837" customFormat="false" ht="18.75" hidden="false" customHeight="true" outlineLevel="0" collapsed="false">
      <c r="D837" s="868"/>
      <c r="E837" s="868"/>
      <c r="F837" s="868"/>
      <c r="G837" s="868"/>
      <c r="H837" s="868"/>
      <c r="I837" s="868"/>
      <c r="J837" s="868"/>
      <c r="BM837" s="1042"/>
      <c r="BO837" s="288"/>
    </row>
    <row r="838" customFormat="false" ht="18.75" hidden="false" customHeight="true" outlineLevel="0" collapsed="false">
      <c r="D838" s="868"/>
      <c r="E838" s="868"/>
      <c r="F838" s="868"/>
      <c r="G838" s="868"/>
      <c r="H838" s="868"/>
      <c r="I838" s="868"/>
      <c r="J838" s="868"/>
      <c r="BM838" s="1042"/>
      <c r="BO838" s="288"/>
    </row>
    <row r="839" customFormat="false" ht="18.75" hidden="false" customHeight="true" outlineLevel="0" collapsed="false">
      <c r="D839" s="868"/>
      <c r="E839" s="868"/>
      <c r="F839" s="868"/>
      <c r="G839" s="868"/>
      <c r="H839" s="868"/>
      <c r="I839" s="868"/>
      <c r="J839" s="868"/>
      <c r="BM839" s="1042"/>
      <c r="BO839" s="288"/>
    </row>
    <row r="840" customFormat="false" ht="18.75" hidden="false" customHeight="true" outlineLevel="0" collapsed="false">
      <c r="D840" s="868"/>
      <c r="E840" s="868"/>
      <c r="F840" s="868"/>
      <c r="G840" s="868"/>
      <c r="H840" s="868"/>
      <c r="I840" s="868"/>
      <c r="J840" s="868"/>
      <c r="BM840" s="1042"/>
      <c r="BO840" s="288"/>
    </row>
    <row r="841" customFormat="false" ht="18.75" hidden="false" customHeight="true" outlineLevel="0" collapsed="false">
      <c r="D841" s="868"/>
      <c r="E841" s="868"/>
      <c r="F841" s="868"/>
      <c r="G841" s="868"/>
      <c r="H841" s="868"/>
      <c r="I841" s="868"/>
      <c r="J841" s="868"/>
      <c r="BM841" s="1042"/>
      <c r="BO841" s="288"/>
    </row>
    <row r="842" customFormat="false" ht="18.75" hidden="false" customHeight="true" outlineLevel="0" collapsed="false">
      <c r="D842" s="868"/>
      <c r="E842" s="868"/>
      <c r="F842" s="868"/>
      <c r="G842" s="868"/>
      <c r="H842" s="868"/>
      <c r="I842" s="868"/>
      <c r="J842" s="868"/>
      <c r="BM842" s="1042"/>
      <c r="BO842" s="288"/>
    </row>
    <row r="843" customFormat="false" ht="18.75" hidden="false" customHeight="true" outlineLevel="0" collapsed="false">
      <c r="D843" s="868"/>
      <c r="E843" s="868"/>
      <c r="F843" s="868"/>
      <c r="G843" s="868"/>
      <c r="H843" s="868"/>
      <c r="I843" s="868"/>
      <c r="J843" s="868"/>
      <c r="BM843" s="1042"/>
      <c r="BO843" s="288"/>
    </row>
    <row r="844" customFormat="false" ht="18.75" hidden="false" customHeight="true" outlineLevel="0" collapsed="false">
      <c r="D844" s="868"/>
      <c r="E844" s="868"/>
      <c r="F844" s="868"/>
      <c r="G844" s="868"/>
      <c r="H844" s="868"/>
      <c r="I844" s="868"/>
      <c r="J844" s="868"/>
      <c r="BM844" s="1042"/>
      <c r="BO844" s="288"/>
    </row>
    <row r="845" customFormat="false" ht="18.75" hidden="false" customHeight="true" outlineLevel="0" collapsed="false">
      <c r="BM845" s="1042"/>
      <c r="BO845" s="288"/>
    </row>
    <row r="846" customFormat="false" ht="18.75" hidden="false" customHeight="true" outlineLevel="0" collapsed="false">
      <c r="BM846" s="1042"/>
      <c r="BO846" s="288"/>
    </row>
    <row r="847" customFormat="false" ht="18.75" hidden="false" customHeight="true" outlineLevel="0" collapsed="false">
      <c r="BM847" s="1042"/>
      <c r="BO847" s="288"/>
    </row>
    <row r="848" customFormat="false" ht="18.75" hidden="false" customHeight="true" outlineLevel="0" collapsed="false">
      <c r="BM848" s="1042"/>
      <c r="BO848" s="288"/>
    </row>
    <row r="849" customFormat="false" ht="18.75" hidden="false" customHeight="true" outlineLevel="0" collapsed="false">
      <c r="BM849" s="1042"/>
      <c r="BO849" s="288"/>
    </row>
    <row r="850" customFormat="false" ht="18.75" hidden="false" customHeight="true" outlineLevel="0" collapsed="false">
      <c r="BM850" s="1042"/>
      <c r="BO850" s="288"/>
    </row>
    <row r="851" customFormat="false" ht="18.75" hidden="false" customHeight="true" outlineLevel="0" collapsed="false">
      <c r="BM851" s="1042"/>
      <c r="BO851" s="288"/>
    </row>
    <row r="852" customFormat="false" ht="18.75" hidden="false" customHeight="true" outlineLevel="0" collapsed="false">
      <c r="BM852" s="1042"/>
      <c r="BO852" s="288"/>
    </row>
    <row r="853" customFormat="false" ht="18.75" hidden="false" customHeight="true" outlineLevel="0" collapsed="false">
      <c r="BM853" s="1042"/>
      <c r="BO853" s="288"/>
    </row>
    <row r="854" customFormat="false" ht="18.75" hidden="false" customHeight="true" outlineLevel="0" collapsed="false">
      <c r="BM854" s="1042"/>
      <c r="BO854" s="288"/>
    </row>
    <row r="855" customFormat="false" ht="18.75" hidden="false" customHeight="true" outlineLevel="0" collapsed="false">
      <c r="BM855" s="1042"/>
      <c r="BO855" s="288"/>
    </row>
    <row r="856" customFormat="false" ht="18.75" hidden="false" customHeight="true" outlineLevel="0" collapsed="false">
      <c r="BM856" s="1042"/>
      <c r="BO856" s="288"/>
    </row>
    <row r="857" customFormat="false" ht="18.75" hidden="false" customHeight="true" outlineLevel="0" collapsed="false">
      <c r="BM857" s="1042"/>
      <c r="BO857" s="288"/>
    </row>
    <row r="858" customFormat="false" ht="18.75" hidden="false" customHeight="true" outlineLevel="0" collapsed="false">
      <c r="BM858" s="1042"/>
      <c r="BO858" s="288"/>
    </row>
    <row r="859" customFormat="false" ht="18.75" hidden="false" customHeight="true" outlineLevel="0" collapsed="false">
      <c r="BM859" s="1042"/>
      <c r="BO859" s="288"/>
    </row>
    <row r="860" customFormat="false" ht="18.75" hidden="false" customHeight="true" outlineLevel="0" collapsed="false">
      <c r="BM860" s="1042"/>
      <c r="BO860" s="288"/>
    </row>
    <row r="861" customFormat="false" ht="18.75" hidden="false" customHeight="true" outlineLevel="0" collapsed="false">
      <c r="BM861" s="1042"/>
      <c r="BO861" s="288"/>
    </row>
    <row r="862" customFormat="false" ht="18.75" hidden="false" customHeight="true" outlineLevel="0" collapsed="false">
      <c r="BM862" s="1042"/>
      <c r="BO862" s="288"/>
    </row>
    <row r="863" customFormat="false" ht="18.75" hidden="false" customHeight="true" outlineLevel="0" collapsed="false">
      <c r="BM863" s="1042"/>
      <c r="BO863" s="288"/>
    </row>
    <row r="864" customFormat="false" ht="18.75" hidden="false" customHeight="true" outlineLevel="0" collapsed="false">
      <c r="BM864" s="1042"/>
      <c r="BO864" s="288"/>
    </row>
    <row r="865" customFormat="false" ht="18.75" hidden="false" customHeight="true" outlineLevel="0" collapsed="false">
      <c r="BM865" s="1042"/>
      <c r="BO865" s="288"/>
    </row>
    <row r="866" customFormat="false" ht="18.75" hidden="false" customHeight="true" outlineLevel="0" collapsed="false">
      <c r="BM866" s="1042"/>
      <c r="BO866" s="288"/>
    </row>
    <row r="867" customFormat="false" ht="18.75" hidden="false" customHeight="true" outlineLevel="0" collapsed="false">
      <c r="BM867" s="1042"/>
      <c r="BO867" s="288"/>
    </row>
    <row r="868" customFormat="false" ht="18.75" hidden="false" customHeight="true" outlineLevel="0" collapsed="false">
      <c r="BM868" s="1042"/>
      <c r="BO868" s="288"/>
    </row>
    <row r="869" customFormat="false" ht="18.75" hidden="false" customHeight="true" outlineLevel="0" collapsed="false">
      <c r="BM869" s="1042"/>
      <c r="BO869" s="288"/>
    </row>
    <row r="870" customFormat="false" ht="18.75" hidden="false" customHeight="true" outlineLevel="0" collapsed="false">
      <c r="BM870" s="1042"/>
      <c r="BO870" s="288"/>
    </row>
    <row r="871" customFormat="false" ht="18.75" hidden="false" customHeight="true" outlineLevel="0" collapsed="false">
      <c r="BM871" s="1042"/>
      <c r="BO871" s="288"/>
    </row>
    <row r="872" customFormat="false" ht="18.75" hidden="false" customHeight="true" outlineLevel="0" collapsed="false">
      <c r="BM872" s="1042"/>
      <c r="BO872" s="288"/>
    </row>
    <row r="873" customFormat="false" ht="18.75" hidden="false" customHeight="true" outlineLevel="0" collapsed="false">
      <c r="BM873" s="1042"/>
      <c r="BO873" s="288"/>
    </row>
    <row r="874" customFormat="false" ht="18.75" hidden="false" customHeight="true" outlineLevel="0" collapsed="false">
      <c r="BM874" s="1042"/>
      <c r="BO874" s="288"/>
    </row>
    <row r="875" customFormat="false" ht="18.75" hidden="false" customHeight="true" outlineLevel="0" collapsed="false">
      <c r="BM875" s="1042"/>
      <c r="BO875" s="288"/>
    </row>
    <row r="876" customFormat="false" ht="18.75" hidden="false" customHeight="true" outlineLevel="0" collapsed="false">
      <c r="BM876" s="1042"/>
      <c r="BO876" s="288"/>
    </row>
    <row r="877" customFormat="false" ht="18.75" hidden="false" customHeight="true" outlineLevel="0" collapsed="false">
      <c r="BM877" s="1042"/>
      <c r="BO877" s="288"/>
    </row>
    <row r="878" customFormat="false" ht="18.75" hidden="false" customHeight="true" outlineLevel="0" collapsed="false">
      <c r="BM878" s="1042"/>
      <c r="BO878" s="288"/>
    </row>
    <row r="879" customFormat="false" ht="18.75" hidden="false" customHeight="true" outlineLevel="0" collapsed="false">
      <c r="BM879" s="1042"/>
      <c r="BO879" s="288"/>
    </row>
    <row r="880" customFormat="false" ht="18.75" hidden="false" customHeight="true" outlineLevel="0" collapsed="false">
      <c r="BM880" s="1042"/>
      <c r="BO880" s="288"/>
    </row>
    <row r="881" customFormat="false" ht="18.75" hidden="false" customHeight="true" outlineLevel="0" collapsed="false">
      <c r="BM881" s="1042"/>
      <c r="BO881" s="288"/>
    </row>
    <row r="882" customFormat="false" ht="18.75" hidden="false" customHeight="true" outlineLevel="0" collapsed="false">
      <c r="BM882" s="1042"/>
      <c r="BO882" s="288"/>
    </row>
    <row r="883" customFormat="false" ht="18.75" hidden="false" customHeight="true" outlineLevel="0" collapsed="false">
      <c r="BM883" s="1042"/>
      <c r="BO883" s="288"/>
    </row>
    <row r="884" customFormat="false" ht="18.75" hidden="false" customHeight="true" outlineLevel="0" collapsed="false">
      <c r="BM884" s="1042"/>
      <c r="BO884" s="288"/>
    </row>
    <row r="885" customFormat="false" ht="18.75" hidden="false" customHeight="true" outlineLevel="0" collapsed="false">
      <c r="BM885" s="1042"/>
      <c r="BO885" s="288"/>
    </row>
    <row r="886" customFormat="false" ht="18.75" hidden="false" customHeight="true" outlineLevel="0" collapsed="false">
      <c r="BM886" s="1042"/>
      <c r="BO886" s="288"/>
    </row>
    <row r="887" customFormat="false" ht="18.75" hidden="false" customHeight="true" outlineLevel="0" collapsed="false">
      <c r="BM887" s="1042"/>
      <c r="BO887" s="288"/>
    </row>
    <row r="888" customFormat="false" ht="18.75" hidden="false" customHeight="true" outlineLevel="0" collapsed="false">
      <c r="BM888" s="1042"/>
      <c r="BO888" s="288"/>
    </row>
    <row r="889" customFormat="false" ht="18.75" hidden="false" customHeight="true" outlineLevel="0" collapsed="false">
      <c r="BM889" s="1042"/>
      <c r="BO889" s="288"/>
    </row>
    <row r="890" customFormat="false" ht="18.75" hidden="false" customHeight="true" outlineLevel="0" collapsed="false">
      <c r="BM890" s="1042"/>
      <c r="BO890" s="288"/>
    </row>
    <row r="891" customFormat="false" ht="18.75" hidden="false" customHeight="true" outlineLevel="0" collapsed="false">
      <c r="BM891" s="1042"/>
      <c r="BO891" s="288"/>
    </row>
    <row r="892" customFormat="false" ht="18.75" hidden="false" customHeight="true" outlineLevel="0" collapsed="false">
      <c r="BM892" s="1042"/>
      <c r="BO892" s="288"/>
    </row>
    <row r="893" customFormat="false" ht="18.75" hidden="false" customHeight="true" outlineLevel="0" collapsed="false">
      <c r="BM893" s="1042"/>
      <c r="BO893" s="288"/>
    </row>
    <row r="894" customFormat="false" ht="18.75" hidden="false" customHeight="true" outlineLevel="0" collapsed="false">
      <c r="BM894" s="1042"/>
      <c r="BO894" s="288"/>
    </row>
    <row r="895" customFormat="false" ht="18.75" hidden="false" customHeight="true" outlineLevel="0" collapsed="false">
      <c r="BM895" s="1042"/>
      <c r="BO895" s="288"/>
    </row>
    <row r="896" customFormat="false" ht="18.75" hidden="false" customHeight="true" outlineLevel="0" collapsed="false">
      <c r="BM896" s="1042"/>
      <c r="BO896" s="288"/>
    </row>
    <row r="897" customFormat="false" ht="18.75" hidden="false" customHeight="true" outlineLevel="0" collapsed="false">
      <c r="BM897" s="1042"/>
      <c r="BO897" s="288"/>
    </row>
    <row r="898" customFormat="false" ht="18.75" hidden="false" customHeight="true" outlineLevel="0" collapsed="false">
      <c r="BM898" s="1042"/>
      <c r="BO898" s="288"/>
    </row>
    <row r="899" customFormat="false" ht="18.75" hidden="false" customHeight="true" outlineLevel="0" collapsed="false">
      <c r="BM899" s="1042"/>
      <c r="BO899" s="288"/>
    </row>
    <row r="900" customFormat="false" ht="18.75" hidden="false" customHeight="true" outlineLevel="0" collapsed="false">
      <c r="BM900" s="1042"/>
      <c r="BO900" s="288"/>
    </row>
    <row r="901" customFormat="false" ht="18.75" hidden="false" customHeight="true" outlineLevel="0" collapsed="false">
      <c r="BM901" s="1042"/>
      <c r="BO901" s="288"/>
    </row>
    <row r="902" customFormat="false" ht="18.75" hidden="false" customHeight="true" outlineLevel="0" collapsed="false">
      <c r="BM902" s="1042"/>
      <c r="BO902" s="288"/>
    </row>
    <row r="903" customFormat="false" ht="18.75" hidden="false" customHeight="true" outlineLevel="0" collapsed="false">
      <c r="BM903" s="1042"/>
      <c r="BO903" s="288"/>
    </row>
    <row r="904" customFormat="false" ht="18.75" hidden="false" customHeight="true" outlineLevel="0" collapsed="false">
      <c r="BM904" s="1042"/>
      <c r="BO904" s="288"/>
    </row>
    <row r="905" customFormat="false" ht="18.75" hidden="false" customHeight="true" outlineLevel="0" collapsed="false">
      <c r="BM905" s="1042"/>
      <c r="BO905" s="288"/>
    </row>
    <row r="906" customFormat="false" ht="18.75" hidden="false" customHeight="true" outlineLevel="0" collapsed="false">
      <c r="BM906" s="1042"/>
      <c r="BO906" s="288"/>
    </row>
    <row r="907" customFormat="false" ht="18.75" hidden="false" customHeight="true" outlineLevel="0" collapsed="false">
      <c r="BM907" s="1042"/>
      <c r="BO907" s="288"/>
    </row>
    <row r="908" customFormat="false" ht="18.75" hidden="false" customHeight="true" outlineLevel="0" collapsed="false">
      <c r="BM908" s="1042"/>
      <c r="BO908" s="288"/>
    </row>
    <row r="909" customFormat="false" ht="18.75" hidden="false" customHeight="true" outlineLevel="0" collapsed="false">
      <c r="BM909" s="1042"/>
      <c r="BO909" s="288"/>
    </row>
    <row r="910" customFormat="false" ht="18.75" hidden="false" customHeight="true" outlineLevel="0" collapsed="false">
      <c r="BM910" s="1042"/>
      <c r="BO910" s="288"/>
    </row>
    <row r="911" customFormat="false" ht="18.75" hidden="false" customHeight="true" outlineLevel="0" collapsed="false">
      <c r="BM911" s="1042"/>
      <c r="BO911" s="288"/>
    </row>
    <row r="912" customFormat="false" ht="18.75" hidden="false" customHeight="true" outlineLevel="0" collapsed="false">
      <c r="BM912" s="1042"/>
      <c r="BO912" s="288"/>
    </row>
    <row r="913" customFormat="false" ht="18.75" hidden="false" customHeight="true" outlineLevel="0" collapsed="false">
      <c r="BM913" s="1042"/>
      <c r="BO913" s="288"/>
    </row>
    <row r="914" customFormat="false" ht="18.75" hidden="false" customHeight="true" outlineLevel="0" collapsed="false">
      <c r="BM914" s="1042"/>
      <c r="BO914" s="288"/>
    </row>
    <row r="915" customFormat="false" ht="18.75" hidden="false" customHeight="true" outlineLevel="0" collapsed="false">
      <c r="BM915" s="1042"/>
      <c r="BO915" s="288"/>
    </row>
    <row r="916" customFormat="false" ht="18.75" hidden="false" customHeight="true" outlineLevel="0" collapsed="false">
      <c r="BM916" s="1042"/>
      <c r="BO916" s="288"/>
    </row>
    <row r="917" customFormat="false" ht="18.75" hidden="false" customHeight="true" outlineLevel="0" collapsed="false">
      <c r="BM917" s="1042"/>
      <c r="BO917" s="288"/>
    </row>
    <row r="918" customFormat="false" ht="18.75" hidden="false" customHeight="true" outlineLevel="0" collapsed="false">
      <c r="BM918" s="1042"/>
      <c r="BO918" s="288"/>
    </row>
    <row r="919" customFormat="false" ht="18.75" hidden="false" customHeight="true" outlineLevel="0" collapsed="false">
      <c r="BM919" s="1042"/>
      <c r="BO919" s="288"/>
    </row>
    <row r="920" customFormat="false" ht="18.75" hidden="false" customHeight="true" outlineLevel="0" collapsed="false">
      <c r="BM920" s="1042"/>
      <c r="BO920" s="288"/>
    </row>
    <row r="921" customFormat="false" ht="18.75" hidden="false" customHeight="true" outlineLevel="0" collapsed="false">
      <c r="BM921" s="1042"/>
      <c r="BO921" s="288"/>
    </row>
    <row r="922" customFormat="false" ht="18.75" hidden="false" customHeight="true" outlineLevel="0" collapsed="false">
      <c r="BM922" s="1042"/>
      <c r="BO922" s="288"/>
    </row>
    <row r="923" customFormat="false" ht="18.75" hidden="false" customHeight="true" outlineLevel="0" collapsed="false">
      <c r="BM923" s="1042"/>
      <c r="BO923" s="288"/>
    </row>
    <row r="924" customFormat="false" ht="18.75" hidden="false" customHeight="true" outlineLevel="0" collapsed="false">
      <c r="BM924" s="1042"/>
      <c r="BO924" s="288"/>
    </row>
    <row r="925" customFormat="false" ht="18.75" hidden="false" customHeight="true" outlineLevel="0" collapsed="false">
      <c r="BM925" s="1042"/>
      <c r="BO925" s="288"/>
    </row>
    <row r="926" customFormat="false" ht="18.75" hidden="false" customHeight="true" outlineLevel="0" collapsed="false">
      <c r="BM926" s="1042"/>
      <c r="BO926" s="288"/>
    </row>
    <row r="927" customFormat="false" ht="18.75" hidden="false" customHeight="true" outlineLevel="0" collapsed="false">
      <c r="BM927" s="1042"/>
      <c r="BO927" s="288"/>
    </row>
    <row r="928" customFormat="false" ht="18.75" hidden="false" customHeight="true" outlineLevel="0" collapsed="false">
      <c r="BM928" s="1042"/>
      <c r="BO928" s="288"/>
    </row>
    <row r="929" customFormat="false" ht="18.75" hidden="false" customHeight="true" outlineLevel="0" collapsed="false">
      <c r="BM929" s="1042"/>
      <c r="BO929" s="288"/>
    </row>
    <row r="930" customFormat="false" ht="18.75" hidden="false" customHeight="true" outlineLevel="0" collapsed="false">
      <c r="BM930" s="1042"/>
      <c r="BO930" s="288"/>
    </row>
    <row r="931" customFormat="false" ht="18.75" hidden="false" customHeight="true" outlineLevel="0" collapsed="false">
      <c r="BM931" s="1042"/>
      <c r="BO931" s="288"/>
    </row>
    <row r="932" customFormat="false" ht="18.75" hidden="false" customHeight="true" outlineLevel="0" collapsed="false">
      <c r="BM932" s="1042"/>
      <c r="BO932" s="288"/>
    </row>
    <row r="933" customFormat="false" ht="18.75" hidden="false" customHeight="true" outlineLevel="0" collapsed="false">
      <c r="BM933" s="1042"/>
      <c r="BO933" s="288"/>
    </row>
    <row r="934" customFormat="false" ht="18.75" hidden="false" customHeight="true" outlineLevel="0" collapsed="false">
      <c r="BM934" s="1042"/>
      <c r="BO934" s="288"/>
    </row>
    <row r="935" customFormat="false" ht="18.75" hidden="false" customHeight="true" outlineLevel="0" collapsed="false">
      <c r="BM935" s="1042"/>
      <c r="BO935" s="288"/>
    </row>
    <row r="936" customFormat="false" ht="18.75" hidden="false" customHeight="true" outlineLevel="0" collapsed="false">
      <c r="BM936" s="1042"/>
      <c r="BO936" s="288"/>
    </row>
    <row r="937" customFormat="false" ht="18.75" hidden="false" customHeight="true" outlineLevel="0" collapsed="false">
      <c r="BM937" s="1042"/>
      <c r="BO937" s="288"/>
    </row>
    <row r="938" customFormat="false" ht="18.75" hidden="false" customHeight="true" outlineLevel="0" collapsed="false">
      <c r="BM938" s="1042"/>
      <c r="BO938" s="288"/>
    </row>
    <row r="939" customFormat="false" ht="18.75" hidden="false" customHeight="true" outlineLevel="0" collapsed="false">
      <c r="BM939" s="1042"/>
      <c r="BO939" s="288"/>
    </row>
    <row r="940" customFormat="false" ht="18.75" hidden="false" customHeight="true" outlineLevel="0" collapsed="false">
      <c r="BM940" s="1042"/>
      <c r="BO940" s="288"/>
    </row>
    <row r="941" customFormat="false" ht="18.75" hidden="false" customHeight="true" outlineLevel="0" collapsed="false">
      <c r="BM941" s="1042"/>
      <c r="BO941" s="288"/>
    </row>
    <row r="942" customFormat="false" ht="18.75" hidden="false" customHeight="true" outlineLevel="0" collapsed="false">
      <c r="BM942" s="1042"/>
      <c r="BO942" s="288"/>
    </row>
    <row r="943" customFormat="false" ht="18.75" hidden="false" customHeight="true" outlineLevel="0" collapsed="false">
      <c r="BM943" s="1042"/>
      <c r="BO943" s="288"/>
    </row>
    <row r="944" customFormat="false" ht="18.75" hidden="false" customHeight="true" outlineLevel="0" collapsed="false">
      <c r="BM944" s="1042"/>
      <c r="BO944" s="288"/>
    </row>
    <row r="945" customFormat="false" ht="18.75" hidden="false" customHeight="true" outlineLevel="0" collapsed="false">
      <c r="BM945" s="1042"/>
      <c r="BO945" s="288"/>
    </row>
    <row r="946" customFormat="false" ht="18.75" hidden="false" customHeight="true" outlineLevel="0" collapsed="false">
      <c r="BM946" s="1042"/>
      <c r="BO946" s="288"/>
    </row>
    <row r="947" customFormat="false" ht="18.75" hidden="false" customHeight="true" outlineLevel="0" collapsed="false">
      <c r="BM947" s="1042"/>
      <c r="BO947" s="288"/>
    </row>
    <row r="948" customFormat="false" ht="18.75" hidden="false" customHeight="true" outlineLevel="0" collapsed="false">
      <c r="BM948" s="1042"/>
      <c r="BO948" s="288"/>
    </row>
    <row r="949" customFormat="false" ht="18.75" hidden="false" customHeight="true" outlineLevel="0" collapsed="false">
      <c r="BM949" s="1042"/>
      <c r="BO949" s="288"/>
    </row>
    <row r="950" customFormat="false" ht="18.75" hidden="false" customHeight="true" outlineLevel="0" collapsed="false">
      <c r="BM950" s="1042"/>
      <c r="BO950" s="288"/>
    </row>
    <row r="951" customFormat="false" ht="18.75" hidden="false" customHeight="true" outlineLevel="0" collapsed="false">
      <c r="BM951" s="1042"/>
      <c r="BO951" s="288"/>
    </row>
    <row r="952" customFormat="false" ht="18.75" hidden="false" customHeight="true" outlineLevel="0" collapsed="false">
      <c r="BM952" s="1042"/>
      <c r="BO952" s="288"/>
    </row>
    <row r="953" customFormat="false" ht="18.75" hidden="false" customHeight="true" outlineLevel="0" collapsed="false">
      <c r="BM953" s="1042"/>
      <c r="BO953" s="288"/>
    </row>
    <row r="954" customFormat="false" ht="18.75" hidden="false" customHeight="true" outlineLevel="0" collapsed="false">
      <c r="BM954" s="1042"/>
      <c r="BO954" s="288"/>
    </row>
    <row r="955" customFormat="false" ht="18.75" hidden="false" customHeight="true" outlineLevel="0" collapsed="false">
      <c r="BM955" s="1042"/>
      <c r="BO955" s="288"/>
    </row>
    <row r="956" customFormat="false" ht="18.75" hidden="false" customHeight="true" outlineLevel="0" collapsed="false">
      <c r="BM956" s="1042"/>
      <c r="BO956" s="288"/>
    </row>
    <row r="957" customFormat="false" ht="18.75" hidden="false" customHeight="true" outlineLevel="0" collapsed="false">
      <c r="BM957" s="1042"/>
      <c r="BO957" s="288"/>
    </row>
    <row r="958" customFormat="false" ht="18.75" hidden="false" customHeight="true" outlineLevel="0" collapsed="false">
      <c r="BM958" s="1042"/>
      <c r="BO958" s="288"/>
    </row>
    <row r="959" customFormat="false" ht="18.75" hidden="false" customHeight="true" outlineLevel="0" collapsed="false">
      <c r="BM959" s="1042"/>
      <c r="BO959" s="288"/>
    </row>
    <row r="960" customFormat="false" ht="18.75" hidden="false" customHeight="true" outlineLevel="0" collapsed="false">
      <c r="BM960" s="1042"/>
      <c r="BO960" s="288"/>
    </row>
    <row r="961" customFormat="false" ht="18.75" hidden="false" customHeight="true" outlineLevel="0" collapsed="false">
      <c r="BM961" s="1042"/>
      <c r="BO961" s="288"/>
    </row>
    <row r="962" customFormat="false" ht="18.75" hidden="false" customHeight="true" outlineLevel="0" collapsed="false">
      <c r="BM962" s="1042"/>
      <c r="BO962" s="288"/>
    </row>
    <row r="963" customFormat="false" ht="18.75" hidden="false" customHeight="true" outlineLevel="0" collapsed="false">
      <c r="BM963" s="1042"/>
      <c r="BO963" s="288"/>
    </row>
    <row r="964" customFormat="false" ht="18.75" hidden="false" customHeight="true" outlineLevel="0" collapsed="false">
      <c r="BM964" s="1042"/>
      <c r="BO964" s="288"/>
    </row>
    <row r="965" customFormat="false" ht="18.75" hidden="false" customHeight="true" outlineLevel="0" collapsed="false">
      <c r="BM965" s="1042"/>
      <c r="BO965" s="288"/>
    </row>
    <row r="966" customFormat="false" ht="18.75" hidden="false" customHeight="true" outlineLevel="0" collapsed="false">
      <c r="BM966" s="1042"/>
      <c r="BO966" s="288"/>
    </row>
    <row r="967" customFormat="false" ht="18.75" hidden="false" customHeight="true" outlineLevel="0" collapsed="false">
      <c r="BM967" s="1042"/>
      <c r="BO967" s="288"/>
    </row>
    <row r="968" customFormat="false" ht="18.75" hidden="false" customHeight="true" outlineLevel="0" collapsed="false">
      <c r="BM968" s="1042"/>
      <c r="BO968" s="288"/>
    </row>
    <row r="969" customFormat="false" ht="18.75" hidden="false" customHeight="true" outlineLevel="0" collapsed="false">
      <c r="BM969" s="1042"/>
      <c r="BO969" s="288"/>
    </row>
    <row r="970" customFormat="false" ht="18.75" hidden="false" customHeight="true" outlineLevel="0" collapsed="false">
      <c r="BM970" s="1042"/>
      <c r="BO970" s="288"/>
    </row>
    <row r="971" customFormat="false" ht="18.75" hidden="false" customHeight="true" outlineLevel="0" collapsed="false">
      <c r="BM971" s="1042"/>
      <c r="BO971" s="288"/>
    </row>
    <row r="972" customFormat="false" ht="18.75" hidden="false" customHeight="true" outlineLevel="0" collapsed="false">
      <c r="BM972" s="1042"/>
      <c r="BO972" s="288"/>
    </row>
    <row r="973" customFormat="false" ht="18.75" hidden="false" customHeight="true" outlineLevel="0" collapsed="false">
      <c r="BM973" s="1042"/>
      <c r="BO973" s="288"/>
    </row>
    <row r="974" customFormat="false" ht="18.75" hidden="false" customHeight="true" outlineLevel="0" collapsed="false">
      <c r="BM974" s="1042"/>
      <c r="BO974" s="288"/>
    </row>
    <row r="975" customFormat="false" ht="18.75" hidden="false" customHeight="true" outlineLevel="0" collapsed="false">
      <c r="BM975" s="1042"/>
      <c r="BO975" s="288"/>
    </row>
    <row r="976" customFormat="false" ht="18.75" hidden="false" customHeight="true" outlineLevel="0" collapsed="false">
      <c r="BM976" s="1042"/>
      <c r="BO976" s="288"/>
    </row>
    <row r="977" customFormat="false" ht="18.75" hidden="false" customHeight="true" outlineLevel="0" collapsed="false">
      <c r="BM977" s="1042"/>
      <c r="BO977" s="288"/>
    </row>
    <row r="978" customFormat="false" ht="18.75" hidden="false" customHeight="true" outlineLevel="0" collapsed="false">
      <c r="BM978" s="1042"/>
      <c r="BO978" s="288"/>
    </row>
    <row r="979" customFormat="false" ht="18.75" hidden="false" customHeight="true" outlineLevel="0" collapsed="false">
      <c r="BM979" s="1042"/>
      <c r="BO979" s="288"/>
    </row>
    <row r="980" customFormat="false" ht="18.75" hidden="false" customHeight="true" outlineLevel="0" collapsed="false">
      <c r="BM980" s="1042"/>
      <c r="BO980" s="288"/>
    </row>
    <row r="981" customFormat="false" ht="18.75" hidden="false" customHeight="true" outlineLevel="0" collapsed="false">
      <c r="BM981" s="1042"/>
      <c r="BO981" s="288"/>
    </row>
    <row r="982" customFormat="false" ht="18.75" hidden="false" customHeight="true" outlineLevel="0" collapsed="false">
      <c r="BM982" s="1042"/>
      <c r="BO982" s="288"/>
    </row>
    <row r="983" customFormat="false" ht="18.75" hidden="false" customHeight="true" outlineLevel="0" collapsed="false">
      <c r="BM983" s="1042"/>
      <c r="BO983" s="288"/>
    </row>
    <row r="984" customFormat="false" ht="18.75" hidden="false" customHeight="true" outlineLevel="0" collapsed="false">
      <c r="BM984" s="1042"/>
      <c r="BO984" s="288"/>
    </row>
    <row r="985" customFormat="false" ht="18.75" hidden="false" customHeight="true" outlineLevel="0" collapsed="false">
      <c r="BM985" s="1042"/>
      <c r="BO985" s="288"/>
    </row>
    <row r="986" customFormat="false" ht="18.75" hidden="false" customHeight="true" outlineLevel="0" collapsed="false">
      <c r="BM986" s="1042"/>
      <c r="BO986" s="288"/>
    </row>
    <row r="987" customFormat="false" ht="18.75" hidden="false" customHeight="true" outlineLevel="0" collapsed="false">
      <c r="BM987" s="1042"/>
      <c r="BO987" s="288"/>
    </row>
    <row r="988" customFormat="false" ht="18.75" hidden="false" customHeight="true" outlineLevel="0" collapsed="false">
      <c r="BM988" s="1042"/>
      <c r="BO988" s="288"/>
    </row>
    <row r="989" customFormat="false" ht="18.75" hidden="false" customHeight="true" outlineLevel="0" collapsed="false">
      <c r="BM989" s="1042"/>
      <c r="BO989" s="288"/>
    </row>
    <row r="990" customFormat="false" ht="18.75" hidden="false" customHeight="true" outlineLevel="0" collapsed="false">
      <c r="BM990" s="1042"/>
      <c r="BO990" s="288"/>
    </row>
    <row r="991" customFormat="false" ht="18.75" hidden="false" customHeight="true" outlineLevel="0" collapsed="false">
      <c r="BM991" s="1042"/>
      <c r="BO991" s="288"/>
    </row>
    <row r="992" customFormat="false" ht="18.75" hidden="false" customHeight="true" outlineLevel="0" collapsed="false">
      <c r="BM992" s="1042"/>
      <c r="BO992" s="288"/>
    </row>
    <row r="993" customFormat="false" ht="18.75" hidden="false" customHeight="true" outlineLevel="0" collapsed="false">
      <c r="BM993" s="1042"/>
      <c r="BO993" s="288"/>
    </row>
    <row r="994" customFormat="false" ht="18.75" hidden="false" customHeight="true" outlineLevel="0" collapsed="false">
      <c r="BM994" s="1042"/>
      <c r="BO994" s="288"/>
    </row>
    <row r="995" customFormat="false" ht="18.75" hidden="false" customHeight="true" outlineLevel="0" collapsed="false">
      <c r="BM995" s="1042"/>
      <c r="BO995" s="288"/>
    </row>
    <row r="996" customFormat="false" ht="18.75" hidden="false" customHeight="true" outlineLevel="0" collapsed="false">
      <c r="BM996" s="1042"/>
      <c r="BO996" s="288"/>
    </row>
    <row r="997" customFormat="false" ht="18.75" hidden="false" customHeight="true" outlineLevel="0" collapsed="false">
      <c r="BM997" s="1042"/>
      <c r="BO997" s="288"/>
    </row>
    <row r="998" customFormat="false" ht="18.75" hidden="false" customHeight="true" outlineLevel="0" collapsed="false">
      <c r="BM998" s="1042"/>
      <c r="BO998" s="288"/>
    </row>
    <row r="999" customFormat="false" ht="18.75" hidden="false" customHeight="true" outlineLevel="0" collapsed="false">
      <c r="BM999" s="1042"/>
      <c r="BO999" s="288"/>
    </row>
    <row r="1000" customFormat="false" ht="18.75" hidden="false" customHeight="true" outlineLevel="0" collapsed="false">
      <c r="BM1000" s="1042"/>
      <c r="BO1000" s="288"/>
    </row>
    <row r="1001" customFormat="false" ht="18.75" hidden="false" customHeight="true" outlineLevel="0" collapsed="false">
      <c r="BM1001" s="1042"/>
      <c r="BO1001" s="288"/>
    </row>
    <row r="1002" customFormat="false" ht="18.75" hidden="false" customHeight="true" outlineLevel="0" collapsed="false">
      <c r="BM1002" s="1042"/>
      <c r="BO1002" s="288"/>
    </row>
    <row r="1003" customFormat="false" ht="18.75" hidden="false" customHeight="true" outlineLevel="0" collapsed="false">
      <c r="BM1003" s="1042"/>
      <c r="BO1003" s="288"/>
    </row>
    <row r="1004" customFormat="false" ht="18.75" hidden="false" customHeight="true" outlineLevel="0" collapsed="false">
      <c r="BM1004" s="1042"/>
      <c r="BO1004" s="288"/>
    </row>
    <row r="1005" customFormat="false" ht="18.75" hidden="false" customHeight="true" outlineLevel="0" collapsed="false">
      <c r="BM1005" s="1042"/>
      <c r="BO1005" s="288"/>
    </row>
    <row r="1006" customFormat="false" ht="18.75" hidden="false" customHeight="true" outlineLevel="0" collapsed="false">
      <c r="BM1006" s="1042"/>
      <c r="BO1006" s="288"/>
    </row>
    <row r="1007" customFormat="false" ht="18.75" hidden="false" customHeight="true" outlineLevel="0" collapsed="false">
      <c r="BM1007" s="1042"/>
      <c r="BO1007" s="288"/>
    </row>
    <row r="1008" customFormat="false" ht="18.75" hidden="false" customHeight="true" outlineLevel="0" collapsed="false">
      <c r="BM1008" s="1042"/>
      <c r="BO1008" s="288"/>
    </row>
    <row r="1009" customFormat="false" ht="18.75" hidden="false" customHeight="true" outlineLevel="0" collapsed="false">
      <c r="BM1009" s="1042"/>
      <c r="BO1009" s="288"/>
    </row>
    <row r="1010" customFormat="false" ht="18.75" hidden="false" customHeight="true" outlineLevel="0" collapsed="false">
      <c r="BM1010" s="1042"/>
      <c r="BO1010" s="288"/>
    </row>
    <row r="1011" customFormat="false" ht="18.75" hidden="false" customHeight="true" outlineLevel="0" collapsed="false">
      <c r="BM1011" s="1042"/>
      <c r="BO1011" s="288"/>
    </row>
    <row r="1012" customFormat="false" ht="18.75" hidden="false" customHeight="true" outlineLevel="0" collapsed="false">
      <c r="BM1012" s="1042"/>
      <c r="BO1012" s="288"/>
    </row>
    <row r="1013" customFormat="false" ht="18.75" hidden="false" customHeight="true" outlineLevel="0" collapsed="false">
      <c r="BM1013" s="1042"/>
      <c r="BO1013" s="288"/>
    </row>
    <row r="1014" customFormat="false" ht="18.75" hidden="false" customHeight="true" outlineLevel="0" collapsed="false">
      <c r="BM1014" s="1042"/>
      <c r="BO1014" s="288"/>
    </row>
    <row r="1015" customFormat="false" ht="18.75" hidden="false" customHeight="true" outlineLevel="0" collapsed="false">
      <c r="BM1015" s="1042"/>
      <c r="BO1015" s="288"/>
    </row>
    <row r="1016" customFormat="false" ht="18.75" hidden="false" customHeight="true" outlineLevel="0" collapsed="false">
      <c r="BM1016" s="1042"/>
      <c r="BO1016" s="288"/>
    </row>
    <row r="1017" customFormat="false" ht="18.75" hidden="false" customHeight="true" outlineLevel="0" collapsed="false">
      <c r="BM1017" s="1042"/>
      <c r="BO1017" s="288"/>
    </row>
    <row r="1018" customFormat="false" ht="18.75" hidden="false" customHeight="true" outlineLevel="0" collapsed="false">
      <c r="BM1018" s="1042"/>
      <c r="BO1018" s="288"/>
    </row>
    <row r="1019" customFormat="false" ht="18.75" hidden="false" customHeight="true" outlineLevel="0" collapsed="false">
      <c r="BM1019" s="1042"/>
      <c r="BO1019" s="288"/>
    </row>
    <row r="1020" customFormat="false" ht="18.75" hidden="false" customHeight="true" outlineLevel="0" collapsed="false">
      <c r="BM1020" s="1042"/>
      <c r="BO1020" s="288"/>
    </row>
    <row r="1021" customFormat="false" ht="18.75" hidden="false" customHeight="true" outlineLevel="0" collapsed="false">
      <c r="BM1021" s="1042"/>
      <c r="BO1021" s="288"/>
    </row>
    <row r="1022" customFormat="false" ht="18.75" hidden="false" customHeight="true" outlineLevel="0" collapsed="false">
      <c r="BM1022" s="1042"/>
      <c r="BO1022" s="288"/>
    </row>
    <row r="1023" customFormat="false" ht="18.75" hidden="false" customHeight="true" outlineLevel="0" collapsed="false">
      <c r="BM1023" s="1042"/>
      <c r="BO1023" s="288"/>
    </row>
    <row r="1024" customFormat="false" ht="18.75" hidden="false" customHeight="true" outlineLevel="0" collapsed="false">
      <c r="BM1024" s="1042"/>
      <c r="BO1024" s="288"/>
    </row>
    <row r="1025" customFormat="false" ht="18.75" hidden="false" customHeight="true" outlineLevel="0" collapsed="false">
      <c r="BM1025" s="1042"/>
      <c r="BO1025" s="288"/>
    </row>
    <row r="1026" customFormat="false" ht="18.75" hidden="false" customHeight="true" outlineLevel="0" collapsed="false">
      <c r="BM1026" s="1042"/>
      <c r="BO1026" s="288"/>
    </row>
    <row r="1027" customFormat="false" ht="18.75" hidden="false" customHeight="true" outlineLevel="0" collapsed="false">
      <c r="BM1027" s="1042"/>
      <c r="BO1027" s="288"/>
    </row>
    <row r="1028" customFormat="false" ht="18.75" hidden="false" customHeight="true" outlineLevel="0" collapsed="false">
      <c r="BM1028" s="1042"/>
      <c r="BO1028" s="288"/>
    </row>
    <row r="1029" customFormat="false" ht="18.75" hidden="false" customHeight="true" outlineLevel="0" collapsed="false">
      <c r="BM1029" s="1042"/>
      <c r="BO1029" s="288"/>
    </row>
    <row r="1030" customFormat="false" ht="18.75" hidden="false" customHeight="true" outlineLevel="0" collapsed="false">
      <c r="BM1030" s="1042"/>
      <c r="BO1030" s="288"/>
    </row>
    <row r="1031" customFormat="false" ht="18.75" hidden="false" customHeight="true" outlineLevel="0" collapsed="false">
      <c r="BM1031" s="1042"/>
      <c r="BO1031" s="288"/>
    </row>
    <row r="1032" customFormat="false" ht="18.75" hidden="false" customHeight="true" outlineLevel="0" collapsed="false">
      <c r="BM1032" s="1042"/>
      <c r="BO1032" s="288"/>
    </row>
    <row r="1033" customFormat="false" ht="18.75" hidden="false" customHeight="true" outlineLevel="0" collapsed="false">
      <c r="BM1033" s="1042"/>
      <c r="BO1033" s="288"/>
    </row>
    <row r="1034" customFormat="false" ht="18.75" hidden="false" customHeight="true" outlineLevel="0" collapsed="false">
      <c r="BM1034" s="1042"/>
      <c r="BO1034" s="288"/>
    </row>
    <row r="1035" customFormat="false" ht="18.75" hidden="false" customHeight="true" outlineLevel="0" collapsed="false">
      <c r="BM1035" s="1042"/>
      <c r="BO1035" s="288"/>
    </row>
    <row r="1036" customFormat="false" ht="18.75" hidden="false" customHeight="true" outlineLevel="0" collapsed="false">
      <c r="BM1036" s="1042"/>
      <c r="BO1036" s="288"/>
    </row>
    <row r="1037" customFormat="false" ht="18.75" hidden="false" customHeight="true" outlineLevel="0" collapsed="false">
      <c r="BM1037" s="1042"/>
      <c r="BO1037" s="288"/>
    </row>
    <row r="1038" customFormat="false" ht="18.75" hidden="false" customHeight="true" outlineLevel="0" collapsed="false">
      <c r="BM1038" s="1042"/>
      <c r="BO1038" s="288"/>
    </row>
    <row r="1039" customFormat="false" ht="18.75" hidden="false" customHeight="true" outlineLevel="0" collapsed="false">
      <c r="BM1039" s="1042"/>
      <c r="BO1039" s="288"/>
    </row>
    <row r="1040" customFormat="false" ht="18.75" hidden="false" customHeight="true" outlineLevel="0" collapsed="false">
      <c r="BM1040" s="1042"/>
      <c r="BO1040" s="288"/>
    </row>
    <row r="1041" customFormat="false" ht="18.75" hidden="false" customHeight="true" outlineLevel="0" collapsed="false">
      <c r="BM1041" s="1042"/>
      <c r="BO1041" s="288"/>
    </row>
    <row r="1042" customFormat="false" ht="18.75" hidden="false" customHeight="true" outlineLevel="0" collapsed="false">
      <c r="BM1042" s="1042"/>
      <c r="BO1042" s="288"/>
    </row>
    <row r="1043" customFormat="false" ht="18.75" hidden="false" customHeight="true" outlineLevel="0" collapsed="false">
      <c r="BM1043" s="1042"/>
      <c r="BO1043" s="288"/>
    </row>
    <row r="1044" customFormat="false" ht="18.75" hidden="false" customHeight="true" outlineLevel="0" collapsed="false">
      <c r="BM1044" s="1042"/>
      <c r="BO1044" s="288"/>
    </row>
    <row r="1045" customFormat="false" ht="18.75" hidden="false" customHeight="true" outlineLevel="0" collapsed="false">
      <c r="BM1045" s="1042"/>
      <c r="BO1045" s="288"/>
    </row>
    <row r="1046" customFormat="false" ht="18.75" hidden="false" customHeight="true" outlineLevel="0" collapsed="false">
      <c r="BM1046" s="1042"/>
      <c r="BO1046" s="288"/>
    </row>
    <row r="1047" customFormat="false" ht="18.75" hidden="false" customHeight="true" outlineLevel="0" collapsed="false">
      <c r="BM1047" s="1042"/>
      <c r="BO1047" s="288"/>
    </row>
    <row r="1048" customFormat="false" ht="18.75" hidden="false" customHeight="true" outlineLevel="0" collapsed="false">
      <c r="BM1048" s="1042"/>
      <c r="BO1048" s="288"/>
    </row>
    <row r="1049" customFormat="false" ht="18.75" hidden="false" customHeight="true" outlineLevel="0" collapsed="false">
      <c r="BM1049" s="1042"/>
      <c r="BO1049" s="288"/>
    </row>
    <row r="1050" customFormat="false" ht="18.75" hidden="false" customHeight="true" outlineLevel="0" collapsed="false">
      <c r="BM1050" s="1042"/>
      <c r="BO1050" s="288"/>
    </row>
    <row r="1051" customFormat="false" ht="18.75" hidden="false" customHeight="true" outlineLevel="0" collapsed="false">
      <c r="BM1051" s="1042"/>
      <c r="BO1051" s="288"/>
    </row>
    <row r="1052" customFormat="false" ht="18.75" hidden="false" customHeight="true" outlineLevel="0" collapsed="false">
      <c r="BM1052" s="1042"/>
      <c r="BO1052" s="288"/>
    </row>
    <row r="1053" customFormat="false" ht="18.75" hidden="false" customHeight="true" outlineLevel="0" collapsed="false">
      <c r="BM1053" s="1042"/>
      <c r="BO1053" s="288"/>
    </row>
    <row r="1054" customFormat="false" ht="18.75" hidden="false" customHeight="true" outlineLevel="0" collapsed="false">
      <c r="BM1054" s="1042"/>
      <c r="BO1054" s="288"/>
    </row>
    <row r="1055" customFormat="false" ht="18.75" hidden="false" customHeight="true" outlineLevel="0" collapsed="false">
      <c r="BM1055" s="1042"/>
      <c r="BO1055" s="288"/>
    </row>
    <row r="1056" customFormat="false" ht="18.75" hidden="false" customHeight="true" outlineLevel="0" collapsed="false">
      <c r="BM1056" s="1042"/>
      <c r="BO1056" s="288"/>
    </row>
    <row r="1057" customFormat="false" ht="18.75" hidden="false" customHeight="true" outlineLevel="0" collapsed="false">
      <c r="BM1057" s="1042"/>
      <c r="BO1057" s="288"/>
    </row>
    <row r="1058" customFormat="false" ht="18.75" hidden="false" customHeight="true" outlineLevel="0" collapsed="false">
      <c r="BM1058" s="1042"/>
      <c r="BO1058" s="288"/>
    </row>
    <row r="1059" customFormat="false" ht="18.75" hidden="false" customHeight="true" outlineLevel="0" collapsed="false">
      <c r="BM1059" s="1042"/>
      <c r="BO1059" s="288"/>
    </row>
    <row r="1060" customFormat="false" ht="18.75" hidden="false" customHeight="true" outlineLevel="0" collapsed="false">
      <c r="BM1060" s="1042"/>
      <c r="BO1060" s="288"/>
    </row>
    <row r="1061" customFormat="false" ht="18.75" hidden="false" customHeight="true" outlineLevel="0" collapsed="false">
      <c r="BM1061" s="1042"/>
      <c r="BO1061" s="288"/>
    </row>
    <row r="1062" customFormat="false" ht="18.75" hidden="false" customHeight="true" outlineLevel="0" collapsed="false">
      <c r="BM1062" s="1042"/>
      <c r="BO1062" s="288"/>
    </row>
    <row r="1063" customFormat="false" ht="18.75" hidden="false" customHeight="true" outlineLevel="0" collapsed="false">
      <c r="BM1063" s="1042"/>
      <c r="BO1063" s="288"/>
    </row>
    <row r="1064" customFormat="false" ht="18.75" hidden="false" customHeight="true" outlineLevel="0" collapsed="false">
      <c r="BM1064" s="1042"/>
      <c r="BO1064" s="288"/>
    </row>
    <row r="1065" customFormat="false" ht="18.75" hidden="false" customHeight="true" outlineLevel="0" collapsed="false">
      <c r="BM1065" s="1042"/>
      <c r="BO1065" s="288"/>
    </row>
    <row r="1066" customFormat="false" ht="18.75" hidden="false" customHeight="true" outlineLevel="0" collapsed="false">
      <c r="BM1066" s="1042"/>
      <c r="BO1066" s="288"/>
    </row>
    <row r="1067" customFormat="false" ht="18.75" hidden="false" customHeight="true" outlineLevel="0" collapsed="false">
      <c r="BM1067" s="1042"/>
      <c r="BO1067" s="288"/>
    </row>
    <row r="1068" customFormat="false" ht="18.75" hidden="false" customHeight="true" outlineLevel="0" collapsed="false">
      <c r="BM1068" s="1042"/>
      <c r="BO1068" s="288"/>
    </row>
    <row r="1069" customFormat="false" ht="18.75" hidden="false" customHeight="true" outlineLevel="0" collapsed="false">
      <c r="BM1069" s="1042"/>
      <c r="BO1069" s="288"/>
    </row>
    <row r="1070" customFormat="false" ht="18.75" hidden="false" customHeight="true" outlineLevel="0" collapsed="false">
      <c r="BM1070" s="1042"/>
      <c r="BO1070" s="288"/>
    </row>
    <row r="1071" customFormat="false" ht="18.75" hidden="false" customHeight="true" outlineLevel="0" collapsed="false">
      <c r="BM1071" s="1042"/>
      <c r="BO1071" s="288"/>
    </row>
    <row r="1072" customFormat="false" ht="18.75" hidden="false" customHeight="true" outlineLevel="0" collapsed="false">
      <c r="BM1072" s="1042"/>
      <c r="BO1072" s="288"/>
    </row>
    <row r="1073" customFormat="false" ht="18.75" hidden="false" customHeight="true" outlineLevel="0" collapsed="false">
      <c r="BM1073" s="1042"/>
      <c r="BO1073" s="288"/>
    </row>
    <row r="1074" customFormat="false" ht="18.75" hidden="false" customHeight="true" outlineLevel="0" collapsed="false">
      <c r="BM1074" s="1042"/>
      <c r="BO1074" s="288"/>
    </row>
    <row r="1075" customFormat="false" ht="18.75" hidden="false" customHeight="true" outlineLevel="0" collapsed="false">
      <c r="BM1075" s="1042"/>
      <c r="BO1075" s="288"/>
    </row>
    <row r="1076" customFormat="false" ht="18.75" hidden="false" customHeight="true" outlineLevel="0" collapsed="false">
      <c r="BM1076" s="1042"/>
      <c r="BO1076" s="288"/>
    </row>
    <row r="1077" customFormat="false" ht="18.75" hidden="false" customHeight="true" outlineLevel="0" collapsed="false">
      <c r="BM1077" s="1042"/>
      <c r="BO1077" s="288"/>
    </row>
    <row r="1078" customFormat="false" ht="18.75" hidden="false" customHeight="true" outlineLevel="0" collapsed="false">
      <c r="BM1078" s="1042"/>
      <c r="BO1078" s="288"/>
    </row>
    <row r="1079" customFormat="false" ht="18.75" hidden="false" customHeight="true" outlineLevel="0" collapsed="false">
      <c r="BM1079" s="1042"/>
      <c r="BO1079" s="288"/>
    </row>
    <row r="1080" customFormat="false" ht="18.75" hidden="false" customHeight="true" outlineLevel="0" collapsed="false">
      <c r="BM1080" s="1042"/>
      <c r="BO1080" s="288"/>
    </row>
    <row r="1081" customFormat="false" ht="18.75" hidden="false" customHeight="true" outlineLevel="0" collapsed="false">
      <c r="BM1081" s="1042"/>
      <c r="BO1081" s="288"/>
    </row>
    <row r="1082" customFormat="false" ht="18.75" hidden="false" customHeight="true" outlineLevel="0" collapsed="false">
      <c r="BM1082" s="1042"/>
      <c r="BO1082" s="288"/>
    </row>
    <row r="1083" customFormat="false" ht="18.75" hidden="false" customHeight="true" outlineLevel="0" collapsed="false">
      <c r="BM1083" s="1042"/>
      <c r="BO1083" s="288"/>
    </row>
    <row r="1084" customFormat="false" ht="18.75" hidden="false" customHeight="true" outlineLevel="0" collapsed="false">
      <c r="BM1084" s="1042"/>
      <c r="BO1084" s="288"/>
    </row>
    <row r="1085" customFormat="false" ht="18.75" hidden="false" customHeight="true" outlineLevel="0" collapsed="false">
      <c r="BM1085" s="1042"/>
      <c r="BO1085" s="288"/>
    </row>
    <row r="1086" customFormat="false" ht="18.75" hidden="false" customHeight="true" outlineLevel="0" collapsed="false">
      <c r="BM1086" s="1042"/>
      <c r="BO1086" s="288"/>
    </row>
    <row r="1087" customFormat="false" ht="18.75" hidden="false" customHeight="true" outlineLevel="0" collapsed="false">
      <c r="BM1087" s="1042"/>
      <c r="BO1087" s="288"/>
    </row>
    <row r="1088" customFormat="false" ht="18.75" hidden="false" customHeight="true" outlineLevel="0" collapsed="false">
      <c r="BM1088" s="1042"/>
      <c r="BO1088" s="288"/>
    </row>
    <row r="1089" customFormat="false" ht="18.75" hidden="false" customHeight="true" outlineLevel="0" collapsed="false">
      <c r="BM1089" s="1042"/>
      <c r="BO1089" s="288"/>
    </row>
    <row r="1090" customFormat="false" ht="18.75" hidden="false" customHeight="true" outlineLevel="0" collapsed="false">
      <c r="BM1090" s="1042"/>
      <c r="BO1090" s="288"/>
    </row>
    <row r="1091" customFormat="false" ht="18.75" hidden="false" customHeight="true" outlineLevel="0" collapsed="false">
      <c r="BM1091" s="1042"/>
      <c r="BO1091" s="288"/>
    </row>
    <row r="1092" customFormat="false" ht="18.75" hidden="false" customHeight="true" outlineLevel="0" collapsed="false">
      <c r="BM1092" s="1042"/>
      <c r="BO1092" s="288"/>
    </row>
    <row r="1093" customFormat="false" ht="18.75" hidden="false" customHeight="true" outlineLevel="0" collapsed="false">
      <c r="BM1093" s="1042"/>
      <c r="BO1093" s="288"/>
    </row>
    <row r="1094" customFormat="false" ht="18.75" hidden="false" customHeight="true" outlineLevel="0" collapsed="false">
      <c r="BM1094" s="1042"/>
      <c r="BO1094" s="288"/>
    </row>
    <row r="1095" customFormat="false" ht="18.75" hidden="false" customHeight="true" outlineLevel="0" collapsed="false">
      <c r="BM1095" s="1042"/>
      <c r="BO1095" s="288"/>
    </row>
    <row r="1096" customFormat="false" ht="18.75" hidden="false" customHeight="true" outlineLevel="0" collapsed="false">
      <c r="BM1096" s="1042"/>
      <c r="BO1096" s="288"/>
    </row>
    <row r="1097" customFormat="false" ht="18.75" hidden="false" customHeight="true" outlineLevel="0" collapsed="false">
      <c r="BM1097" s="1042"/>
      <c r="BO1097" s="288"/>
    </row>
    <row r="1098" customFormat="false" ht="18.75" hidden="false" customHeight="true" outlineLevel="0" collapsed="false">
      <c r="BM1098" s="1042"/>
      <c r="BO1098" s="288"/>
    </row>
    <row r="1099" customFormat="false" ht="18.75" hidden="false" customHeight="true" outlineLevel="0" collapsed="false">
      <c r="BM1099" s="1042"/>
      <c r="BO1099" s="288"/>
    </row>
    <row r="1100" customFormat="false" ht="18.75" hidden="false" customHeight="true" outlineLevel="0" collapsed="false">
      <c r="BM1100" s="1042"/>
      <c r="BO1100" s="288"/>
    </row>
    <row r="1101" customFormat="false" ht="18.75" hidden="false" customHeight="true" outlineLevel="0" collapsed="false">
      <c r="BM1101" s="1042"/>
      <c r="BO1101" s="288"/>
    </row>
    <row r="1102" customFormat="false" ht="18.75" hidden="false" customHeight="true" outlineLevel="0" collapsed="false">
      <c r="BM1102" s="1042"/>
      <c r="BO1102" s="288"/>
    </row>
    <row r="1103" customFormat="false" ht="18.75" hidden="false" customHeight="true" outlineLevel="0" collapsed="false">
      <c r="BM1103" s="1042"/>
      <c r="BO1103" s="288"/>
    </row>
    <row r="1104" customFormat="false" ht="18.75" hidden="false" customHeight="true" outlineLevel="0" collapsed="false">
      <c r="BM1104" s="1042"/>
      <c r="BO1104" s="288"/>
    </row>
    <row r="1105" customFormat="false" ht="18.75" hidden="false" customHeight="true" outlineLevel="0" collapsed="false">
      <c r="BM1105" s="1042"/>
      <c r="BO1105" s="288"/>
    </row>
    <row r="1106" customFormat="false" ht="18.75" hidden="false" customHeight="true" outlineLevel="0" collapsed="false">
      <c r="BM1106" s="1042"/>
      <c r="BO1106" s="288"/>
    </row>
    <row r="1107" customFormat="false" ht="18.75" hidden="false" customHeight="true" outlineLevel="0" collapsed="false">
      <c r="BM1107" s="1042"/>
      <c r="BO1107" s="288"/>
    </row>
    <row r="1108" customFormat="false" ht="18.75" hidden="false" customHeight="true" outlineLevel="0" collapsed="false">
      <c r="BM1108" s="1042"/>
      <c r="BO1108" s="288"/>
    </row>
    <row r="1109" customFormat="false" ht="18.75" hidden="false" customHeight="true" outlineLevel="0" collapsed="false">
      <c r="BM1109" s="1042"/>
      <c r="BO1109" s="288"/>
    </row>
    <row r="1110" customFormat="false" ht="18.75" hidden="false" customHeight="true" outlineLevel="0" collapsed="false">
      <c r="BM1110" s="1042"/>
      <c r="BO1110" s="288"/>
    </row>
    <row r="1111" customFormat="false" ht="18.75" hidden="false" customHeight="true" outlineLevel="0" collapsed="false">
      <c r="BM1111" s="1042"/>
      <c r="BO1111" s="288"/>
    </row>
    <row r="1112" customFormat="false" ht="18.75" hidden="false" customHeight="true" outlineLevel="0" collapsed="false">
      <c r="BM1112" s="1042"/>
      <c r="BO1112" s="288"/>
    </row>
    <row r="1113" customFormat="false" ht="18.75" hidden="false" customHeight="true" outlineLevel="0" collapsed="false">
      <c r="BM1113" s="1042"/>
      <c r="BO1113" s="288"/>
    </row>
    <row r="1114" customFormat="false" ht="18.75" hidden="false" customHeight="true" outlineLevel="0" collapsed="false">
      <c r="BM1114" s="1042"/>
      <c r="BO1114" s="288"/>
    </row>
    <row r="1115" customFormat="false" ht="18.75" hidden="false" customHeight="true" outlineLevel="0" collapsed="false">
      <c r="BM1115" s="1042"/>
      <c r="BO1115" s="288"/>
    </row>
    <row r="1116" customFormat="false" ht="18.75" hidden="false" customHeight="true" outlineLevel="0" collapsed="false">
      <c r="BM1116" s="1042"/>
      <c r="BO1116" s="288"/>
    </row>
    <row r="1117" customFormat="false" ht="18.75" hidden="false" customHeight="true" outlineLevel="0" collapsed="false">
      <c r="BM1117" s="1042"/>
      <c r="BO1117" s="288"/>
    </row>
    <row r="1118" customFormat="false" ht="18.75" hidden="false" customHeight="true" outlineLevel="0" collapsed="false">
      <c r="BM1118" s="1042"/>
      <c r="BO1118" s="288"/>
    </row>
    <row r="1119" customFormat="false" ht="18.75" hidden="false" customHeight="true" outlineLevel="0" collapsed="false">
      <c r="BM1119" s="1042"/>
      <c r="BO1119" s="288"/>
    </row>
    <row r="1120" customFormat="false" ht="18.75" hidden="false" customHeight="true" outlineLevel="0" collapsed="false">
      <c r="BM1120" s="1042"/>
      <c r="BO1120" s="288"/>
    </row>
    <row r="1121" customFormat="false" ht="18.75" hidden="false" customHeight="true" outlineLevel="0" collapsed="false">
      <c r="BM1121" s="1042"/>
      <c r="BO1121" s="288"/>
    </row>
    <row r="1122" customFormat="false" ht="18.75" hidden="false" customHeight="true" outlineLevel="0" collapsed="false">
      <c r="BM1122" s="1042"/>
      <c r="BO1122" s="288"/>
    </row>
    <row r="1123" customFormat="false" ht="18.75" hidden="false" customHeight="true" outlineLevel="0" collapsed="false">
      <c r="BM1123" s="1042"/>
      <c r="BO1123" s="288"/>
    </row>
    <row r="1124" customFormat="false" ht="18.75" hidden="false" customHeight="true" outlineLevel="0" collapsed="false">
      <c r="BM1124" s="1042"/>
      <c r="BO1124" s="288"/>
    </row>
    <row r="1125" customFormat="false" ht="18.75" hidden="false" customHeight="true" outlineLevel="0" collapsed="false">
      <c r="BM1125" s="1042"/>
      <c r="BO1125" s="288"/>
    </row>
    <row r="1126" customFormat="false" ht="18.75" hidden="false" customHeight="true" outlineLevel="0" collapsed="false">
      <c r="BM1126" s="1042"/>
      <c r="BO1126" s="288"/>
    </row>
    <row r="1127" customFormat="false" ht="18.75" hidden="false" customHeight="true" outlineLevel="0" collapsed="false">
      <c r="BM1127" s="1042"/>
      <c r="BO1127" s="288"/>
    </row>
    <row r="1128" customFormat="false" ht="18.75" hidden="false" customHeight="true" outlineLevel="0" collapsed="false">
      <c r="BM1128" s="1042"/>
      <c r="BO1128" s="288"/>
    </row>
    <row r="1129" customFormat="false" ht="18.75" hidden="false" customHeight="true" outlineLevel="0" collapsed="false">
      <c r="BM1129" s="1042"/>
      <c r="BO1129" s="288"/>
    </row>
    <row r="1130" customFormat="false" ht="18.75" hidden="false" customHeight="true" outlineLevel="0" collapsed="false">
      <c r="BM1130" s="1042"/>
      <c r="BO1130" s="288"/>
    </row>
    <row r="1131" customFormat="false" ht="18.75" hidden="false" customHeight="true" outlineLevel="0" collapsed="false">
      <c r="BM1131" s="1042"/>
      <c r="BO1131" s="288"/>
    </row>
    <row r="1132" customFormat="false" ht="18.75" hidden="false" customHeight="true" outlineLevel="0" collapsed="false">
      <c r="BM1132" s="1042"/>
      <c r="BO1132" s="288"/>
    </row>
    <row r="1133" customFormat="false" ht="18.75" hidden="false" customHeight="true" outlineLevel="0" collapsed="false">
      <c r="BM1133" s="1042"/>
      <c r="BO1133" s="288"/>
    </row>
    <row r="1134" customFormat="false" ht="18.75" hidden="false" customHeight="true" outlineLevel="0" collapsed="false">
      <c r="BM1134" s="1042"/>
      <c r="BO1134" s="288"/>
    </row>
    <row r="1135" customFormat="false" ht="18.75" hidden="false" customHeight="true" outlineLevel="0" collapsed="false">
      <c r="BM1135" s="1042"/>
      <c r="BO1135" s="288"/>
    </row>
    <row r="1136" customFormat="false" ht="18.75" hidden="false" customHeight="true" outlineLevel="0" collapsed="false">
      <c r="BM1136" s="1042"/>
      <c r="BO1136" s="288"/>
    </row>
    <row r="1137" customFormat="false" ht="18.75" hidden="false" customHeight="true" outlineLevel="0" collapsed="false">
      <c r="BM1137" s="1042"/>
      <c r="BO1137" s="288"/>
    </row>
    <row r="1138" customFormat="false" ht="18.75" hidden="false" customHeight="true" outlineLevel="0" collapsed="false">
      <c r="BM1138" s="1042"/>
      <c r="BO1138" s="288"/>
    </row>
    <row r="1139" customFormat="false" ht="18.75" hidden="false" customHeight="true" outlineLevel="0" collapsed="false">
      <c r="BM1139" s="1042"/>
      <c r="BO1139" s="288"/>
    </row>
    <row r="1140" customFormat="false" ht="18.75" hidden="false" customHeight="true" outlineLevel="0" collapsed="false">
      <c r="BM1140" s="1042"/>
      <c r="BO1140" s="288"/>
    </row>
    <row r="1141" customFormat="false" ht="18.75" hidden="false" customHeight="true" outlineLevel="0" collapsed="false">
      <c r="BM1141" s="1042"/>
      <c r="BO1141" s="288"/>
    </row>
    <row r="1142" customFormat="false" ht="18.75" hidden="false" customHeight="true" outlineLevel="0" collapsed="false">
      <c r="BM1142" s="1042"/>
      <c r="BO1142" s="288"/>
    </row>
    <row r="1143" customFormat="false" ht="18.75" hidden="false" customHeight="true" outlineLevel="0" collapsed="false">
      <c r="BM1143" s="1042"/>
      <c r="BO1143" s="288"/>
    </row>
    <row r="1144" customFormat="false" ht="18.75" hidden="false" customHeight="true" outlineLevel="0" collapsed="false">
      <c r="BM1144" s="1042"/>
      <c r="BO1144" s="288"/>
    </row>
    <row r="1145" customFormat="false" ht="18.75" hidden="false" customHeight="true" outlineLevel="0" collapsed="false">
      <c r="BM1145" s="1042"/>
      <c r="BO1145" s="288"/>
    </row>
    <row r="1146" customFormat="false" ht="18.75" hidden="false" customHeight="true" outlineLevel="0" collapsed="false">
      <c r="BM1146" s="1042"/>
      <c r="BO1146" s="288"/>
    </row>
    <row r="1147" customFormat="false" ht="18.75" hidden="false" customHeight="true" outlineLevel="0" collapsed="false">
      <c r="BM1147" s="1042"/>
      <c r="BO1147" s="288"/>
    </row>
    <row r="1148" customFormat="false" ht="18.75" hidden="false" customHeight="true" outlineLevel="0" collapsed="false">
      <c r="BM1148" s="1042"/>
      <c r="BO1148" s="288"/>
    </row>
    <row r="1149" customFormat="false" ht="18.75" hidden="false" customHeight="true" outlineLevel="0" collapsed="false">
      <c r="BM1149" s="1042"/>
      <c r="BO1149" s="288"/>
    </row>
    <row r="1150" customFormat="false" ht="18.75" hidden="false" customHeight="true" outlineLevel="0" collapsed="false">
      <c r="BM1150" s="1042"/>
      <c r="BO1150" s="288"/>
    </row>
    <row r="1151" customFormat="false" ht="18.75" hidden="false" customHeight="true" outlineLevel="0" collapsed="false">
      <c r="BM1151" s="1042"/>
      <c r="BO1151" s="288"/>
    </row>
    <row r="1152" customFormat="false" ht="18.75" hidden="false" customHeight="true" outlineLevel="0" collapsed="false">
      <c r="BM1152" s="1042"/>
      <c r="BO1152" s="288"/>
    </row>
    <row r="1153" customFormat="false" ht="18.75" hidden="false" customHeight="true" outlineLevel="0" collapsed="false">
      <c r="BM1153" s="1042"/>
      <c r="BO1153" s="288"/>
    </row>
    <row r="1154" customFormat="false" ht="18.75" hidden="false" customHeight="true" outlineLevel="0" collapsed="false">
      <c r="BM1154" s="1042"/>
      <c r="BO1154" s="288"/>
    </row>
    <row r="1155" customFormat="false" ht="18.75" hidden="false" customHeight="true" outlineLevel="0" collapsed="false">
      <c r="BM1155" s="1042"/>
      <c r="BO1155" s="288"/>
    </row>
    <row r="1156" customFormat="false" ht="18.75" hidden="false" customHeight="true" outlineLevel="0" collapsed="false">
      <c r="BM1156" s="1042"/>
      <c r="BO1156" s="288"/>
    </row>
    <row r="1157" customFormat="false" ht="18.75" hidden="false" customHeight="true" outlineLevel="0" collapsed="false">
      <c r="BM1157" s="1042"/>
      <c r="BO1157" s="288"/>
    </row>
    <row r="1158" customFormat="false" ht="18.75" hidden="false" customHeight="true" outlineLevel="0" collapsed="false">
      <c r="BM1158" s="1042"/>
      <c r="BO1158" s="288"/>
    </row>
    <row r="1159" customFormat="false" ht="18.75" hidden="false" customHeight="true" outlineLevel="0" collapsed="false">
      <c r="BM1159" s="1042"/>
      <c r="BO1159" s="288"/>
    </row>
    <row r="1160" customFormat="false" ht="18.75" hidden="false" customHeight="true" outlineLevel="0" collapsed="false">
      <c r="BM1160" s="1042"/>
      <c r="BO1160" s="288"/>
    </row>
    <row r="1161" customFormat="false" ht="18.75" hidden="false" customHeight="true" outlineLevel="0" collapsed="false">
      <c r="BM1161" s="1042"/>
      <c r="BO1161" s="288"/>
    </row>
    <row r="1162" customFormat="false" ht="18.75" hidden="false" customHeight="true" outlineLevel="0" collapsed="false">
      <c r="BM1162" s="1042"/>
      <c r="BO1162" s="288"/>
    </row>
    <row r="1163" customFormat="false" ht="18.75" hidden="false" customHeight="true" outlineLevel="0" collapsed="false">
      <c r="BM1163" s="1042"/>
      <c r="BO1163" s="288"/>
    </row>
    <row r="1164" customFormat="false" ht="18.75" hidden="false" customHeight="true" outlineLevel="0" collapsed="false">
      <c r="BM1164" s="1042"/>
      <c r="BO1164" s="288"/>
    </row>
    <row r="1165" customFormat="false" ht="18.75" hidden="false" customHeight="true" outlineLevel="0" collapsed="false">
      <c r="BM1165" s="1042"/>
      <c r="BO1165" s="288"/>
    </row>
    <row r="1166" customFormat="false" ht="18.75" hidden="false" customHeight="true" outlineLevel="0" collapsed="false">
      <c r="BM1166" s="1042"/>
      <c r="BO1166" s="288"/>
    </row>
    <row r="1167" customFormat="false" ht="18.75" hidden="false" customHeight="true" outlineLevel="0" collapsed="false">
      <c r="BM1167" s="1042"/>
      <c r="BO1167" s="288"/>
    </row>
    <row r="1168" customFormat="false" ht="18.75" hidden="false" customHeight="true" outlineLevel="0" collapsed="false">
      <c r="BM1168" s="1042"/>
      <c r="BO1168" s="288"/>
    </row>
    <row r="1169" customFormat="false" ht="18.75" hidden="false" customHeight="true" outlineLevel="0" collapsed="false">
      <c r="BM1169" s="1042"/>
      <c r="BO1169" s="288"/>
    </row>
    <row r="1170" customFormat="false" ht="18.75" hidden="false" customHeight="true" outlineLevel="0" collapsed="false">
      <c r="BM1170" s="1042"/>
      <c r="BO1170" s="288"/>
    </row>
    <row r="1171" customFormat="false" ht="18.75" hidden="false" customHeight="true" outlineLevel="0" collapsed="false">
      <c r="BM1171" s="1042"/>
      <c r="BO1171" s="288"/>
    </row>
    <row r="1172" customFormat="false" ht="18.75" hidden="false" customHeight="true" outlineLevel="0" collapsed="false">
      <c r="BM1172" s="1042"/>
      <c r="BO1172" s="288"/>
    </row>
    <row r="1173" customFormat="false" ht="18.75" hidden="false" customHeight="true" outlineLevel="0" collapsed="false">
      <c r="BM1173" s="1042"/>
      <c r="BO1173" s="288"/>
    </row>
    <row r="1174" customFormat="false" ht="18.75" hidden="false" customHeight="true" outlineLevel="0" collapsed="false">
      <c r="BM1174" s="1042"/>
      <c r="BO1174" s="288"/>
    </row>
    <row r="1175" customFormat="false" ht="18.75" hidden="false" customHeight="true" outlineLevel="0" collapsed="false">
      <c r="BM1175" s="1042"/>
      <c r="BO1175" s="288"/>
    </row>
    <row r="1176" customFormat="false" ht="18.75" hidden="false" customHeight="true" outlineLevel="0" collapsed="false">
      <c r="BM1176" s="1042"/>
      <c r="BO1176" s="288"/>
    </row>
    <row r="1177" customFormat="false" ht="18.75" hidden="false" customHeight="true" outlineLevel="0" collapsed="false">
      <c r="BM1177" s="1042"/>
      <c r="BO1177" s="288"/>
    </row>
    <row r="1178" customFormat="false" ht="18.75" hidden="false" customHeight="true" outlineLevel="0" collapsed="false">
      <c r="BM1178" s="1042"/>
      <c r="BO1178" s="288"/>
    </row>
    <row r="1179" customFormat="false" ht="18.75" hidden="false" customHeight="true" outlineLevel="0" collapsed="false">
      <c r="BM1179" s="1042"/>
      <c r="BO1179" s="288"/>
    </row>
    <row r="1180" customFormat="false" ht="18.75" hidden="false" customHeight="true" outlineLevel="0" collapsed="false">
      <c r="BM1180" s="1042"/>
      <c r="BO1180" s="288"/>
    </row>
    <row r="1181" customFormat="false" ht="18.75" hidden="false" customHeight="true" outlineLevel="0" collapsed="false">
      <c r="BM1181" s="1042"/>
      <c r="BO1181" s="288"/>
    </row>
    <row r="1182" customFormat="false" ht="18.75" hidden="false" customHeight="true" outlineLevel="0" collapsed="false">
      <c r="BM1182" s="1042"/>
      <c r="BO1182" s="288"/>
    </row>
    <row r="1183" customFormat="false" ht="18.75" hidden="false" customHeight="true" outlineLevel="0" collapsed="false">
      <c r="BM1183" s="1042"/>
      <c r="BO1183" s="288"/>
    </row>
    <row r="1184" customFormat="false" ht="18.75" hidden="false" customHeight="true" outlineLevel="0" collapsed="false">
      <c r="BM1184" s="1042"/>
      <c r="BO1184" s="288"/>
    </row>
    <row r="1185" customFormat="false" ht="18.75" hidden="false" customHeight="true" outlineLevel="0" collapsed="false">
      <c r="BM1185" s="1042"/>
      <c r="BO1185" s="288"/>
    </row>
    <row r="1186" customFormat="false" ht="18.75" hidden="false" customHeight="true" outlineLevel="0" collapsed="false">
      <c r="BM1186" s="1042"/>
      <c r="BO1186" s="288"/>
    </row>
    <row r="1187" customFormat="false" ht="18.75" hidden="false" customHeight="true" outlineLevel="0" collapsed="false">
      <c r="BM1187" s="1042"/>
      <c r="BO1187" s="288"/>
    </row>
    <row r="1188" customFormat="false" ht="18.75" hidden="false" customHeight="true" outlineLevel="0" collapsed="false">
      <c r="BM1188" s="1042"/>
      <c r="BO1188" s="288"/>
    </row>
    <row r="1189" customFormat="false" ht="18.75" hidden="false" customHeight="true" outlineLevel="0" collapsed="false">
      <c r="BM1189" s="1042"/>
      <c r="BO1189" s="288"/>
    </row>
    <row r="1190" customFormat="false" ht="18.75" hidden="false" customHeight="true" outlineLevel="0" collapsed="false">
      <c r="BM1190" s="1042"/>
      <c r="BO1190" s="288"/>
    </row>
    <row r="1191" customFormat="false" ht="18.75" hidden="false" customHeight="true" outlineLevel="0" collapsed="false">
      <c r="BM1191" s="1042"/>
      <c r="BO1191" s="288"/>
    </row>
    <row r="1192" customFormat="false" ht="18.75" hidden="false" customHeight="true" outlineLevel="0" collapsed="false">
      <c r="BM1192" s="1042"/>
      <c r="BO1192" s="288"/>
    </row>
    <row r="1193" customFormat="false" ht="18.75" hidden="false" customHeight="true" outlineLevel="0" collapsed="false">
      <c r="BM1193" s="1042"/>
      <c r="BO1193" s="288"/>
    </row>
    <row r="1194" customFormat="false" ht="18.75" hidden="false" customHeight="true" outlineLevel="0" collapsed="false">
      <c r="BM1194" s="1042"/>
      <c r="BO1194" s="288"/>
    </row>
    <row r="1195" customFormat="false" ht="18.75" hidden="false" customHeight="true" outlineLevel="0" collapsed="false">
      <c r="BM1195" s="1042"/>
      <c r="BO1195" s="288"/>
    </row>
    <row r="1196" customFormat="false" ht="18.75" hidden="false" customHeight="true" outlineLevel="0" collapsed="false">
      <c r="BM1196" s="1042"/>
      <c r="BO1196" s="288"/>
    </row>
    <row r="1197" customFormat="false" ht="18.75" hidden="false" customHeight="true" outlineLevel="0" collapsed="false">
      <c r="BM1197" s="1042"/>
      <c r="BO1197" s="288"/>
    </row>
    <row r="1198" customFormat="false" ht="18.75" hidden="false" customHeight="true" outlineLevel="0" collapsed="false">
      <c r="BM1198" s="1042"/>
      <c r="BO1198" s="288"/>
    </row>
    <row r="1199" customFormat="false" ht="18.75" hidden="false" customHeight="true" outlineLevel="0" collapsed="false">
      <c r="BM1199" s="1042"/>
      <c r="BO1199" s="288"/>
    </row>
    <row r="1200" customFormat="false" ht="18.75" hidden="false" customHeight="true" outlineLevel="0" collapsed="false">
      <c r="BM1200" s="1042"/>
      <c r="BO1200" s="288"/>
    </row>
    <row r="1201" customFormat="false" ht="18.75" hidden="false" customHeight="true" outlineLevel="0" collapsed="false">
      <c r="BM1201" s="1042"/>
      <c r="BO1201" s="288"/>
    </row>
    <row r="1202" customFormat="false" ht="18.75" hidden="false" customHeight="true" outlineLevel="0" collapsed="false">
      <c r="BM1202" s="1042"/>
      <c r="BO1202" s="288"/>
    </row>
    <row r="1203" customFormat="false" ht="18.75" hidden="false" customHeight="true" outlineLevel="0" collapsed="false">
      <c r="BM1203" s="1042"/>
      <c r="BO1203" s="288"/>
    </row>
    <row r="1204" customFormat="false" ht="18.75" hidden="false" customHeight="true" outlineLevel="0" collapsed="false">
      <c r="BM1204" s="1042"/>
      <c r="BO1204" s="288"/>
    </row>
    <row r="1205" customFormat="false" ht="18.75" hidden="false" customHeight="true" outlineLevel="0" collapsed="false">
      <c r="BM1205" s="1042"/>
      <c r="BO1205" s="288"/>
    </row>
    <row r="1206" customFormat="false" ht="18.75" hidden="false" customHeight="true" outlineLevel="0" collapsed="false">
      <c r="BM1206" s="1042"/>
      <c r="BO1206" s="288"/>
    </row>
    <row r="1207" customFormat="false" ht="18.75" hidden="false" customHeight="true" outlineLevel="0" collapsed="false">
      <c r="BM1207" s="1042"/>
      <c r="BO1207" s="288"/>
    </row>
    <row r="1208" customFormat="false" ht="18.75" hidden="false" customHeight="true" outlineLevel="0" collapsed="false">
      <c r="BM1208" s="1042"/>
      <c r="BO1208" s="288"/>
    </row>
    <row r="1209" customFormat="false" ht="18.75" hidden="false" customHeight="true" outlineLevel="0" collapsed="false">
      <c r="BM1209" s="1042"/>
      <c r="BO1209" s="288"/>
    </row>
    <row r="1210" customFormat="false" ht="18.75" hidden="false" customHeight="true" outlineLevel="0" collapsed="false">
      <c r="BM1210" s="1042"/>
      <c r="BO1210" s="288"/>
    </row>
    <row r="1211" customFormat="false" ht="18.75" hidden="false" customHeight="true" outlineLevel="0" collapsed="false">
      <c r="BM1211" s="1042"/>
      <c r="BO1211" s="288"/>
    </row>
    <row r="1212" customFormat="false" ht="18.75" hidden="false" customHeight="true" outlineLevel="0" collapsed="false">
      <c r="BM1212" s="1042"/>
      <c r="BO1212" s="288"/>
    </row>
    <row r="1213" customFormat="false" ht="18.75" hidden="false" customHeight="true" outlineLevel="0" collapsed="false">
      <c r="BM1213" s="1042"/>
      <c r="BO1213" s="288"/>
    </row>
    <row r="1214" customFormat="false" ht="18.75" hidden="false" customHeight="true" outlineLevel="0" collapsed="false">
      <c r="BM1214" s="1042"/>
      <c r="BO1214" s="288"/>
    </row>
    <row r="1215" customFormat="false" ht="18.75" hidden="false" customHeight="true" outlineLevel="0" collapsed="false">
      <c r="BM1215" s="1042"/>
      <c r="BO1215" s="288"/>
    </row>
    <row r="1216" customFormat="false" ht="18.75" hidden="false" customHeight="true" outlineLevel="0" collapsed="false">
      <c r="BM1216" s="1042"/>
      <c r="BO1216" s="288"/>
    </row>
    <row r="1217" customFormat="false" ht="18.75" hidden="false" customHeight="true" outlineLevel="0" collapsed="false">
      <c r="BM1217" s="1042"/>
      <c r="BO1217" s="288"/>
    </row>
    <row r="1218" customFormat="false" ht="18.75" hidden="false" customHeight="true" outlineLevel="0" collapsed="false">
      <c r="BM1218" s="1042"/>
      <c r="BO1218" s="288"/>
    </row>
    <row r="1219" customFormat="false" ht="18.75" hidden="false" customHeight="true" outlineLevel="0" collapsed="false">
      <c r="BM1219" s="1042"/>
      <c r="BO1219" s="288"/>
    </row>
    <row r="1220" customFormat="false" ht="18.75" hidden="false" customHeight="true" outlineLevel="0" collapsed="false">
      <c r="BM1220" s="1042"/>
      <c r="BO1220" s="288"/>
    </row>
    <row r="1221" customFormat="false" ht="18.75" hidden="false" customHeight="true" outlineLevel="0" collapsed="false">
      <c r="BM1221" s="1042"/>
      <c r="BO1221" s="288"/>
    </row>
    <row r="1222" customFormat="false" ht="18.75" hidden="false" customHeight="true" outlineLevel="0" collapsed="false">
      <c r="BM1222" s="1042"/>
      <c r="BO1222" s="288"/>
    </row>
    <row r="1223" customFormat="false" ht="18.75" hidden="false" customHeight="true" outlineLevel="0" collapsed="false">
      <c r="BM1223" s="1042"/>
      <c r="BO1223" s="288"/>
    </row>
    <row r="1224" customFormat="false" ht="18.75" hidden="false" customHeight="true" outlineLevel="0" collapsed="false">
      <c r="BM1224" s="1042"/>
      <c r="BO1224" s="288"/>
    </row>
    <row r="1225" customFormat="false" ht="18.75" hidden="false" customHeight="true" outlineLevel="0" collapsed="false">
      <c r="BM1225" s="1042"/>
      <c r="BO1225" s="288"/>
    </row>
    <row r="1226" customFormat="false" ht="18.75" hidden="false" customHeight="true" outlineLevel="0" collapsed="false">
      <c r="BM1226" s="1042"/>
      <c r="BO1226" s="288"/>
    </row>
    <row r="1227" customFormat="false" ht="18.75" hidden="false" customHeight="true" outlineLevel="0" collapsed="false">
      <c r="BM1227" s="1042"/>
      <c r="BO1227" s="288"/>
    </row>
    <row r="1228" customFormat="false" ht="18.75" hidden="false" customHeight="true" outlineLevel="0" collapsed="false">
      <c r="BM1228" s="1042"/>
      <c r="BO1228" s="288"/>
    </row>
    <row r="1229" customFormat="false" ht="18.75" hidden="false" customHeight="true" outlineLevel="0" collapsed="false">
      <c r="BM1229" s="1042"/>
      <c r="BO1229" s="288"/>
    </row>
    <row r="1230" customFormat="false" ht="18.75" hidden="false" customHeight="true" outlineLevel="0" collapsed="false">
      <c r="BM1230" s="1042"/>
      <c r="BO1230" s="288"/>
    </row>
    <row r="1231" customFormat="false" ht="18.75" hidden="false" customHeight="true" outlineLevel="0" collapsed="false">
      <c r="BM1231" s="1042"/>
      <c r="BO1231" s="288"/>
    </row>
    <row r="1232" customFormat="false" ht="18.75" hidden="false" customHeight="true" outlineLevel="0" collapsed="false">
      <c r="BM1232" s="1042"/>
      <c r="BO1232" s="288"/>
    </row>
    <row r="1233" customFormat="false" ht="18.75" hidden="false" customHeight="true" outlineLevel="0" collapsed="false">
      <c r="BM1233" s="1042"/>
      <c r="BO1233" s="288"/>
    </row>
    <row r="1234" customFormat="false" ht="18.75" hidden="false" customHeight="true" outlineLevel="0" collapsed="false">
      <c r="BM1234" s="1042"/>
      <c r="BO1234" s="288"/>
    </row>
    <row r="1235" customFormat="false" ht="18.75" hidden="false" customHeight="true" outlineLevel="0" collapsed="false">
      <c r="BM1235" s="1042"/>
      <c r="BO1235" s="288"/>
    </row>
    <row r="1236" customFormat="false" ht="18.75" hidden="false" customHeight="true" outlineLevel="0" collapsed="false">
      <c r="BM1236" s="1042"/>
      <c r="BO1236" s="288"/>
    </row>
    <row r="1237" customFormat="false" ht="18.75" hidden="false" customHeight="true" outlineLevel="0" collapsed="false">
      <c r="BM1237" s="1042"/>
      <c r="BO1237" s="288"/>
    </row>
    <row r="1238" customFormat="false" ht="18.75" hidden="false" customHeight="true" outlineLevel="0" collapsed="false">
      <c r="BM1238" s="1042"/>
      <c r="BO1238" s="288"/>
    </row>
    <row r="1239" customFormat="false" ht="18.75" hidden="false" customHeight="true" outlineLevel="0" collapsed="false">
      <c r="BM1239" s="1042"/>
      <c r="BO1239" s="288"/>
    </row>
    <row r="1240" customFormat="false" ht="18.75" hidden="false" customHeight="true" outlineLevel="0" collapsed="false">
      <c r="BM1240" s="1042"/>
      <c r="BO1240" s="288"/>
    </row>
    <row r="1241" customFormat="false" ht="18.75" hidden="false" customHeight="true" outlineLevel="0" collapsed="false">
      <c r="BM1241" s="1042"/>
      <c r="BO1241" s="288"/>
    </row>
    <row r="1242" customFormat="false" ht="18.75" hidden="false" customHeight="true" outlineLevel="0" collapsed="false">
      <c r="BM1242" s="1042"/>
      <c r="BO1242" s="288"/>
    </row>
    <row r="1243" customFormat="false" ht="18.75" hidden="false" customHeight="true" outlineLevel="0" collapsed="false">
      <c r="BM1243" s="1042"/>
      <c r="BO1243" s="288"/>
    </row>
    <row r="1244" customFormat="false" ht="18.75" hidden="false" customHeight="true" outlineLevel="0" collapsed="false">
      <c r="BM1244" s="1042"/>
      <c r="BO1244" s="288"/>
    </row>
    <row r="1245" customFormat="false" ht="18.75" hidden="false" customHeight="true" outlineLevel="0" collapsed="false">
      <c r="BM1245" s="1042"/>
      <c r="BO1245" s="288"/>
    </row>
    <row r="1246" customFormat="false" ht="18.75" hidden="false" customHeight="true" outlineLevel="0" collapsed="false">
      <c r="BM1246" s="1042"/>
      <c r="BO1246" s="288"/>
    </row>
    <row r="1247" customFormat="false" ht="18.75" hidden="false" customHeight="true" outlineLevel="0" collapsed="false">
      <c r="BM1247" s="1042"/>
      <c r="BO1247" s="288"/>
    </row>
    <row r="1248" customFormat="false" ht="18.75" hidden="false" customHeight="true" outlineLevel="0" collapsed="false">
      <c r="BM1248" s="1042"/>
      <c r="BO1248" s="288"/>
    </row>
    <row r="1249" customFormat="false" ht="18.75" hidden="false" customHeight="true" outlineLevel="0" collapsed="false">
      <c r="BM1249" s="1042"/>
      <c r="BO1249" s="288"/>
    </row>
    <row r="1250" customFormat="false" ht="18.75" hidden="false" customHeight="true" outlineLevel="0" collapsed="false">
      <c r="BM1250" s="1042"/>
      <c r="BO1250" s="288"/>
    </row>
    <row r="1251" customFormat="false" ht="18.75" hidden="false" customHeight="true" outlineLevel="0" collapsed="false">
      <c r="BM1251" s="1042"/>
      <c r="BO1251" s="288"/>
    </row>
    <row r="1252" customFormat="false" ht="18.75" hidden="false" customHeight="true" outlineLevel="0" collapsed="false">
      <c r="BM1252" s="1042"/>
      <c r="BO1252" s="288"/>
    </row>
    <row r="1253" customFormat="false" ht="18.75" hidden="false" customHeight="true" outlineLevel="0" collapsed="false">
      <c r="BM1253" s="1042"/>
      <c r="BO1253" s="288"/>
    </row>
    <row r="1254" customFormat="false" ht="18.75" hidden="false" customHeight="true" outlineLevel="0" collapsed="false">
      <c r="BM1254" s="1042"/>
      <c r="BO1254" s="288"/>
    </row>
    <row r="1255" customFormat="false" ht="18.75" hidden="false" customHeight="true" outlineLevel="0" collapsed="false">
      <c r="BM1255" s="1042"/>
      <c r="BO1255" s="288"/>
    </row>
    <row r="1256" customFormat="false" ht="18.75" hidden="false" customHeight="true" outlineLevel="0" collapsed="false">
      <c r="BM1256" s="1042"/>
      <c r="BO1256" s="288"/>
    </row>
    <row r="1257" customFormat="false" ht="18.75" hidden="false" customHeight="true" outlineLevel="0" collapsed="false">
      <c r="BM1257" s="1042"/>
      <c r="BO1257" s="288"/>
    </row>
    <row r="1258" customFormat="false" ht="18.75" hidden="false" customHeight="true" outlineLevel="0" collapsed="false">
      <c r="BM1258" s="1042"/>
      <c r="BO1258" s="288"/>
    </row>
    <row r="1259" customFormat="false" ht="18.75" hidden="false" customHeight="true" outlineLevel="0" collapsed="false">
      <c r="BM1259" s="1042"/>
      <c r="BO1259" s="288"/>
    </row>
    <row r="1260" customFormat="false" ht="18.75" hidden="false" customHeight="true" outlineLevel="0" collapsed="false">
      <c r="BM1260" s="1042"/>
      <c r="BO1260" s="288"/>
    </row>
    <row r="1261" customFormat="false" ht="18.75" hidden="false" customHeight="true" outlineLevel="0" collapsed="false">
      <c r="BM1261" s="1042"/>
      <c r="BO1261" s="288"/>
    </row>
    <row r="1262" customFormat="false" ht="18.75" hidden="false" customHeight="true" outlineLevel="0" collapsed="false">
      <c r="BM1262" s="1042"/>
      <c r="BO1262" s="288"/>
    </row>
    <row r="1263" customFormat="false" ht="18.75" hidden="false" customHeight="true" outlineLevel="0" collapsed="false">
      <c r="BM1263" s="1042"/>
      <c r="BO1263" s="288"/>
    </row>
    <row r="1264" customFormat="false" ht="18.75" hidden="false" customHeight="true" outlineLevel="0" collapsed="false">
      <c r="BM1264" s="1042"/>
      <c r="BO1264" s="288"/>
    </row>
    <row r="1265" customFormat="false" ht="18.75" hidden="false" customHeight="true" outlineLevel="0" collapsed="false">
      <c r="BM1265" s="1042"/>
      <c r="BO1265" s="288"/>
    </row>
    <row r="1266" customFormat="false" ht="18.75" hidden="false" customHeight="true" outlineLevel="0" collapsed="false">
      <c r="BM1266" s="1042"/>
      <c r="BO1266" s="288"/>
    </row>
    <row r="1267" customFormat="false" ht="18.75" hidden="false" customHeight="true" outlineLevel="0" collapsed="false">
      <c r="BM1267" s="1042"/>
      <c r="BO1267" s="288"/>
    </row>
    <row r="1268" customFormat="false" ht="18.75" hidden="false" customHeight="true" outlineLevel="0" collapsed="false">
      <c r="BM1268" s="1042"/>
      <c r="BO1268" s="288"/>
    </row>
    <row r="1269" customFormat="false" ht="18.75" hidden="false" customHeight="true" outlineLevel="0" collapsed="false">
      <c r="BM1269" s="1042"/>
      <c r="BO1269" s="288"/>
    </row>
    <row r="1270" customFormat="false" ht="18.75" hidden="false" customHeight="true" outlineLevel="0" collapsed="false">
      <c r="BM1270" s="1042"/>
      <c r="BO1270" s="288"/>
    </row>
    <row r="1271" customFormat="false" ht="18.75" hidden="false" customHeight="true" outlineLevel="0" collapsed="false">
      <c r="BM1271" s="1042"/>
      <c r="BO1271" s="288"/>
    </row>
    <row r="1272" customFormat="false" ht="18.75" hidden="false" customHeight="true" outlineLevel="0" collapsed="false">
      <c r="BM1272" s="1042"/>
      <c r="BO1272" s="288"/>
    </row>
    <row r="1273" customFormat="false" ht="18.75" hidden="false" customHeight="true" outlineLevel="0" collapsed="false">
      <c r="BM1273" s="1042"/>
      <c r="BO1273" s="288"/>
    </row>
    <row r="1274" customFormat="false" ht="18.75" hidden="false" customHeight="true" outlineLevel="0" collapsed="false">
      <c r="BM1274" s="1042"/>
      <c r="BO1274" s="288"/>
    </row>
    <row r="1275" customFormat="false" ht="18.75" hidden="false" customHeight="true" outlineLevel="0" collapsed="false">
      <c r="BM1275" s="1042"/>
      <c r="BO1275" s="288"/>
    </row>
    <row r="1276" customFormat="false" ht="18.75" hidden="false" customHeight="true" outlineLevel="0" collapsed="false">
      <c r="BM1276" s="1042"/>
      <c r="BO1276" s="288"/>
    </row>
    <row r="1277" customFormat="false" ht="18.75" hidden="false" customHeight="true" outlineLevel="0" collapsed="false">
      <c r="BM1277" s="1042"/>
      <c r="BO1277" s="288"/>
    </row>
    <row r="1278" customFormat="false" ht="18.75" hidden="false" customHeight="true" outlineLevel="0" collapsed="false">
      <c r="BM1278" s="1042"/>
      <c r="BO1278" s="288"/>
    </row>
    <row r="1279" customFormat="false" ht="18.75" hidden="false" customHeight="true" outlineLevel="0" collapsed="false">
      <c r="BM1279" s="1042"/>
      <c r="BO1279" s="288"/>
    </row>
    <row r="1280" customFormat="false" ht="18.75" hidden="false" customHeight="true" outlineLevel="0" collapsed="false">
      <c r="BM1280" s="1042"/>
      <c r="BO1280" s="288"/>
    </row>
    <row r="1281" customFormat="false" ht="18.75" hidden="false" customHeight="true" outlineLevel="0" collapsed="false">
      <c r="BM1281" s="1042"/>
      <c r="BO1281" s="288"/>
    </row>
    <row r="1282" customFormat="false" ht="18.75" hidden="false" customHeight="true" outlineLevel="0" collapsed="false">
      <c r="BM1282" s="1042"/>
      <c r="BO1282" s="288"/>
    </row>
    <row r="1283" customFormat="false" ht="18.75" hidden="false" customHeight="true" outlineLevel="0" collapsed="false">
      <c r="BM1283" s="1042"/>
      <c r="BO1283" s="288"/>
    </row>
    <row r="1284" customFormat="false" ht="18.75" hidden="false" customHeight="true" outlineLevel="0" collapsed="false">
      <c r="BM1284" s="1042"/>
      <c r="BO1284" s="288"/>
    </row>
    <row r="1285" customFormat="false" ht="18.75" hidden="false" customHeight="true" outlineLevel="0" collapsed="false">
      <c r="BM1285" s="1042"/>
      <c r="BO1285" s="288"/>
    </row>
    <row r="1286" customFormat="false" ht="18.75" hidden="false" customHeight="true" outlineLevel="0" collapsed="false">
      <c r="BM1286" s="1042"/>
      <c r="BO1286" s="288"/>
    </row>
    <row r="1287" customFormat="false" ht="18.75" hidden="false" customHeight="true" outlineLevel="0" collapsed="false">
      <c r="BM1287" s="1042"/>
      <c r="BO1287" s="288"/>
    </row>
    <row r="1288" customFormat="false" ht="18.75" hidden="false" customHeight="true" outlineLevel="0" collapsed="false">
      <c r="BM1288" s="1042"/>
      <c r="BO1288" s="288"/>
    </row>
    <row r="1289" customFormat="false" ht="18.75" hidden="false" customHeight="true" outlineLevel="0" collapsed="false">
      <c r="BM1289" s="1042"/>
      <c r="BO1289" s="288"/>
    </row>
    <row r="1290" customFormat="false" ht="18.75" hidden="false" customHeight="true" outlineLevel="0" collapsed="false">
      <c r="BM1290" s="1042"/>
      <c r="BO1290" s="288"/>
    </row>
    <row r="1291" customFormat="false" ht="18.75" hidden="false" customHeight="true" outlineLevel="0" collapsed="false">
      <c r="BM1291" s="1042"/>
      <c r="BO1291" s="288"/>
    </row>
    <row r="1292" customFormat="false" ht="18.75" hidden="false" customHeight="true" outlineLevel="0" collapsed="false">
      <c r="BM1292" s="1042"/>
      <c r="BO1292" s="288"/>
    </row>
    <row r="1293" customFormat="false" ht="18.75" hidden="false" customHeight="true" outlineLevel="0" collapsed="false">
      <c r="BM1293" s="1042"/>
      <c r="BO1293" s="288"/>
    </row>
    <row r="1294" customFormat="false" ht="18.75" hidden="false" customHeight="true" outlineLevel="0" collapsed="false">
      <c r="BM1294" s="1042"/>
      <c r="BO1294" s="288"/>
    </row>
    <row r="1295" customFormat="false" ht="18.75" hidden="false" customHeight="true" outlineLevel="0" collapsed="false">
      <c r="BM1295" s="1042"/>
      <c r="BO1295" s="288"/>
    </row>
    <row r="1296" customFormat="false" ht="18.75" hidden="false" customHeight="true" outlineLevel="0" collapsed="false">
      <c r="BM1296" s="1042"/>
      <c r="BO1296" s="288"/>
    </row>
    <row r="1297" customFormat="false" ht="18.75" hidden="false" customHeight="true" outlineLevel="0" collapsed="false">
      <c r="BM1297" s="1042"/>
      <c r="BO1297" s="288"/>
    </row>
    <row r="1298" customFormat="false" ht="18.75" hidden="false" customHeight="true" outlineLevel="0" collapsed="false">
      <c r="BM1298" s="1042"/>
      <c r="BO1298" s="288"/>
    </row>
    <row r="1299" customFormat="false" ht="18.75" hidden="false" customHeight="true" outlineLevel="0" collapsed="false">
      <c r="BM1299" s="1042"/>
      <c r="BO1299" s="288"/>
    </row>
    <row r="1300" customFormat="false" ht="18.75" hidden="false" customHeight="true" outlineLevel="0" collapsed="false">
      <c r="BM1300" s="1042"/>
      <c r="BO1300" s="288"/>
    </row>
    <row r="1301" customFormat="false" ht="18.75" hidden="false" customHeight="true" outlineLevel="0" collapsed="false">
      <c r="BM1301" s="1042"/>
      <c r="BO1301" s="288"/>
    </row>
    <row r="1302" customFormat="false" ht="18.75" hidden="false" customHeight="true" outlineLevel="0" collapsed="false">
      <c r="BM1302" s="1042"/>
      <c r="BO1302" s="288"/>
    </row>
    <row r="1303" customFormat="false" ht="18.75" hidden="false" customHeight="true" outlineLevel="0" collapsed="false">
      <c r="BM1303" s="1042"/>
      <c r="BO1303" s="288"/>
    </row>
    <row r="1304" customFormat="false" ht="18.75" hidden="false" customHeight="true" outlineLevel="0" collapsed="false">
      <c r="BM1304" s="1042"/>
      <c r="BO1304" s="288"/>
    </row>
    <row r="1305" customFormat="false" ht="18.75" hidden="false" customHeight="true" outlineLevel="0" collapsed="false">
      <c r="BM1305" s="1042"/>
      <c r="BO1305" s="288"/>
    </row>
    <row r="1306" customFormat="false" ht="18.75" hidden="false" customHeight="true" outlineLevel="0" collapsed="false">
      <c r="BM1306" s="1042"/>
      <c r="BO1306" s="288"/>
    </row>
    <row r="1307" customFormat="false" ht="18.75" hidden="false" customHeight="true" outlineLevel="0" collapsed="false">
      <c r="BM1307" s="1042"/>
      <c r="BO1307" s="288"/>
    </row>
    <row r="1308" customFormat="false" ht="18.75" hidden="false" customHeight="true" outlineLevel="0" collapsed="false">
      <c r="BM1308" s="1042"/>
      <c r="BO1308" s="288"/>
    </row>
    <row r="1309" customFormat="false" ht="18.75" hidden="false" customHeight="true" outlineLevel="0" collapsed="false">
      <c r="BM1309" s="1042"/>
      <c r="BO1309" s="288"/>
    </row>
    <row r="1310" customFormat="false" ht="18.75" hidden="false" customHeight="true" outlineLevel="0" collapsed="false">
      <c r="BM1310" s="1042"/>
      <c r="BO1310" s="288"/>
    </row>
    <row r="1311" customFormat="false" ht="18.75" hidden="false" customHeight="true" outlineLevel="0" collapsed="false">
      <c r="BM1311" s="1042"/>
      <c r="BO1311" s="288"/>
    </row>
    <row r="1312" customFormat="false" ht="18.75" hidden="false" customHeight="true" outlineLevel="0" collapsed="false">
      <c r="BM1312" s="1042"/>
      <c r="BO1312" s="288"/>
    </row>
    <row r="1313" customFormat="false" ht="18.75" hidden="false" customHeight="true" outlineLevel="0" collapsed="false">
      <c r="BM1313" s="1042"/>
      <c r="BO1313" s="288"/>
    </row>
    <row r="1314" customFormat="false" ht="18.75" hidden="false" customHeight="true" outlineLevel="0" collapsed="false">
      <c r="BM1314" s="1042"/>
      <c r="BO1314" s="288"/>
    </row>
    <row r="1315" customFormat="false" ht="18.75" hidden="false" customHeight="true" outlineLevel="0" collapsed="false">
      <c r="BM1315" s="1042"/>
      <c r="BO1315" s="288"/>
    </row>
    <row r="1316" customFormat="false" ht="18.75" hidden="false" customHeight="true" outlineLevel="0" collapsed="false">
      <c r="BM1316" s="1042"/>
      <c r="BO1316" s="288"/>
    </row>
    <row r="1317" customFormat="false" ht="18.75" hidden="false" customHeight="true" outlineLevel="0" collapsed="false">
      <c r="BM1317" s="1042"/>
      <c r="BO1317" s="288"/>
    </row>
    <row r="1318" customFormat="false" ht="18.75" hidden="false" customHeight="true" outlineLevel="0" collapsed="false">
      <c r="BM1318" s="1042"/>
      <c r="BO1318" s="288"/>
    </row>
    <row r="1319" customFormat="false" ht="18.75" hidden="false" customHeight="true" outlineLevel="0" collapsed="false">
      <c r="BM1319" s="1042"/>
      <c r="BO1319" s="288"/>
    </row>
    <row r="1320" customFormat="false" ht="18.75" hidden="false" customHeight="true" outlineLevel="0" collapsed="false">
      <c r="BM1320" s="1042"/>
      <c r="BO1320" s="288"/>
    </row>
    <row r="1321" customFormat="false" ht="18.75" hidden="false" customHeight="true" outlineLevel="0" collapsed="false">
      <c r="BM1321" s="1042"/>
      <c r="BO1321" s="288"/>
    </row>
    <row r="1322" customFormat="false" ht="18.75" hidden="false" customHeight="true" outlineLevel="0" collapsed="false">
      <c r="BM1322" s="1042"/>
      <c r="BO1322" s="288"/>
    </row>
    <row r="1323" customFormat="false" ht="18.75" hidden="false" customHeight="true" outlineLevel="0" collapsed="false">
      <c r="BM1323" s="1042"/>
      <c r="BO1323" s="288"/>
    </row>
    <row r="1324" customFormat="false" ht="18.75" hidden="false" customHeight="true" outlineLevel="0" collapsed="false">
      <c r="BM1324" s="1042"/>
      <c r="BO1324" s="288"/>
    </row>
    <row r="1325" customFormat="false" ht="18.75" hidden="false" customHeight="true" outlineLevel="0" collapsed="false">
      <c r="BM1325" s="1042"/>
      <c r="BO1325" s="288"/>
    </row>
    <row r="1326" customFormat="false" ht="18.75" hidden="false" customHeight="true" outlineLevel="0" collapsed="false">
      <c r="BM1326" s="1042"/>
      <c r="BO1326" s="288"/>
    </row>
    <row r="1327" customFormat="false" ht="18.75" hidden="false" customHeight="true" outlineLevel="0" collapsed="false">
      <c r="BM1327" s="1042"/>
      <c r="BO1327" s="288"/>
    </row>
    <row r="1328" customFormat="false" ht="18.75" hidden="false" customHeight="true" outlineLevel="0" collapsed="false">
      <c r="BM1328" s="1042"/>
      <c r="BO1328" s="288"/>
    </row>
    <row r="1329" customFormat="false" ht="18.75" hidden="false" customHeight="true" outlineLevel="0" collapsed="false">
      <c r="BM1329" s="1042"/>
      <c r="BO1329" s="288"/>
    </row>
    <row r="1330" customFormat="false" ht="18.75" hidden="false" customHeight="true" outlineLevel="0" collapsed="false">
      <c r="BM1330" s="1042"/>
      <c r="BO1330" s="288"/>
    </row>
    <row r="1331" customFormat="false" ht="18.75" hidden="false" customHeight="true" outlineLevel="0" collapsed="false">
      <c r="BM1331" s="1042"/>
      <c r="BO1331" s="288"/>
    </row>
    <row r="1332" customFormat="false" ht="18.75" hidden="false" customHeight="true" outlineLevel="0" collapsed="false">
      <c r="BM1332" s="1042"/>
      <c r="BO1332" s="288"/>
    </row>
    <row r="1333" customFormat="false" ht="18.75" hidden="false" customHeight="true" outlineLevel="0" collapsed="false">
      <c r="BM1333" s="1042"/>
      <c r="BO1333" s="288"/>
    </row>
    <row r="1334" customFormat="false" ht="18.75" hidden="false" customHeight="true" outlineLevel="0" collapsed="false">
      <c r="BM1334" s="1042"/>
      <c r="BO1334" s="288"/>
    </row>
    <row r="1335" customFormat="false" ht="18.75" hidden="false" customHeight="true" outlineLevel="0" collapsed="false">
      <c r="BM1335" s="1042"/>
      <c r="BO1335" s="288"/>
    </row>
    <row r="1336" customFormat="false" ht="18.75" hidden="false" customHeight="true" outlineLevel="0" collapsed="false">
      <c r="BM1336" s="1042"/>
      <c r="BO1336" s="288"/>
    </row>
    <row r="1337" customFormat="false" ht="18.75" hidden="false" customHeight="true" outlineLevel="0" collapsed="false">
      <c r="BM1337" s="1042"/>
      <c r="BO1337" s="288"/>
    </row>
    <row r="1338" customFormat="false" ht="18.75" hidden="false" customHeight="true" outlineLevel="0" collapsed="false">
      <c r="BM1338" s="1042"/>
      <c r="BO1338" s="288"/>
    </row>
    <row r="1339" customFormat="false" ht="18.75" hidden="false" customHeight="true" outlineLevel="0" collapsed="false">
      <c r="BM1339" s="1042"/>
      <c r="BO1339" s="288"/>
    </row>
    <row r="1340" customFormat="false" ht="18.75" hidden="false" customHeight="true" outlineLevel="0" collapsed="false">
      <c r="BM1340" s="1042"/>
      <c r="BO1340" s="288"/>
    </row>
    <row r="1341" customFormat="false" ht="18.75" hidden="false" customHeight="true" outlineLevel="0" collapsed="false">
      <c r="BM1341" s="1042"/>
      <c r="BO1341" s="288"/>
    </row>
    <row r="1342" customFormat="false" ht="18.75" hidden="false" customHeight="true" outlineLevel="0" collapsed="false">
      <c r="BM1342" s="1042"/>
      <c r="BO1342" s="288"/>
    </row>
    <row r="1343" customFormat="false" ht="18.75" hidden="false" customHeight="true" outlineLevel="0" collapsed="false">
      <c r="BM1343" s="1042"/>
      <c r="BO1343" s="288"/>
    </row>
    <row r="1344" customFormat="false" ht="18.75" hidden="false" customHeight="true" outlineLevel="0" collapsed="false">
      <c r="BM1344" s="1042"/>
      <c r="BO1344" s="288"/>
    </row>
    <row r="1345" customFormat="false" ht="18.75" hidden="false" customHeight="true" outlineLevel="0" collapsed="false">
      <c r="BM1345" s="1042"/>
      <c r="BO1345" s="288"/>
    </row>
    <row r="1346" customFormat="false" ht="18.75" hidden="false" customHeight="true" outlineLevel="0" collapsed="false">
      <c r="BM1346" s="1042"/>
      <c r="BO1346" s="288"/>
    </row>
    <row r="1347" customFormat="false" ht="18.75" hidden="false" customHeight="true" outlineLevel="0" collapsed="false">
      <c r="BM1347" s="1042"/>
      <c r="BO1347" s="288"/>
    </row>
    <row r="1348" customFormat="false" ht="18.75" hidden="false" customHeight="true" outlineLevel="0" collapsed="false">
      <c r="BM1348" s="1042"/>
      <c r="BO1348" s="288"/>
    </row>
    <row r="1349" customFormat="false" ht="18.75" hidden="false" customHeight="true" outlineLevel="0" collapsed="false">
      <c r="BM1349" s="1042"/>
      <c r="BO1349" s="288"/>
    </row>
    <row r="1350" customFormat="false" ht="18.75" hidden="false" customHeight="true" outlineLevel="0" collapsed="false">
      <c r="BM1350" s="1042"/>
      <c r="BO1350" s="288"/>
    </row>
    <row r="1351" customFormat="false" ht="18.75" hidden="false" customHeight="true" outlineLevel="0" collapsed="false">
      <c r="BM1351" s="1042"/>
      <c r="BO1351" s="288"/>
    </row>
    <row r="1352" customFormat="false" ht="18.75" hidden="false" customHeight="true" outlineLevel="0" collapsed="false">
      <c r="BM1352" s="1042"/>
      <c r="BO1352" s="288"/>
    </row>
    <row r="1353" customFormat="false" ht="18.75" hidden="false" customHeight="true" outlineLevel="0" collapsed="false">
      <c r="BM1353" s="1042"/>
      <c r="BO1353" s="288"/>
    </row>
    <row r="1354" customFormat="false" ht="18.75" hidden="false" customHeight="true" outlineLevel="0" collapsed="false">
      <c r="BM1354" s="1042"/>
      <c r="BO1354" s="288"/>
    </row>
    <row r="1355" customFormat="false" ht="18.75" hidden="false" customHeight="true" outlineLevel="0" collapsed="false">
      <c r="BM1355" s="1042"/>
      <c r="BO1355" s="288"/>
    </row>
    <row r="1356" customFormat="false" ht="18.75" hidden="false" customHeight="true" outlineLevel="0" collapsed="false">
      <c r="BM1356" s="1042"/>
      <c r="BO1356" s="288"/>
    </row>
    <row r="1357" customFormat="false" ht="18.75" hidden="false" customHeight="true" outlineLevel="0" collapsed="false">
      <c r="BM1357" s="1042"/>
      <c r="BO1357" s="288"/>
    </row>
    <row r="1358" customFormat="false" ht="18.75" hidden="false" customHeight="true" outlineLevel="0" collapsed="false">
      <c r="BM1358" s="1042"/>
      <c r="BO1358" s="288"/>
    </row>
  </sheetData>
  <mergeCells count="18">
    <mergeCell ref="AI7:AN7"/>
    <mergeCell ref="AQ7:AS7"/>
    <mergeCell ref="AU7:AW7"/>
    <mergeCell ref="AX7:AZ7"/>
    <mergeCell ref="AQ8:AS8"/>
    <mergeCell ref="AU8:AZ8"/>
    <mergeCell ref="E9:I9"/>
    <mergeCell ref="V9:Y9"/>
    <mergeCell ref="AU9:AW9"/>
    <mergeCell ref="AX9:AZ9"/>
    <mergeCell ref="BB9:BD9"/>
    <mergeCell ref="BS9:BU9"/>
    <mergeCell ref="BW9:BY9"/>
    <mergeCell ref="CA9:CC9"/>
    <mergeCell ref="CD9:CF9"/>
    <mergeCell ref="CR9:CS9"/>
    <mergeCell ref="CT9:CU9"/>
    <mergeCell ref="CW9:CZ9"/>
  </mergeCells>
  <printOptions headings="false" gridLines="false" gridLinesSet="true" horizontalCentered="false" verticalCentered="false"/>
  <pageMargins left="0.329861111111111" right="0.279861111111111" top="0.65" bottom="0.55" header="0.511811023622047" footer="0.511811023622047"/>
  <pageSetup paperSize="5" scale="100" fitToWidth="2" fitToHeight="6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12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" min="2" style="1" width="10.13"/>
    <col collapsed="false" customWidth="true" hidden="false" outlineLevel="0" max="4" min="3" style="1" width="9.85"/>
    <col collapsed="false" customWidth="true" hidden="false" outlineLevel="0" max="5" min="5" style="0" width="12.42"/>
    <col collapsed="false" customWidth="true" hidden="false" outlineLevel="0" max="6" min="6" style="0" width="10.99"/>
    <col collapsed="false" customWidth="true" hidden="false" outlineLevel="0" max="7" min="7" style="0" width="4.14"/>
    <col collapsed="false" customWidth="true" hidden="false" outlineLevel="0" max="13" min="13" style="0" width="3.85"/>
    <col collapsed="false" customWidth="true" hidden="false" outlineLevel="0" max="14" min="14" style="0" width="11.7"/>
    <col collapsed="false" customWidth="true" hidden="false" outlineLevel="0" max="15" min="15" style="0" width="13.28"/>
    <col collapsed="false" customWidth="true" hidden="false" outlineLevel="0" max="16" min="16" style="0" width="13.14"/>
    <col collapsed="false" customWidth="true" hidden="false" outlineLevel="0" max="18" min="17" style="0" width="13.28"/>
    <col collapsed="false" customWidth="true" hidden="false" outlineLevel="0" max="19" min="19" style="0" width="14.41"/>
    <col collapsed="false" customWidth="true" hidden="false" outlineLevel="0" max="22" min="22" style="0" width="4.7"/>
    <col collapsed="false" customWidth="true" hidden="false" outlineLevel="0" max="26" min="26" style="0" width="11.99"/>
  </cols>
  <sheetData>
    <row r="1" customFormat="false" ht="27" hidden="false" customHeight="true" outlineLevel="0" collapsed="false">
      <c r="A1" s="64" t="s">
        <v>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7" t="s">
        <v>2</v>
      </c>
      <c r="O1" s="7"/>
      <c r="P1" s="7"/>
      <c r="Q1" s="7"/>
      <c r="R1" s="7"/>
      <c r="S1" s="3"/>
      <c r="T1" s="6"/>
      <c r="U1" s="6"/>
      <c r="V1" s="6"/>
      <c r="W1" s="6"/>
      <c r="X1" s="6"/>
      <c r="Y1" s="6"/>
      <c r="Z1" s="6"/>
      <c r="AA1" s="6"/>
    </row>
    <row r="2" customFormat="false" ht="12.75" hidden="false" customHeight="false" outlineLevel="0" collapsed="false">
      <c r="A2" s="0" t="s">
        <v>33</v>
      </c>
      <c r="H2" s="0" t="s">
        <v>34</v>
      </c>
      <c r="K2" s="65"/>
      <c r="T2" s="65"/>
    </row>
    <row r="3" customFormat="false" ht="12.75" hidden="false" customHeight="false" outlineLevel="0" collapsed="false">
      <c r="U3" s="66"/>
    </row>
    <row r="4" customFormat="false" ht="66" hidden="false" customHeight="true" outlineLevel="0" collapsed="false">
      <c r="B4" s="67" t="s">
        <v>35</v>
      </c>
      <c r="C4" s="12" t="s">
        <v>36</v>
      </c>
      <c r="D4" s="13" t="s">
        <v>37</v>
      </c>
      <c r="E4" s="68" t="s">
        <v>38</v>
      </c>
      <c r="F4" s="69" t="s">
        <v>39</v>
      </c>
      <c r="H4" s="70" t="s">
        <v>9</v>
      </c>
      <c r="I4" s="18" t="s">
        <v>40</v>
      </c>
      <c r="J4" s="18" t="s">
        <v>41</v>
      </c>
      <c r="K4" s="19" t="s">
        <v>42</v>
      </c>
      <c r="L4" s="18" t="s">
        <v>43</v>
      </c>
      <c r="N4" s="11" t="s">
        <v>14</v>
      </c>
      <c r="O4" s="11" t="s">
        <v>15</v>
      </c>
      <c r="P4" s="11" t="s">
        <v>16</v>
      </c>
      <c r="Q4" s="11" t="s">
        <v>17</v>
      </c>
      <c r="R4" s="11" t="s">
        <v>18</v>
      </c>
      <c r="S4" s="20" t="s">
        <v>44</v>
      </c>
    </row>
    <row r="5" customFormat="false" ht="12.75" hidden="false" customHeight="false" outlineLevel="0" collapsed="false">
      <c r="A5" s="21" t="n">
        <v>36892</v>
      </c>
      <c r="B5" s="22" t="n">
        <v>29.6999984741211</v>
      </c>
      <c r="C5" s="71" t="n">
        <v>22</v>
      </c>
      <c r="D5" s="59" t="n">
        <v>21</v>
      </c>
      <c r="E5" s="26" t="n">
        <f aca="false">IF(VLOOKUP(MONTH(A5),SeasonTable,2,0)&lt;&gt;"Summer",VLOOKUP(MONTH(A5),ScalarTable,2,0),((0.059228/(B5/100))-(0.4980013/(SQRT(B5/100)))+2.137988))</f>
        <v>1.02</v>
      </c>
      <c r="F5" s="28" t="n">
        <f aca="false">+E5*B5</f>
        <v>30.2939984436035</v>
      </c>
      <c r="H5" s="72" t="n">
        <f aca="false">2-E5</f>
        <v>0.98</v>
      </c>
      <c r="I5" s="73" t="n">
        <f aca="false">B5*H5</f>
        <v>29.1059985046387</v>
      </c>
      <c r="J5" s="74" t="n">
        <f aca="false">C5*E5</f>
        <v>22.44</v>
      </c>
      <c r="K5" s="75" t="n">
        <f aca="false">C5*H5</f>
        <v>21.56</v>
      </c>
      <c r="L5" s="28" t="n">
        <f aca="false">D5*E5</f>
        <v>21.42</v>
      </c>
      <c r="N5" s="32" t="n">
        <v>53776.3041689456</v>
      </c>
      <c r="O5" s="32" t="n">
        <v>30436.0650553069</v>
      </c>
      <c r="P5" s="32" t="n">
        <v>72362.2644861294</v>
      </c>
      <c r="Q5" s="32" t="n">
        <v>55230.2550103511</v>
      </c>
      <c r="R5" s="32" t="n">
        <v>41501.8502761012</v>
      </c>
      <c r="S5" s="34" t="n">
        <f aca="false">IF(Tables!$B$2=1,'Michigan Curve'!N5,IF(Tables!$B$2=2,'Michigan Curve'!O5,IF(Tables!$B$2=4,'Michigan Curve'!P5,IF(Tables!$B$2=5,'Michigan Curve'!Q5,IF(Tables!$B$2=3,'Michigan Curve'!R5,0)))))</f>
        <v>55230.2550103511</v>
      </c>
      <c r="U5" s="35" t="s">
        <v>20</v>
      </c>
      <c r="V5" s="36"/>
      <c r="W5" s="8"/>
      <c r="X5" s="76" t="s">
        <v>45</v>
      </c>
      <c r="Y5" s="77"/>
      <c r="Z5" s="77"/>
      <c r="AA5" s="78"/>
    </row>
    <row r="6" customFormat="false" ht="12.75" hidden="false" customHeight="false" outlineLevel="0" collapsed="false">
      <c r="A6" s="21" t="n">
        <v>36923</v>
      </c>
      <c r="B6" s="22" t="n">
        <v>29.6999984741211</v>
      </c>
      <c r="C6" s="71" t="n">
        <v>21.996000289917</v>
      </c>
      <c r="D6" s="59" t="n">
        <v>20.9965019226074</v>
      </c>
      <c r="E6" s="26" t="n">
        <f aca="false">IF(VLOOKUP(MONTH(A6),SeasonTable,2,0)&lt;&gt;"Summer",VLOOKUP(MONTH(A6),ScalarTable,2,0),((0.059228/(B6/100))-(0.4980013/(SQRT(B6/100)))+2.137988))</f>
        <v>1.02</v>
      </c>
      <c r="F6" s="28" t="n">
        <f aca="false">+E6*B6</f>
        <v>30.2939984436035</v>
      </c>
      <c r="H6" s="72" t="n">
        <f aca="false">2-E6</f>
        <v>0.98</v>
      </c>
      <c r="I6" s="73" t="n">
        <f aca="false">B6*H6</f>
        <v>29.1059985046387</v>
      </c>
      <c r="J6" s="74" t="n">
        <f aca="false">C6*E6</f>
        <v>22.4359202957153</v>
      </c>
      <c r="K6" s="75" t="n">
        <f aca="false">C6*H6</f>
        <v>21.5560802841187</v>
      </c>
      <c r="L6" s="28" t="n">
        <f aca="false">D6*E6</f>
        <v>21.4164319610596</v>
      </c>
      <c r="N6" s="32" t="n">
        <v>55521.6340768716</v>
      </c>
      <c r="O6" s="32" t="n">
        <v>31509.8720915447</v>
      </c>
      <c r="P6" s="32" t="n">
        <v>74669.9837344395</v>
      </c>
      <c r="Q6" s="32" t="n">
        <v>57292.4679750728</v>
      </c>
      <c r="R6" s="32" t="n">
        <v>43786.8038806309</v>
      </c>
      <c r="S6" s="34" t="n">
        <f aca="false">IF(Tables!$B$2=1,'Michigan Curve'!N6,IF(Tables!$B$2=2,'Michigan Curve'!O6,IF(Tables!$B$2=4,'Michigan Curve'!P6,IF(Tables!$B$2=5,'Michigan Curve'!Q6,IF(Tables!$B$2=3,'Michigan Curve'!R6,0)))))</f>
        <v>57292.4679750728</v>
      </c>
      <c r="U6" s="38"/>
      <c r="V6" s="39"/>
      <c r="W6" s="8"/>
      <c r="X6" s="40"/>
      <c r="Y6" s="41" t="s">
        <v>22</v>
      </c>
      <c r="Z6" s="41" t="s">
        <v>23</v>
      </c>
      <c r="AA6" s="42" t="s">
        <v>24</v>
      </c>
    </row>
    <row r="7" customFormat="false" ht="12.75" hidden="false" customHeight="false" outlineLevel="0" collapsed="false">
      <c r="A7" s="21" t="n">
        <v>36951</v>
      </c>
      <c r="B7" s="22" t="n">
        <v>24.25</v>
      </c>
      <c r="C7" s="71" t="n">
        <v>20</v>
      </c>
      <c r="D7" s="59" t="n">
        <v>19</v>
      </c>
      <c r="E7" s="26" t="n">
        <f aca="false">IF(VLOOKUP(MONTH(A7),SeasonTable,2,0)&lt;&gt;"Summer",VLOOKUP(MONTH(A7),ScalarTable,2,0),((0.059228/(B7/100))-(0.4980013/(SQRT(B7/100)))+2.137988))</f>
        <v>1.02</v>
      </c>
      <c r="F7" s="28" t="n">
        <f aca="false">+E7*B7</f>
        <v>24.735</v>
      </c>
      <c r="H7" s="72" t="n">
        <f aca="false">2-E7</f>
        <v>0.98</v>
      </c>
      <c r="I7" s="73" t="n">
        <f aca="false">B7*H7</f>
        <v>23.765</v>
      </c>
      <c r="J7" s="74" t="n">
        <f aca="false">C7*E7</f>
        <v>20.4</v>
      </c>
      <c r="K7" s="75" t="n">
        <f aca="false">C7*H7</f>
        <v>19.6</v>
      </c>
      <c r="L7" s="28" t="n">
        <f aca="false">D7*E7</f>
        <v>19.38</v>
      </c>
      <c r="N7" s="32" t="n">
        <v>3835.44036905038</v>
      </c>
      <c r="O7" s="32" t="n">
        <v>2045.03080410158</v>
      </c>
      <c r="P7" s="32" t="n">
        <v>5222.92579774688</v>
      </c>
      <c r="Q7" s="32" t="n">
        <v>3551.22177438594</v>
      </c>
      <c r="R7" s="32" t="n">
        <v>1990.37852160492</v>
      </c>
      <c r="S7" s="34" t="n">
        <f aca="false">IF(Tables!$B$2=1,'Michigan Curve'!N7,IF(Tables!$B$2=2,'Michigan Curve'!O7,IF(Tables!$B$2=4,'Michigan Curve'!P7,IF(Tables!$B$2=5,'Michigan Curve'!Q7,IF(Tables!$B$2=3,'Michigan Curve'!R7,0)))))</f>
        <v>3551.22177438594</v>
      </c>
      <c r="U7" s="38" t="s">
        <v>25</v>
      </c>
      <c r="V7" s="43" t="s">
        <v>26</v>
      </c>
      <c r="W7" s="8"/>
      <c r="X7" s="40"/>
      <c r="Y7" s="44" t="s">
        <v>27</v>
      </c>
      <c r="Z7" s="44" t="s">
        <v>27</v>
      </c>
      <c r="AA7" s="45" t="s">
        <v>28</v>
      </c>
    </row>
    <row r="8" customFormat="false" ht="12.75" hidden="false" customHeight="false" outlineLevel="0" collapsed="false">
      <c r="A8" s="21" t="n">
        <v>36982</v>
      </c>
      <c r="B8" s="22" t="n">
        <v>24.5</v>
      </c>
      <c r="C8" s="71" t="n">
        <v>20</v>
      </c>
      <c r="D8" s="59" t="n">
        <v>18.9950008392334</v>
      </c>
      <c r="E8" s="26" t="n">
        <f aca="false">IF(VLOOKUP(MONTH(A8),SeasonTable,2,0)&lt;&gt;"Summer",VLOOKUP(MONTH(A8),ScalarTable,2,0),((0.059228/(B8/100))-(0.4980013/(SQRT(B8/100)))+2.137988))</f>
        <v>1</v>
      </c>
      <c r="F8" s="28" t="n">
        <f aca="false">+E8*B8</f>
        <v>24.5</v>
      </c>
      <c r="H8" s="72" t="n">
        <f aca="false">2-E8</f>
        <v>1</v>
      </c>
      <c r="I8" s="73" t="n">
        <f aca="false">B8*H8</f>
        <v>24.5</v>
      </c>
      <c r="J8" s="74" t="n">
        <f aca="false">C8*E8</f>
        <v>20</v>
      </c>
      <c r="K8" s="75" t="n">
        <f aca="false">C8*H8</f>
        <v>20</v>
      </c>
      <c r="L8" s="28" t="n">
        <f aca="false">D8*E8</f>
        <v>18.9950008392334</v>
      </c>
      <c r="N8" s="32" t="n">
        <v>8940.49140622906</v>
      </c>
      <c r="O8" s="32" t="n">
        <v>4849.48276821758</v>
      </c>
      <c r="P8" s="32" t="n">
        <v>12132.8733056223</v>
      </c>
      <c r="Q8" s="32" t="n">
        <v>8494.66039334754</v>
      </c>
      <c r="R8" s="32" t="n">
        <v>5151.27851354836</v>
      </c>
      <c r="S8" s="34" t="n">
        <f aca="false">IF(Tables!$B$2=1,'Michigan Curve'!N8,IF(Tables!$B$2=2,'Michigan Curve'!O8,IF(Tables!$B$2=4,'Michigan Curve'!P8,IF(Tables!$B$2=5,'Michigan Curve'!Q8,IF(Tables!$B$2=3,'Michigan Curve'!R8,0)))))</f>
        <v>8494.66039334754</v>
      </c>
      <c r="U8" s="46" t="n">
        <v>1</v>
      </c>
      <c r="V8" s="43" t="s">
        <v>29</v>
      </c>
      <c r="W8" s="8"/>
      <c r="X8" s="40" t="n">
        <v>1</v>
      </c>
      <c r="Y8" s="79" t="n">
        <v>1.02</v>
      </c>
      <c r="Z8" s="79" t="n">
        <v>0.98</v>
      </c>
      <c r="AA8" s="48" t="n">
        <f aca="false">AVERAGE(Y8:Z8)</f>
        <v>1</v>
      </c>
    </row>
    <row r="9" customFormat="false" ht="12.75" hidden="false" customHeight="false" outlineLevel="0" collapsed="false">
      <c r="A9" s="21" t="n">
        <v>37012</v>
      </c>
      <c r="B9" s="22" t="n">
        <v>29.25</v>
      </c>
      <c r="C9" s="71" t="n">
        <v>21</v>
      </c>
      <c r="D9" s="59" t="n">
        <v>20.0049991607666</v>
      </c>
      <c r="E9" s="26" t="n">
        <f aca="false">IF(VLOOKUP(MONTH(A9),SeasonTable,2,0)&lt;&gt;"Summer",VLOOKUP(MONTH(A9),ScalarTable,2,0),((0.059228/(B9/100))-(0.4980013/(SQRT(B9/100)))+2.137988))</f>
        <v>1.07625000178814</v>
      </c>
      <c r="F9" s="28" t="n">
        <f aca="false">+E9*B9</f>
        <v>31.4803125523031</v>
      </c>
      <c r="H9" s="72" t="n">
        <f aca="false">2-E9</f>
        <v>0.923749998211861</v>
      </c>
      <c r="I9" s="73" t="n">
        <f aca="false">B9*H9</f>
        <v>27.0196874476969</v>
      </c>
      <c r="J9" s="74" t="n">
        <f aca="false">C9*E9</f>
        <v>22.6012500375509</v>
      </c>
      <c r="K9" s="75" t="n">
        <f aca="false">C9*H9</f>
        <v>19.3987499624491</v>
      </c>
      <c r="L9" s="28" t="n">
        <f aca="false">D9*E9</f>
        <v>21.5303803825468</v>
      </c>
      <c r="N9" s="32" t="n">
        <v>137492.739269768</v>
      </c>
      <c r="O9" s="32" t="n">
        <v>79135.2749721424</v>
      </c>
      <c r="P9" s="32" t="n">
        <v>184390.76661557</v>
      </c>
      <c r="Q9" s="32" t="n">
        <v>145242.984919233</v>
      </c>
      <c r="R9" s="32" t="n">
        <v>119827.038207688</v>
      </c>
      <c r="S9" s="34" t="n">
        <f aca="false">IF(Tables!$B$2=1,'Michigan Curve'!N9,IF(Tables!$B$2=2,'Michigan Curve'!O9,IF(Tables!$B$2=4,'Michigan Curve'!P9,IF(Tables!$B$2=5,'Michigan Curve'!Q9,IF(Tables!$B$2=3,'Michigan Curve'!R9,0)))))</f>
        <v>145242.984919233</v>
      </c>
      <c r="U9" s="46" t="n">
        <v>2</v>
      </c>
      <c r="V9" s="43" t="s">
        <v>29</v>
      </c>
      <c r="W9" s="8"/>
      <c r="X9" s="40" t="n">
        <v>2</v>
      </c>
      <c r="Y9" s="79" t="n">
        <v>1.02</v>
      </c>
      <c r="Z9" s="79" t="n">
        <v>0.98</v>
      </c>
      <c r="AA9" s="48" t="n">
        <f aca="false">AVERAGE(Y9:Z9)</f>
        <v>1</v>
      </c>
    </row>
    <row r="10" customFormat="false" ht="12.75" hidden="false" customHeight="false" outlineLevel="0" collapsed="false">
      <c r="A10" s="21" t="n">
        <v>37043</v>
      </c>
      <c r="B10" s="22" t="n">
        <v>60.25</v>
      </c>
      <c r="C10" s="71" t="n">
        <v>26</v>
      </c>
      <c r="D10" s="59" t="n">
        <v>24</v>
      </c>
      <c r="E10" s="26" t="n">
        <f aca="false">IF(VLOOKUP(MONTH(A10),SeasonTable,2,0)&lt;&gt;"Summer",VLOOKUP(MONTH(A10),ScalarTable,2,0),((0.059228/(B10/100))-(0.4980013/(SQRT(B10/100)))+2.137988))</f>
        <v>1.59471005973738</v>
      </c>
      <c r="F10" s="28" t="n">
        <f aca="false">+E10*B10</f>
        <v>96.081281099177</v>
      </c>
      <c r="H10" s="72" t="n">
        <f aca="false">2-E10</f>
        <v>0.405289940262622</v>
      </c>
      <c r="I10" s="73" t="n">
        <f aca="false">B10*H10</f>
        <v>24.418718900823</v>
      </c>
      <c r="J10" s="74" t="n">
        <f aca="false">C10*E10</f>
        <v>41.4624615531718</v>
      </c>
      <c r="K10" s="75" t="n">
        <f aca="false">C10*H10</f>
        <v>10.5375384468282</v>
      </c>
      <c r="L10" s="28" t="n">
        <f aca="false">D10*E10</f>
        <v>38.2730414336971</v>
      </c>
      <c r="N10" s="32" t="n">
        <v>556060.357473987</v>
      </c>
      <c r="O10" s="32" t="n">
        <v>337384.628116589</v>
      </c>
      <c r="P10" s="32" t="n">
        <v>737929.601541515</v>
      </c>
      <c r="Q10" s="32" t="n">
        <v>647465.347372316</v>
      </c>
      <c r="R10" s="32" t="n">
        <v>699322.297174241</v>
      </c>
      <c r="S10" s="34" t="n">
        <f aca="false">IF(Tables!$B$2=1,'Michigan Curve'!N10,IF(Tables!$B$2=2,'Michigan Curve'!O10,IF(Tables!$B$2=4,'Michigan Curve'!P10,IF(Tables!$B$2=5,'Michigan Curve'!Q10,IF(Tables!$B$2=3,'Michigan Curve'!R10,0)))))</f>
        <v>647465.347372316</v>
      </c>
      <c r="U10" s="46" t="n">
        <v>3</v>
      </c>
      <c r="V10" s="43" t="s">
        <v>30</v>
      </c>
      <c r="W10" s="8"/>
      <c r="X10" s="40" t="n">
        <v>3</v>
      </c>
      <c r="Y10" s="79" t="n">
        <v>1.02</v>
      </c>
      <c r="Z10" s="79" t="n">
        <v>0.98</v>
      </c>
      <c r="AA10" s="48" t="n">
        <f aca="false">AVERAGE(Y10:Z10)</f>
        <v>1</v>
      </c>
    </row>
    <row r="11" customFormat="false" ht="12.75" hidden="false" customHeight="false" outlineLevel="0" collapsed="false">
      <c r="A11" s="21" t="n">
        <v>37073</v>
      </c>
      <c r="B11" s="22" t="n">
        <v>120</v>
      </c>
      <c r="C11" s="71" t="n">
        <v>35</v>
      </c>
      <c r="D11" s="59" t="n">
        <v>30.9999980926514</v>
      </c>
      <c r="E11" s="26" t="n">
        <f aca="false">IF(VLOOKUP(MONTH(A11),SeasonTable,2,0)&lt;&gt;"Summer",VLOOKUP(MONTH(A11),ScalarTable,2,0),((0.059228/(B11/100))-(0.4980013/(SQRT(B11/100)))+2.137988))</f>
        <v>1.73273375720517</v>
      </c>
      <c r="F11" s="28" t="n">
        <f aca="false">+E11*B11</f>
        <v>207.928050864621</v>
      </c>
      <c r="H11" s="72" t="n">
        <f aca="false">2-E11</f>
        <v>0.267266242794829</v>
      </c>
      <c r="I11" s="73" t="n">
        <f aca="false">B11*H11</f>
        <v>32.0719491353795</v>
      </c>
      <c r="J11" s="74" t="n">
        <f aca="false">C11*E11</f>
        <v>60.645681502181</v>
      </c>
      <c r="K11" s="75" t="n">
        <f aca="false">C11*H11</f>
        <v>9.35431849781902</v>
      </c>
      <c r="L11" s="28" t="n">
        <f aca="false">D11*E11</f>
        <v>53.7147431684329</v>
      </c>
      <c r="N11" s="32" t="n">
        <v>910012.90410535</v>
      </c>
      <c r="O11" s="32" t="n">
        <v>550320.06770342</v>
      </c>
      <c r="P11" s="32" t="n">
        <v>1208443.6335958</v>
      </c>
      <c r="Q11" s="32" t="n">
        <v>1053441.02327405</v>
      </c>
      <c r="R11" s="32" t="n">
        <v>1120463.31259093</v>
      </c>
      <c r="S11" s="34" t="n">
        <f aca="false">IF(Tables!$B$2=1,'Michigan Curve'!N11,IF(Tables!$B$2=2,'Michigan Curve'!O11,IF(Tables!$B$2=4,'Michigan Curve'!P11,IF(Tables!$B$2=5,'Michigan Curve'!Q11,IF(Tables!$B$2=3,'Michigan Curve'!R11,0)))))</f>
        <v>1053441.02327405</v>
      </c>
      <c r="U11" s="46" t="n">
        <v>4</v>
      </c>
      <c r="V11" s="43" t="s">
        <v>30</v>
      </c>
      <c r="W11" s="8"/>
      <c r="X11" s="40" t="n">
        <v>4</v>
      </c>
      <c r="Y11" s="79" t="n">
        <v>1</v>
      </c>
      <c r="Z11" s="79" t="n">
        <v>1</v>
      </c>
      <c r="AA11" s="48" t="n">
        <f aca="false">AVERAGE(Y11:Z11)</f>
        <v>1</v>
      </c>
    </row>
    <row r="12" customFormat="false" ht="12.75" hidden="false" customHeight="false" outlineLevel="0" collapsed="false">
      <c r="A12" s="21" t="n">
        <v>37104</v>
      </c>
      <c r="B12" s="22" t="n">
        <v>120</v>
      </c>
      <c r="C12" s="71" t="n">
        <v>35.0000038146973</v>
      </c>
      <c r="D12" s="59" t="n">
        <v>31</v>
      </c>
      <c r="E12" s="26" t="n">
        <f aca="false">IF(VLOOKUP(MONTH(A12),SeasonTable,2,0)&lt;&gt;"Summer",VLOOKUP(MONTH(A12),ScalarTable,2,0),((0.059228/(B12/100))-(0.4980013/(SQRT(B12/100)))+2.137988))</f>
        <v>1.73273375720517</v>
      </c>
      <c r="F12" s="28" t="n">
        <f aca="false">+E12*B12</f>
        <v>207.928050864621</v>
      </c>
      <c r="H12" s="72" t="n">
        <f aca="false">2-E12</f>
        <v>0.267266242794829</v>
      </c>
      <c r="I12" s="73" t="n">
        <f aca="false">B12*H12</f>
        <v>32.0719491353795</v>
      </c>
      <c r="J12" s="74" t="n">
        <f aca="false">C12*E12</f>
        <v>60.6456881120357</v>
      </c>
      <c r="K12" s="75" t="n">
        <f aca="false">C12*H12</f>
        <v>9.35431951735882</v>
      </c>
      <c r="L12" s="28" t="n">
        <f aca="false">D12*E12</f>
        <v>53.7147464733603</v>
      </c>
      <c r="N12" s="32" t="n">
        <v>902980.368164012</v>
      </c>
      <c r="O12" s="32" t="n">
        <v>545051.36803354</v>
      </c>
      <c r="P12" s="32" t="n">
        <v>1199555.88266416</v>
      </c>
      <c r="Q12" s="32" t="n">
        <v>1041772.95533125</v>
      </c>
      <c r="R12" s="32" t="n">
        <v>1097882.30581801</v>
      </c>
      <c r="S12" s="34" t="n">
        <f aca="false">IF(Tables!$B$2=1,'Michigan Curve'!N12,IF(Tables!$B$2=2,'Michigan Curve'!O12,IF(Tables!$B$2=4,'Michigan Curve'!P12,IF(Tables!$B$2=5,'Michigan Curve'!Q12,IF(Tables!$B$2=3,'Michigan Curve'!R12,0)))))</f>
        <v>1041772.95533125</v>
      </c>
      <c r="U12" s="46" t="n">
        <v>5</v>
      </c>
      <c r="V12" s="43" t="s">
        <v>30</v>
      </c>
      <c r="W12" s="8"/>
      <c r="X12" s="40" t="n">
        <v>5</v>
      </c>
      <c r="Y12" s="79" t="n">
        <v>1.07625000178814</v>
      </c>
      <c r="Z12" s="79" t="n">
        <v>0.92379017919302</v>
      </c>
      <c r="AA12" s="48" t="n">
        <f aca="false">AVERAGE(Y12:Z12)</f>
        <v>1.00002009049058</v>
      </c>
    </row>
    <row r="13" customFormat="false" ht="12.75" hidden="false" customHeight="false" outlineLevel="0" collapsed="false">
      <c r="A13" s="21" t="n">
        <v>37135</v>
      </c>
      <c r="B13" s="22" t="n">
        <v>31</v>
      </c>
      <c r="C13" s="71" t="n">
        <v>25</v>
      </c>
      <c r="D13" s="59" t="n">
        <v>24</v>
      </c>
      <c r="E13" s="26" t="n">
        <f aca="false">IF(VLOOKUP(MONTH(A13),SeasonTable,2,0)&lt;&gt;"Summer",VLOOKUP(MONTH(A13),ScalarTable,2,0),((0.059228/(B13/100))-(0.4980013/(SQRT(B13/100)))+2.137988))</f>
        <v>1.35124999284744</v>
      </c>
      <c r="F13" s="28" t="n">
        <f aca="false">+E13*B13</f>
        <v>41.8887497782707</v>
      </c>
      <c r="H13" s="72" t="n">
        <f aca="false">2-E13</f>
        <v>0.648750007152557</v>
      </c>
      <c r="I13" s="73" t="n">
        <f aca="false">B13*H13</f>
        <v>20.1112502217293</v>
      </c>
      <c r="J13" s="74" t="n">
        <f aca="false">C13*E13</f>
        <v>33.7812498211861</v>
      </c>
      <c r="K13" s="75" t="n">
        <f aca="false">C13*H13</f>
        <v>16.2187501788139</v>
      </c>
      <c r="L13" s="28" t="n">
        <f aca="false">D13*E13</f>
        <v>32.4299998283386</v>
      </c>
      <c r="N13" s="32" t="n">
        <v>334025.203223325</v>
      </c>
      <c r="O13" s="32" t="n">
        <v>194728.331548419</v>
      </c>
      <c r="P13" s="32" t="n">
        <v>440402.156144889</v>
      </c>
      <c r="Q13" s="32" t="n">
        <v>360911.780146392</v>
      </c>
      <c r="R13" s="32" t="n">
        <v>318290.145081916</v>
      </c>
      <c r="S13" s="34" t="n">
        <f aca="false">IF(Tables!$B$2=1,'Michigan Curve'!N13,IF(Tables!$B$2=2,'Michigan Curve'!O13,IF(Tables!$B$2=4,'Michigan Curve'!P13,IF(Tables!$B$2=5,'Michigan Curve'!Q13,IF(Tables!$B$2=3,'Michigan Curve'!R13,0)))))</f>
        <v>360911.780146392</v>
      </c>
      <c r="U13" s="46" t="n">
        <v>6</v>
      </c>
      <c r="V13" s="43" t="s">
        <v>31</v>
      </c>
      <c r="W13" s="8"/>
      <c r="X13" s="40" t="n">
        <v>6</v>
      </c>
      <c r="Y13" s="79" t="n">
        <v>1.52999997138977</v>
      </c>
      <c r="Z13" s="79" t="n">
        <v>0.469999998807907</v>
      </c>
      <c r="AA13" s="48" t="n">
        <f aca="false">AVERAGE(Y13:Z13)</f>
        <v>0.999999985098839</v>
      </c>
      <c r="AB13" s="49"/>
    </row>
    <row r="14" customFormat="false" ht="12.75" hidden="false" customHeight="false" outlineLevel="0" collapsed="false">
      <c r="A14" s="21" t="n">
        <v>37165</v>
      </c>
      <c r="B14" s="22" t="n">
        <v>24.0999946594238</v>
      </c>
      <c r="C14" s="71" t="n">
        <v>19.996000289917</v>
      </c>
      <c r="D14" s="59" t="n">
        <v>18.9965000152588</v>
      </c>
      <c r="E14" s="26" t="n">
        <f aca="false">IF(VLOOKUP(MONTH(A14),SeasonTable,2,0)&lt;&gt;"Summer",VLOOKUP(MONTH(A14),ScalarTable,2,0),((0.059228/(B14/100))-(0.4980013/(SQRT(B14/100)))+2.137988))</f>
        <v>1</v>
      </c>
      <c r="F14" s="28" t="n">
        <f aca="false">+E14*B14</f>
        <v>24.0999946594238</v>
      </c>
      <c r="H14" s="72" t="n">
        <f aca="false">2-E14</f>
        <v>1</v>
      </c>
      <c r="I14" s="73" t="n">
        <f aca="false">B14*H14</f>
        <v>24.0999946594238</v>
      </c>
      <c r="J14" s="74" t="n">
        <f aca="false">C14*E14</f>
        <v>19.996000289917</v>
      </c>
      <c r="K14" s="75" t="n">
        <f aca="false">C14*H14</f>
        <v>19.996000289917</v>
      </c>
      <c r="L14" s="28" t="n">
        <f aca="false">D14*E14</f>
        <v>18.9965000152588</v>
      </c>
      <c r="N14" s="32" t="n">
        <v>9637.24489012519</v>
      </c>
      <c r="O14" s="32" t="n">
        <v>5225.85891847276</v>
      </c>
      <c r="P14" s="32" t="n">
        <v>13079.1307778315</v>
      </c>
      <c r="Q14" s="32" t="n">
        <v>9108.07299037002</v>
      </c>
      <c r="R14" s="32" t="n">
        <v>5383.89244218258</v>
      </c>
      <c r="S14" s="34" t="n">
        <f aca="false">IF(Tables!$B$2=1,'Michigan Curve'!N14,IF(Tables!$B$2=2,'Michigan Curve'!O14,IF(Tables!$B$2=4,'Michigan Curve'!P14,IF(Tables!$B$2=5,'Michigan Curve'!Q14,IF(Tables!$B$2=3,'Michigan Curve'!R14,0)))))</f>
        <v>9108.07299037002</v>
      </c>
      <c r="U14" s="46" t="n">
        <v>7</v>
      </c>
      <c r="V14" s="43" t="s">
        <v>31</v>
      </c>
      <c r="W14" s="8"/>
      <c r="X14" s="40" t="n">
        <v>7</v>
      </c>
      <c r="Y14" s="79" t="n">
        <v>1.62999999523163</v>
      </c>
      <c r="Z14" s="79" t="n">
        <v>0.370000004768372</v>
      </c>
      <c r="AA14" s="48" t="n">
        <f aca="false">AVERAGE(Y14:Z14)</f>
        <v>1</v>
      </c>
      <c r="AB14" s="49"/>
    </row>
    <row r="15" customFormat="false" ht="12.75" hidden="false" customHeight="false" outlineLevel="0" collapsed="false">
      <c r="A15" s="21" t="n">
        <v>37196</v>
      </c>
      <c r="B15" s="22" t="n">
        <v>23.9799957275391</v>
      </c>
      <c r="C15" s="71" t="n">
        <v>20</v>
      </c>
      <c r="D15" s="59" t="n">
        <v>19</v>
      </c>
      <c r="E15" s="26" t="n">
        <f aca="false">IF(VLOOKUP(MONTH(A15),SeasonTable,2,0)&lt;&gt;"Summer",VLOOKUP(MONTH(A15),ScalarTable,2,0),((0.059228/(B15/100))-(0.4980013/(SQRT(B15/100)))+2.137988))</f>
        <v>1.08</v>
      </c>
      <c r="F15" s="28" t="n">
        <f aca="false">+E15*B15</f>
        <v>25.8983953857422</v>
      </c>
      <c r="H15" s="72" t="n">
        <f aca="false">2-E15</f>
        <v>0.92</v>
      </c>
      <c r="I15" s="73" t="n">
        <f aca="false">B15*H15</f>
        <v>22.0615960693359</v>
      </c>
      <c r="J15" s="74" t="n">
        <f aca="false">C15*E15</f>
        <v>21.6</v>
      </c>
      <c r="K15" s="75" t="n">
        <f aca="false">C15*H15</f>
        <v>18.4</v>
      </c>
      <c r="L15" s="28" t="n">
        <f aca="false">D15*E15</f>
        <v>20.52</v>
      </c>
      <c r="N15" s="32" t="n">
        <v>16700.7421505286</v>
      </c>
      <c r="O15" s="32" t="n">
        <v>9228.59336186985</v>
      </c>
      <c r="P15" s="32" t="n">
        <v>22580.4390725912</v>
      </c>
      <c r="Q15" s="32" t="n">
        <v>16395.9470011223</v>
      </c>
      <c r="R15" s="32" t="n">
        <v>10933.3652223403</v>
      </c>
      <c r="S15" s="34" t="n">
        <f aca="false">IF(Tables!$B$2=1,'Michigan Curve'!N15,IF(Tables!$B$2=2,'Michigan Curve'!O15,IF(Tables!$B$2=4,'Michigan Curve'!P15,IF(Tables!$B$2=5,'Michigan Curve'!Q15,IF(Tables!$B$2=3,'Michigan Curve'!R15,0)))))</f>
        <v>16395.9470011223</v>
      </c>
      <c r="U15" s="46" t="n">
        <v>8</v>
      </c>
      <c r="V15" s="43" t="s">
        <v>31</v>
      </c>
      <c r="W15" s="8"/>
      <c r="X15" s="40" t="n">
        <v>8</v>
      </c>
      <c r="Y15" s="79" t="n">
        <v>1.62999999523163</v>
      </c>
      <c r="Z15" s="79" t="n">
        <v>0.370000004768372</v>
      </c>
      <c r="AA15" s="48" t="n">
        <f aca="false">AVERAGE(Y15:Z15)</f>
        <v>1</v>
      </c>
      <c r="AB15" s="8"/>
    </row>
    <row r="16" customFormat="false" ht="12.75" hidden="false" customHeight="false" outlineLevel="0" collapsed="false">
      <c r="A16" s="21" t="n">
        <v>37226</v>
      </c>
      <c r="B16" s="22" t="n">
        <v>24.4499950408936</v>
      </c>
      <c r="C16" s="71" t="n">
        <v>20</v>
      </c>
      <c r="D16" s="59" t="n">
        <v>19</v>
      </c>
      <c r="E16" s="26" t="n">
        <f aca="false">IF(VLOOKUP(MONTH(A16),SeasonTable,2,0)&lt;&gt;"Summer",VLOOKUP(MONTH(A16),ScalarTable,2,0),((0.059228/(B16/100))-(0.4980013/(SQRT(B16/100)))+2.137988))</f>
        <v>1.02</v>
      </c>
      <c r="F16" s="28" t="n">
        <f aca="false">+E16*B16</f>
        <v>24.9389949417114</v>
      </c>
      <c r="H16" s="72" t="n">
        <f aca="false">2-E16</f>
        <v>0.98</v>
      </c>
      <c r="I16" s="73" t="n">
        <f aca="false">B16*H16</f>
        <v>23.9609951400757</v>
      </c>
      <c r="J16" s="74" t="n">
        <f aca="false">C16*E16</f>
        <v>20.4</v>
      </c>
      <c r="K16" s="75" t="n">
        <f aca="false">C16*H16</f>
        <v>19.6</v>
      </c>
      <c r="L16" s="28" t="n">
        <f aca="false">D16*E16</f>
        <v>19.38</v>
      </c>
      <c r="N16" s="32" t="n">
        <v>6036.6037322052</v>
      </c>
      <c r="O16" s="32" t="n">
        <v>3267.44266853512</v>
      </c>
      <c r="P16" s="32" t="n">
        <v>8195.72681267961</v>
      </c>
      <c r="Q16" s="32" t="n">
        <v>5723.35764430207</v>
      </c>
      <c r="R16" s="32" t="n">
        <v>3457.74237897253</v>
      </c>
      <c r="S16" s="34" t="n">
        <f aca="false">IF(Tables!$B$2=1,'Michigan Curve'!N16,IF(Tables!$B$2=2,'Michigan Curve'!O16,IF(Tables!$B$2=4,'Michigan Curve'!P16,IF(Tables!$B$2=5,'Michigan Curve'!Q16,IF(Tables!$B$2=3,'Michigan Curve'!R16,0)))))</f>
        <v>5723.35764430207</v>
      </c>
      <c r="U16" s="46" t="n">
        <v>9</v>
      </c>
      <c r="V16" s="43" t="s">
        <v>30</v>
      </c>
      <c r="W16" s="8"/>
      <c r="X16" s="40" t="n">
        <v>9</v>
      </c>
      <c r="Y16" s="79" t="n">
        <v>1.35124999284744</v>
      </c>
      <c r="Z16" s="79" t="n">
        <v>0.648843869566917</v>
      </c>
      <c r="AA16" s="48" t="n">
        <f aca="false">AVERAGE(Y16:Z16)</f>
        <v>1.00004693120718</v>
      </c>
      <c r="AB16" s="8"/>
    </row>
    <row r="17" customFormat="false" ht="12.75" hidden="false" customHeight="false" outlineLevel="0" collapsed="false">
      <c r="A17" s="21" t="n">
        <v>37257</v>
      </c>
      <c r="B17" s="22" t="n">
        <v>29.7000003814697</v>
      </c>
      <c r="C17" s="71" t="n">
        <v>22</v>
      </c>
      <c r="D17" s="59" t="n">
        <v>21</v>
      </c>
      <c r="E17" s="26" t="n">
        <f aca="false">IF(VLOOKUP(MONTH(A17),SeasonTable,2,0)&lt;&gt;"Summer",VLOOKUP(MONTH(A17),ScalarTable,2,0),((0.059228/(B17/100))-(0.4980013/(SQRT(B17/100)))+2.137988))</f>
        <v>1.02</v>
      </c>
      <c r="F17" s="28" t="n">
        <f aca="false">+E17*B17</f>
        <v>30.2940003890991</v>
      </c>
      <c r="H17" s="72" t="n">
        <f aca="false">2-E17</f>
        <v>0.98</v>
      </c>
      <c r="I17" s="73" t="n">
        <f aca="false">B17*H17</f>
        <v>29.1060003738403</v>
      </c>
      <c r="J17" s="74" t="n">
        <f aca="false">C17*E17</f>
        <v>22.44</v>
      </c>
      <c r="K17" s="75" t="n">
        <f aca="false">C17*H17</f>
        <v>21.56</v>
      </c>
      <c r="L17" s="28" t="n">
        <f aca="false">D17*E17</f>
        <v>21.42</v>
      </c>
      <c r="N17" s="32" t="n">
        <v>88999.4708446927</v>
      </c>
      <c r="O17" s="32" t="n">
        <v>50999.5329448179</v>
      </c>
      <c r="P17" s="32" t="n">
        <v>119463.057726206</v>
      </c>
      <c r="Q17" s="32" t="n">
        <v>93399.6020133013</v>
      </c>
      <c r="R17" s="32" t="n">
        <v>75133.2450003283</v>
      </c>
      <c r="S17" s="34" t="n">
        <f aca="false">IF(Tables!$B$2=1,'Michigan Curve'!N17,IF(Tables!$B$2=2,'Michigan Curve'!O17,IF(Tables!$B$2=4,'Michigan Curve'!P17,IF(Tables!$B$2=5,'Michigan Curve'!Q17,IF(Tables!$B$2=3,'Michigan Curve'!R17,0)))))</f>
        <v>93399.6020133013</v>
      </c>
      <c r="U17" s="46" t="n">
        <v>10</v>
      </c>
      <c r="V17" s="43" t="s">
        <v>30</v>
      </c>
      <c r="W17" s="8"/>
      <c r="X17" s="40" t="n">
        <v>10</v>
      </c>
      <c r="Y17" s="79" t="n">
        <v>1</v>
      </c>
      <c r="Z17" s="79" t="n">
        <v>1</v>
      </c>
      <c r="AA17" s="48" t="n">
        <f aca="false">AVERAGE(Y17:Z17)</f>
        <v>1</v>
      </c>
      <c r="AB17" s="8"/>
    </row>
    <row r="18" customFormat="false" ht="12.75" hidden="false" customHeight="false" outlineLevel="0" collapsed="false">
      <c r="A18" s="21" t="n">
        <v>37288</v>
      </c>
      <c r="B18" s="22" t="n">
        <v>29.6999984741211</v>
      </c>
      <c r="C18" s="71" t="n">
        <v>21.996000289917</v>
      </c>
      <c r="D18" s="59" t="n">
        <v>20.9965019226074</v>
      </c>
      <c r="E18" s="26" t="n">
        <f aca="false">IF(VLOOKUP(MONTH(A18),SeasonTable,2,0)&lt;&gt;"Summer",VLOOKUP(MONTH(A18),ScalarTable,2,0),((0.059228/(B18/100))-(0.4980013/(SQRT(B18/100)))+2.137988))</f>
        <v>1.02</v>
      </c>
      <c r="F18" s="28" t="n">
        <f aca="false">+E18*B18</f>
        <v>30.2939984436035</v>
      </c>
      <c r="H18" s="72" t="n">
        <f aca="false">2-E18</f>
        <v>0.98</v>
      </c>
      <c r="I18" s="73" t="n">
        <f aca="false">B18*H18</f>
        <v>29.1059985046387</v>
      </c>
      <c r="J18" s="74" t="n">
        <f aca="false">C18*E18</f>
        <v>22.4359202957153</v>
      </c>
      <c r="K18" s="75" t="n">
        <f aca="false">C18*H18</f>
        <v>21.5560802841187</v>
      </c>
      <c r="L18" s="28" t="n">
        <f aca="false">D18*E18</f>
        <v>21.4164319610596</v>
      </c>
      <c r="N18" s="32" t="n">
        <v>87324.9561732402</v>
      </c>
      <c r="O18" s="32" t="n">
        <v>50120.3158381997</v>
      </c>
      <c r="P18" s="32" t="n">
        <v>117177.772586184</v>
      </c>
      <c r="Q18" s="32" t="n">
        <v>91903.2410848643</v>
      </c>
      <c r="R18" s="32" t="n">
        <v>74615.2468414626</v>
      </c>
      <c r="S18" s="34" t="n">
        <f aca="false">IF(Tables!$B$2=1,'Michigan Curve'!N18,IF(Tables!$B$2=2,'Michigan Curve'!O18,IF(Tables!$B$2=4,'Michigan Curve'!P18,IF(Tables!$B$2=5,'Michigan Curve'!Q18,IF(Tables!$B$2=3,'Michigan Curve'!R18,0)))))</f>
        <v>91903.2410848643</v>
      </c>
      <c r="U18" s="46" t="n">
        <v>11</v>
      </c>
      <c r="V18" s="43" t="s">
        <v>30</v>
      </c>
      <c r="W18" s="8"/>
      <c r="X18" s="40" t="n">
        <v>11</v>
      </c>
      <c r="Y18" s="79" t="n">
        <v>1.08</v>
      </c>
      <c r="Z18" s="79" t="n">
        <v>0.92</v>
      </c>
      <c r="AA18" s="48" t="n">
        <f aca="false">AVERAGE(Y18:Z18)</f>
        <v>1</v>
      </c>
      <c r="AB18" s="8"/>
    </row>
    <row r="19" customFormat="false" ht="12.75" hidden="false" customHeight="false" outlineLevel="0" collapsed="false">
      <c r="A19" s="21" t="n">
        <v>37316</v>
      </c>
      <c r="B19" s="22" t="n">
        <v>24.5</v>
      </c>
      <c r="C19" s="71" t="n">
        <v>20</v>
      </c>
      <c r="D19" s="59" t="n">
        <v>19</v>
      </c>
      <c r="E19" s="26" t="n">
        <f aca="false">IF(VLOOKUP(MONTH(A19),SeasonTable,2,0)&lt;&gt;"Summer",VLOOKUP(MONTH(A19),ScalarTable,2,0),((0.059228/(B19/100))-(0.4980013/(SQRT(B19/100)))+2.137988))</f>
        <v>1.02</v>
      </c>
      <c r="F19" s="28" t="n">
        <f aca="false">+E19*B19</f>
        <v>24.99</v>
      </c>
      <c r="H19" s="72" t="n">
        <f aca="false">2-E19</f>
        <v>0.98</v>
      </c>
      <c r="I19" s="73" t="n">
        <f aca="false">B19*H19</f>
        <v>24.01</v>
      </c>
      <c r="J19" s="74" t="n">
        <f aca="false">C19*E19</f>
        <v>20.4</v>
      </c>
      <c r="K19" s="75" t="n">
        <f aca="false">C19*H19</f>
        <v>19.6</v>
      </c>
      <c r="L19" s="28" t="n">
        <f aca="false">D19*E19</f>
        <v>19.38</v>
      </c>
      <c r="N19" s="32" t="n">
        <v>11735.1863181002</v>
      </c>
      <c r="O19" s="32" t="n">
        <v>6450.008769334</v>
      </c>
      <c r="P19" s="32" t="n">
        <v>15883.7759292142</v>
      </c>
      <c r="Q19" s="32" t="n">
        <v>11431.9946587647</v>
      </c>
      <c r="R19" s="32" t="n">
        <v>7426.91351561202</v>
      </c>
      <c r="S19" s="34" t="n">
        <f aca="false">IF(Tables!$B$2=1,'Michigan Curve'!N19,IF(Tables!$B$2=2,'Michigan Curve'!O19,IF(Tables!$B$2=4,'Michigan Curve'!P19,IF(Tables!$B$2=5,'Michigan Curve'!Q19,IF(Tables!$B$2=3,'Michigan Curve'!R19,0)))))</f>
        <v>11431.9946587647</v>
      </c>
      <c r="U19" s="50" t="n">
        <v>12</v>
      </c>
      <c r="V19" s="51" t="s">
        <v>29</v>
      </c>
      <c r="W19" s="8"/>
      <c r="X19" s="52" t="n">
        <v>12</v>
      </c>
      <c r="Y19" s="80" t="n">
        <v>1.02</v>
      </c>
      <c r="Z19" s="80" t="n">
        <v>0.98</v>
      </c>
      <c r="AA19" s="54" t="n">
        <f aca="false">AVERAGE(Y19:Z19)</f>
        <v>1</v>
      </c>
      <c r="AB19" s="8"/>
    </row>
    <row r="20" customFormat="false" ht="12.75" hidden="false" customHeight="false" outlineLevel="0" collapsed="false">
      <c r="A20" s="21" t="n">
        <v>37347</v>
      </c>
      <c r="B20" s="22" t="n">
        <v>24.75</v>
      </c>
      <c r="C20" s="71" t="n">
        <v>20</v>
      </c>
      <c r="D20" s="59" t="n">
        <v>18.9950008392334</v>
      </c>
      <c r="E20" s="26" t="n">
        <f aca="false">IF(VLOOKUP(MONTH(A20),SeasonTable,2,0)&lt;&gt;"Summer",VLOOKUP(MONTH(A20),ScalarTable,2,0),((0.059228/(B20/100))-(0.4980013/(SQRT(B20/100)))+2.137988))</f>
        <v>1</v>
      </c>
      <c r="F20" s="28" t="n">
        <f aca="false">+E20*B20</f>
        <v>24.75</v>
      </c>
      <c r="H20" s="72" t="n">
        <f aca="false">2-E20</f>
        <v>1</v>
      </c>
      <c r="I20" s="73" t="n">
        <f aca="false">B20*H20</f>
        <v>24.75</v>
      </c>
      <c r="J20" s="74" t="n">
        <f aca="false">C20*E20</f>
        <v>20</v>
      </c>
      <c r="K20" s="75" t="n">
        <f aca="false">C20*H20</f>
        <v>20</v>
      </c>
      <c r="L20" s="28" t="n">
        <f aca="false">D20*E20</f>
        <v>18.9950008392334</v>
      </c>
      <c r="N20" s="32" t="n">
        <v>23441.9450886677</v>
      </c>
      <c r="O20" s="32" t="n">
        <v>13054.2807343194</v>
      </c>
      <c r="P20" s="32" t="n">
        <v>31645.8868639187</v>
      </c>
      <c r="Q20" s="32" t="n">
        <v>23357.1337353948</v>
      </c>
      <c r="R20" s="32" t="n">
        <v>16321.1835144948</v>
      </c>
      <c r="S20" s="34" t="n">
        <f aca="false">IF(Tables!$B$2=1,'Michigan Curve'!N20,IF(Tables!$B$2=2,'Michigan Curve'!O20,IF(Tables!$B$2=4,'Michigan Curve'!P20,IF(Tables!$B$2=5,'Michigan Curve'!Q20,IF(Tables!$B$2=3,'Michigan Curve'!R20,0)))))</f>
        <v>23357.1337353948</v>
      </c>
      <c r="AB20" s="8"/>
    </row>
    <row r="21" customFormat="false" ht="12.75" hidden="false" customHeight="false" outlineLevel="0" collapsed="false">
      <c r="A21" s="21" t="n">
        <v>37377</v>
      </c>
      <c r="B21" s="22" t="n">
        <v>28.75</v>
      </c>
      <c r="C21" s="71" t="n">
        <v>21</v>
      </c>
      <c r="D21" s="59" t="n">
        <v>20.0049991607666</v>
      </c>
      <c r="E21" s="26" t="n">
        <f aca="false">IF(VLOOKUP(MONTH(A21),SeasonTable,2,0)&lt;&gt;"Summer",VLOOKUP(MONTH(A21),ScalarTable,2,0),((0.059228/(B21/100))-(0.4980013/(SQRT(B21/100)))+2.137988))</f>
        <v>1.07625000178814</v>
      </c>
      <c r="F21" s="28" t="n">
        <f aca="false">+E21*B21</f>
        <v>30.942187551409</v>
      </c>
      <c r="H21" s="72" t="n">
        <f aca="false">2-E21</f>
        <v>0.923749998211861</v>
      </c>
      <c r="I21" s="73" t="n">
        <f aca="false">B21*H21</f>
        <v>26.557812448591</v>
      </c>
      <c r="J21" s="74" t="n">
        <f aca="false">C21*E21</f>
        <v>22.6012500375509</v>
      </c>
      <c r="K21" s="75" t="n">
        <f aca="false">C21*H21</f>
        <v>19.3987499624491</v>
      </c>
      <c r="L21" s="28" t="n">
        <f aca="false">D21*E21</f>
        <v>21.5303803825468</v>
      </c>
      <c r="N21" s="32" t="n">
        <v>177881.634039576</v>
      </c>
      <c r="O21" s="32" t="n">
        <v>103241.690467549</v>
      </c>
      <c r="P21" s="32" t="n">
        <v>238158.977123623</v>
      </c>
      <c r="Q21" s="32" t="n">
        <v>190839.836138706</v>
      </c>
      <c r="R21" s="32" t="n">
        <v>164942.594264246</v>
      </c>
      <c r="S21" s="34" t="n">
        <f aca="false">IF(Tables!$B$2=1,'Michigan Curve'!N21,IF(Tables!$B$2=2,'Michigan Curve'!O21,IF(Tables!$B$2=4,'Michigan Curve'!P21,IF(Tables!$B$2=5,'Michigan Curve'!Q21,IF(Tables!$B$2=3,'Michigan Curve'!R21,0)))))</f>
        <v>190839.836138706</v>
      </c>
      <c r="AB21" s="8"/>
    </row>
    <row r="22" customFormat="false" ht="12.75" hidden="false" customHeight="false" outlineLevel="0" collapsed="false">
      <c r="A22" s="21" t="n">
        <v>37408</v>
      </c>
      <c r="B22" s="22" t="n">
        <v>53.25</v>
      </c>
      <c r="C22" s="71" t="n">
        <v>26</v>
      </c>
      <c r="D22" s="59" t="n">
        <v>24</v>
      </c>
      <c r="E22" s="26" t="n">
        <f aca="false">IF(VLOOKUP(MONTH(A22),SeasonTable,2,0)&lt;&gt;"Summer",VLOOKUP(MONTH(A22),ScalarTable,2,0),((0.059228/(B22/100))-(0.4980013/(SQRT(B22/100)))+2.137988))</f>
        <v>1.56676455460095</v>
      </c>
      <c r="F22" s="28" t="n">
        <f aca="false">+E22*B22</f>
        <v>83.4302125325003</v>
      </c>
      <c r="H22" s="72" t="n">
        <f aca="false">2-E22</f>
        <v>0.433235445399055</v>
      </c>
      <c r="I22" s="73" t="n">
        <f aca="false">B22*H22</f>
        <v>23.0697874674997</v>
      </c>
      <c r="J22" s="74" t="n">
        <f aca="false">C22*E22</f>
        <v>40.7358784196246</v>
      </c>
      <c r="K22" s="75" t="n">
        <f aca="false">C22*H22</f>
        <v>11.2641215803754</v>
      </c>
      <c r="L22" s="28" t="n">
        <f aca="false">D22*E22</f>
        <v>37.6023493104227</v>
      </c>
      <c r="N22" s="32" t="n">
        <v>506228.030094489</v>
      </c>
      <c r="O22" s="32" t="n">
        <v>306673.844761587</v>
      </c>
      <c r="P22" s="32" t="n">
        <v>672014.767100562</v>
      </c>
      <c r="Q22" s="32" t="n">
        <v>588368.133660508</v>
      </c>
      <c r="R22" s="32" t="n">
        <v>629425.228820024</v>
      </c>
      <c r="S22" s="34" t="n">
        <f aca="false">IF(Tables!$B$2=1,'Michigan Curve'!N22,IF(Tables!$B$2=2,'Michigan Curve'!O22,IF(Tables!$B$2=4,'Michigan Curve'!P22,IF(Tables!$B$2=5,'Michigan Curve'!Q22,IF(Tables!$B$2=3,'Michigan Curve'!R22,0)))))</f>
        <v>588368.133660508</v>
      </c>
      <c r="AB22" s="8"/>
    </row>
    <row r="23" customFormat="false" ht="12.75" hidden="false" customHeight="false" outlineLevel="0" collapsed="false">
      <c r="A23" s="21" t="n">
        <v>37438</v>
      </c>
      <c r="B23" s="22" t="n">
        <v>94.5</v>
      </c>
      <c r="C23" s="71" t="n">
        <v>35</v>
      </c>
      <c r="D23" s="59" t="n">
        <v>30.9999980926514</v>
      </c>
      <c r="E23" s="26" t="n">
        <f aca="false">IF(VLOOKUP(MONTH(A23),SeasonTable,2,0)&lt;&gt;"Summer",VLOOKUP(MONTH(A23),ScalarTable,2,0),((0.059228/(B23/100))-(0.4980013/(SQRT(B23/100)))+2.137988))</f>
        <v>1.68837467310529</v>
      </c>
      <c r="F23" s="28" t="n">
        <f aca="false">+E23*B23</f>
        <v>159.55140660845</v>
      </c>
      <c r="H23" s="72" t="n">
        <f aca="false">2-E23</f>
        <v>0.311625326894712</v>
      </c>
      <c r="I23" s="73" t="n">
        <f aca="false">B23*H23</f>
        <v>29.4485933915503</v>
      </c>
      <c r="J23" s="74" t="n">
        <f aca="false">C23*E23</f>
        <v>59.0931135586851</v>
      </c>
      <c r="K23" s="75" t="n">
        <f aca="false">C23*H23</f>
        <v>10.9068864413149</v>
      </c>
      <c r="L23" s="28" t="n">
        <f aca="false">D23*E23</f>
        <v>52.3396116459448</v>
      </c>
      <c r="N23" s="32" t="n">
        <v>867755.390371948</v>
      </c>
      <c r="O23" s="32" t="n">
        <v>525466.851694426</v>
      </c>
      <c r="P23" s="32" t="n">
        <v>1152021.25001949</v>
      </c>
      <c r="Q23" s="32" t="n">
        <v>1007474.53423991</v>
      </c>
      <c r="R23" s="32" t="n">
        <v>1075484.96848418</v>
      </c>
      <c r="S23" s="34" t="n">
        <f aca="false">IF(Tables!$B$2=1,'Michigan Curve'!N23,IF(Tables!$B$2=2,'Michigan Curve'!O23,IF(Tables!$B$2=4,'Michigan Curve'!P23,IF(Tables!$B$2=5,'Michigan Curve'!Q23,IF(Tables!$B$2=3,'Michigan Curve'!R23,0)))))</f>
        <v>1007474.53423991</v>
      </c>
      <c r="AB23" s="8"/>
    </row>
    <row r="24" customFormat="false" ht="12.75" hidden="false" customHeight="false" outlineLevel="0" collapsed="false">
      <c r="A24" s="21" t="n">
        <v>37469</v>
      </c>
      <c r="B24" s="22" t="n">
        <v>94.5</v>
      </c>
      <c r="C24" s="71" t="n">
        <v>35.0000038146973</v>
      </c>
      <c r="D24" s="59" t="n">
        <v>31</v>
      </c>
      <c r="E24" s="26" t="n">
        <f aca="false">IF(VLOOKUP(MONTH(A24),SeasonTable,2,0)&lt;&gt;"Summer",VLOOKUP(MONTH(A24),ScalarTable,2,0),((0.059228/(B24/100))-(0.4980013/(SQRT(B24/100)))+2.137988))</f>
        <v>1.68837467310529</v>
      </c>
      <c r="F24" s="28" t="n">
        <f aca="false">+E24*B24</f>
        <v>159.55140660845</v>
      </c>
      <c r="H24" s="72" t="n">
        <f aca="false">2-E24</f>
        <v>0.311625326894712</v>
      </c>
      <c r="I24" s="73" t="n">
        <f aca="false">B24*H24</f>
        <v>29.4485933915503</v>
      </c>
      <c r="J24" s="74" t="n">
        <f aca="false">C24*E24</f>
        <v>59.0931199993233</v>
      </c>
      <c r="K24" s="75" t="n">
        <f aca="false">C24*H24</f>
        <v>10.9068876300712</v>
      </c>
      <c r="L24" s="28" t="n">
        <f aca="false">D24*E24</f>
        <v>52.3396148662639</v>
      </c>
      <c r="N24" s="32" t="n">
        <v>865276.486322674</v>
      </c>
      <c r="O24" s="32" t="n">
        <v>523967.073488542</v>
      </c>
      <c r="P24" s="32" t="n">
        <v>1148730.00399859</v>
      </c>
      <c r="Q24" s="32" t="n">
        <v>1004633.22901259</v>
      </c>
      <c r="R24" s="32" t="n">
        <v>1072148.10863477</v>
      </c>
      <c r="S24" s="34" t="n">
        <f aca="false">IF(Tables!$B$2=1,'Michigan Curve'!N24,IF(Tables!$B$2=2,'Michigan Curve'!O24,IF(Tables!$B$2=4,'Michigan Curve'!P24,IF(Tables!$B$2=5,'Michigan Curve'!Q24,IF(Tables!$B$2=3,'Michigan Curve'!R24,0)))))</f>
        <v>1004633.22901259</v>
      </c>
      <c r="AB24" s="8"/>
    </row>
    <row r="25" customFormat="false" ht="12.75" hidden="false" customHeight="false" outlineLevel="0" collapsed="false">
      <c r="A25" s="21" t="n">
        <v>37500</v>
      </c>
      <c r="B25" s="22" t="n">
        <v>31.25</v>
      </c>
      <c r="C25" s="71" t="n">
        <v>25</v>
      </c>
      <c r="D25" s="59" t="n">
        <v>24</v>
      </c>
      <c r="E25" s="26" t="n">
        <f aca="false">IF(VLOOKUP(MONTH(A25),SeasonTable,2,0)&lt;&gt;"Summer",VLOOKUP(MONTH(A25),ScalarTable,2,0),((0.059228/(B25/100))-(0.4980013/(SQRT(B25/100)))+2.137988))</f>
        <v>1.35124999284744</v>
      </c>
      <c r="F25" s="28" t="n">
        <f aca="false">+E25*B25</f>
        <v>42.2265622764826</v>
      </c>
      <c r="H25" s="72" t="n">
        <f aca="false">2-E25</f>
        <v>0.648750007152557</v>
      </c>
      <c r="I25" s="73" t="n">
        <f aca="false">B25*H25</f>
        <v>20.2734377235174</v>
      </c>
      <c r="J25" s="74" t="n">
        <f aca="false">C25*E25</f>
        <v>33.7812498211861</v>
      </c>
      <c r="K25" s="75" t="n">
        <f aca="false">C25*H25</f>
        <v>16.2187501788139</v>
      </c>
      <c r="L25" s="28" t="n">
        <f aca="false">D25*E25</f>
        <v>32.4299998283386</v>
      </c>
      <c r="N25" s="32" t="n">
        <v>362266.646894676</v>
      </c>
      <c r="O25" s="32" t="n">
        <v>226269.645966347</v>
      </c>
      <c r="P25" s="32" t="n">
        <v>477908.939313304</v>
      </c>
      <c r="Q25" s="32" t="n">
        <v>442492.181881545</v>
      </c>
      <c r="R25" s="32" t="n">
        <v>399562.887732298</v>
      </c>
      <c r="S25" s="34" t="n">
        <f aca="false">IF(Tables!$B$2=1,'Michigan Curve'!N25,IF(Tables!$B$2=2,'Michigan Curve'!O25,IF(Tables!$B$2=4,'Michigan Curve'!P25,IF(Tables!$B$2=5,'Michigan Curve'!Q25,IF(Tables!$B$2=3,'Michigan Curve'!R25,0)))))</f>
        <v>442492.181881545</v>
      </c>
      <c r="AB25" s="8"/>
    </row>
    <row r="26" customFormat="false" ht="12.75" hidden="false" customHeight="false" outlineLevel="0" collapsed="false">
      <c r="A26" s="21" t="n">
        <v>37530</v>
      </c>
      <c r="B26" s="22" t="n">
        <v>24.3499946594238</v>
      </c>
      <c r="C26" s="71" t="n">
        <v>19.996000289917</v>
      </c>
      <c r="D26" s="59" t="n">
        <v>18.9965000152588</v>
      </c>
      <c r="E26" s="26" t="n">
        <f aca="false">IF(VLOOKUP(MONTH(A26),SeasonTable,2,0)&lt;&gt;"Summer",VLOOKUP(MONTH(A26),ScalarTable,2,0),((0.059228/(B26/100))-(0.4980013/(SQRT(B26/100)))+2.137988))</f>
        <v>1</v>
      </c>
      <c r="F26" s="28" t="n">
        <f aca="false">+E26*B26</f>
        <v>24.3499946594238</v>
      </c>
      <c r="H26" s="72" t="n">
        <f aca="false">2-E26</f>
        <v>1</v>
      </c>
      <c r="I26" s="73" t="n">
        <f aca="false">B26*H26</f>
        <v>24.3499946594238</v>
      </c>
      <c r="J26" s="74" t="n">
        <f aca="false">C26*E26</f>
        <v>19.996000289917</v>
      </c>
      <c r="K26" s="75" t="n">
        <f aca="false">C26*H26</f>
        <v>19.996000289917</v>
      </c>
      <c r="L26" s="28" t="n">
        <f aca="false">D26*E26</f>
        <v>18.9965000152588</v>
      </c>
      <c r="N26" s="32" t="n">
        <v>12848.6058971717</v>
      </c>
      <c r="O26" s="32" t="n">
        <v>7014.31495198862</v>
      </c>
      <c r="P26" s="32" t="n">
        <v>17413.9493960841</v>
      </c>
      <c r="Q26" s="32" t="n">
        <v>12298.9466418037</v>
      </c>
      <c r="R26" s="32" t="n">
        <v>7580.86505311628</v>
      </c>
      <c r="S26" s="34" t="n">
        <f aca="false">IF(Tables!$B$2=1,'Michigan Curve'!N26,IF(Tables!$B$2=2,'Michigan Curve'!O26,IF(Tables!$B$2=4,'Michigan Curve'!P26,IF(Tables!$B$2=5,'Michigan Curve'!Q26,IF(Tables!$B$2=3,'Michigan Curve'!R26,0)))))</f>
        <v>12298.9466418037</v>
      </c>
      <c r="AB26" s="8"/>
    </row>
    <row r="27" customFormat="false" ht="12.75" hidden="false" customHeight="false" outlineLevel="0" collapsed="false">
      <c r="A27" s="21" t="n">
        <v>37561</v>
      </c>
      <c r="B27" s="22" t="n">
        <v>24.2299957275391</v>
      </c>
      <c r="C27" s="71" t="n">
        <v>20</v>
      </c>
      <c r="D27" s="59" t="n">
        <v>19</v>
      </c>
      <c r="E27" s="26" t="n">
        <f aca="false">IF(VLOOKUP(MONTH(A27),SeasonTable,2,0)&lt;&gt;"Summer",VLOOKUP(MONTH(A27),ScalarTable,2,0),((0.059228/(B27/100))-(0.4980013/(SQRT(B27/100)))+2.137988))</f>
        <v>1.08</v>
      </c>
      <c r="F27" s="28" t="n">
        <f aca="false">+E27*B27</f>
        <v>26.1683953857422</v>
      </c>
      <c r="H27" s="72" t="n">
        <f aca="false">2-E27</f>
        <v>0.92</v>
      </c>
      <c r="I27" s="73" t="n">
        <f aca="false">B27*H27</f>
        <v>22.2915960693359</v>
      </c>
      <c r="J27" s="74" t="n">
        <f aca="false">C27*E27</f>
        <v>21.6</v>
      </c>
      <c r="K27" s="75" t="n">
        <f aca="false">C27*H27</f>
        <v>18.4</v>
      </c>
      <c r="L27" s="28" t="n">
        <f aca="false">D27*E27</f>
        <v>20.52</v>
      </c>
      <c r="N27" s="32" t="n">
        <v>17384.6021711754</v>
      </c>
      <c r="O27" s="32" t="n">
        <v>9617.27516934302</v>
      </c>
      <c r="P27" s="32" t="n">
        <v>23499.7372076604</v>
      </c>
      <c r="Q27" s="32" t="n">
        <v>17086.9960336179</v>
      </c>
      <c r="R27" s="32" t="n">
        <v>11528.4696018724</v>
      </c>
      <c r="S27" s="34" t="n">
        <f aca="false">IF(Tables!$B$2=1,'Michigan Curve'!N27,IF(Tables!$B$2=2,'Michigan Curve'!O27,IF(Tables!$B$2=4,'Michigan Curve'!P27,IF(Tables!$B$2=5,'Michigan Curve'!Q27,IF(Tables!$B$2=3,'Michigan Curve'!R27,0)))))</f>
        <v>17086.9960336179</v>
      </c>
      <c r="AB27" s="8"/>
    </row>
    <row r="28" customFormat="false" ht="12.75" hidden="false" customHeight="false" outlineLevel="0" collapsed="false">
      <c r="A28" s="21" t="n">
        <v>37591</v>
      </c>
      <c r="B28" s="22" t="n">
        <v>24.6999950408936</v>
      </c>
      <c r="C28" s="71" t="n">
        <v>20</v>
      </c>
      <c r="D28" s="59" t="n">
        <v>19</v>
      </c>
      <c r="E28" s="26" t="n">
        <f aca="false">IF(VLOOKUP(MONTH(A28),SeasonTable,2,0)&lt;&gt;"Summer",VLOOKUP(MONTH(A28),ScalarTable,2,0),((0.059228/(B28/100))-(0.4980013/(SQRT(B28/100)))+2.137988))</f>
        <v>1.02</v>
      </c>
      <c r="F28" s="28" t="n">
        <f aca="false">+E28*B28</f>
        <v>25.1939949417114</v>
      </c>
      <c r="H28" s="72" t="n">
        <f aca="false">2-E28</f>
        <v>0.98</v>
      </c>
      <c r="I28" s="73" t="n">
        <f aca="false">B28*H28</f>
        <v>24.2059951400757</v>
      </c>
      <c r="J28" s="74" t="n">
        <f aca="false">C28*E28</f>
        <v>20.4</v>
      </c>
      <c r="K28" s="75" t="n">
        <f aca="false">C28*H28</f>
        <v>19.6</v>
      </c>
      <c r="L28" s="28" t="n">
        <f aca="false">D28*E28</f>
        <v>19.38</v>
      </c>
      <c r="N28" s="32" t="n">
        <v>8063.43170361427</v>
      </c>
      <c r="O28" s="32" t="n">
        <v>4389.65776142479</v>
      </c>
      <c r="P28" s="32" t="n">
        <v>10934.9239094631</v>
      </c>
      <c r="Q28" s="32" t="n">
        <v>7706.07758555353</v>
      </c>
      <c r="R28" s="32" t="n">
        <v>4820.26483835965</v>
      </c>
      <c r="S28" s="34" t="n">
        <f aca="false">IF(Tables!$B$2=1,'Michigan Curve'!N28,IF(Tables!$B$2=2,'Michigan Curve'!O28,IF(Tables!$B$2=4,'Michigan Curve'!P28,IF(Tables!$B$2=5,'Michigan Curve'!Q28,IF(Tables!$B$2=3,'Michigan Curve'!R28,0)))))</f>
        <v>7706.07758555353</v>
      </c>
      <c r="AB28" s="8"/>
    </row>
    <row r="29" customFormat="false" ht="12.75" hidden="false" customHeight="false" outlineLevel="0" collapsed="false">
      <c r="A29" s="21" t="n">
        <v>37622</v>
      </c>
      <c r="B29" s="22" t="n">
        <v>29.9500003814697</v>
      </c>
      <c r="C29" s="71" t="n">
        <v>22</v>
      </c>
      <c r="D29" s="59" t="n">
        <v>21</v>
      </c>
      <c r="E29" s="26" t="n">
        <f aca="false">IF(VLOOKUP(MONTH(A29),SeasonTable,2,0)&lt;&gt;"Summer",VLOOKUP(MONTH(A29),ScalarTable,2,0),((0.059228/(B29/100))-(0.4980013/(SQRT(B29/100)))+2.137988))</f>
        <v>1.02</v>
      </c>
      <c r="F29" s="28" t="n">
        <f aca="false">+E29*B29</f>
        <v>30.5490003890991</v>
      </c>
      <c r="H29" s="72" t="n">
        <f aca="false">2-E29</f>
        <v>0.98</v>
      </c>
      <c r="I29" s="73" t="n">
        <f aca="false">B29*H29</f>
        <v>29.3510003738403</v>
      </c>
      <c r="J29" s="74" t="n">
        <f aca="false">C29*E29</f>
        <v>22.44</v>
      </c>
      <c r="K29" s="75" t="n">
        <f aca="false">C29*H29</f>
        <v>21.56</v>
      </c>
      <c r="L29" s="28" t="n">
        <f aca="false">D29*E29</f>
        <v>21.42</v>
      </c>
      <c r="N29" s="32" t="n">
        <v>90638.7727660838</v>
      </c>
      <c r="O29" s="32" t="n">
        <v>51939.1600706381</v>
      </c>
      <c r="P29" s="32" t="n">
        <v>121663.266469094</v>
      </c>
      <c r="Q29" s="32" t="n">
        <v>95105.3930708969</v>
      </c>
      <c r="R29" s="32" t="n">
        <v>76657.5893968638</v>
      </c>
      <c r="S29" s="34" t="n">
        <f aca="false">IF(Tables!$B$2=1,'Michigan Curve'!N29,IF(Tables!$B$2=2,'Michigan Curve'!O29,IF(Tables!$B$2=4,'Michigan Curve'!P29,IF(Tables!$B$2=5,'Michigan Curve'!Q29,IF(Tables!$B$2=3,'Michigan Curve'!R29,0)))))</f>
        <v>95105.3930708969</v>
      </c>
      <c r="AB29" s="8"/>
    </row>
    <row r="30" customFormat="false" ht="12.75" hidden="false" customHeight="false" outlineLevel="0" collapsed="false">
      <c r="A30" s="21" t="n">
        <v>37653</v>
      </c>
      <c r="B30" s="22" t="n">
        <v>29.9499984741211</v>
      </c>
      <c r="C30" s="71" t="n">
        <v>21.996000289917</v>
      </c>
      <c r="D30" s="59" t="n">
        <v>20.9965019226074</v>
      </c>
      <c r="E30" s="26" t="n">
        <f aca="false">IF(VLOOKUP(MONTH(A30),SeasonTable,2,0)&lt;&gt;"Summer",VLOOKUP(MONTH(A30),ScalarTable,2,0),((0.059228/(B30/100))-(0.4980013/(SQRT(B30/100)))+2.137988))</f>
        <v>1.02</v>
      </c>
      <c r="F30" s="28" t="n">
        <f aca="false">+E30*B30</f>
        <v>30.5489984436035</v>
      </c>
      <c r="H30" s="72" t="n">
        <f aca="false">2-E30</f>
        <v>0.98</v>
      </c>
      <c r="I30" s="73" t="n">
        <f aca="false">B30*H30</f>
        <v>29.3509985046387</v>
      </c>
      <c r="J30" s="74" t="n">
        <f aca="false">C30*E30</f>
        <v>22.4359202957153</v>
      </c>
      <c r="K30" s="75" t="n">
        <f aca="false">C30*H30</f>
        <v>21.5560802841187</v>
      </c>
      <c r="L30" s="28" t="n">
        <f aca="false">D30*E30</f>
        <v>21.4164319610596</v>
      </c>
      <c r="N30" s="32" t="n">
        <v>87435.6323834289</v>
      </c>
      <c r="O30" s="32" t="n">
        <v>50166.3351498166</v>
      </c>
      <c r="P30" s="32" t="n">
        <v>117334.386490688</v>
      </c>
      <c r="Q30" s="32" t="n">
        <v>91947.7999992653</v>
      </c>
      <c r="R30" s="32" t="n">
        <v>74649.6401453418</v>
      </c>
      <c r="S30" s="34" t="n">
        <f aca="false">IF(Tables!$B$2=1,'Michigan Curve'!N30,IF(Tables!$B$2=2,'Michigan Curve'!O30,IF(Tables!$B$2=4,'Michigan Curve'!P30,IF(Tables!$B$2=5,'Michigan Curve'!Q30,IF(Tables!$B$2=3,'Michigan Curve'!R30,0)))))</f>
        <v>91947.7999992653</v>
      </c>
      <c r="U30" s="8"/>
      <c r="V30" s="8"/>
      <c r="W30" s="8"/>
      <c r="X30" s="8"/>
      <c r="Y30" s="8"/>
      <c r="Z30" s="8"/>
      <c r="AA30" s="8"/>
      <c r="AB30" s="8"/>
    </row>
    <row r="31" customFormat="false" ht="12.75" hidden="false" customHeight="false" outlineLevel="0" collapsed="false">
      <c r="A31" s="21" t="n">
        <v>37681</v>
      </c>
      <c r="B31" s="22" t="n">
        <v>24.75</v>
      </c>
      <c r="C31" s="71" t="n">
        <v>20</v>
      </c>
      <c r="D31" s="59" t="n">
        <v>19</v>
      </c>
      <c r="E31" s="26" t="n">
        <f aca="false">IF(VLOOKUP(MONTH(A31),SeasonTable,2,0)&lt;&gt;"Summer",VLOOKUP(MONTH(A31),ScalarTable,2,0),((0.059228/(B31/100))-(0.4980013/(SQRT(B31/100)))+2.137988))</f>
        <v>1.02</v>
      </c>
      <c r="F31" s="28" t="n">
        <f aca="false">+E31*B31</f>
        <v>25.245</v>
      </c>
      <c r="H31" s="72" t="n">
        <f aca="false">2-E31</f>
        <v>0.98</v>
      </c>
      <c r="I31" s="73" t="n">
        <f aca="false">B31*H31</f>
        <v>24.255</v>
      </c>
      <c r="J31" s="74" t="n">
        <f aca="false">C31*E31</f>
        <v>20.4</v>
      </c>
      <c r="K31" s="75" t="n">
        <f aca="false">C31*H31</f>
        <v>19.6</v>
      </c>
      <c r="L31" s="28" t="n">
        <f aca="false">D31*E31</f>
        <v>19.38</v>
      </c>
      <c r="N31" s="32" t="n">
        <v>12584.2134320641</v>
      </c>
      <c r="O31" s="32" t="n">
        <v>6929.33556804784</v>
      </c>
      <c r="P31" s="32" t="n">
        <v>17026.7298182733</v>
      </c>
      <c r="Q31" s="32" t="n">
        <v>12264.4190104444</v>
      </c>
      <c r="R31" s="32" t="n">
        <v>8097.56347173031</v>
      </c>
      <c r="S31" s="34" t="n">
        <f aca="false">IF(Tables!$B$2=1,'Michigan Curve'!N31,IF(Tables!$B$2=2,'Michigan Curve'!O31,IF(Tables!$B$2=4,'Michigan Curve'!P31,IF(Tables!$B$2=5,'Michigan Curve'!Q31,IF(Tables!$B$2=3,'Michigan Curve'!R31,0)))))</f>
        <v>12264.4190104444</v>
      </c>
    </row>
    <row r="32" customFormat="false" ht="12.75" hidden="false" customHeight="false" outlineLevel="0" collapsed="false">
      <c r="A32" s="21" t="n">
        <v>37712</v>
      </c>
      <c r="B32" s="22" t="n">
        <v>25</v>
      </c>
      <c r="C32" s="71" t="n">
        <v>20</v>
      </c>
      <c r="D32" s="59" t="n">
        <v>18.9950008392334</v>
      </c>
      <c r="E32" s="26" t="n">
        <f aca="false">IF(VLOOKUP(MONTH(A32),SeasonTable,2,0)&lt;&gt;"Summer",VLOOKUP(MONTH(A32),ScalarTable,2,0),((0.059228/(B32/100))-(0.4980013/(SQRT(B32/100)))+2.137988))</f>
        <v>1</v>
      </c>
      <c r="F32" s="28" t="n">
        <f aca="false">+E32*B32</f>
        <v>25</v>
      </c>
      <c r="H32" s="72" t="n">
        <f aca="false">2-E32</f>
        <v>1</v>
      </c>
      <c r="I32" s="73" t="n">
        <f aca="false">B32*H32</f>
        <v>25</v>
      </c>
      <c r="J32" s="74" t="n">
        <f aca="false">C32*E32</f>
        <v>20</v>
      </c>
      <c r="K32" s="75" t="n">
        <f aca="false">C32*H32</f>
        <v>20</v>
      </c>
      <c r="L32" s="28" t="n">
        <f aca="false">D32*E32</f>
        <v>18.9950008392334</v>
      </c>
      <c r="N32" s="32" t="n">
        <v>21069.6242452626</v>
      </c>
      <c r="O32" s="32" t="n">
        <v>11698.126619654</v>
      </c>
      <c r="P32" s="32" t="n">
        <v>28460.3358042829</v>
      </c>
      <c r="Q32" s="32" t="n">
        <v>20834.446148183</v>
      </c>
      <c r="R32" s="32" t="n">
        <v>14420.2250301185</v>
      </c>
      <c r="S32" s="34" t="n">
        <f aca="false">IF(Tables!$B$2=1,'Michigan Curve'!N32,IF(Tables!$B$2=2,'Michigan Curve'!O32,IF(Tables!$B$2=4,'Michigan Curve'!P32,IF(Tables!$B$2=5,'Michigan Curve'!Q32,IF(Tables!$B$2=3,'Michigan Curve'!R32,0)))))</f>
        <v>20834.446148183</v>
      </c>
    </row>
    <row r="33" customFormat="false" ht="12.75" hidden="false" customHeight="false" outlineLevel="0" collapsed="false">
      <c r="A33" s="21" t="n">
        <v>37742</v>
      </c>
      <c r="B33" s="22" t="n">
        <v>28.75</v>
      </c>
      <c r="C33" s="71" t="n">
        <v>21</v>
      </c>
      <c r="D33" s="59" t="n">
        <v>20.0049991607666</v>
      </c>
      <c r="E33" s="26" t="n">
        <f aca="false">IF(VLOOKUP(MONTH(A33),SeasonTable,2,0)&lt;&gt;"Summer",VLOOKUP(MONTH(A33),ScalarTable,2,0),((0.059228/(B33/100))-(0.4980013/(SQRT(B33/100)))+2.137988))</f>
        <v>1.07625000178814</v>
      </c>
      <c r="F33" s="28" t="n">
        <f aca="false">+E33*B33</f>
        <v>30.942187551409</v>
      </c>
      <c r="H33" s="72" t="n">
        <f aca="false">2-E33</f>
        <v>0.923749998211861</v>
      </c>
      <c r="I33" s="73" t="n">
        <f aca="false">B33*H33</f>
        <v>26.557812448591</v>
      </c>
      <c r="J33" s="74" t="n">
        <f aca="false">C33*E33</f>
        <v>22.6012500375509</v>
      </c>
      <c r="K33" s="75" t="n">
        <f aca="false">C33*H33</f>
        <v>19.3987499624491</v>
      </c>
      <c r="L33" s="28" t="n">
        <f aca="false">D33*E33</f>
        <v>21.5303803825468</v>
      </c>
      <c r="N33" s="32" t="n">
        <v>152488.848422563</v>
      </c>
      <c r="O33" s="32" t="n">
        <v>88271.7268978089</v>
      </c>
      <c r="P33" s="32" t="n">
        <v>204268.428375341</v>
      </c>
      <c r="Q33" s="32" t="n">
        <v>162818.766012975</v>
      </c>
      <c r="R33" s="32" t="n">
        <v>138585.509268304</v>
      </c>
      <c r="S33" s="34" t="n">
        <f aca="false">IF(Tables!$B$2=1,'Michigan Curve'!N33,IF(Tables!$B$2=2,'Michigan Curve'!O33,IF(Tables!$B$2=4,'Michigan Curve'!P33,IF(Tables!$B$2=5,'Michigan Curve'!Q33,IF(Tables!$B$2=3,'Michigan Curve'!R33,0)))))</f>
        <v>162818.766012975</v>
      </c>
    </row>
    <row r="34" customFormat="false" ht="12.75" hidden="false" customHeight="false" outlineLevel="0" collapsed="false">
      <c r="A34" s="21" t="n">
        <v>37773</v>
      </c>
      <c r="B34" s="22" t="n">
        <v>49.25</v>
      </c>
      <c r="C34" s="71" t="n">
        <v>26</v>
      </c>
      <c r="D34" s="59" t="n">
        <v>24</v>
      </c>
      <c r="E34" s="26" t="n">
        <f aca="false">IF(VLOOKUP(MONTH(A34),SeasonTable,2,0)&lt;&gt;"Summer",VLOOKUP(MONTH(A34),ScalarTable,2,0),((0.059228/(B34/100))-(0.4980013/(SQRT(B34/100)))+2.137988))</f>
        <v>1.54862542817428</v>
      </c>
      <c r="F34" s="28" t="n">
        <f aca="false">+E34*B34</f>
        <v>76.2698023375832</v>
      </c>
      <c r="H34" s="72" t="n">
        <f aca="false">2-E34</f>
        <v>0.451374571825722</v>
      </c>
      <c r="I34" s="73" t="n">
        <f aca="false">B34*H34</f>
        <v>22.2301976624168</v>
      </c>
      <c r="J34" s="74" t="n">
        <f aca="false">C34*E34</f>
        <v>40.2642611325312</v>
      </c>
      <c r="K34" s="75" t="n">
        <f aca="false">C34*H34</f>
        <v>11.7357388674688</v>
      </c>
      <c r="L34" s="28" t="n">
        <f aca="false">D34*E34</f>
        <v>37.1670102761827</v>
      </c>
      <c r="N34" s="32" t="n">
        <v>487661.605491519</v>
      </c>
      <c r="O34" s="32" t="n">
        <v>296448.481489864</v>
      </c>
      <c r="P34" s="32" t="n">
        <v>646919.242248941</v>
      </c>
      <c r="Q34" s="32" t="n">
        <v>570540.874747909</v>
      </c>
      <c r="R34" s="32" t="n">
        <v>618696.165002819</v>
      </c>
      <c r="S34" s="34" t="n">
        <f aca="false">IF(Tables!$B$2=1,'Michigan Curve'!N34,IF(Tables!$B$2=2,'Michigan Curve'!O34,IF(Tables!$B$2=4,'Michigan Curve'!P34,IF(Tables!$B$2=5,'Michigan Curve'!Q34,IF(Tables!$B$2=3,'Michigan Curve'!R34,0)))))</f>
        <v>570540.874747909</v>
      </c>
    </row>
    <row r="35" customFormat="false" ht="12.75" hidden="false" customHeight="false" outlineLevel="0" collapsed="false">
      <c r="A35" s="21" t="n">
        <v>37803</v>
      </c>
      <c r="B35" s="22" t="n">
        <v>84</v>
      </c>
      <c r="C35" s="71" t="n">
        <v>35</v>
      </c>
      <c r="D35" s="59" t="n">
        <v>30.9999980926514</v>
      </c>
      <c r="E35" s="26" t="n">
        <f aca="false">IF(VLOOKUP(MONTH(A35),SeasonTable,2,0)&lt;&gt;"Summer",VLOOKUP(MONTH(A35),ScalarTable,2,0),((0.059228/(B35/100))-(0.4980013/(SQRT(B35/100)))+2.137988))</f>
        <v>1.66513355870562</v>
      </c>
      <c r="F35" s="28" t="n">
        <f aca="false">+E35*B35</f>
        <v>139.871218931272</v>
      </c>
      <c r="H35" s="72" t="n">
        <f aca="false">2-E35</f>
        <v>0.334866441294384</v>
      </c>
      <c r="I35" s="73" t="n">
        <f aca="false">B35*H35</f>
        <v>28.1287810687282</v>
      </c>
      <c r="J35" s="74" t="n">
        <f aca="false">C35*E35</f>
        <v>58.2796745546966</v>
      </c>
      <c r="K35" s="75" t="n">
        <f aca="false">C35*H35</f>
        <v>11.7203254453034</v>
      </c>
      <c r="L35" s="28" t="n">
        <f aca="false">D35*E35</f>
        <v>51.6191371438839</v>
      </c>
      <c r="N35" s="32" t="n">
        <v>767299.848797254</v>
      </c>
      <c r="O35" s="32" t="n">
        <v>465302.046277909</v>
      </c>
      <c r="P35" s="32" t="n">
        <v>1018371.14912609</v>
      </c>
      <c r="Q35" s="32" t="n">
        <v>893311.942324639</v>
      </c>
      <c r="R35" s="32" t="n">
        <v>958037.244730812</v>
      </c>
      <c r="S35" s="34" t="n">
        <f aca="false">IF(Tables!$B$2=1,'Michigan Curve'!N35,IF(Tables!$B$2=2,'Michigan Curve'!O35,IF(Tables!$B$2=4,'Michigan Curve'!P35,IF(Tables!$B$2=5,'Michigan Curve'!Q35,IF(Tables!$B$2=3,'Michigan Curve'!R35,0)))))</f>
        <v>893311.942324639</v>
      </c>
    </row>
    <row r="36" customFormat="false" ht="12.75" hidden="false" customHeight="false" outlineLevel="0" collapsed="false">
      <c r="A36" s="21" t="n">
        <v>37834</v>
      </c>
      <c r="B36" s="22" t="n">
        <v>84</v>
      </c>
      <c r="C36" s="71" t="n">
        <v>35.0000038146973</v>
      </c>
      <c r="D36" s="59" t="n">
        <v>31</v>
      </c>
      <c r="E36" s="26" t="n">
        <f aca="false">IF(VLOOKUP(MONTH(A36),SeasonTable,2,0)&lt;&gt;"Summer",VLOOKUP(MONTH(A36),ScalarTable,2,0),((0.059228/(B36/100))-(0.4980013/(SQRT(B36/100)))+2.137988))</f>
        <v>1.66513355870562</v>
      </c>
      <c r="F36" s="28" t="n">
        <f aca="false">+E36*B36</f>
        <v>139.871218931272</v>
      </c>
      <c r="H36" s="72" t="n">
        <f aca="false">2-E36</f>
        <v>0.334866441294384</v>
      </c>
      <c r="I36" s="73" t="n">
        <f aca="false">B36*H36</f>
        <v>28.1287810687282</v>
      </c>
      <c r="J36" s="74" t="n">
        <f aca="false">C36*E36</f>
        <v>58.279680906677</v>
      </c>
      <c r="K36" s="75" t="n">
        <f aca="false">C36*H36</f>
        <v>11.7203267227175</v>
      </c>
      <c r="L36" s="28" t="n">
        <f aca="false">D36*E36</f>
        <v>51.6191403198741</v>
      </c>
      <c r="N36" s="32" t="n">
        <v>768183.583523446</v>
      </c>
      <c r="O36" s="32" t="n">
        <v>466242.719379579</v>
      </c>
      <c r="P36" s="32" t="n">
        <v>1019364.50822348</v>
      </c>
      <c r="Q36" s="32" t="n">
        <v>895779.056322438</v>
      </c>
      <c r="R36" s="32" t="n">
        <v>964262.533276944</v>
      </c>
      <c r="S36" s="34" t="n">
        <f aca="false">IF(Tables!$B$2=1,'Michigan Curve'!N36,IF(Tables!$B$2=2,'Michigan Curve'!O36,IF(Tables!$B$2=4,'Michigan Curve'!P36,IF(Tables!$B$2=5,'Michigan Curve'!Q36,IF(Tables!$B$2=3,'Michigan Curve'!R36,0)))))</f>
        <v>895779.056322438</v>
      </c>
    </row>
    <row r="37" customFormat="false" ht="12.75" hidden="false" customHeight="false" outlineLevel="0" collapsed="false">
      <c r="A37" s="21" t="n">
        <v>37865</v>
      </c>
      <c r="B37" s="22" t="n">
        <v>31.5</v>
      </c>
      <c r="C37" s="71" t="n">
        <v>25</v>
      </c>
      <c r="D37" s="59" t="n">
        <v>24</v>
      </c>
      <c r="E37" s="26" t="n">
        <f aca="false">IF(VLOOKUP(MONTH(A37),SeasonTable,2,0)&lt;&gt;"Summer",VLOOKUP(MONTH(A37),ScalarTable,2,0),((0.059228/(B37/100))-(0.4980013/(SQRT(B37/100)))+2.137988))</f>
        <v>1.35124999284744</v>
      </c>
      <c r="F37" s="28" t="n">
        <f aca="false">+E37*B37</f>
        <v>42.5643747746944</v>
      </c>
      <c r="H37" s="72" t="n">
        <f aca="false">2-E37</f>
        <v>0.648750007152557</v>
      </c>
      <c r="I37" s="73" t="n">
        <f aca="false">B37*H37</f>
        <v>20.4356252253056</v>
      </c>
      <c r="J37" s="74" t="n">
        <f aca="false">C37*E37</f>
        <v>33.7812498211861</v>
      </c>
      <c r="K37" s="75" t="n">
        <f aca="false">C37*H37</f>
        <v>16.2187501788139</v>
      </c>
      <c r="L37" s="28" t="n">
        <f aca="false">D37*E37</f>
        <v>32.4299998283386</v>
      </c>
      <c r="N37" s="32" t="n">
        <v>368564.299587518</v>
      </c>
      <c r="O37" s="32" t="n">
        <v>230524.920909093</v>
      </c>
      <c r="P37" s="32" t="n">
        <v>486078.684697714</v>
      </c>
      <c r="Q37" s="32" t="n">
        <v>438253.784480031</v>
      </c>
      <c r="R37" s="32" t="n">
        <v>391101.068638089</v>
      </c>
      <c r="S37" s="34" t="n">
        <f aca="false">IF(Tables!$B$2=1,'Michigan Curve'!N37,IF(Tables!$B$2=2,'Michigan Curve'!O37,IF(Tables!$B$2=4,'Michigan Curve'!P37,IF(Tables!$B$2=5,'Michigan Curve'!Q37,IF(Tables!$B$2=3,'Michigan Curve'!R37,0)))))</f>
        <v>438253.784480031</v>
      </c>
    </row>
    <row r="38" customFormat="false" ht="12.75" hidden="false" customHeight="false" outlineLevel="0" collapsed="false">
      <c r="A38" s="21" t="n">
        <v>37895</v>
      </c>
      <c r="B38" s="22" t="n">
        <v>24.5999946594238</v>
      </c>
      <c r="C38" s="71" t="n">
        <v>19.996000289917</v>
      </c>
      <c r="D38" s="59" t="n">
        <v>18.9965000152588</v>
      </c>
      <c r="E38" s="26" t="n">
        <f aca="false">IF(VLOOKUP(MONTH(A38),SeasonTable,2,0)&lt;&gt;"Summer",VLOOKUP(MONTH(A38),ScalarTable,2,0),((0.059228/(B38/100))-(0.4980013/(SQRT(B38/100)))+2.137988))</f>
        <v>1</v>
      </c>
      <c r="F38" s="28" t="n">
        <f aca="false">+E38*B38</f>
        <v>24.5999946594238</v>
      </c>
      <c r="H38" s="72" t="n">
        <f aca="false">2-E38</f>
        <v>1</v>
      </c>
      <c r="I38" s="73" t="n">
        <f aca="false">B38*H38</f>
        <v>24.5999946594238</v>
      </c>
      <c r="J38" s="74" t="n">
        <f aca="false">C38*E38</f>
        <v>19.996000289917</v>
      </c>
      <c r="K38" s="75" t="n">
        <f aca="false">C38*H38</f>
        <v>19.996000289917</v>
      </c>
      <c r="L38" s="28" t="n">
        <f aca="false">D38*E38</f>
        <v>18.9965000152588</v>
      </c>
      <c r="N38" s="32" t="n">
        <v>13601.0253671143</v>
      </c>
      <c r="O38" s="32" t="n">
        <v>7440.48369725777</v>
      </c>
      <c r="P38" s="32" t="n">
        <v>18426.1337977773</v>
      </c>
      <c r="Q38" s="32" t="n">
        <v>13071.2277088327</v>
      </c>
      <c r="R38" s="32" t="n">
        <v>8156.09047912688</v>
      </c>
      <c r="S38" s="34" t="n">
        <f aca="false">IF(Tables!$B$2=1,'Michigan Curve'!N38,IF(Tables!$B$2=2,'Michigan Curve'!O38,IF(Tables!$B$2=4,'Michigan Curve'!P38,IF(Tables!$B$2=5,'Michigan Curve'!Q38,IF(Tables!$B$2=3,'Michigan Curve'!R38,0)))))</f>
        <v>13071.2277088327</v>
      </c>
    </row>
    <row r="39" customFormat="false" ht="12.75" hidden="false" customHeight="false" outlineLevel="0" collapsed="false">
      <c r="A39" s="21" t="n">
        <v>37926</v>
      </c>
      <c r="B39" s="22" t="n">
        <v>24.4799957275391</v>
      </c>
      <c r="C39" s="71" t="n">
        <v>20</v>
      </c>
      <c r="D39" s="59" t="n">
        <v>19</v>
      </c>
      <c r="E39" s="26" t="n">
        <f aca="false">IF(VLOOKUP(MONTH(A39),SeasonTable,2,0)&lt;&gt;"Summer",VLOOKUP(MONTH(A39),ScalarTable,2,0),((0.059228/(B39/100))-(0.4980013/(SQRT(B39/100)))+2.137988))</f>
        <v>1.08</v>
      </c>
      <c r="F39" s="28" t="n">
        <f aca="false">+E39*B39</f>
        <v>26.4383953857422</v>
      </c>
      <c r="H39" s="72" t="n">
        <f aca="false">2-E39</f>
        <v>0.92</v>
      </c>
      <c r="I39" s="73" t="n">
        <f aca="false">B39*H39</f>
        <v>22.5215960693359</v>
      </c>
      <c r="J39" s="74" t="n">
        <f aca="false">C39*E39</f>
        <v>21.6</v>
      </c>
      <c r="K39" s="75" t="n">
        <f aca="false">C39*H39</f>
        <v>18.4</v>
      </c>
      <c r="L39" s="28" t="n">
        <f aca="false">D39*E39</f>
        <v>20.52</v>
      </c>
      <c r="N39" s="32" t="n">
        <v>19283.7740092565</v>
      </c>
      <c r="O39" s="32" t="n">
        <v>10721.2359672183</v>
      </c>
      <c r="P39" s="32" t="n">
        <v>26041.0871260321</v>
      </c>
      <c r="Q39" s="32" t="n">
        <v>19121.5934327669</v>
      </c>
      <c r="R39" s="32" t="n">
        <v>13288.6297619739</v>
      </c>
      <c r="S39" s="34" t="n">
        <f aca="false">IF(Tables!$B$2=1,'Michigan Curve'!N39,IF(Tables!$B$2=2,'Michigan Curve'!O39,IF(Tables!$B$2=4,'Michigan Curve'!P39,IF(Tables!$B$2=5,'Michigan Curve'!Q39,IF(Tables!$B$2=3,'Michigan Curve'!R39,0)))))</f>
        <v>19121.5934327669</v>
      </c>
    </row>
    <row r="40" customFormat="false" ht="12.75" hidden="false" customHeight="false" outlineLevel="0" collapsed="false">
      <c r="A40" s="21" t="n">
        <v>37956</v>
      </c>
      <c r="B40" s="22" t="n">
        <v>24.9499950408936</v>
      </c>
      <c r="C40" s="71" t="n">
        <v>20</v>
      </c>
      <c r="D40" s="59" t="n">
        <v>19</v>
      </c>
      <c r="E40" s="26" t="n">
        <f aca="false">IF(VLOOKUP(MONTH(A40),SeasonTable,2,0)&lt;&gt;"Summer",VLOOKUP(MONTH(A40),ScalarTable,2,0),((0.059228/(B40/100))-(0.4980013/(SQRT(B40/100)))+2.137988))</f>
        <v>1.02</v>
      </c>
      <c r="F40" s="28" t="n">
        <f aca="false">+E40*B40</f>
        <v>25.4489949417114</v>
      </c>
      <c r="H40" s="72" t="n">
        <f aca="false">2-E40</f>
        <v>0.98</v>
      </c>
      <c r="I40" s="73" t="n">
        <f aca="false">B40*H40</f>
        <v>24.4509951400757</v>
      </c>
      <c r="J40" s="74" t="n">
        <f aca="false">C40*E40</f>
        <v>20.4</v>
      </c>
      <c r="K40" s="75" t="n">
        <f aca="false">C40*H40</f>
        <v>19.6</v>
      </c>
      <c r="L40" s="28" t="n">
        <f aca="false">D40*E40</f>
        <v>19.38</v>
      </c>
      <c r="N40" s="32" t="n">
        <v>10745.8593826348</v>
      </c>
      <c r="O40" s="32" t="n">
        <v>5893.59804761557</v>
      </c>
      <c r="P40" s="32" t="n">
        <v>14551.0171659232</v>
      </c>
      <c r="Q40" s="32" t="n">
        <v>10402.1344804403</v>
      </c>
      <c r="R40" s="32" t="n">
        <v>6785.49009847563</v>
      </c>
      <c r="S40" s="34" t="n">
        <f aca="false">IF(Tables!$B$2=1,'Michigan Curve'!N40,IF(Tables!$B$2=2,'Michigan Curve'!O40,IF(Tables!$B$2=4,'Michigan Curve'!P40,IF(Tables!$B$2=5,'Michigan Curve'!Q40,IF(Tables!$B$2=3,'Michigan Curve'!R40,0)))))</f>
        <v>10402.1344804403</v>
      </c>
    </row>
    <row r="41" customFormat="false" ht="12.75" hidden="false" customHeight="false" outlineLevel="0" collapsed="false">
      <c r="A41" s="21" t="n">
        <v>37987</v>
      </c>
      <c r="B41" s="22" t="n">
        <v>30.2000003814697</v>
      </c>
      <c r="C41" s="71" t="n">
        <v>22</v>
      </c>
      <c r="D41" s="59" t="n">
        <v>21</v>
      </c>
      <c r="E41" s="26" t="n">
        <f aca="false">IF(VLOOKUP(MONTH(A41),SeasonTable,2,0)&lt;&gt;"Summer",VLOOKUP(MONTH(A41),ScalarTable,2,0),((0.059228/(B41/100))-(0.4980013/(SQRT(B41/100)))+2.137988))</f>
        <v>1.02</v>
      </c>
      <c r="F41" s="28" t="n">
        <f aca="false">+E41*B41</f>
        <v>30.8040003890991</v>
      </c>
      <c r="H41" s="72" t="n">
        <f aca="false">2-E41</f>
        <v>0.98</v>
      </c>
      <c r="I41" s="73" t="n">
        <f aca="false">B41*H41</f>
        <v>29.5960003738403</v>
      </c>
      <c r="J41" s="74" t="n">
        <f aca="false">C41*E41</f>
        <v>22.44</v>
      </c>
      <c r="K41" s="75" t="n">
        <f aca="false">C41*H41</f>
        <v>21.56</v>
      </c>
      <c r="L41" s="28" t="n">
        <f aca="false">D41*E41</f>
        <v>21.42</v>
      </c>
      <c r="N41" s="32" t="n">
        <v>64748.3091737844</v>
      </c>
      <c r="O41" s="32" t="n">
        <v>36802.3843453495</v>
      </c>
      <c r="P41" s="32" t="n">
        <v>87051.9910030311</v>
      </c>
      <c r="Q41" s="32" t="n">
        <v>66869.4271710685</v>
      </c>
      <c r="R41" s="32" t="n">
        <v>51926.5798086161</v>
      </c>
      <c r="S41" s="34" t="n">
        <f aca="false">IF(Tables!$B$2=1,'Michigan Curve'!N41,IF(Tables!$B$2=2,'Michigan Curve'!O41,IF(Tables!$B$2=4,'Michigan Curve'!P41,IF(Tables!$B$2=5,'Michigan Curve'!Q41,IF(Tables!$B$2=3,'Michigan Curve'!R41,0)))))</f>
        <v>66869.4271710685</v>
      </c>
    </row>
    <row r="42" customFormat="false" ht="12.75" hidden="false" customHeight="false" outlineLevel="0" collapsed="false">
      <c r="A42" s="21" t="n">
        <v>38018</v>
      </c>
      <c r="B42" s="22" t="n">
        <v>30.1999984741211</v>
      </c>
      <c r="C42" s="71" t="n">
        <v>21.996000289917</v>
      </c>
      <c r="D42" s="59" t="n">
        <v>20.9965019226074</v>
      </c>
      <c r="E42" s="26" t="n">
        <f aca="false">IF(VLOOKUP(MONTH(A42),SeasonTable,2,0)&lt;&gt;"Summer",VLOOKUP(MONTH(A42),ScalarTable,2,0),((0.059228/(B42/100))-(0.4980013/(SQRT(B42/100)))+2.137988))</f>
        <v>1.02</v>
      </c>
      <c r="F42" s="28" t="n">
        <f aca="false">+E42*B42</f>
        <v>30.8039984436035</v>
      </c>
      <c r="H42" s="72" t="n">
        <f aca="false">2-E42</f>
        <v>0.98</v>
      </c>
      <c r="I42" s="73" t="n">
        <f aca="false">B42*H42</f>
        <v>29.5959985046387</v>
      </c>
      <c r="J42" s="74" t="n">
        <f aca="false">C42*E42</f>
        <v>22.4359202957153</v>
      </c>
      <c r="K42" s="75" t="n">
        <f aca="false">C42*H42</f>
        <v>21.5560802841187</v>
      </c>
      <c r="L42" s="28" t="n">
        <f aca="false">D42*E42</f>
        <v>21.4164319610596</v>
      </c>
      <c r="N42" s="32" t="n">
        <v>62995.464244409</v>
      </c>
      <c r="O42" s="32" t="n">
        <v>35826.9972804806</v>
      </c>
      <c r="P42" s="32" t="n">
        <v>84685.4833663736</v>
      </c>
      <c r="Q42" s="32" t="n">
        <v>65127.6867062215</v>
      </c>
      <c r="R42" s="32" t="n">
        <v>50730.2107622224</v>
      </c>
      <c r="S42" s="34" t="n">
        <f aca="false">IF(Tables!$B$2=1,'Michigan Curve'!N42,IF(Tables!$B$2=2,'Michigan Curve'!O42,IF(Tables!$B$2=4,'Michigan Curve'!P42,IF(Tables!$B$2=5,'Michigan Curve'!Q42,IF(Tables!$B$2=3,'Michigan Curve'!R42,0)))))</f>
        <v>65127.6867062215</v>
      </c>
    </row>
    <row r="43" customFormat="false" ht="12.75" hidden="false" customHeight="false" outlineLevel="0" collapsed="false">
      <c r="A43" s="21" t="n">
        <v>38047</v>
      </c>
      <c r="B43" s="22" t="n">
        <v>25</v>
      </c>
      <c r="C43" s="71" t="n">
        <v>20</v>
      </c>
      <c r="D43" s="59" t="n">
        <v>19</v>
      </c>
      <c r="E43" s="26" t="n">
        <f aca="false">IF(VLOOKUP(MONTH(A43),SeasonTable,2,0)&lt;&gt;"Summer",VLOOKUP(MONTH(A43),ScalarTable,2,0),((0.059228/(B43/100))-(0.4980013/(SQRT(B43/100)))+2.137988))</f>
        <v>1.02</v>
      </c>
      <c r="F43" s="28" t="n">
        <f aca="false">+E43*B43</f>
        <v>25.5</v>
      </c>
      <c r="H43" s="72" t="n">
        <f aca="false">2-E43</f>
        <v>0.98</v>
      </c>
      <c r="I43" s="73" t="n">
        <f aca="false">B43*H43</f>
        <v>24.5</v>
      </c>
      <c r="J43" s="74" t="n">
        <f aca="false">C43*E43</f>
        <v>20.4</v>
      </c>
      <c r="K43" s="75" t="n">
        <f aca="false">C43*H43</f>
        <v>19.6</v>
      </c>
      <c r="L43" s="28" t="n">
        <f aca="false">D43*E43</f>
        <v>19.38</v>
      </c>
      <c r="N43" s="32" t="n">
        <v>12470.3621267205</v>
      </c>
      <c r="O43" s="32" t="n">
        <v>6855.51975366114</v>
      </c>
      <c r="P43" s="32" t="n">
        <v>16878.2034132101</v>
      </c>
      <c r="Q43" s="32" t="n">
        <v>12110.022718247</v>
      </c>
      <c r="R43" s="32" t="n">
        <v>7989.62882151188</v>
      </c>
      <c r="S43" s="34" t="n">
        <f aca="false">IF(Tables!$B$2=1,'Michigan Curve'!N43,IF(Tables!$B$2=2,'Michigan Curve'!O43,IF(Tables!$B$2=4,'Michigan Curve'!P43,IF(Tables!$B$2=5,'Michigan Curve'!Q43,IF(Tables!$B$2=3,'Michigan Curve'!R43,0)))))</f>
        <v>12110.022718247</v>
      </c>
    </row>
    <row r="44" customFormat="false" ht="12.75" hidden="false" customHeight="false" outlineLevel="0" collapsed="false">
      <c r="A44" s="21" t="n">
        <v>38078</v>
      </c>
      <c r="B44" s="22" t="n">
        <v>25.25</v>
      </c>
      <c r="C44" s="71" t="n">
        <v>20</v>
      </c>
      <c r="D44" s="59" t="n">
        <v>18.9950008392334</v>
      </c>
      <c r="E44" s="26" t="n">
        <f aca="false">IF(VLOOKUP(MONTH(A44),SeasonTable,2,0)&lt;&gt;"Summer",VLOOKUP(MONTH(A44),ScalarTable,2,0),((0.059228/(B44/100))-(0.4980013/(SQRT(B44/100)))+2.137988))</f>
        <v>1</v>
      </c>
      <c r="F44" s="28" t="n">
        <f aca="false">+E44*B44</f>
        <v>25.25</v>
      </c>
      <c r="H44" s="72" t="n">
        <f aca="false">2-E44</f>
        <v>1</v>
      </c>
      <c r="I44" s="73" t="n">
        <f aca="false">B44*H44</f>
        <v>25.25</v>
      </c>
      <c r="J44" s="74" t="n">
        <f aca="false">C44*E44</f>
        <v>20</v>
      </c>
      <c r="K44" s="75" t="n">
        <f aca="false">C44*H44</f>
        <v>20</v>
      </c>
      <c r="L44" s="28" t="n">
        <f aca="false">D44*E44</f>
        <v>18.9950008392334</v>
      </c>
      <c r="N44" s="32" t="n">
        <v>18182.3055710874</v>
      </c>
      <c r="O44" s="32" t="n">
        <v>10063.1379011818</v>
      </c>
      <c r="P44" s="32" t="n">
        <v>24575.8063367461</v>
      </c>
      <c r="Q44" s="32" t="n">
        <v>17867.5889115186</v>
      </c>
      <c r="R44" s="32" t="n">
        <v>12218.4569253832</v>
      </c>
      <c r="S44" s="34" t="n">
        <f aca="false">IF(Tables!$B$2=1,'Michigan Curve'!N44,IF(Tables!$B$2=2,'Michigan Curve'!O44,IF(Tables!$B$2=4,'Michigan Curve'!P44,IF(Tables!$B$2=5,'Michigan Curve'!Q44,IF(Tables!$B$2=3,'Michigan Curve'!R44,0)))))</f>
        <v>17867.5889115186</v>
      </c>
    </row>
    <row r="45" customFormat="false" ht="12.75" hidden="false" customHeight="false" outlineLevel="0" collapsed="false">
      <c r="A45" s="21" t="n">
        <v>38108</v>
      </c>
      <c r="B45" s="22" t="n">
        <v>29</v>
      </c>
      <c r="C45" s="71" t="n">
        <v>21</v>
      </c>
      <c r="D45" s="59" t="n">
        <v>20.0049991607666</v>
      </c>
      <c r="E45" s="26" t="n">
        <f aca="false">IF(VLOOKUP(MONTH(A45),SeasonTable,2,0)&lt;&gt;"Summer",VLOOKUP(MONTH(A45),ScalarTable,2,0),((0.059228/(B45/100))-(0.4980013/(SQRT(B45/100)))+2.137988))</f>
        <v>1.07625000178814</v>
      </c>
      <c r="F45" s="28" t="n">
        <f aca="false">+E45*B45</f>
        <v>31.211250051856</v>
      </c>
      <c r="H45" s="72" t="n">
        <f aca="false">2-E45</f>
        <v>0.923749998211861</v>
      </c>
      <c r="I45" s="73" t="n">
        <f aca="false">B45*H45</f>
        <v>26.788749948144</v>
      </c>
      <c r="J45" s="74" t="n">
        <f aca="false">C45*E45</f>
        <v>22.6012500375509</v>
      </c>
      <c r="K45" s="75" t="n">
        <f aca="false">C45*H45</f>
        <v>19.3987499624491</v>
      </c>
      <c r="L45" s="28" t="n">
        <f aca="false">D45*E45</f>
        <v>21.5303803825468</v>
      </c>
      <c r="N45" s="32" t="n">
        <v>98488.0140723847</v>
      </c>
      <c r="O45" s="32" t="n">
        <v>56354.597376748</v>
      </c>
      <c r="P45" s="32" t="n">
        <v>132235.901801993</v>
      </c>
      <c r="Q45" s="32" t="n">
        <v>102853.397251305</v>
      </c>
      <c r="R45" s="32" t="n">
        <v>82171.1963360835</v>
      </c>
      <c r="S45" s="34" t="n">
        <f aca="false">IF(Tables!$B$2=1,'Michigan Curve'!N45,IF(Tables!$B$2=2,'Michigan Curve'!O45,IF(Tables!$B$2=4,'Michigan Curve'!P45,IF(Tables!$B$2=5,'Michigan Curve'!Q45,IF(Tables!$B$2=3,'Michigan Curve'!R45,0)))))</f>
        <v>102853.397251305</v>
      </c>
    </row>
    <row r="46" customFormat="false" ht="12.75" hidden="false" customHeight="false" outlineLevel="0" collapsed="false">
      <c r="A46" s="21" t="n">
        <v>38139</v>
      </c>
      <c r="B46" s="22" t="n">
        <v>46.25</v>
      </c>
      <c r="C46" s="71" t="n">
        <v>26</v>
      </c>
      <c r="D46" s="59" t="n">
        <v>24</v>
      </c>
      <c r="E46" s="26" t="n">
        <f aca="false">IF(VLOOKUP(MONTH(A46),SeasonTable,2,0)&lt;&gt;"Summer",VLOOKUP(MONTH(A46),ScalarTable,2,0),((0.059228/(B46/100))-(0.4980013/(SQRT(B46/100)))+2.137988))</f>
        <v>1.53377286537709</v>
      </c>
      <c r="F46" s="28" t="n">
        <f aca="false">+E46*B46</f>
        <v>70.9369950236904</v>
      </c>
      <c r="H46" s="72" t="n">
        <f aca="false">2-E46</f>
        <v>0.466227134622909</v>
      </c>
      <c r="I46" s="73" t="n">
        <f aca="false">B46*H46</f>
        <v>21.5630049763096</v>
      </c>
      <c r="J46" s="74" t="n">
        <f aca="false">C46*E46</f>
        <v>39.8780944998044</v>
      </c>
      <c r="K46" s="75" t="n">
        <f aca="false">C46*H46</f>
        <v>12.1219055001956</v>
      </c>
      <c r="L46" s="28" t="n">
        <f aca="false">D46*E46</f>
        <v>36.8105487690502</v>
      </c>
      <c r="N46" s="32" t="n">
        <v>351127.220546477</v>
      </c>
      <c r="O46" s="32" t="n">
        <v>214223.301961952</v>
      </c>
      <c r="P46" s="32" t="n">
        <v>465472.784075464</v>
      </c>
      <c r="Q46" s="32" t="n">
        <v>413405.724066981</v>
      </c>
      <c r="R46" s="32" t="n">
        <v>455283.7381036</v>
      </c>
      <c r="S46" s="34" t="n">
        <f aca="false">IF(Tables!$B$2=1,'Michigan Curve'!N46,IF(Tables!$B$2=2,'Michigan Curve'!O46,IF(Tables!$B$2=4,'Michigan Curve'!P46,IF(Tables!$B$2=5,'Michigan Curve'!Q46,IF(Tables!$B$2=3,'Michigan Curve'!R46,0)))))</f>
        <v>413405.724066981</v>
      </c>
    </row>
    <row r="47" customFormat="false" ht="12.75" hidden="false" customHeight="false" outlineLevel="0" collapsed="false">
      <c r="A47" s="21" t="n">
        <v>38169</v>
      </c>
      <c r="B47" s="22" t="n">
        <v>75</v>
      </c>
      <c r="C47" s="71" t="n">
        <v>35</v>
      </c>
      <c r="D47" s="59" t="n">
        <v>30.9999980926514</v>
      </c>
      <c r="E47" s="26" t="n">
        <f aca="false">IF(VLOOKUP(MONTH(A47),SeasonTable,2,0)&lt;&gt;"Summer",VLOOKUP(MONTH(A47),ScalarTable,2,0),((0.059228/(B47/100))-(0.4980013/(SQRT(B47/100)))+2.137988))</f>
        <v>1.6419162974431</v>
      </c>
      <c r="F47" s="28" t="n">
        <f aca="false">+E47*B47</f>
        <v>123.143722308232</v>
      </c>
      <c r="H47" s="72" t="n">
        <f aca="false">2-E47</f>
        <v>0.358083702556901</v>
      </c>
      <c r="I47" s="73" t="n">
        <f aca="false">B47*H47</f>
        <v>26.8562776917675</v>
      </c>
      <c r="J47" s="74" t="n">
        <f aca="false">C47*E47</f>
        <v>57.4670704105085</v>
      </c>
      <c r="K47" s="75" t="n">
        <f aca="false">C47*H47</f>
        <v>12.5329295894915</v>
      </c>
      <c r="L47" s="28" t="n">
        <f aca="false">D47*E47</f>
        <v>50.8994020890293</v>
      </c>
      <c r="N47" s="32" t="n">
        <v>568778.791171843</v>
      </c>
      <c r="O47" s="32" t="n">
        <v>346056.804251248</v>
      </c>
      <c r="P47" s="32" t="n">
        <v>754403.858990299</v>
      </c>
      <c r="Q47" s="32" t="n">
        <v>665965.168038763</v>
      </c>
      <c r="R47" s="32" t="n">
        <v>724141.991580485</v>
      </c>
      <c r="S47" s="34" t="n">
        <f aca="false">IF(Tables!$B$2=1,'Michigan Curve'!N47,IF(Tables!$B$2=2,'Michigan Curve'!O47,IF(Tables!$B$2=4,'Michigan Curve'!P47,IF(Tables!$B$2=5,'Michigan Curve'!Q47,IF(Tables!$B$2=3,'Michigan Curve'!R47,0)))))</f>
        <v>665965.168038763</v>
      </c>
    </row>
    <row r="48" customFormat="false" ht="12.75" hidden="false" customHeight="false" outlineLevel="0" collapsed="false">
      <c r="A48" s="21" t="n">
        <v>38200</v>
      </c>
      <c r="B48" s="22" t="n">
        <v>75</v>
      </c>
      <c r="C48" s="71" t="n">
        <v>35.0000038146973</v>
      </c>
      <c r="D48" s="59" t="n">
        <v>31</v>
      </c>
      <c r="E48" s="26" t="n">
        <f aca="false">IF(VLOOKUP(MONTH(A48),SeasonTable,2,0)&lt;&gt;"Summer",VLOOKUP(MONTH(A48),ScalarTable,2,0),((0.059228/(B48/100))-(0.4980013/(SQRT(B48/100)))+2.137988))</f>
        <v>1.6419162974431</v>
      </c>
      <c r="F48" s="28" t="n">
        <f aca="false">+E48*B48</f>
        <v>123.143722308232</v>
      </c>
      <c r="H48" s="72" t="n">
        <f aca="false">2-E48</f>
        <v>0.358083702556901</v>
      </c>
      <c r="I48" s="73" t="n">
        <f aca="false">B48*H48</f>
        <v>26.8562776917675</v>
      </c>
      <c r="J48" s="74" t="n">
        <f aca="false">C48*E48</f>
        <v>57.4670766739221</v>
      </c>
      <c r="K48" s="75" t="n">
        <f aca="false">C48*H48</f>
        <v>12.5329309554724</v>
      </c>
      <c r="L48" s="28" t="n">
        <f aca="false">D48*E48</f>
        <v>50.8994052207361</v>
      </c>
      <c r="N48" s="32" t="n">
        <v>565470.823754948</v>
      </c>
      <c r="O48" s="32" t="n">
        <v>343735.098650699</v>
      </c>
      <c r="P48" s="32" t="n">
        <v>750154.101520544</v>
      </c>
      <c r="Q48" s="32" t="n">
        <v>661013.568076471</v>
      </c>
      <c r="R48" s="32" t="n">
        <v>715853.317736703</v>
      </c>
      <c r="S48" s="34" t="n">
        <f aca="false">IF(Tables!$B$2=1,'Michigan Curve'!N48,IF(Tables!$B$2=2,'Michigan Curve'!O48,IF(Tables!$B$2=4,'Michigan Curve'!P48,IF(Tables!$B$2=5,'Michigan Curve'!Q48,IF(Tables!$B$2=3,'Michigan Curve'!R48,0)))))</f>
        <v>661013.568076471</v>
      </c>
    </row>
    <row r="49" customFormat="false" ht="12.75" hidden="false" customHeight="false" outlineLevel="0" collapsed="false">
      <c r="A49" s="21" t="n">
        <v>38231</v>
      </c>
      <c r="B49" s="22" t="n">
        <v>31.75</v>
      </c>
      <c r="C49" s="71" t="n">
        <v>25</v>
      </c>
      <c r="D49" s="59" t="n">
        <v>24</v>
      </c>
      <c r="E49" s="26" t="n">
        <f aca="false">IF(VLOOKUP(MONTH(A49),SeasonTable,2,0)&lt;&gt;"Summer",VLOOKUP(MONTH(A49),ScalarTable,2,0),((0.059228/(B49/100))-(0.4980013/(SQRT(B49/100)))+2.137988))</f>
        <v>1.35124999284744</v>
      </c>
      <c r="F49" s="28" t="n">
        <f aca="false">+E49*B49</f>
        <v>42.9021872729063</v>
      </c>
      <c r="H49" s="72" t="n">
        <f aca="false">2-E49</f>
        <v>0.648750007152557</v>
      </c>
      <c r="I49" s="73" t="n">
        <f aca="false">B49*H49</f>
        <v>20.5978127270937</v>
      </c>
      <c r="J49" s="74" t="n">
        <f aca="false">C49*E49</f>
        <v>33.7812498211861</v>
      </c>
      <c r="K49" s="75" t="n">
        <f aca="false">C49*H49</f>
        <v>16.2187501788139</v>
      </c>
      <c r="L49" s="28" t="n">
        <f aca="false">D49*E49</f>
        <v>32.4299998283386</v>
      </c>
      <c r="N49" s="32" t="n">
        <v>323530.063873155</v>
      </c>
      <c r="O49" s="32" t="n">
        <v>187400.132145946</v>
      </c>
      <c r="P49" s="32" t="n">
        <v>428141.618274859</v>
      </c>
      <c r="Q49" s="32" t="n">
        <v>345486.803277585</v>
      </c>
      <c r="R49" s="32" t="n">
        <v>294367.751275621</v>
      </c>
      <c r="S49" s="34" t="n">
        <f aca="false">IF(Tables!$B$2=1,'Michigan Curve'!N49,IF(Tables!$B$2=2,'Michigan Curve'!O49,IF(Tables!$B$2=4,'Michigan Curve'!P49,IF(Tables!$B$2=5,'Michigan Curve'!Q49,IF(Tables!$B$2=3,'Michigan Curve'!R49,0)))))</f>
        <v>345486.803277585</v>
      </c>
    </row>
    <row r="50" customFormat="false" ht="12.75" hidden="false" customHeight="false" outlineLevel="0" collapsed="false">
      <c r="A50" s="21" t="n">
        <v>38261</v>
      </c>
      <c r="B50" s="22" t="n">
        <v>24.8499946594238</v>
      </c>
      <c r="C50" s="71" t="n">
        <v>19.996000289917</v>
      </c>
      <c r="D50" s="59" t="n">
        <v>18.9965000152588</v>
      </c>
      <c r="E50" s="26" t="n">
        <f aca="false">IF(VLOOKUP(MONTH(A50),SeasonTable,2,0)&lt;&gt;"Summer",VLOOKUP(MONTH(A50),ScalarTable,2,0),((0.059228/(B50/100))-(0.4980013/(SQRT(B50/100)))+2.137988))</f>
        <v>1</v>
      </c>
      <c r="F50" s="28" t="n">
        <f aca="false">+E50*B50</f>
        <v>24.8499946594238</v>
      </c>
      <c r="H50" s="72" t="n">
        <f aca="false">2-E50</f>
        <v>1</v>
      </c>
      <c r="I50" s="73" t="n">
        <f aca="false">B50*H50</f>
        <v>24.8499946594238</v>
      </c>
      <c r="J50" s="74" t="n">
        <f aca="false">C50*E50</f>
        <v>19.996000289917</v>
      </c>
      <c r="K50" s="75" t="n">
        <f aca="false">C50*H50</f>
        <v>19.996000289917</v>
      </c>
      <c r="L50" s="28" t="n">
        <f aca="false">D50*E50</f>
        <v>18.9965000152588</v>
      </c>
      <c r="N50" s="32" t="n">
        <v>9570.09923942692</v>
      </c>
      <c r="O50" s="32" t="n">
        <v>5198.76905369829</v>
      </c>
      <c r="P50" s="32" t="n">
        <v>12983.365824592</v>
      </c>
      <c r="Q50" s="32" t="n">
        <v>9075.85932860157</v>
      </c>
      <c r="R50" s="32" t="n">
        <v>5463.6611763303</v>
      </c>
      <c r="S50" s="34" t="n">
        <f aca="false">IF(Tables!$B$2=1,'Michigan Curve'!N50,IF(Tables!$B$2=2,'Michigan Curve'!O50,IF(Tables!$B$2=4,'Michigan Curve'!P50,IF(Tables!$B$2=5,'Michigan Curve'!Q50,IF(Tables!$B$2=3,'Michigan Curve'!R50,0)))))</f>
        <v>9075.85932860157</v>
      </c>
    </row>
    <row r="51" customFormat="false" ht="12.75" hidden="false" customHeight="false" outlineLevel="0" collapsed="false">
      <c r="A51" s="21" t="n">
        <v>38292</v>
      </c>
      <c r="B51" s="22" t="n">
        <v>24.7299957275391</v>
      </c>
      <c r="C51" s="71" t="n">
        <v>20</v>
      </c>
      <c r="D51" s="59" t="n">
        <v>19</v>
      </c>
      <c r="E51" s="26" t="n">
        <f aca="false">IF(VLOOKUP(MONTH(A51),SeasonTable,2,0)&lt;&gt;"Summer",VLOOKUP(MONTH(A51),ScalarTable,2,0),((0.059228/(B51/100))-(0.4980013/(SQRT(B51/100)))+2.137988))</f>
        <v>1.08</v>
      </c>
      <c r="F51" s="28" t="n">
        <f aca="false">+E51*B51</f>
        <v>26.7083953857422</v>
      </c>
      <c r="H51" s="72" t="n">
        <f aca="false">2-E51</f>
        <v>0.92</v>
      </c>
      <c r="I51" s="73" t="n">
        <f aca="false">B51*H51</f>
        <v>22.7515960693359</v>
      </c>
      <c r="J51" s="74" t="n">
        <f aca="false">C51*E51</f>
        <v>21.6</v>
      </c>
      <c r="K51" s="75" t="n">
        <f aca="false">C51*H51</f>
        <v>18.4</v>
      </c>
      <c r="L51" s="28" t="n">
        <f aca="false">D51*E51</f>
        <v>20.52</v>
      </c>
      <c r="N51" s="32" t="n">
        <v>19308.586194685</v>
      </c>
      <c r="O51" s="32" t="n">
        <v>10714.6091840569</v>
      </c>
      <c r="P51" s="32" t="n">
        <v>26084.5705360906</v>
      </c>
      <c r="Q51" s="32" t="n">
        <v>19071.0873451922</v>
      </c>
      <c r="R51" s="32" t="n">
        <v>13202.8549656644</v>
      </c>
      <c r="S51" s="34" t="n">
        <f aca="false">IF(Tables!$B$2=1,'Michigan Curve'!N51,IF(Tables!$B$2=2,'Michigan Curve'!O51,IF(Tables!$B$2=4,'Michigan Curve'!P51,IF(Tables!$B$2=5,'Michigan Curve'!Q51,IF(Tables!$B$2=3,'Michigan Curve'!R51,0)))))</f>
        <v>19071.0873451922</v>
      </c>
    </row>
    <row r="52" customFormat="false" ht="12.75" hidden="false" customHeight="false" outlineLevel="0" collapsed="false">
      <c r="A52" s="21" t="n">
        <v>38322</v>
      </c>
      <c r="B52" s="22" t="n">
        <v>25.1999950408936</v>
      </c>
      <c r="C52" s="71" t="n">
        <v>20</v>
      </c>
      <c r="D52" s="59" t="n">
        <v>19</v>
      </c>
      <c r="E52" s="26" t="n">
        <f aca="false">IF(VLOOKUP(MONTH(A52),SeasonTable,2,0)&lt;&gt;"Summer",VLOOKUP(MONTH(A52),ScalarTable,2,0),((0.059228/(B52/100))-(0.4980013/(SQRT(B52/100)))+2.137988))</f>
        <v>1.02</v>
      </c>
      <c r="F52" s="28" t="n">
        <f aca="false">+E52*B52</f>
        <v>25.7039949417114</v>
      </c>
      <c r="H52" s="72" t="n">
        <f aca="false">2-E52</f>
        <v>0.98</v>
      </c>
      <c r="I52" s="73" t="n">
        <f aca="false">B52*H52</f>
        <v>24.6959951400757</v>
      </c>
      <c r="J52" s="74" t="n">
        <f aca="false">C52*E52</f>
        <v>20.4</v>
      </c>
      <c r="K52" s="75" t="n">
        <f aca="false">C52*H52</f>
        <v>19.6</v>
      </c>
      <c r="L52" s="28" t="n">
        <f aca="false">D52*E52</f>
        <v>19.38</v>
      </c>
      <c r="N52" s="32" t="n">
        <v>10386.9762739172</v>
      </c>
      <c r="O52" s="32" t="n">
        <v>5691.11066374886</v>
      </c>
      <c r="P52" s="32" t="n">
        <v>14067.8861151514</v>
      </c>
      <c r="Q52" s="32" t="n">
        <v>10029.7157840006</v>
      </c>
      <c r="R52" s="32" t="n">
        <v>6574.60560679838</v>
      </c>
      <c r="S52" s="34" t="n">
        <f aca="false">IF(Tables!$B$2=1,'Michigan Curve'!N52,IF(Tables!$B$2=2,'Michigan Curve'!O52,IF(Tables!$B$2=4,'Michigan Curve'!P52,IF(Tables!$B$2=5,'Michigan Curve'!Q52,IF(Tables!$B$2=3,'Michigan Curve'!R52,0)))))</f>
        <v>10029.7157840006</v>
      </c>
    </row>
    <row r="53" customFormat="false" ht="12.75" hidden="false" customHeight="false" outlineLevel="0" collapsed="false">
      <c r="A53" s="21" t="n">
        <v>38353</v>
      </c>
      <c r="B53" s="22" t="n">
        <v>30.7000003814697</v>
      </c>
      <c r="C53" s="71" t="n">
        <v>22</v>
      </c>
      <c r="D53" s="59" t="n">
        <v>21</v>
      </c>
      <c r="E53" s="26" t="n">
        <f aca="false">IF(VLOOKUP(MONTH(A53),SeasonTable,2,0)&lt;&gt;"Summer",VLOOKUP(MONTH(A53),ScalarTable,2,0),((0.059228/(B53/100))-(0.4980013/(SQRT(B53/100)))+2.137988))</f>
        <v>1.02</v>
      </c>
      <c r="F53" s="28" t="n">
        <f aca="false">+E53*B53</f>
        <v>31.3140003890991</v>
      </c>
      <c r="H53" s="72" t="n">
        <f aca="false">2-E53</f>
        <v>0.98</v>
      </c>
      <c r="I53" s="73" t="n">
        <f aca="false">B53*H53</f>
        <v>30.0860003738403</v>
      </c>
      <c r="J53" s="74" t="n">
        <f aca="false">C53*E53</f>
        <v>22.44</v>
      </c>
      <c r="K53" s="75" t="n">
        <f aca="false">C53*H53</f>
        <v>21.56</v>
      </c>
      <c r="L53" s="28" t="n">
        <f aca="false">D53*E53</f>
        <v>21.42</v>
      </c>
      <c r="N53" s="32" t="n">
        <v>59055.5587881384</v>
      </c>
      <c r="O53" s="32" t="n">
        <v>33478.9382852622</v>
      </c>
      <c r="P53" s="32" t="n">
        <v>79439.8112822602</v>
      </c>
      <c r="Q53" s="32" t="n">
        <v>60668.3225300483</v>
      </c>
      <c r="R53" s="32" t="n">
        <v>46676.7224609867</v>
      </c>
      <c r="S53" s="34" t="n">
        <f aca="false">IF(Tables!$B$2=1,'Michigan Curve'!N53,IF(Tables!$B$2=2,'Michigan Curve'!O53,IF(Tables!$B$2=4,'Michigan Curve'!P53,IF(Tables!$B$2=5,'Michigan Curve'!Q53,IF(Tables!$B$2=3,'Michigan Curve'!R53,0)))))</f>
        <v>60668.3225300483</v>
      </c>
    </row>
    <row r="54" customFormat="false" ht="12.75" hidden="false" customHeight="false" outlineLevel="0" collapsed="false">
      <c r="A54" s="21" t="n">
        <v>38384</v>
      </c>
      <c r="B54" s="22" t="n">
        <v>30.6999984741211</v>
      </c>
      <c r="C54" s="71" t="n">
        <v>21.996000289917</v>
      </c>
      <c r="D54" s="59" t="n">
        <v>20.9965019226074</v>
      </c>
      <c r="E54" s="26" t="n">
        <f aca="false">IF(VLOOKUP(MONTH(A54),SeasonTable,2,0)&lt;&gt;"Summer",VLOOKUP(MONTH(A54),ScalarTable,2,0),((0.059228/(B54/100))-(0.4980013/(SQRT(B54/100)))+2.137988))</f>
        <v>1.02</v>
      </c>
      <c r="F54" s="28" t="n">
        <f aca="false">+E54*B54</f>
        <v>31.3139984436035</v>
      </c>
      <c r="H54" s="72" t="n">
        <f aca="false">2-E54</f>
        <v>0.98</v>
      </c>
      <c r="I54" s="73" t="n">
        <f aca="false">B54*H54</f>
        <v>30.0859985046387</v>
      </c>
      <c r="J54" s="74" t="n">
        <f aca="false">C54*E54</f>
        <v>22.4359202957153</v>
      </c>
      <c r="K54" s="75" t="n">
        <f aca="false">C54*H54</f>
        <v>21.5560802841187</v>
      </c>
      <c r="L54" s="28" t="n">
        <f aca="false">D54*E54</f>
        <v>21.4164319610596</v>
      </c>
      <c r="N54" s="32" t="n">
        <v>58792.2356369198</v>
      </c>
      <c r="O54" s="32" t="n">
        <v>33360.2474209145</v>
      </c>
      <c r="P54" s="32" t="n">
        <v>79071.0788205964</v>
      </c>
      <c r="Q54" s="32" t="n">
        <v>60498.3229619452</v>
      </c>
      <c r="R54" s="32" t="n">
        <v>46797.0739894439</v>
      </c>
      <c r="S54" s="34" t="n">
        <f aca="false">IF(Tables!$B$2=1,'Michigan Curve'!N54,IF(Tables!$B$2=2,'Michigan Curve'!O54,IF(Tables!$B$2=4,'Michigan Curve'!P54,IF(Tables!$B$2=5,'Michigan Curve'!Q54,IF(Tables!$B$2=3,'Michigan Curve'!R54,0)))))</f>
        <v>60498.3229619452</v>
      </c>
    </row>
    <row r="55" customFormat="false" ht="12.75" hidden="false" customHeight="false" outlineLevel="0" collapsed="false">
      <c r="A55" s="21" t="n">
        <v>38412</v>
      </c>
      <c r="B55" s="22" t="n">
        <v>25.5</v>
      </c>
      <c r="C55" s="71" t="n">
        <v>20</v>
      </c>
      <c r="D55" s="59" t="n">
        <v>19</v>
      </c>
      <c r="E55" s="26" t="n">
        <f aca="false">IF(VLOOKUP(MONTH(A55),SeasonTable,2,0)&lt;&gt;"Summer",VLOOKUP(MONTH(A55),ScalarTable,2,0),((0.059228/(B55/100))-(0.4980013/(SQRT(B55/100)))+2.137988))</f>
        <v>1.02</v>
      </c>
      <c r="F55" s="28" t="n">
        <f aca="false">+E55*B55</f>
        <v>26.01</v>
      </c>
      <c r="H55" s="72" t="n">
        <f aca="false">2-E55</f>
        <v>0.98</v>
      </c>
      <c r="I55" s="73" t="n">
        <f aca="false">B55*H55</f>
        <v>24.99</v>
      </c>
      <c r="J55" s="74" t="n">
        <f aca="false">C55*E55</f>
        <v>20.4</v>
      </c>
      <c r="K55" s="75" t="n">
        <f aca="false">C55*H55</f>
        <v>19.6</v>
      </c>
      <c r="L55" s="28" t="n">
        <f aca="false">D55*E55</f>
        <v>19.38</v>
      </c>
      <c r="N55" s="32" t="n">
        <v>22040.5499541111</v>
      </c>
      <c r="O55" s="32" t="n">
        <v>12306.7359235708</v>
      </c>
      <c r="P55" s="32" t="n">
        <v>29738.6140754576</v>
      </c>
      <c r="Q55" s="32" t="n">
        <v>22030.5233394771</v>
      </c>
      <c r="R55" s="32" t="n">
        <v>15680.0322096263</v>
      </c>
      <c r="S55" s="34" t="n">
        <f aca="false">IF(Tables!$B$2=1,'Michigan Curve'!N55,IF(Tables!$B$2=2,'Michigan Curve'!O55,IF(Tables!$B$2=4,'Michigan Curve'!P55,IF(Tables!$B$2=5,'Michigan Curve'!Q55,IF(Tables!$B$2=3,'Michigan Curve'!R55,0)))))</f>
        <v>22030.5233394771</v>
      </c>
    </row>
    <row r="56" customFormat="false" ht="12.75" hidden="false" customHeight="false" outlineLevel="0" collapsed="false">
      <c r="A56" s="21" t="n">
        <v>38443</v>
      </c>
      <c r="B56" s="22" t="n">
        <v>25.75</v>
      </c>
      <c r="C56" s="71" t="n">
        <v>20</v>
      </c>
      <c r="D56" s="59" t="n">
        <v>18.9950008392334</v>
      </c>
      <c r="E56" s="26" t="n">
        <f aca="false">IF(VLOOKUP(MONTH(A56),SeasonTable,2,0)&lt;&gt;"Summer",VLOOKUP(MONTH(A56),ScalarTable,2,0),((0.059228/(B56/100))-(0.4980013/(SQRT(B56/100)))+2.137988))</f>
        <v>1</v>
      </c>
      <c r="F56" s="28" t="n">
        <f aca="false">+E56*B56</f>
        <v>25.75</v>
      </c>
      <c r="H56" s="72" t="n">
        <f aca="false">2-E56</f>
        <v>1</v>
      </c>
      <c r="I56" s="73" t="n">
        <f aca="false">B56*H56</f>
        <v>25.75</v>
      </c>
      <c r="J56" s="74" t="n">
        <f aca="false">C56*E56</f>
        <v>20</v>
      </c>
      <c r="K56" s="75" t="n">
        <f aca="false">C56*H56</f>
        <v>20</v>
      </c>
      <c r="L56" s="28" t="n">
        <f aca="false">D56*E56</f>
        <v>18.9950008392334</v>
      </c>
      <c r="N56" s="32" t="n">
        <v>28347.1467748857</v>
      </c>
      <c r="O56" s="32" t="n">
        <v>15914.4389531009</v>
      </c>
      <c r="P56" s="32" t="n">
        <v>38206.1077053358</v>
      </c>
      <c r="Q56" s="32" t="n">
        <v>28609.3134053742</v>
      </c>
      <c r="R56" s="32" t="n">
        <v>20993.6607495541</v>
      </c>
      <c r="S56" s="34" t="n">
        <f aca="false">IF(Tables!$B$2=1,'Michigan Curve'!N56,IF(Tables!$B$2=2,'Michigan Curve'!O56,IF(Tables!$B$2=4,'Michigan Curve'!P56,IF(Tables!$B$2=5,'Michigan Curve'!Q56,IF(Tables!$B$2=3,'Michigan Curve'!R56,0)))))</f>
        <v>28609.3134053742</v>
      </c>
    </row>
    <row r="57" customFormat="false" ht="12.75" hidden="false" customHeight="false" outlineLevel="0" collapsed="false">
      <c r="A57" s="21" t="n">
        <v>38473</v>
      </c>
      <c r="B57" s="22" t="n">
        <v>29.5</v>
      </c>
      <c r="C57" s="71" t="n">
        <v>21</v>
      </c>
      <c r="D57" s="59" t="n">
        <v>20.0049991607666</v>
      </c>
      <c r="E57" s="26" t="n">
        <f aca="false">IF(VLOOKUP(MONTH(A57),SeasonTable,2,0)&lt;&gt;"Summer",VLOOKUP(MONTH(A57),ScalarTable,2,0),((0.059228/(B57/100))-(0.4980013/(SQRT(B57/100)))+2.137988))</f>
        <v>1.07625000178814</v>
      </c>
      <c r="F57" s="28" t="n">
        <f aca="false">+E57*B57</f>
        <v>31.7493750527501</v>
      </c>
      <c r="H57" s="72" t="n">
        <f aca="false">2-E57</f>
        <v>0.923749998211861</v>
      </c>
      <c r="I57" s="73" t="n">
        <f aca="false">B57*H57</f>
        <v>27.2506249472499</v>
      </c>
      <c r="J57" s="74" t="n">
        <f aca="false">C57*E57</f>
        <v>22.6012500375509</v>
      </c>
      <c r="K57" s="75" t="n">
        <f aca="false">C57*H57</f>
        <v>19.3987499624491</v>
      </c>
      <c r="L57" s="28" t="n">
        <f aca="false">D57*E57</f>
        <v>21.5303803825468</v>
      </c>
      <c r="N57" s="32" t="n">
        <v>85651.7048912171</v>
      </c>
      <c r="O57" s="32" t="n">
        <v>48679.6866656585</v>
      </c>
      <c r="P57" s="32" t="n">
        <v>115155.692796168</v>
      </c>
      <c r="Q57" s="32" t="n">
        <v>88315.1760373594</v>
      </c>
      <c r="R57" s="32" t="n">
        <v>68037.5471770797</v>
      </c>
      <c r="S57" s="34" t="n">
        <f aca="false">IF(Tables!$B$2=1,'Michigan Curve'!N57,IF(Tables!$B$2=2,'Michigan Curve'!O57,IF(Tables!$B$2=4,'Michigan Curve'!P57,IF(Tables!$B$2=5,'Michigan Curve'!Q57,IF(Tables!$B$2=3,'Michigan Curve'!R57,0)))))</f>
        <v>88315.1760373594</v>
      </c>
    </row>
    <row r="58" customFormat="false" ht="12.75" hidden="false" customHeight="false" outlineLevel="0" collapsed="false">
      <c r="A58" s="21" t="n">
        <v>38504</v>
      </c>
      <c r="B58" s="22" t="n">
        <v>46.25</v>
      </c>
      <c r="C58" s="71" t="n">
        <v>26</v>
      </c>
      <c r="D58" s="59" t="n">
        <v>24</v>
      </c>
      <c r="E58" s="26" t="n">
        <f aca="false">IF(VLOOKUP(MONTH(A58),SeasonTable,2,0)&lt;&gt;"Summer",VLOOKUP(MONTH(A58),ScalarTable,2,0),((0.059228/(B58/100))-(0.4980013/(SQRT(B58/100)))+2.137988))</f>
        <v>1.53377286537709</v>
      </c>
      <c r="F58" s="28" t="n">
        <f aca="false">+E58*B58</f>
        <v>70.9369950236904</v>
      </c>
      <c r="H58" s="72" t="n">
        <f aca="false">2-E58</f>
        <v>0.466227134622909</v>
      </c>
      <c r="I58" s="73" t="n">
        <f aca="false">B58*H58</f>
        <v>21.5630049763096</v>
      </c>
      <c r="J58" s="74" t="n">
        <f aca="false">C58*E58</f>
        <v>39.8780944998044</v>
      </c>
      <c r="K58" s="75" t="n">
        <f aca="false">C58*H58</f>
        <v>12.1219055001956</v>
      </c>
      <c r="L58" s="28" t="n">
        <f aca="false">D58*E58</f>
        <v>36.8105487690502</v>
      </c>
      <c r="N58" s="32" t="n">
        <v>243778.713845927</v>
      </c>
      <c r="O58" s="32" t="n">
        <v>148689.739068404</v>
      </c>
      <c r="P58" s="32" t="n">
        <v>323203.955479763</v>
      </c>
      <c r="Q58" s="32" t="n">
        <v>286853.753332474</v>
      </c>
      <c r="R58" s="32" t="n">
        <v>315924.210775968</v>
      </c>
      <c r="S58" s="34" t="n">
        <f aca="false">IF(Tables!$B$2=1,'Michigan Curve'!N58,IF(Tables!$B$2=2,'Michigan Curve'!O58,IF(Tables!$B$2=4,'Michigan Curve'!P58,IF(Tables!$B$2=5,'Michigan Curve'!Q58,IF(Tables!$B$2=3,'Michigan Curve'!R58,0)))))</f>
        <v>286853.753332474</v>
      </c>
    </row>
    <row r="59" customFormat="false" ht="12.75" hidden="false" customHeight="false" outlineLevel="0" collapsed="false">
      <c r="A59" s="21" t="n">
        <v>38534</v>
      </c>
      <c r="B59" s="22" t="n">
        <v>71</v>
      </c>
      <c r="C59" s="71" t="n">
        <v>35</v>
      </c>
      <c r="D59" s="59" t="n">
        <v>30.9999980926514</v>
      </c>
      <c r="E59" s="26" t="n">
        <f aca="false">IF(VLOOKUP(MONTH(A59),SeasonTable,2,0)&lt;&gt;"Summer",VLOOKUP(MONTH(A59),ScalarTable,2,0),((0.059228/(B59/100))-(0.4980013/(SQRT(B59/100)))+2.137988))</f>
        <v>1.63038890971316</v>
      </c>
      <c r="F59" s="28" t="n">
        <f aca="false">+E59*B59</f>
        <v>115.757612589635</v>
      </c>
      <c r="H59" s="72" t="n">
        <f aca="false">2-E59</f>
        <v>0.369611090286836</v>
      </c>
      <c r="I59" s="73" t="n">
        <f aca="false">B59*H59</f>
        <v>26.2423874103653</v>
      </c>
      <c r="J59" s="74" t="n">
        <f aca="false">C59*E59</f>
        <v>57.0636118399608</v>
      </c>
      <c r="K59" s="75" t="n">
        <f aca="false">C59*H59</f>
        <v>12.9363881600392</v>
      </c>
      <c r="L59" s="28" t="n">
        <f aca="false">D59*E59</f>
        <v>50.542053091388</v>
      </c>
      <c r="N59" s="32" t="n">
        <v>444676.266024563</v>
      </c>
      <c r="O59" s="32" t="n">
        <v>271609.579577614</v>
      </c>
      <c r="P59" s="32" t="n">
        <v>589345.98452758</v>
      </c>
      <c r="Q59" s="32" t="n">
        <v>524302.496500793</v>
      </c>
      <c r="R59" s="32" t="n">
        <v>579719.216661592</v>
      </c>
      <c r="S59" s="34" t="n">
        <f aca="false">IF(Tables!$B$2=1,'Michigan Curve'!N59,IF(Tables!$B$2=2,'Michigan Curve'!O59,IF(Tables!$B$2=4,'Michigan Curve'!P59,IF(Tables!$B$2=5,'Michigan Curve'!Q59,IF(Tables!$B$2=3,'Michigan Curve'!R59,0)))))</f>
        <v>524302.496500793</v>
      </c>
    </row>
    <row r="60" customFormat="false" ht="12.75" hidden="false" customHeight="false" outlineLevel="0" collapsed="false">
      <c r="A60" s="21" t="n">
        <v>38565</v>
      </c>
      <c r="B60" s="22" t="n">
        <v>71</v>
      </c>
      <c r="C60" s="71" t="n">
        <v>35.0000038146973</v>
      </c>
      <c r="D60" s="59" t="n">
        <v>31</v>
      </c>
      <c r="E60" s="26" t="n">
        <f aca="false">IF(VLOOKUP(MONTH(A60),SeasonTable,2,0)&lt;&gt;"Summer",VLOOKUP(MONTH(A60),ScalarTable,2,0),((0.059228/(B60/100))-(0.4980013/(SQRT(B60/100)))+2.137988))</f>
        <v>1.63038890971316</v>
      </c>
      <c r="F60" s="28" t="n">
        <f aca="false">+E60*B60</f>
        <v>115.757612589635</v>
      </c>
      <c r="H60" s="72" t="n">
        <f aca="false">2-E60</f>
        <v>0.369611090286836</v>
      </c>
      <c r="I60" s="73" t="n">
        <f aca="false">B60*H60</f>
        <v>26.2423874103653</v>
      </c>
      <c r="J60" s="74" t="n">
        <f aca="false">C60*E60</f>
        <v>57.0636180594009</v>
      </c>
      <c r="K60" s="75" t="n">
        <f aca="false">C60*H60</f>
        <v>12.9363895699937</v>
      </c>
      <c r="L60" s="28" t="n">
        <f aca="false">D60*E60</f>
        <v>50.5420562011081</v>
      </c>
      <c r="N60" s="32" t="n">
        <v>418959.735710723</v>
      </c>
      <c r="O60" s="32" t="n">
        <v>254987.185585103</v>
      </c>
      <c r="P60" s="32" t="n">
        <v>555672.058312604</v>
      </c>
      <c r="Q60" s="32" t="n">
        <v>490762.429667186</v>
      </c>
      <c r="R60" s="32" t="n">
        <v>534029.253192652</v>
      </c>
      <c r="S60" s="34" t="n">
        <f aca="false">IF(Tables!$B$2=1,'Michigan Curve'!N60,IF(Tables!$B$2=2,'Michigan Curve'!O60,IF(Tables!$B$2=4,'Michigan Curve'!P60,IF(Tables!$B$2=5,'Michigan Curve'!Q60,IF(Tables!$B$2=3,'Michigan Curve'!R60,0)))))</f>
        <v>490762.429667186</v>
      </c>
    </row>
    <row r="61" customFormat="false" ht="12.75" hidden="false" customHeight="false" outlineLevel="0" collapsed="false">
      <c r="A61" s="21" t="n">
        <v>38596</v>
      </c>
      <c r="B61" s="22" t="n">
        <v>32.25</v>
      </c>
      <c r="C61" s="71" t="n">
        <v>25</v>
      </c>
      <c r="D61" s="59" t="n">
        <v>24</v>
      </c>
      <c r="E61" s="26" t="n">
        <f aca="false">IF(VLOOKUP(MONTH(A61),SeasonTable,2,0)&lt;&gt;"Summer",VLOOKUP(MONTH(A61),ScalarTable,2,0),((0.059228/(B61/100))-(0.4980013/(SQRT(B61/100)))+2.137988))</f>
        <v>1.35124999284744</v>
      </c>
      <c r="F61" s="28" t="n">
        <f aca="false">+E61*B61</f>
        <v>43.57781226933</v>
      </c>
      <c r="H61" s="72" t="n">
        <f aca="false">2-E61</f>
        <v>0.648750007152557</v>
      </c>
      <c r="I61" s="73" t="n">
        <f aca="false">B61*H61</f>
        <v>20.92218773067</v>
      </c>
      <c r="J61" s="74" t="n">
        <f aca="false">C61*E61</f>
        <v>33.7812498211861</v>
      </c>
      <c r="K61" s="75" t="n">
        <f aca="false">C61*H61</f>
        <v>16.2187501788139</v>
      </c>
      <c r="L61" s="28" t="n">
        <f aca="false">D61*E61</f>
        <v>32.4299998283386</v>
      </c>
      <c r="N61" s="32" t="n">
        <v>293113.609773217</v>
      </c>
      <c r="O61" s="32" t="n">
        <v>168951.219737635</v>
      </c>
      <c r="P61" s="32" t="n">
        <v>392965.647184691</v>
      </c>
      <c r="Q61" s="32" t="n">
        <v>310109.668743165</v>
      </c>
      <c r="R61" s="32" t="n">
        <v>257079.997928475</v>
      </c>
      <c r="S61" s="34" t="n">
        <f aca="false">IF(Tables!$B$2=1,'Michigan Curve'!N61,IF(Tables!$B$2=2,'Michigan Curve'!O61,IF(Tables!$B$2=4,'Michigan Curve'!P61,IF(Tables!$B$2=5,'Michigan Curve'!Q61,IF(Tables!$B$2=3,'Michigan Curve'!R61,0)))))</f>
        <v>310109.668743165</v>
      </c>
    </row>
    <row r="62" customFormat="false" ht="12.75" hidden="false" customHeight="false" outlineLevel="0" collapsed="false">
      <c r="A62" s="21" t="n">
        <v>38626</v>
      </c>
      <c r="B62" s="22" t="n">
        <v>25.3499946594238</v>
      </c>
      <c r="C62" s="71" t="n">
        <v>19.996000289917</v>
      </c>
      <c r="D62" s="59" t="n">
        <v>18.9965000152588</v>
      </c>
      <c r="E62" s="26" t="n">
        <f aca="false">IF(VLOOKUP(MONTH(A62),SeasonTable,2,0)&lt;&gt;"Summer",VLOOKUP(MONTH(A62),ScalarTable,2,0),((0.059228/(B62/100))-(0.4980013/(SQRT(B62/100)))+2.137988))</f>
        <v>1</v>
      </c>
      <c r="F62" s="28" t="n">
        <f aca="false">+E62*B62</f>
        <v>25.3499946594238</v>
      </c>
      <c r="H62" s="72" t="n">
        <f aca="false">2-E62</f>
        <v>1</v>
      </c>
      <c r="I62" s="73" t="n">
        <f aca="false">B62*H62</f>
        <v>25.3499946594238</v>
      </c>
      <c r="J62" s="74" t="n">
        <f aca="false">C62*E62</f>
        <v>19.996000289917</v>
      </c>
      <c r="K62" s="75" t="n">
        <f aca="false">C62*H62</f>
        <v>19.996000289917</v>
      </c>
      <c r="L62" s="28" t="n">
        <f aca="false">D62*E62</f>
        <v>18.9965000152588</v>
      </c>
      <c r="N62" s="32" t="n">
        <v>17372.7912297333</v>
      </c>
      <c r="O62" s="32" t="n">
        <v>9612.56854712471</v>
      </c>
      <c r="P62" s="32" t="n">
        <v>23482.7960710134</v>
      </c>
      <c r="Q62" s="32" t="n">
        <v>17057.2004636207</v>
      </c>
      <c r="R62" s="32" t="n">
        <v>11310.5265728949</v>
      </c>
      <c r="S62" s="34" t="n">
        <f aca="false">IF(Tables!$B$2=1,'Michigan Curve'!N62,IF(Tables!$B$2=2,'Michigan Curve'!O62,IF(Tables!$B$2=4,'Michigan Curve'!P62,IF(Tables!$B$2=5,'Michigan Curve'!Q62,IF(Tables!$B$2=3,'Michigan Curve'!R62,0)))))</f>
        <v>17057.2004636207</v>
      </c>
    </row>
    <row r="63" customFormat="false" ht="12.75" hidden="false" customHeight="false" outlineLevel="0" collapsed="false">
      <c r="A63" s="21" t="n">
        <v>38657</v>
      </c>
      <c r="B63" s="22" t="n">
        <v>25.2299957275391</v>
      </c>
      <c r="C63" s="71" t="n">
        <v>20</v>
      </c>
      <c r="D63" s="59" t="n">
        <v>19</v>
      </c>
      <c r="E63" s="26" t="n">
        <f aca="false">IF(VLOOKUP(MONTH(A63),SeasonTable,2,0)&lt;&gt;"Summer",VLOOKUP(MONTH(A63),ScalarTable,2,0),((0.059228/(B63/100))-(0.4980013/(SQRT(B63/100)))+2.137988))</f>
        <v>1.08</v>
      </c>
      <c r="F63" s="28" t="n">
        <f aca="false">+E63*B63</f>
        <v>27.2483953857422</v>
      </c>
      <c r="H63" s="72" t="n">
        <f aca="false">2-E63</f>
        <v>0.92</v>
      </c>
      <c r="I63" s="73" t="n">
        <f aca="false">B63*H63</f>
        <v>23.2115960693359</v>
      </c>
      <c r="J63" s="74" t="n">
        <f aca="false">C63*E63</f>
        <v>21.6</v>
      </c>
      <c r="K63" s="75" t="n">
        <f aca="false">C63*H63</f>
        <v>18.4</v>
      </c>
      <c r="L63" s="28" t="n">
        <f aca="false">D63*E63</f>
        <v>20.52</v>
      </c>
      <c r="N63" s="32" t="n">
        <v>32044.0255267877</v>
      </c>
      <c r="O63" s="32" t="n">
        <v>18031.9468267973</v>
      </c>
      <c r="P63" s="32" t="n">
        <v>43168.7437800971</v>
      </c>
      <c r="Q63" s="32" t="n">
        <v>32481.4450116665</v>
      </c>
      <c r="R63" s="32" t="n">
        <v>24056.4989381144</v>
      </c>
      <c r="S63" s="34" t="n">
        <f aca="false">IF(Tables!$B$2=1,'Michigan Curve'!N63,IF(Tables!$B$2=2,'Michigan Curve'!O63,IF(Tables!$B$2=4,'Michigan Curve'!P63,IF(Tables!$B$2=5,'Michigan Curve'!Q63,IF(Tables!$B$2=3,'Michigan Curve'!R63,0)))))</f>
        <v>32481.4450116665</v>
      </c>
    </row>
    <row r="64" customFormat="false" ht="12.75" hidden="false" customHeight="false" outlineLevel="0" collapsed="false">
      <c r="A64" s="21" t="n">
        <v>38687</v>
      </c>
      <c r="B64" s="22" t="n">
        <v>25.6999950408936</v>
      </c>
      <c r="C64" s="71" t="n">
        <v>20</v>
      </c>
      <c r="D64" s="59" t="n">
        <v>19</v>
      </c>
      <c r="E64" s="26" t="n">
        <f aca="false">IF(VLOOKUP(MONTH(A64),SeasonTable,2,0)&lt;&gt;"Summer",VLOOKUP(MONTH(A64),ScalarTable,2,0),((0.059228/(B64/100))-(0.4980013/(SQRT(B64/100)))+2.137988))</f>
        <v>1.02</v>
      </c>
      <c r="F64" s="28" t="n">
        <f aca="false">+E64*B64</f>
        <v>26.2139949417114</v>
      </c>
      <c r="H64" s="72" t="n">
        <f aca="false">2-E64</f>
        <v>0.98</v>
      </c>
      <c r="I64" s="73" t="n">
        <f aca="false">B64*H64</f>
        <v>25.1859951400757</v>
      </c>
      <c r="J64" s="74" t="n">
        <f aca="false">C64*E64</f>
        <v>20.4</v>
      </c>
      <c r="K64" s="75" t="n">
        <f aca="false">C64*H64</f>
        <v>19.6</v>
      </c>
      <c r="L64" s="28" t="n">
        <f aca="false">D64*E64</f>
        <v>19.38</v>
      </c>
      <c r="N64" s="32" t="n">
        <v>18954.3224977656</v>
      </c>
      <c r="O64" s="32" t="n">
        <v>10572.7527819102</v>
      </c>
      <c r="P64" s="32" t="n">
        <v>25579.6937906404</v>
      </c>
      <c r="Q64" s="32" t="n">
        <v>18913.9291876157</v>
      </c>
      <c r="R64" s="32" t="n">
        <v>13338.9041853365</v>
      </c>
      <c r="S64" s="34" t="n">
        <f aca="false">IF(Tables!$B$2=1,'Michigan Curve'!N64,IF(Tables!$B$2=2,'Michigan Curve'!O64,IF(Tables!$B$2=4,'Michigan Curve'!P64,IF(Tables!$B$2=5,'Michigan Curve'!Q64,IF(Tables!$B$2=3,'Michigan Curve'!R64,0)))))</f>
        <v>18913.9291876157</v>
      </c>
    </row>
    <row r="65" customFormat="false" ht="12.75" hidden="false" customHeight="false" outlineLevel="0" collapsed="false">
      <c r="A65" s="21" t="n">
        <v>38718</v>
      </c>
      <c r="B65" s="22" t="n">
        <v>31.2000003814697</v>
      </c>
      <c r="C65" s="71" t="n">
        <v>22</v>
      </c>
      <c r="D65" s="59" t="n">
        <v>21</v>
      </c>
      <c r="E65" s="26" t="n">
        <f aca="false">IF(VLOOKUP(MONTH(A65),SeasonTable,2,0)&lt;&gt;"Summer",VLOOKUP(MONTH(A65),ScalarTable,2,0),((0.059228/(B65/100))-(0.4980013/(SQRT(B65/100)))+2.137988))</f>
        <v>1.02</v>
      </c>
      <c r="F65" s="28" t="n">
        <f aca="false">+E65*B65</f>
        <v>31.8240003890991</v>
      </c>
      <c r="H65" s="72" t="n">
        <f aca="false">2-E65</f>
        <v>0.98</v>
      </c>
      <c r="I65" s="73" t="n">
        <f aca="false">B65*H65</f>
        <v>30.5760003738403</v>
      </c>
      <c r="J65" s="74" t="n">
        <f aca="false">C65*E65</f>
        <v>22.44</v>
      </c>
      <c r="K65" s="75" t="n">
        <f aca="false">C65*H65</f>
        <v>21.56</v>
      </c>
      <c r="L65" s="28" t="n">
        <f aca="false">D65*E65</f>
        <v>21.42</v>
      </c>
      <c r="N65" s="32" t="n">
        <v>73718.5375965604</v>
      </c>
      <c r="O65" s="32" t="n">
        <v>41978.4415609156</v>
      </c>
      <c r="P65" s="32" t="n">
        <v>99075.5761260166</v>
      </c>
      <c r="Q65" s="32" t="n">
        <v>76344.747675459</v>
      </c>
      <c r="R65" s="32" t="n">
        <v>59989.7538463291</v>
      </c>
      <c r="S65" s="34" t="n">
        <f aca="false">IF(Tables!$B$2=1,'Michigan Curve'!N65,IF(Tables!$B$2=2,'Michigan Curve'!O65,IF(Tables!$B$2=4,'Michigan Curve'!P65,IF(Tables!$B$2=5,'Michigan Curve'!Q65,IF(Tables!$B$2=3,'Michigan Curve'!R65,0)))))</f>
        <v>76344.747675459</v>
      </c>
    </row>
    <row r="66" customFormat="false" ht="12.75" hidden="false" customHeight="false" outlineLevel="0" collapsed="false">
      <c r="A66" s="21" t="n">
        <v>38749</v>
      </c>
      <c r="B66" s="22" t="n">
        <v>31.1999984741211</v>
      </c>
      <c r="C66" s="71" t="n">
        <v>21.996000289917</v>
      </c>
      <c r="D66" s="59" t="n">
        <v>20.9965019226074</v>
      </c>
      <c r="E66" s="26" t="n">
        <f aca="false">IF(VLOOKUP(MONTH(A66),SeasonTable,2,0)&lt;&gt;"Summer",VLOOKUP(MONTH(A66),ScalarTable,2,0),((0.059228/(B66/100))-(0.4980013/(SQRT(B66/100)))+2.137988))</f>
        <v>1.02</v>
      </c>
      <c r="F66" s="28" t="n">
        <f aca="false">+E66*B66</f>
        <v>31.8239984436035</v>
      </c>
      <c r="H66" s="72" t="n">
        <f aca="false">2-E66</f>
        <v>0.98</v>
      </c>
      <c r="I66" s="73" t="n">
        <f aca="false">B66*H66</f>
        <v>30.5759985046387</v>
      </c>
      <c r="J66" s="74" t="n">
        <f aca="false">C66*E66</f>
        <v>22.4359202957153</v>
      </c>
      <c r="K66" s="75" t="n">
        <f aca="false">C66*H66</f>
        <v>21.5560802841187</v>
      </c>
      <c r="L66" s="28" t="n">
        <f aca="false">D66*E66</f>
        <v>21.4164319610596</v>
      </c>
      <c r="N66" s="32" t="n">
        <v>72704.6888022833</v>
      </c>
      <c r="O66" s="32" t="n">
        <v>41430.8816098065</v>
      </c>
      <c r="P66" s="32" t="n">
        <v>97698.9402108339</v>
      </c>
      <c r="Q66" s="32" t="n">
        <v>75393.2865269532</v>
      </c>
      <c r="R66" s="32" t="n">
        <v>59497.502857018</v>
      </c>
      <c r="S66" s="34" t="n">
        <f aca="false">IF(Tables!$B$2=1,'Michigan Curve'!N66,IF(Tables!$B$2=2,'Michigan Curve'!O66,IF(Tables!$B$2=4,'Michigan Curve'!P66,IF(Tables!$B$2=5,'Michigan Curve'!Q66,IF(Tables!$B$2=3,'Michigan Curve'!R66,0)))))</f>
        <v>75393.2865269532</v>
      </c>
    </row>
    <row r="67" customFormat="false" ht="12.75" hidden="false" customHeight="false" outlineLevel="0" collapsed="false">
      <c r="A67" s="21" t="n">
        <v>38777</v>
      </c>
      <c r="B67" s="22" t="n">
        <v>26</v>
      </c>
      <c r="C67" s="71" t="n">
        <v>20</v>
      </c>
      <c r="D67" s="59" t="n">
        <v>19</v>
      </c>
      <c r="E67" s="26" t="n">
        <f aca="false">IF(VLOOKUP(MONTH(A67),SeasonTable,2,0)&lt;&gt;"Summer",VLOOKUP(MONTH(A67),ScalarTable,2,0),((0.059228/(B67/100))-(0.4980013/(SQRT(B67/100)))+2.137988))</f>
        <v>1.02</v>
      </c>
      <c r="F67" s="28" t="n">
        <f aca="false">+E67*B67</f>
        <v>26.52</v>
      </c>
      <c r="H67" s="72" t="n">
        <f aca="false">2-E67</f>
        <v>0.98</v>
      </c>
      <c r="I67" s="73" t="n">
        <f aca="false">B67*H67</f>
        <v>25.48</v>
      </c>
      <c r="J67" s="74" t="n">
        <f aca="false">C67*E67</f>
        <v>20.4</v>
      </c>
      <c r="K67" s="75" t="n">
        <f aca="false">C67*H67</f>
        <v>19.6</v>
      </c>
      <c r="L67" s="28" t="n">
        <f aca="false">D67*E67</f>
        <v>19.38</v>
      </c>
      <c r="N67" s="32" t="n">
        <v>30616.9614302462</v>
      </c>
      <c r="O67" s="32" t="n">
        <v>17209.2141119812</v>
      </c>
      <c r="P67" s="32" t="n">
        <v>41255.7625382356</v>
      </c>
      <c r="Q67" s="32" t="n">
        <v>30968.9742063196</v>
      </c>
      <c r="R67" s="32" t="n">
        <v>22742.6943000861</v>
      </c>
      <c r="S67" s="34" t="n">
        <f aca="false">IF(Tables!$B$2=1,'Michigan Curve'!N67,IF(Tables!$B$2=2,'Michigan Curve'!O67,IF(Tables!$B$2=4,'Michigan Curve'!P67,IF(Tables!$B$2=5,'Michigan Curve'!Q67,IF(Tables!$B$2=3,'Michigan Curve'!R67,0)))))</f>
        <v>30968.9742063196</v>
      </c>
    </row>
    <row r="68" customFormat="false" ht="12.75" hidden="false" customHeight="false" outlineLevel="0" collapsed="false">
      <c r="A68" s="21" t="n">
        <v>38808</v>
      </c>
      <c r="B68" s="22" t="n">
        <v>26.25</v>
      </c>
      <c r="C68" s="71" t="n">
        <v>20</v>
      </c>
      <c r="D68" s="59" t="n">
        <v>18.9950008392334</v>
      </c>
      <c r="E68" s="26" t="n">
        <f aca="false">IF(VLOOKUP(MONTH(A68),SeasonTable,2,0)&lt;&gt;"Summer",VLOOKUP(MONTH(A68),ScalarTable,2,0),((0.059228/(B68/100))-(0.4980013/(SQRT(B68/100)))+2.137988))</f>
        <v>1</v>
      </c>
      <c r="F68" s="28" t="n">
        <f aca="false">+E68*B68</f>
        <v>26.25</v>
      </c>
      <c r="H68" s="72" t="n">
        <f aca="false">2-E68</f>
        <v>1</v>
      </c>
      <c r="I68" s="73" t="n">
        <f aca="false">B68*H68</f>
        <v>26.25</v>
      </c>
      <c r="J68" s="74" t="n">
        <f aca="false">C68*E68</f>
        <v>20</v>
      </c>
      <c r="K68" s="75" t="n">
        <f aca="false">C68*H68</f>
        <v>20</v>
      </c>
      <c r="L68" s="28" t="n">
        <f aca="false">D68*E68</f>
        <v>18.9950008392334</v>
      </c>
      <c r="N68" s="32" t="n">
        <v>36614.8145200705</v>
      </c>
      <c r="O68" s="32" t="n">
        <v>20690.9528128471</v>
      </c>
      <c r="P68" s="32" t="n">
        <v>49284.7451756773</v>
      </c>
      <c r="Q68" s="32" t="n">
        <v>37393.2537762546</v>
      </c>
      <c r="R68" s="32" t="n">
        <v>28338.7763998215</v>
      </c>
      <c r="S68" s="34" t="n">
        <f aca="false">IF(Tables!$B$2=1,'Michigan Curve'!N68,IF(Tables!$B$2=2,'Michigan Curve'!O68,IF(Tables!$B$2=4,'Michigan Curve'!P68,IF(Tables!$B$2=5,'Michigan Curve'!Q68,IF(Tables!$B$2=3,'Michigan Curve'!R68,0)))))</f>
        <v>37393.2537762546</v>
      </c>
    </row>
    <row r="69" customFormat="false" ht="12.75" hidden="false" customHeight="false" outlineLevel="0" collapsed="false">
      <c r="A69" s="21" t="n">
        <v>38838</v>
      </c>
      <c r="B69" s="22" t="n">
        <v>30</v>
      </c>
      <c r="C69" s="71" t="n">
        <v>21</v>
      </c>
      <c r="D69" s="59" t="n">
        <v>20.0049991607666</v>
      </c>
      <c r="E69" s="26" t="n">
        <f aca="false">IF(VLOOKUP(MONTH(A69),SeasonTable,2,0)&lt;&gt;"Summer",VLOOKUP(MONTH(A69),ScalarTable,2,0),((0.059228/(B69/100))-(0.4980013/(SQRT(B69/100)))+2.137988))</f>
        <v>1.07625000178814</v>
      </c>
      <c r="F69" s="28" t="n">
        <f aca="false">+E69*B69</f>
        <v>32.2875000536442</v>
      </c>
      <c r="H69" s="72" t="n">
        <f aca="false">2-E69</f>
        <v>0.923749998211861</v>
      </c>
      <c r="I69" s="73" t="n">
        <f aca="false">B69*H69</f>
        <v>27.7124999463558</v>
      </c>
      <c r="J69" s="74" t="n">
        <f aca="false">C69*E69</f>
        <v>22.6012500375509</v>
      </c>
      <c r="K69" s="75" t="n">
        <f aca="false">C69*H69</f>
        <v>19.3987499624491</v>
      </c>
      <c r="L69" s="28" t="n">
        <f aca="false">D69*E69</f>
        <v>21.5303803825468</v>
      </c>
      <c r="N69" s="32" t="n">
        <v>92699.4674710922</v>
      </c>
      <c r="O69" s="32" t="n">
        <v>52637.5267521221</v>
      </c>
      <c r="P69" s="32" t="n">
        <v>124653.353303765</v>
      </c>
      <c r="Q69" s="32" t="n">
        <v>95437.2512414038</v>
      </c>
      <c r="R69" s="32" t="n">
        <v>73297.0160159556</v>
      </c>
      <c r="S69" s="34" t="n">
        <f aca="false">IF(Tables!$B$2=1,'Michigan Curve'!N69,IF(Tables!$B$2=2,'Michigan Curve'!O69,IF(Tables!$B$2=4,'Michigan Curve'!P69,IF(Tables!$B$2=5,'Michigan Curve'!Q69,IF(Tables!$B$2=3,'Michigan Curve'!R69,0)))))</f>
        <v>95437.2512414038</v>
      </c>
    </row>
    <row r="70" customFormat="false" ht="12.75" hidden="false" customHeight="false" outlineLevel="0" collapsed="false">
      <c r="A70" s="21" t="n">
        <v>38869</v>
      </c>
      <c r="B70" s="22" t="n">
        <v>47.25</v>
      </c>
      <c r="C70" s="71" t="n">
        <v>26</v>
      </c>
      <c r="D70" s="59" t="n">
        <v>24</v>
      </c>
      <c r="E70" s="26" t="n">
        <f aca="false">IF(VLOOKUP(MONTH(A70),SeasonTable,2,0)&lt;&gt;"Summer",VLOOKUP(MONTH(A70),ScalarTable,2,0),((0.059228/(B70/100))-(0.4980013/(SQRT(B70/100)))+2.137988))</f>
        <v>1.53885297774505</v>
      </c>
      <c r="F70" s="28" t="n">
        <f aca="false">+E70*B70</f>
        <v>72.7108031984538</v>
      </c>
      <c r="H70" s="72" t="n">
        <f aca="false">2-E70</f>
        <v>0.461147022254945</v>
      </c>
      <c r="I70" s="73" t="n">
        <f aca="false">B70*H70</f>
        <v>21.7891968015462</v>
      </c>
      <c r="J70" s="74" t="n">
        <f aca="false">C70*E70</f>
        <v>40.0101774213714</v>
      </c>
      <c r="K70" s="75" t="n">
        <f aca="false">C70*H70</f>
        <v>11.9898225786286</v>
      </c>
      <c r="L70" s="28" t="n">
        <f aca="false">D70*E70</f>
        <v>36.9324714658813</v>
      </c>
      <c r="N70" s="32" t="n">
        <v>211502.941905827</v>
      </c>
      <c r="O70" s="32" t="n">
        <v>128731.392771825</v>
      </c>
      <c r="P70" s="32" t="n">
        <v>280540.699595932</v>
      </c>
      <c r="Q70" s="32" t="n">
        <v>248012.022134841</v>
      </c>
      <c r="R70" s="32" t="n">
        <v>270943.931897864</v>
      </c>
      <c r="S70" s="34" t="n">
        <f aca="false">IF(Tables!$B$2=1,'Michigan Curve'!N70,IF(Tables!$B$2=2,'Michigan Curve'!O70,IF(Tables!$B$2=4,'Michigan Curve'!P70,IF(Tables!$B$2=5,'Michigan Curve'!Q70,IF(Tables!$B$2=3,'Michigan Curve'!R70,0)))))</f>
        <v>248012.022134841</v>
      </c>
    </row>
    <row r="71" customFormat="false" ht="12.75" hidden="false" customHeight="false" outlineLevel="0" collapsed="false">
      <c r="A71" s="21" t="n">
        <v>38899</v>
      </c>
      <c r="B71" s="22" t="n">
        <v>74</v>
      </c>
      <c r="C71" s="71" t="n">
        <v>35</v>
      </c>
      <c r="D71" s="59" t="n">
        <v>30.9999980926514</v>
      </c>
      <c r="E71" s="26" t="n">
        <f aca="false">IF(VLOOKUP(MONTH(A71),SeasonTable,2,0)&lt;&gt;"Summer",VLOOKUP(MONTH(A71),ScalarTable,2,0),((0.059228/(B71/100))-(0.4980013/(SQRT(B71/100)))+2.137988))</f>
        <v>1.63911108567431</v>
      </c>
      <c r="F71" s="28" t="n">
        <f aca="false">+E71*B71</f>
        <v>121.294220339899</v>
      </c>
      <c r="H71" s="72" t="n">
        <f aca="false">2-E71</f>
        <v>0.360888914325686</v>
      </c>
      <c r="I71" s="73" t="n">
        <f aca="false">B71*H71</f>
        <v>26.7057796601008</v>
      </c>
      <c r="J71" s="74" t="n">
        <f aca="false">C71*E71</f>
        <v>57.368887998601</v>
      </c>
      <c r="K71" s="75" t="n">
        <f aca="false">C71*H71</f>
        <v>12.631112001399</v>
      </c>
      <c r="L71" s="28" t="n">
        <f aca="false">D71*E71</f>
        <v>50.8124405295474</v>
      </c>
      <c r="N71" s="32" t="n">
        <v>382958.531710646</v>
      </c>
      <c r="O71" s="32" t="n">
        <v>233834.484000226</v>
      </c>
      <c r="P71" s="32" t="n">
        <v>507592.424992145</v>
      </c>
      <c r="Q71" s="32" t="n">
        <v>451384.892323592</v>
      </c>
      <c r="R71" s="32" t="n">
        <v>498677.82107637</v>
      </c>
      <c r="S71" s="34" t="n">
        <f aca="false">IF(Tables!$B$2=1,'Michigan Curve'!N71,IF(Tables!$B$2=2,'Michigan Curve'!O71,IF(Tables!$B$2=4,'Michigan Curve'!P71,IF(Tables!$B$2=5,'Michigan Curve'!Q71,IF(Tables!$B$2=3,'Michigan Curve'!R71,0)))))</f>
        <v>451384.892323592</v>
      </c>
    </row>
    <row r="72" customFormat="false" ht="12.75" hidden="false" customHeight="false" outlineLevel="0" collapsed="false">
      <c r="A72" s="21" t="n">
        <v>38930</v>
      </c>
      <c r="B72" s="22" t="n">
        <v>74</v>
      </c>
      <c r="C72" s="71" t="n">
        <v>35.0000038146973</v>
      </c>
      <c r="D72" s="59" t="n">
        <v>31</v>
      </c>
      <c r="E72" s="26" t="n">
        <f aca="false">IF(VLOOKUP(MONTH(A72),SeasonTable,2,0)&lt;&gt;"Summer",VLOOKUP(MONTH(A72),ScalarTable,2,0),((0.059228/(B72/100))-(0.4980013/(SQRT(B72/100)))+2.137988))</f>
        <v>1.63911108567431</v>
      </c>
      <c r="F72" s="28" t="n">
        <f aca="false">+E72*B72</f>
        <v>121.294220339899</v>
      </c>
      <c r="H72" s="72" t="n">
        <f aca="false">2-E72</f>
        <v>0.360888914325686</v>
      </c>
      <c r="I72" s="73" t="n">
        <f aca="false">B72*H72</f>
        <v>26.7057796601008</v>
      </c>
      <c r="J72" s="74" t="n">
        <f aca="false">C72*E72</f>
        <v>57.3688942513136</v>
      </c>
      <c r="K72" s="75" t="n">
        <f aca="false">C72*H72</f>
        <v>12.631113378081</v>
      </c>
      <c r="L72" s="28" t="n">
        <f aca="false">D72*E72</f>
        <v>50.8124436559037</v>
      </c>
      <c r="N72" s="32" t="n">
        <v>355727.765410944</v>
      </c>
      <c r="O72" s="32" t="n">
        <v>216235.496146423</v>
      </c>
      <c r="P72" s="32" t="n">
        <v>471934.069578858</v>
      </c>
      <c r="Q72" s="32" t="n">
        <v>415871.376589318</v>
      </c>
      <c r="R72" s="32" t="n">
        <v>450500.930136103</v>
      </c>
      <c r="S72" s="34" t="n">
        <f aca="false">IF(Tables!$B$2=1,'Michigan Curve'!N72,IF(Tables!$B$2=2,'Michigan Curve'!O72,IF(Tables!$B$2=4,'Michigan Curve'!P72,IF(Tables!$B$2=5,'Michigan Curve'!Q72,IF(Tables!$B$2=3,'Michigan Curve'!R72,0)))))</f>
        <v>415871.376589318</v>
      </c>
    </row>
    <row r="73" customFormat="false" ht="12.75" hidden="false" customHeight="false" outlineLevel="0" collapsed="false">
      <c r="A73" s="21" t="n">
        <v>38961</v>
      </c>
      <c r="B73" s="22" t="n">
        <v>32.75</v>
      </c>
      <c r="C73" s="71" t="n">
        <v>25</v>
      </c>
      <c r="D73" s="59" t="n">
        <v>24</v>
      </c>
      <c r="E73" s="26" t="n">
        <f aca="false">IF(VLOOKUP(MONTH(A73),SeasonTable,2,0)&lt;&gt;"Summer",VLOOKUP(MONTH(A73),ScalarTable,2,0),((0.059228/(B73/100))-(0.4980013/(SQRT(B73/100)))+2.137988))</f>
        <v>1.35124999284744</v>
      </c>
      <c r="F73" s="28" t="n">
        <f aca="false">+E73*B73</f>
        <v>44.2534372657537</v>
      </c>
      <c r="H73" s="72" t="n">
        <f aca="false">2-E73</f>
        <v>0.648750007152557</v>
      </c>
      <c r="I73" s="73" t="n">
        <f aca="false">B73*H73</f>
        <v>21.2465627342463</v>
      </c>
      <c r="J73" s="74" t="n">
        <f aca="false">C73*E73</f>
        <v>33.7812498211861</v>
      </c>
      <c r="K73" s="75" t="n">
        <f aca="false">C73*H73</f>
        <v>16.2187501788139</v>
      </c>
      <c r="L73" s="28" t="n">
        <f aca="false">D73*E73</f>
        <v>32.4299998283386</v>
      </c>
      <c r="N73" s="32" t="n">
        <v>301301.217491363</v>
      </c>
      <c r="O73" s="32" t="n">
        <v>179207.191703657</v>
      </c>
      <c r="P73" s="32" t="n">
        <v>396700.183468089</v>
      </c>
      <c r="Q73" s="32" t="n">
        <v>329712.444732717</v>
      </c>
      <c r="R73" s="32" t="n">
        <v>277762.782402975</v>
      </c>
      <c r="S73" s="34" t="n">
        <f aca="false">IF(Tables!$B$2=1,'Michigan Curve'!N73,IF(Tables!$B$2=2,'Michigan Curve'!O73,IF(Tables!$B$2=4,'Michigan Curve'!P73,IF(Tables!$B$2=5,'Michigan Curve'!Q73,IF(Tables!$B$2=3,'Michigan Curve'!R73,0)))))</f>
        <v>329712.444732717</v>
      </c>
    </row>
    <row r="74" customFormat="false" ht="12.75" hidden="false" customHeight="false" outlineLevel="0" collapsed="false">
      <c r="A74" s="21" t="n">
        <v>38991</v>
      </c>
      <c r="B74" s="22" t="n">
        <v>25.8499946594238</v>
      </c>
      <c r="C74" s="71" t="n">
        <v>19.996000289917</v>
      </c>
      <c r="D74" s="59" t="n">
        <v>18.9965000152588</v>
      </c>
      <c r="E74" s="26" t="n">
        <f aca="false">IF(VLOOKUP(MONTH(A74),SeasonTable,2,0)&lt;&gt;"Summer",VLOOKUP(MONTH(A74),ScalarTable,2,0),((0.059228/(B74/100))-(0.4980013/(SQRT(B74/100)))+2.137988))</f>
        <v>1</v>
      </c>
      <c r="F74" s="28" t="n">
        <f aca="false">+E74*B74</f>
        <v>25.8499946594238</v>
      </c>
      <c r="H74" s="72" t="n">
        <f aca="false">2-E74</f>
        <v>1</v>
      </c>
      <c r="I74" s="73" t="n">
        <f aca="false">B74*H74</f>
        <v>25.8499946594238</v>
      </c>
      <c r="J74" s="74" t="n">
        <f aca="false">C74*E74</f>
        <v>19.996000289917</v>
      </c>
      <c r="K74" s="75" t="n">
        <f aca="false">C74*H74</f>
        <v>19.996000289917</v>
      </c>
      <c r="L74" s="28" t="n">
        <f aca="false">D74*E74</f>
        <v>18.9965000152588</v>
      </c>
      <c r="N74" s="32" t="n">
        <v>23870.0967434832</v>
      </c>
      <c r="O74" s="32" t="n">
        <v>13285.2237744173</v>
      </c>
      <c r="P74" s="32" t="n">
        <v>32227.4563814005</v>
      </c>
      <c r="Q74" s="32" t="n">
        <v>23692.308908009</v>
      </c>
      <c r="R74" s="32" t="n">
        <v>16233.3921459739</v>
      </c>
      <c r="S74" s="34" t="n">
        <f aca="false">IF(Tables!$B$2=1,'Michigan Curve'!N74,IF(Tables!$B$2=2,'Michigan Curve'!O74,IF(Tables!$B$2=4,'Michigan Curve'!P74,IF(Tables!$B$2=5,'Michigan Curve'!Q74,IF(Tables!$B$2=3,'Michigan Curve'!R74,0)))))</f>
        <v>23692.308908009</v>
      </c>
    </row>
    <row r="75" customFormat="false" ht="12.75" hidden="false" customHeight="false" outlineLevel="0" collapsed="false">
      <c r="A75" s="21" t="n">
        <v>39022</v>
      </c>
      <c r="B75" s="22" t="n">
        <v>25.7299957275391</v>
      </c>
      <c r="C75" s="71" t="n">
        <v>20</v>
      </c>
      <c r="D75" s="59" t="n">
        <v>19</v>
      </c>
      <c r="E75" s="26" t="n">
        <f aca="false">IF(VLOOKUP(MONTH(A75),SeasonTable,2,0)&lt;&gt;"Summer",VLOOKUP(MONTH(A75),ScalarTable,2,0),((0.059228/(B75/100))-(0.4980013/(SQRT(B75/100)))+2.137988))</f>
        <v>1.08</v>
      </c>
      <c r="F75" s="28" t="n">
        <f aca="false">+E75*B75</f>
        <v>27.7883953857422</v>
      </c>
      <c r="H75" s="72" t="n">
        <f aca="false">2-E75</f>
        <v>0.92</v>
      </c>
      <c r="I75" s="73" t="n">
        <f aca="false">B75*H75</f>
        <v>23.6715960693359</v>
      </c>
      <c r="J75" s="74" t="n">
        <f aca="false">C75*E75</f>
        <v>21.6</v>
      </c>
      <c r="K75" s="75" t="n">
        <f aca="false">C75*H75</f>
        <v>18.4</v>
      </c>
      <c r="L75" s="28" t="n">
        <f aca="false">D75*E75</f>
        <v>20.52</v>
      </c>
      <c r="N75" s="32" t="n">
        <v>41993.26861354</v>
      </c>
      <c r="O75" s="32" t="n">
        <v>23757.0380945363</v>
      </c>
      <c r="P75" s="32" t="n">
        <v>56511.7393788227</v>
      </c>
      <c r="Q75" s="32" t="n">
        <v>42977.100945397</v>
      </c>
      <c r="R75" s="32" t="n">
        <v>32657.4714534662</v>
      </c>
      <c r="S75" s="34" t="n">
        <f aca="false">IF(Tables!$B$2=1,'Michigan Curve'!N75,IF(Tables!$B$2=2,'Michigan Curve'!O75,IF(Tables!$B$2=4,'Michigan Curve'!P75,IF(Tables!$B$2=5,'Michigan Curve'!Q75,IF(Tables!$B$2=3,'Michigan Curve'!R75,0)))))</f>
        <v>42977.100945397</v>
      </c>
    </row>
    <row r="76" customFormat="false" ht="12.75" hidden="false" customHeight="false" outlineLevel="0" collapsed="false">
      <c r="A76" s="21" t="n">
        <v>39052</v>
      </c>
      <c r="B76" s="22" t="n">
        <v>26.1999950408936</v>
      </c>
      <c r="C76" s="71" t="n">
        <v>20</v>
      </c>
      <c r="D76" s="59" t="n">
        <v>19</v>
      </c>
      <c r="E76" s="26" t="n">
        <f aca="false">IF(VLOOKUP(MONTH(A76),SeasonTable,2,0)&lt;&gt;"Summer",VLOOKUP(MONTH(A76),ScalarTable,2,0),((0.059228/(B76/100))-(0.4980013/(SQRT(B76/100)))+2.137988))</f>
        <v>1.02</v>
      </c>
      <c r="F76" s="28" t="n">
        <f aca="false">+E76*B76</f>
        <v>26.7239949417114</v>
      </c>
      <c r="H76" s="72" t="n">
        <f aca="false">2-E76</f>
        <v>0.98</v>
      </c>
      <c r="I76" s="73" t="n">
        <f aca="false">B76*H76</f>
        <v>25.6759951400757</v>
      </c>
      <c r="J76" s="74" t="n">
        <f aca="false">C76*E76</f>
        <v>20.4</v>
      </c>
      <c r="K76" s="75" t="n">
        <f aca="false">C76*H76</f>
        <v>19.6</v>
      </c>
      <c r="L76" s="28" t="n">
        <f aca="false">D76*E76</f>
        <v>19.38</v>
      </c>
      <c r="N76" s="32" t="n">
        <v>23318.6914404038</v>
      </c>
      <c r="O76" s="32" t="n">
        <v>13072.0761611892</v>
      </c>
      <c r="P76" s="32" t="n">
        <v>31438.3176995916</v>
      </c>
      <c r="Q76" s="32" t="n">
        <v>23475.5177345799</v>
      </c>
      <c r="R76" s="32" t="n">
        <v>17052.0151941305</v>
      </c>
      <c r="S76" s="34" t="n">
        <f aca="false">IF(Tables!$B$2=1,'Michigan Curve'!N76,IF(Tables!$B$2=2,'Michigan Curve'!O76,IF(Tables!$B$2=4,'Michigan Curve'!P76,IF(Tables!$B$2=5,'Michigan Curve'!Q76,IF(Tables!$B$2=3,'Michigan Curve'!R76,0)))))</f>
        <v>23475.5177345799</v>
      </c>
    </row>
    <row r="77" customFormat="false" ht="12.75" hidden="false" customHeight="false" outlineLevel="0" collapsed="false">
      <c r="A77" s="21" t="n">
        <v>39083</v>
      </c>
      <c r="B77" s="22" t="n">
        <v>31.7000003814697</v>
      </c>
      <c r="C77" s="71" t="n">
        <v>22</v>
      </c>
      <c r="D77" s="59" t="n">
        <v>21</v>
      </c>
      <c r="E77" s="26" t="n">
        <f aca="false">IF(VLOOKUP(MONTH(A77),SeasonTable,2,0)&lt;&gt;"Summer",VLOOKUP(MONTH(A77),ScalarTable,2,0),((0.059228/(B77/100))-(0.4980013/(SQRT(B77/100)))+2.137988))</f>
        <v>1.02</v>
      </c>
      <c r="F77" s="28" t="n">
        <f aca="false">+E77*B77</f>
        <v>32.3340003890991</v>
      </c>
      <c r="H77" s="72" t="n">
        <f aca="false">2-E77</f>
        <v>0.98</v>
      </c>
      <c r="I77" s="73" t="n">
        <f aca="false">B77*H77</f>
        <v>31.0660003738403</v>
      </c>
      <c r="J77" s="74" t="n">
        <f aca="false">C77*E77</f>
        <v>22.44</v>
      </c>
      <c r="K77" s="75" t="n">
        <f aca="false">C77*H77</f>
        <v>21.56</v>
      </c>
      <c r="L77" s="28" t="n">
        <f aca="false">D77*E77</f>
        <v>21.42</v>
      </c>
      <c r="N77" s="32" t="n">
        <v>84330.8198547559</v>
      </c>
      <c r="O77" s="32" t="n">
        <v>48137.1358185805</v>
      </c>
      <c r="P77" s="32" t="n">
        <v>113283.913426046</v>
      </c>
      <c r="Q77" s="32" t="n">
        <v>87717.5462482392</v>
      </c>
      <c r="R77" s="32" t="n">
        <v>69836.166630747</v>
      </c>
      <c r="S77" s="34" t="n">
        <f aca="false">IF(Tables!$B$2=1,'Michigan Curve'!N77,IF(Tables!$B$2=2,'Michigan Curve'!O77,IF(Tables!$B$2=4,'Michigan Curve'!P77,IF(Tables!$B$2=5,'Michigan Curve'!Q77,IF(Tables!$B$2=3,'Michigan Curve'!R77,0)))))</f>
        <v>87717.5462482392</v>
      </c>
    </row>
    <row r="78" customFormat="false" ht="12.75" hidden="false" customHeight="false" outlineLevel="0" collapsed="false">
      <c r="A78" s="21" t="n">
        <v>39114</v>
      </c>
      <c r="B78" s="22" t="n">
        <v>31.6999984741211</v>
      </c>
      <c r="C78" s="71" t="n">
        <v>21.996000289917</v>
      </c>
      <c r="D78" s="59" t="n">
        <v>20.9965019226074</v>
      </c>
      <c r="E78" s="26" t="n">
        <f aca="false">IF(VLOOKUP(MONTH(A78),SeasonTable,2,0)&lt;&gt;"Summer",VLOOKUP(MONTH(A78),ScalarTable,2,0),((0.059228/(B78/100))-(0.4980013/(SQRT(B78/100)))+2.137988))</f>
        <v>1.02</v>
      </c>
      <c r="F78" s="28" t="n">
        <f aca="false">+E78*B78</f>
        <v>32.3339984436035</v>
      </c>
      <c r="H78" s="72" t="n">
        <f aca="false">2-E78</f>
        <v>0.98</v>
      </c>
      <c r="I78" s="73" t="n">
        <f aca="false">B78*H78</f>
        <v>31.0659985046387</v>
      </c>
      <c r="J78" s="74" t="n">
        <f aca="false">C78*E78</f>
        <v>22.4359202957153</v>
      </c>
      <c r="K78" s="75" t="n">
        <f aca="false">C78*H78</f>
        <v>21.5560802841187</v>
      </c>
      <c r="L78" s="28" t="n">
        <f aca="false">D78*E78</f>
        <v>21.4164319610596</v>
      </c>
      <c r="N78" s="32" t="n">
        <v>78904.9857494169</v>
      </c>
      <c r="O78" s="32" t="n">
        <v>45066.5215817629</v>
      </c>
      <c r="P78" s="32" t="n">
        <v>105982.755791343</v>
      </c>
      <c r="Q78" s="32" t="n">
        <v>82161.8994996991</v>
      </c>
      <c r="R78" s="32" t="n">
        <v>65642.4141983659</v>
      </c>
      <c r="S78" s="34" t="n">
        <f aca="false">IF(Tables!$B$2=1,'Michigan Curve'!N78,IF(Tables!$B$2=2,'Michigan Curve'!O78,IF(Tables!$B$2=4,'Michigan Curve'!P78,IF(Tables!$B$2=5,'Michigan Curve'!Q78,IF(Tables!$B$2=3,'Michigan Curve'!R78,0)))))</f>
        <v>82161.8994996991</v>
      </c>
    </row>
    <row r="79" customFormat="false" ht="12.75" hidden="false" customHeight="false" outlineLevel="0" collapsed="false">
      <c r="A79" s="21" t="n">
        <v>39142</v>
      </c>
      <c r="B79" s="22" t="n">
        <v>26.5</v>
      </c>
      <c r="C79" s="71" t="n">
        <v>20</v>
      </c>
      <c r="D79" s="59" t="n">
        <v>19</v>
      </c>
      <c r="E79" s="26" t="n">
        <f aca="false">IF(VLOOKUP(MONTH(A79),SeasonTable,2,0)&lt;&gt;"Summer",VLOOKUP(MONTH(A79),ScalarTable,2,0),((0.059228/(B79/100))-(0.4980013/(SQRT(B79/100)))+2.137988))</f>
        <v>1.02</v>
      </c>
      <c r="F79" s="28" t="n">
        <f aca="false">+E79*B79</f>
        <v>27.03</v>
      </c>
      <c r="H79" s="72" t="n">
        <f aca="false">2-E79</f>
        <v>0.98</v>
      </c>
      <c r="I79" s="73" t="n">
        <f aca="false">B79*H79</f>
        <v>25.97</v>
      </c>
      <c r="J79" s="74" t="n">
        <f aca="false">C79*E79</f>
        <v>20.4</v>
      </c>
      <c r="K79" s="75" t="n">
        <f aca="false">C79*H79</f>
        <v>19.6</v>
      </c>
      <c r="L79" s="28" t="n">
        <f aca="false">D79*E79</f>
        <v>19.38</v>
      </c>
      <c r="N79" s="32" t="n">
        <v>33430.5282120942</v>
      </c>
      <c r="O79" s="32" t="n">
        <v>18853.9151751517</v>
      </c>
      <c r="P79" s="32" t="n">
        <v>45016.8160048967</v>
      </c>
      <c r="Q79" s="32" t="n">
        <v>34020.6332987405</v>
      </c>
      <c r="R79" s="32" t="n">
        <v>25448.5021715127</v>
      </c>
      <c r="S79" s="34" t="n">
        <f aca="false">IF(Tables!$B$2=1,'Michigan Curve'!N79,IF(Tables!$B$2=2,'Michigan Curve'!O79,IF(Tables!$B$2=4,'Michigan Curve'!P79,IF(Tables!$B$2=5,'Michigan Curve'!Q79,IF(Tables!$B$2=3,'Michigan Curve'!R79,0)))))</f>
        <v>34020.6332987405</v>
      </c>
    </row>
    <row r="80" customFormat="false" ht="12.75" hidden="false" customHeight="false" outlineLevel="0" collapsed="false">
      <c r="A80" s="21" t="n">
        <v>39173</v>
      </c>
      <c r="B80" s="22" t="n">
        <v>26.75</v>
      </c>
      <c r="C80" s="71" t="n">
        <v>20</v>
      </c>
      <c r="D80" s="59" t="n">
        <v>18.9950008392334</v>
      </c>
      <c r="E80" s="26" t="n">
        <f aca="false">IF(VLOOKUP(MONTH(A80),SeasonTable,2,0)&lt;&gt;"Summer",VLOOKUP(MONTH(A80),ScalarTable,2,0),((0.059228/(B80/100))-(0.4980013/(SQRT(B80/100)))+2.137988))</f>
        <v>1</v>
      </c>
      <c r="F80" s="28" t="n">
        <f aca="false">+E80*B80</f>
        <v>26.75</v>
      </c>
      <c r="H80" s="72" t="n">
        <f aca="false">2-E80</f>
        <v>1</v>
      </c>
      <c r="I80" s="73" t="n">
        <f aca="false">B80*H80</f>
        <v>26.75</v>
      </c>
      <c r="J80" s="74" t="n">
        <f aca="false">C80*E80</f>
        <v>20</v>
      </c>
      <c r="K80" s="75" t="n">
        <f aca="false">C80*H80</f>
        <v>20</v>
      </c>
      <c r="L80" s="28" t="n">
        <f aca="false">D80*E80</f>
        <v>18.9950008392334</v>
      </c>
      <c r="N80" s="32" t="n">
        <v>42283.572571735</v>
      </c>
      <c r="O80" s="32" t="n">
        <v>23954.4255923012</v>
      </c>
      <c r="P80" s="32" t="n">
        <v>56886.6306583882</v>
      </c>
      <c r="Q80" s="32" t="n">
        <v>43379.8271540566</v>
      </c>
      <c r="R80" s="32" t="n">
        <v>33324.9021876499</v>
      </c>
      <c r="S80" s="34" t="n">
        <f aca="false">IF(Tables!$B$2=1,'Michigan Curve'!N80,IF(Tables!$B$2=2,'Michigan Curve'!O80,IF(Tables!$B$2=4,'Michigan Curve'!P80,IF(Tables!$B$2=5,'Michigan Curve'!Q80,IF(Tables!$B$2=3,'Michigan Curve'!R80,0)))))</f>
        <v>43379.8271540566</v>
      </c>
    </row>
    <row r="81" customFormat="false" ht="12.75" hidden="false" customHeight="false" outlineLevel="0" collapsed="false">
      <c r="A81" s="21" t="n">
        <v>39203</v>
      </c>
      <c r="B81" s="22" t="n">
        <v>30.5</v>
      </c>
      <c r="C81" s="71" t="n">
        <v>21</v>
      </c>
      <c r="D81" s="59" t="n">
        <v>20.0049991607666</v>
      </c>
      <c r="E81" s="26" t="n">
        <f aca="false">IF(VLOOKUP(MONTH(A81),SeasonTable,2,0)&lt;&gt;"Summer",VLOOKUP(MONTH(A81),ScalarTable,2,0),((0.059228/(B81/100))-(0.4980013/(SQRT(B81/100)))+2.137988))</f>
        <v>1.07625000178814</v>
      </c>
      <c r="F81" s="28" t="n">
        <f aca="false">+E81*B81</f>
        <v>32.8256250545383</v>
      </c>
      <c r="H81" s="72" t="n">
        <f aca="false">2-E81</f>
        <v>0.923749998211861</v>
      </c>
      <c r="I81" s="73" t="n">
        <f aca="false">B81*H81</f>
        <v>28.1743749454618</v>
      </c>
      <c r="J81" s="74" t="n">
        <f aca="false">C81*E81</f>
        <v>22.6012500375509</v>
      </c>
      <c r="K81" s="75" t="n">
        <f aca="false">C81*H81</f>
        <v>19.3987499624491</v>
      </c>
      <c r="L81" s="28" t="n">
        <f aca="false">D81*E81</f>
        <v>21.5303803825468</v>
      </c>
      <c r="N81" s="32" t="n">
        <v>95322.0425555243</v>
      </c>
      <c r="O81" s="32" t="n">
        <v>54175.0583092148</v>
      </c>
      <c r="P81" s="32" t="n">
        <v>128157.328599045</v>
      </c>
      <c r="Q81" s="32" t="n">
        <v>98299.1589291498</v>
      </c>
      <c r="R81" s="32" t="n">
        <v>75813.1577677846</v>
      </c>
      <c r="S81" s="34" t="n">
        <f aca="false">IF(Tables!$B$2=1,'Michigan Curve'!N81,IF(Tables!$B$2=2,'Michigan Curve'!O81,IF(Tables!$B$2=4,'Michigan Curve'!P81,IF(Tables!$B$2=5,'Michigan Curve'!Q81,IF(Tables!$B$2=3,'Michigan Curve'!R81,0)))))</f>
        <v>98299.1589291498</v>
      </c>
    </row>
    <row r="82" customFormat="false" ht="12.75" hidden="false" customHeight="false" outlineLevel="0" collapsed="false">
      <c r="A82" s="21" t="n">
        <v>39234</v>
      </c>
      <c r="B82" s="22" t="n">
        <v>48.25</v>
      </c>
      <c r="C82" s="71" t="n">
        <v>26</v>
      </c>
      <c r="D82" s="59" t="n">
        <v>24</v>
      </c>
      <c r="E82" s="26" t="n">
        <f aca="false">IF(VLOOKUP(MONTH(A82),SeasonTable,2,0)&lt;&gt;"Summer",VLOOKUP(MONTH(A82),ScalarTable,2,0),((0.059228/(B82/100))-(0.4980013/(SQRT(B82/100)))+2.137988))</f>
        <v>1.54380197233957</v>
      </c>
      <c r="F82" s="28" t="n">
        <f aca="false">+E82*B82</f>
        <v>74.4884451653841</v>
      </c>
      <c r="H82" s="72" t="n">
        <f aca="false">2-E82</f>
        <v>0.456198027660434</v>
      </c>
      <c r="I82" s="73" t="n">
        <f aca="false">B82*H82</f>
        <v>22.0115548346159</v>
      </c>
      <c r="J82" s="74" t="n">
        <f aca="false">C82*E82</f>
        <v>40.1388512808287</v>
      </c>
      <c r="K82" s="75" t="n">
        <f aca="false">C82*H82</f>
        <v>11.8611487191713</v>
      </c>
      <c r="L82" s="28" t="n">
        <f aca="false">D82*E82</f>
        <v>37.0512473361496</v>
      </c>
      <c r="N82" s="32" t="n">
        <v>206873.743663635</v>
      </c>
      <c r="O82" s="32" t="n">
        <v>125454.157996052</v>
      </c>
      <c r="P82" s="32" t="n">
        <v>274606.862543957</v>
      </c>
      <c r="Q82" s="32" t="n">
        <v>240979.686797054</v>
      </c>
      <c r="R82" s="32" t="n">
        <v>259162.389653034</v>
      </c>
      <c r="S82" s="34" t="n">
        <f aca="false">IF(Tables!$B$2=1,'Michigan Curve'!N82,IF(Tables!$B$2=2,'Michigan Curve'!O82,IF(Tables!$B$2=4,'Michigan Curve'!P82,IF(Tables!$B$2=5,'Michigan Curve'!Q82,IF(Tables!$B$2=3,'Michigan Curve'!R82,0)))))</f>
        <v>240979.686797054</v>
      </c>
    </row>
    <row r="83" customFormat="false" ht="12.75" hidden="false" customHeight="false" outlineLevel="0" collapsed="false">
      <c r="A83" s="21" t="n">
        <v>39264</v>
      </c>
      <c r="B83" s="22" t="n">
        <v>77</v>
      </c>
      <c r="C83" s="71" t="n">
        <v>35</v>
      </c>
      <c r="D83" s="59" t="n">
        <v>30.9999980926514</v>
      </c>
      <c r="E83" s="26" t="n">
        <f aca="false">IF(VLOOKUP(MONTH(A83),SeasonTable,2,0)&lt;&gt;"Summer",VLOOKUP(MONTH(A83),ScalarTable,2,0),((0.059228/(B83/100))-(0.4980013/(SQRT(B83/100)))+2.137988))</f>
        <v>1.64738232826299</v>
      </c>
      <c r="F83" s="28" t="n">
        <f aca="false">+E83*B83</f>
        <v>126.84843927625</v>
      </c>
      <c r="H83" s="72" t="n">
        <f aca="false">2-E83</f>
        <v>0.35261767173701</v>
      </c>
      <c r="I83" s="73" t="n">
        <f aca="false">B83*H83</f>
        <v>27.1515607237498</v>
      </c>
      <c r="J83" s="74" t="n">
        <f aca="false">C83*E83</f>
        <v>57.6583814892046</v>
      </c>
      <c r="K83" s="75" t="n">
        <f aca="false">C83*H83</f>
        <v>12.3416185107954</v>
      </c>
      <c r="L83" s="28" t="n">
        <f aca="false">D83*E83</f>
        <v>51.0688490340202</v>
      </c>
      <c r="N83" s="32" t="n">
        <v>362302.002450279</v>
      </c>
      <c r="O83" s="32" t="n">
        <v>220975.714242496</v>
      </c>
      <c r="P83" s="32" t="n">
        <v>480325.809884333</v>
      </c>
      <c r="Q83" s="32" t="n">
        <v>426201.950286781</v>
      </c>
      <c r="R83" s="32" t="n">
        <v>468506.23633157</v>
      </c>
      <c r="S83" s="34" t="n">
        <f aca="false">IF(Tables!$B$2=1,'Michigan Curve'!N83,IF(Tables!$B$2=2,'Michigan Curve'!O83,IF(Tables!$B$2=4,'Michigan Curve'!P83,IF(Tables!$B$2=5,'Michigan Curve'!Q83,IF(Tables!$B$2=3,'Michigan Curve'!R83,0)))))</f>
        <v>426201.950286781</v>
      </c>
    </row>
    <row r="84" customFormat="false" ht="12.75" hidden="false" customHeight="false" outlineLevel="0" collapsed="false">
      <c r="A84" s="21" t="n">
        <v>39295</v>
      </c>
      <c r="B84" s="22" t="n">
        <v>77</v>
      </c>
      <c r="C84" s="71" t="n">
        <v>35.0000038146973</v>
      </c>
      <c r="D84" s="59" t="n">
        <v>31</v>
      </c>
      <c r="E84" s="26" t="n">
        <f aca="false">IF(VLOOKUP(MONTH(A84),SeasonTable,2,0)&lt;&gt;"Summer",VLOOKUP(MONTH(A84),ScalarTable,2,0),((0.059228/(B84/100))-(0.4980013/(SQRT(B84/100)))+2.137988))</f>
        <v>1.64738232826299</v>
      </c>
      <c r="F84" s="28" t="n">
        <f aca="false">+E84*B84</f>
        <v>126.84843927625</v>
      </c>
      <c r="H84" s="72" t="n">
        <f aca="false">2-E84</f>
        <v>0.35261767173701</v>
      </c>
      <c r="I84" s="73" t="n">
        <f aca="false">B84*H84</f>
        <v>27.1515607237498</v>
      </c>
      <c r="J84" s="74" t="n">
        <f aca="false">C84*E84</f>
        <v>57.6583877734695</v>
      </c>
      <c r="K84" s="75" t="n">
        <f aca="false">C84*H84</f>
        <v>12.341619855925</v>
      </c>
      <c r="L84" s="28" t="n">
        <f aca="false">D84*E84</f>
        <v>51.0688521761527</v>
      </c>
      <c r="N84" s="32" t="n">
        <v>340424.830110928</v>
      </c>
      <c r="O84" s="32" t="n">
        <v>206949.104605555</v>
      </c>
      <c r="P84" s="32" t="n">
        <v>451627.884152461</v>
      </c>
      <c r="Q84" s="32" t="n">
        <v>398067.494609339</v>
      </c>
      <c r="R84" s="32" t="n">
        <v>431296.311183516</v>
      </c>
      <c r="S84" s="34" t="n">
        <f aca="false">IF(Tables!$B$2=1,'Michigan Curve'!N84,IF(Tables!$B$2=2,'Michigan Curve'!O84,IF(Tables!$B$2=4,'Michigan Curve'!P84,IF(Tables!$B$2=5,'Michigan Curve'!Q84,IF(Tables!$B$2=3,'Michigan Curve'!R84,0)))))</f>
        <v>398067.494609339</v>
      </c>
    </row>
    <row r="85" customFormat="false" ht="12.75" hidden="false" customHeight="false" outlineLevel="0" collapsed="false">
      <c r="A85" s="21" t="n">
        <v>39326</v>
      </c>
      <c r="B85" s="22" t="n">
        <v>33.25</v>
      </c>
      <c r="C85" s="71" t="n">
        <v>25</v>
      </c>
      <c r="D85" s="59" t="n">
        <v>24</v>
      </c>
      <c r="E85" s="26" t="n">
        <f aca="false">IF(VLOOKUP(MONTH(A85),SeasonTable,2,0)&lt;&gt;"Summer",VLOOKUP(MONTH(A85),ScalarTable,2,0),((0.059228/(B85/100))-(0.4980013/(SQRT(B85/100)))+2.137988))</f>
        <v>1.35124999284744</v>
      </c>
      <c r="F85" s="28" t="n">
        <f aca="false">+E85*B85</f>
        <v>44.9290622621775</v>
      </c>
      <c r="H85" s="72" t="n">
        <f aca="false">2-E85</f>
        <v>0.648750007152557</v>
      </c>
      <c r="I85" s="73" t="n">
        <f aca="false">B85*H85</f>
        <v>21.5709377378225</v>
      </c>
      <c r="J85" s="74" t="n">
        <f aca="false">C85*E85</f>
        <v>33.7812498211861</v>
      </c>
      <c r="K85" s="75" t="n">
        <f aca="false">C85*H85</f>
        <v>16.2187501788139</v>
      </c>
      <c r="L85" s="28" t="n">
        <f aca="false">D85*E85</f>
        <v>32.4299998283386</v>
      </c>
      <c r="N85" s="32" t="n">
        <v>294751.50123256</v>
      </c>
      <c r="O85" s="32" t="n">
        <v>170321.57707876</v>
      </c>
      <c r="P85" s="32" t="n">
        <v>394965.820150703</v>
      </c>
      <c r="Q85" s="32" t="n">
        <v>313329.685836269</v>
      </c>
      <c r="R85" s="32" t="n">
        <v>263532.595161089</v>
      </c>
      <c r="S85" s="34" t="n">
        <f aca="false">IF(Tables!$B$2=1,'Michigan Curve'!N85,IF(Tables!$B$2=2,'Michigan Curve'!O85,IF(Tables!$B$2=4,'Michigan Curve'!P85,IF(Tables!$B$2=5,'Michigan Curve'!Q85,IF(Tables!$B$2=3,'Michigan Curve'!R85,0)))))</f>
        <v>313329.685836269</v>
      </c>
    </row>
    <row r="86" customFormat="false" ht="12.75" hidden="false" customHeight="false" outlineLevel="0" collapsed="false">
      <c r="A86" s="21" t="n">
        <v>39356</v>
      </c>
      <c r="B86" s="22" t="n">
        <v>26.3499946594238</v>
      </c>
      <c r="C86" s="71" t="n">
        <v>19.996000289917</v>
      </c>
      <c r="D86" s="59" t="n">
        <v>18.9965000152588</v>
      </c>
      <c r="E86" s="26" t="n">
        <f aca="false">IF(VLOOKUP(MONTH(A86),SeasonTable,2,0)&lt;&gt;"Summer",VLOOKUP(MONTH(A86),ScalarTable,2,0),((0.059228/(B86/100))-(0.4980013/(SQRT(B86/100)))+2.137988))</f>
        <v>1</v>
      </c>
      <c r="F86" s="28" t="n">
        <f aca="false">+E86*B86</f>
        <v>26.3499946594238</v>
      </c>
      <c r="H86" s="72" t="n">
        <f aca="false">2-E86</f>
        <v>1</v>
      </c>
      <c r="I86" s="73" t="n">
        <f aca="false">B86*H86</f>
        <v>26.3499946594238</v>
      </c>
      <c r="J86" s="74" t="n">
        <f aca="false">C86*E86</f>
        <v>19.996000289917</v>
      </c>
      <c r="K86" s="75" t="n">
        <f aca="false">C86*H86</f>
        <v>19.996000289917</v>
      </c>
      <c r="L86" s="28" t="n">
        <f aca="false">D86*E86</f>
        <v>18.9965000152588</v>
      </c>
      <c r="N86" s="32" t="n">
        <v>26949.8534021252</v>
      </c>
      <c r="O86" s="32" t="n">
        <v>15030.6633900309</v>
      </c>
      <c r="P86" s="32" t="n">
        <v>36370.3860390392</v>
      </c>
      <c r="Q86" s="32" t="n">
        <v>26851.0738116321</v>
      </c>
      <c r="R86" s="32" t="n">
        <v>18607.4811994678</v>
      </c>
      <c r="S86" s="34" t="n">
        <f aca="false">IF(Tables!$B$2=1,'Michigan Curve'!N86,IF(Tables!$B$2=2,'Michigan Curve'!O86,IF(Tables!$B$2=4,'Michigan Curve'!P86,IF(Tables!$B$2=5,'Michigan Curve'!Q86,IF(Tables!$B$2=3,'Michigan Curve'!R86,0)))))</f>
        <v>26851.0738116321</v>
      </c>
    </row>
    <row r="87" customFormat="false" ht="12.75" hidden="false" customHeight="false" outlineLevel="0" collapsed="false">
      <c r="A87" s="21" t="n">
        <v>39387</v>
      </c>
      <c r="B87" s="22" t="n">
        <v>26.2299957275391</v>
      </c>
      <c r="C87" s="71" t="n">
        <v>20</v>
      </c>
      <c r="D87" s="59" t="n">
        <v>19</v>
      </c>
      <c r="E87" s="26" t="n">
        <f aca="false">IF(VLOOKUP(MONTH(A87),SeasonTable,2,0)&lt;&gt;"Summer",VLOOKUP(MONTH(A87),ScalarTable,2,0),((0.059228/(B87/100))-(0.4980013/(SQRT(B87/100)))+2.137988))</f>
        <v>1.08</v>
      </c>
      <c r="F87" s="28" t="n">
        <f aca="false">+E87*B87</f>
        <v>28.3283953857422</v>
      </c>
      <c r="H87" s="72" t="n">
        <f aca="false">2-E87</f>
        <v>0.92</v>
      </c>
      <c r="I87" s="73" t="n">
        <f aca="false">B87*H87</f>
        <v>24.1315960693359</v>
      </c>
      <c r="J87" s="74" t="n">
        <f aca="false">C87*E87</f>
        <v>21.6</v>
      </c>
      <c r="K87" s="75" t="n">
        <f aca="false">C87*H87</f>
        <v>18.4</v>
      </c>
      <c r="L87" s="28" t="n">
        <f aca="false">D87*E87</f>
        <v>20.52</v>
      </c>
      <c r="N87" s="32" t="n">
        <v>46777.1666636082</v>
      </c>
      <c r="O87" s="32" t="n">
        <v>26534.6869418169</v>
      </c>
      <c r="P87" s="32" t="n">
        <v>62915.8717021326</v>
      </c>
      <c r="Q87" s="32" t="n">
        <v>48106.5276055128</v>
      </c>
      <c r="R87" s="32" t="n">
        <v>37107.2464307602</v>
      </c>
      <c r="S87" s="34" t="n">
        <f aca="false">IF(Tables!$B$2=1,'Michigan Curve'!N87,IF(Tables!$B$2=2,'Michigan Curve'!O87,IF(Tables!$B$2=4,'Michigan Curve'!P87,IF(Tables!$B$2=5,'Michigan Curve'!Q87,IF(Tables!$B$2=3,'Michigan Curve'!R87,0)))))</f>
        <v>48106.5276055128</v>
      </c>
    </row>
    <row r="88" customFormat="false" ht="12.75" hidden="false" customHeight="false" outlineLevel="0" collapsed="false">
      <c r="A88" s="21" t="n">
        <v>39417</v>
      </c>
      <c r="B88" s="22" t="n">
        <v>26.6999950408936</v>
      </c>
      <c r="C88" s="71" t="n">
        <v>20</v>
      </c>
      <c r="D88" s="59" t="n">
        <v>19</v>
      </c>
      <c r="E88" s="26" t="n">
        <f aca="false">IF(VLOOKUP(MONTH(A88),SeasonTable,2,0)&lt;&gt;"Summer",VLOOKUP(MONTH(A88),ScalarTable,2,0),((0.059228/(B88/100))-(0.4980013/(SQRT(B88/100)))+2.137988))</f>
        <v>1.02</v>
      </c>
      <c r="F88" s="28" t="n">
        <f aca="false">+E88*B88</f>
        <v>27.2339949417114</v>
      </c>
      <c r="H88" s="72" t="n">
        <f aca="false">2-E88</f>
        <v>0.98</v>
      </c>
      <c r="I88" s="73" t="n">
        <f aca="false">B88*H88</f>
        <v>26.1659951400757</v>
      </c>
      <c r="J88" s="74" t="n">
        <f aca="false">C88*E88</f>
        <v>20.4</v>
      </c>
      <c r="K88" s="75" t="n">
        <f aca="false">C88*H88</f>
        <v>19.6</v>
      </c>
      <c r="L88" s="28" t="n">
        <f aca="false">D88*E88</f>
        <v>19.38</v>
      </c>
      <c r="N88" s="32" t="n">
        <v>27089.5942253161</v>
      </c>
      <c r="O88" s="32" t="n">
        <v>15243.2069481413</v>
      </c>
      <c r="P88" s="32" t="n">
        <v>36494.8642618183</v>
      </c>
      <c r="Q88" s="32" t="n">
        <v>27456.8030873137</v>
      </c>
      <c r="R88" s="32" t="n">
        <v>20363.926572695</v>
      </c>
      <c r="S88" s="34" t="n">
        <f aca="false">IF(Tables!$B$2=1,'Michigan Curve'!N88,IF(Tables!$B$2=2,'Michigan Curve'!O88,IF(Tables!$B$2=4,'Michigan Curve'!P88,IF(Tables!$B$2=5,'Michigan Curve'!Q88,IF(Tables!$B$2=3,'Michigan Curve'!R88,0)))))</f>
        <v>27456.8030873137</v>
      </c>
    </row>
    <row r="89" customFormat="false" ht="12.75" hidden="false" customHeight="false" outlineLevel="0" collapsed="false">
      <c r="A89" s="21" t="n">
        <v>39448</v>
      </c>
      <c r="B89" s="22" t="n">
        <v>32.2000003814697</v>
      </c>
      <c r="C89" s="71" t="n">
        <v>22</v>
      </c>
      <c r="D89" s="59" t="n">
        <v>21</v>
      </c>
      <c r="E89" s="26" t="n">
        <f aca="false">IF(VLOOKUP(MONTH(A89),SeasonTable,2,0)&lt;&gt;"Summer",VLOOKUP(MONTH(A89),ScalarTable,2,0),((0.059228/(B89/100))-(0.4980013/(SQRT(B89/100)))+2.137988))</f>
        <v>1.02</v>
      </c>
      <c r="F89" s="28" t="n">
        <f aca="false">+E89*B89</f>
        <v>32.8440003890991</v>
      </c>
      <c r="H89" s="72" t="n">
        <f aca="false">2-E89</f>
        <v>0.98</v>
      </c>
      <c r="I89" s="73" t="n">
        <f aca="false">B89*H89</f>
        <v>31.5560003738403</v>
      </c>
      <c r="J89" s="74" t="n">
        <f aca="false">C89*E89</f>
        <v>22.44</v>
      </c>
      <c r="K89" s="75" t="n">
        <f aca="false">C89*H89</f>
        <v>21.56</v>
      </c>
      <c r="L89" s="28" t="n">
        <f aca="false">D89*E89</f>
        <v>21.42</v>
      </c>
      <c r="N89" s="32" t="n">
        <v>43013.2580283284</v>
      </c>
      <c r="O89" s="32" t="n">
        <v>24062.5310235294</v>
      </c>
      <c r="P89" s="32" t="n">
        <v>58013.671465984</v>
      </c>
      <c r="Q89" s="32" t="n">
        <v>43070.5198190197</v>
      </c>
      <c r="R89" s="32" t="n">
        <v>31704.1106188617</v>
      </c>
      <c r="S89" s="34" t="n">
        <f aca="false">IF(Tables!$B$2=1,'Michigan Curve'!N89,IF(Tables!$B$2=2,'Michigan Curve'!O89,IF(Tables!$B$2=4,'Michigan Curve'!P89,IF(Tables!$B$2=5,'Michigan Curve'!Q89,IF(Tables!$B$2=3,'Michigan Curve'!R89,0)))))</f>
        <v>43070.5198190197</v>
      </c>
    </row>
    <row r="90" customFormat="false" ht="12.75" hidden="false" customHeight="false" outlineLevel="0" collapsed="false">
      <c r="A90" s="21" t="n">
        <v>39479</v>
      </c>
      <c r="B90" s="22" t="n">
        <v>32.1999984741211</v>
      </c>
      <c r="C90" s="71" t="n">
        <v>21.996000289917</v>
      </c>
      <c r="D90" s="59" t="n">
        <v>20.9965019226074</v>
      </c>
      <c r="E90" s="26" t="n">
        <f aca="false">IF(VLOOKUP(MONTH(A90),SeasonTable,2,0)&lt;&gt;"Summer",VLOOKUP(MONTH(A90),ScalarTable,2,0),((0.059228/(B90/100))-(0.4980013/(SQRT(B90/100)))+2.137988))</f>
        <v>1.02</v>
      </c>
      <c r="F90" s="28" t="n">
        <f aca="false">+E90*B90</f>
        <v>32.8439984436035</v>
      </c>
      <c r="H90" s="72" t="n">
        <f aca="false">2-E90</f>
        <v>0.98</v>
      </c>
      <c r="I90" s="73" t="n">
        <f aca="false">B90*H90</f>
        <v>31.5559985046387</v>
      </c>
      <c r="J90" s="74" t="n">
        <f aca="false">C90*E90</f>
        <v>22.4359202957153</v>
      </c>
      <c r="K90" s="75" t="n">
        <f aca="false">C90*H90</f>
        <v>21.5560802841187</v>
      </c>
      <c r="L90" s="28" t="n">
        <f aca="false">D90*E90</f>
        <v>21.4164319610596</v>
      </c>
      <c r="N90" s="32" t="n">
        <v>42208.5651003354</v>
      </c>
      <c r="O90" s="32" t="n">
        <v>23626.3330253151</v>
      </c>
      <c r="P90" s="32" t="n">
        <v>56921.6148405904</v>
      </c>
      <c r="Q90" s="32" t="n">
        <v>42310.9014816573</v>
      </c>
      <c r="R90" s="32" t="n">
        <v>31257.5987436942</v>
      </c>
      <c r="S90" s="34" t="n">
        <f aca="false">IF(Tables!$B$2=1,'Michigan Curve'!N90,IF(Tables!$B$2=2,'Michigan Curve'!O90,IF(Tables!$B$2=4,'Michigan Curve'!P90,IF(Tables!$B$2=5,'Michigan Curve'!Q90,IF(Tables!$B$2=3,'Michigan Curve'!R90,0)))))</f>
        <v>42310.9014816573</v>
      </c>
    </row>
    <row r="91" customFormat="false" ht="12.75" hidden="false" customHeight="false" outlineLevel="0" collapsed="false">
      <c r="A91" s="21" t="n">
        <v>39508</v>
      </c>
      <c r="B91" s="22" t="n">
        <v>27</v>
      </c>
      <c r="C91" s="71" t="n">
        <v>20</v>
      </c>
      <c r="D91" s="59" t="n">
        <v>19</v>
      </c>
      <c r="E91" s="26" t="n">
        <f aca="false">IF(VLOOKUP(MONTH(A91),SeasonTable,2,0)&lt;&gt;"Summer",VLOOKUP(MONTH(A91),ScalarTable,2,0),((0.059228/(B91/100))-(0.4980013/(SQRT(B91/100)))+2.137988))</f>
        <v>1.02</v>
      </c>
      <c r="F91" s="28" t="n">
        <f aca="false">+E91*B91</f>
        <v>27.54</v>
      </c>
      <c r="H91" s="72" t="n">
        <f aca="false">2-E91</f>
        <v>0.98</v>
      </c>
      <c r="I91" s="73" t="n">
        <f aca="false">B91*H91</f>
        <v>26.46</v>
      </c>
      <c r="J91" s="74" t="n">
        <f aca="false">C91*E91</f>
        <v>20.4</v>
      </c>
      <c r="K91" s="75" t="n">
        <f aca="false">C91*H91</f>
        <v>19.6</v>
      </c>
      <c r="L91" s="28" t="n">
        <f aca="false">D91*E91</f>
        <v>19.38</v>
      </c>
      <c r="N91" s="32" t="n">
        <v>9661.12495067177</v>
      </c>
      <c r="O91" s="32" t="n">
        <v>5271.36929911163</v>
      </c>
      <c r="P91" s="32" t="n">
        <v>13095.6566152895</v>
      </c>
      <c r="Q91" s="32" t="n">
        <v>9239.96006232065</v>
      </c>
      <c r="R91" s="32" t="n">
        <v>6086.12145055478</v>
      </c>
      <c r="S91" s="34" t="n">
        <f aca="false">IF(Tables!$B$2=1,'Michigan Curve'!N91,IF(Tables!$B$2=2,'Michigan Curve'!O91,IF(Tables!$B$2=4,'Michigan Curve'!P91,IF(Tables!$B$2=5,'Michigan Curve'!Q91,IF(Tables!$B$2=3,'Michigan Curve'!R91,0)))))</f>
        <v>9239.96006232065</v>
      </c>
    </row>
    <row r="92" customFormat="false" ht="12.75" hidden="false" customHeight="false" outlineLevel="0" collapsed="false">
      <c r="A92" s="21" t="n">
        <v>39539</v>
      </c>
      <c r="B92" s="22" t="n">
        <v>27.25</v>
      </c>
      <c r="C92" s="71" t="n">
        <v>20</v>
      </c>
      <c r="D92" s="59" t="n">
        <v>18.9950008392334</v>
      </c>
      <c r="E92" s="26" t="n">
        <f aca="false">IF(VLOOKUP(MONTH(A92),SeasonTable,2,0)&lt;&gt;"Summer",VLOOKUP(MONTH(A92),ScalarTable,2,0),((0.059228/(B92/100))-(0.4980013/(SQRT(B92/100)))+2.137988))</f>
        <v>1</v>
      </c>
      <c r="F92" s="28" t="n">
        <f aca="false">+E92*B92</f>
        <v>27.25</v>
      </c>
      <c r="H92" s="72" t="n">
        <f aca="false">2-E92</f>
        <v>1</v>
      </c>
      <c r="I92" s="73" t="n">
        <f aca="false">B92*H92</f>
        <v>27.25</v>
      </c>
      <c r="J92" s="74" t="n">
        <f aca="false">C92*E92</f>
        <v>20</v>
      </c>
      <c r="K92" s="75" t="n">
        <f aca="false">C92*H92</f>
        <v>20</v>
      </c>
      <c r="L92" s="28" t="n">
        <f aca="false">D92*E92</f>
        <v>18.9950008392334</v>
      </c>
      <c r="N92" s="32" t="n">
        <v>13465.1466185136</v>
      </c>
      <c r="O92" s="32" t="n">
        <v>7367.81525642029</v>
      </c>
      <c r="P92" s="32" t="n">
        <v>18241.4617832545</v>
      </c>
      <c r="Q92" s="32" t="n">
        <v>12942.5403421929</v>
      </c>
      <c r="R92" s="32" t="n">
        <v>8624.64777352921</v>
      </c>
      <c r="S92" s="34" t="n">
        <f aca="false">IF(Tables!$B$2=1,'Michigan Curve'!N92,IF(Tables!$B$2=2,'Michigan Curve'!O92,IF(Tables!$B$2=4,'Michigan Curve'!P92,IF(Tables!$B$2=5,'Michigan Curve'!Q92,IF(Tables!$B$2=3,'Michigan Curve'!R92,0)))))</f>
        <v>12942.5403421929</v>
      </c>
    </row>
    <row r="93" customFormat="false" ht="12.75" hidden="false" customHeight="false" outlineLevel="0" collapsed="false">
      <c r="A93" s="21" t="n">
        <v>39569</v>
      </c>
      <c r="B93" s="22" t="n">
        <v>31</v>
      </c>
      <c r="C93" s="71" t="n">
        <v>21</v>
      </c>
      <c r="D93" s="59" t="n">
        <v>20.0049991607666</v>
      </c>
      <c r="E93" s="26" t="n">
        <f aca="false">IF(VLOOKUP(MONTH(A93),SeasonTable,2,0)&lt;&gt;"Summer",VLOOKUP(MONTH(A93),ScalarTable,2,0),((0.059228/(B93/100))-(0.4980013/(SQRT(B93/100)))+2.137988))</f>
        <v>1.07625000178814</v>
      </c>
      <c r="F93" s="28" t="n">
        <f aca="false">+E93*B93</f>
        <v>33.3637500554323</v>
      </c>
      <c r="H93" s="72" t="n">
        <f aca="false">2-E93</f>
        <v>0.923749998211861</v>
      </c>
      <c r="I93" s="73" t="n">
        <f aca="false">B93*H93</f>
        <v>28.6362499445677</v>
      </c>
      <c r="J93" s="74" t="n">
        <f aca="false">C93*E93</f>
        <v>22.6012500375509</v>
      </c>
      <c r="K93" s="75" t="n">
        <f aca="false">C93*H93</f>
        <v>19.3987499624491</v>
      </c>
      <c r="L93" s="28" t="n">
        <f aca="false">D93*E93</f>
        <v>21.5303803825468</v>
      </c>
      <c r="N93" s="32" t="n">
        <v>33705.490843684</v>
      </c>
      <c r="O93" s="32" t="n">
        <v>18434.5397287348</v>
      </c>
      <c r="P93" s="32" t="n">
        <v>45662.7432296805</v>
      </c>
      <c r="Q93" s="32" t="n">
        <v>32329.5035669469</v>
      </c>
      <c r="R93" s="32" t="n">
        <v>20705.3920590407</v>
      </c>
      <c r="S93" s="34" t="n">
        <f aca="false">IF(Tables!$B$2=1,'Michigan Curve'!N93,IF(Tables!$B$2=2,'Michigan Curve'!O93,IF(Tables!$B$2=4,'Michigan Curve'!P93,IF(Tables!$B$2=5,'Michigan Curve'!Q93,IF(Tables!$B$2=3,'Michigan Curve'!R93,0)))))</f>
        <v>32329.5035669469</v>
      </c>
    </row>
    <row r="94" customFormat="false" ht="12.75" hidden="false" customHeight="false" outlineLevel="0" collapsed="false">
      <c r="A94" s="21" t="n">
        <v>39600</v>
      </c>
      <c r="B94" s="22" t="n">
        <v>49.25</v>
      </c>
      <c r="C94" s="71" t="n">
        <v>26</v>
      </c>
      <c r="D94" s="59" t="n">
        <v>24</v>
      </c>
      <c r="E94" s="26" t="n">
        <f aca="false">IF(VLOOKUP(MONTH(A94),SeasonTable,2,0)&lt;&gt;"Summer",VLOOKUP(MONTH(A94),ScalarTable,2,0),((0.059228/(B94/100))-(0.4980013/(SQRT(B94/100)))+2.137988))</f>
        <v>1.54862542817428</v>
      </c>
      <c r="F94" s="28" t="n">
        <f aca="false">+E94*B94</f>
        <v>76.2698023375832</v>
      </c>
      <c r="H94" s="72" t="n">
        <f aca="false">2-E94</f>
        <v>0.451374571825722</v>
      </c>
      <c r="I94" s="73" t="n">
        <f aca="false">B94*H94</f>
        <v>22.2301976624168</v>
      </c>
      <c r="J94" s="74" t="n">
        <f aca="false">C94*E94</f>
        <v>40.2642611325312</v>
      </c>
      <c r="K94" s="75" t="n">
        <f aca="false">C94*H94</f>
        <v>11.7357388674688</v>
      </c>
      <c r="L94" s="28" t="n">
        <f aca="false">D94*E94</f>
        <v>37.1670102761827</v>
      </c>
      <c r="N94" s="32" t="n">
        <v>106191.065983649</v>
      </c>
      <c r="O94" s="32" t="n">
        <v>63730.4500322669</v>
      </c>
      <c r="P94" s="32" t="n">
        <v>141282.258203946</v>
      </c>
      <c r="Q94" s="32" t="n">
        <v>121409.182297031</v>
      </c>
      <c r="R94" s="32" t="n">
        <v>126768.996693965</v>
      </c>
      <c r="S94" s="34" t="n">
        <f aca="false">IF(Tables!$B$2=1,'Michigan Curve'!N94,IF(Tables!$B$2=2,'Michigan Curve'!O94,IF(Tables!$B$2=4,'Michigan Curve'!P94,IF(Tables!$B$2=5,'Michigan Curve'!Q94,IF(Tables!$B$2=3,'Michigan Curve'!R94,0)))))</f>
        <v>121409.182297031</v>
      </c>
    </row>
    <row r="95" customFormat="false" ht="12.75" hidden="false" customHeight="false" outlineLevel="0" collapsed="false">
      <c r="A95" s="21" t="n">
        <v>39630</v>
      </c>
      <c r="B95" s="22" t="n">
        <v>80</v>
      </c>
      <c r="C95" s="71" t="n">
        <v>35</v>
      </c>
      <c r="D95" s="59" t="n">
        <v>30.9999980926514</v>
      </c>
      <c r="E95" s="26" t="n">
        <f aca="false">IF(VLOOKUP(MONTH(A95),SeasonTable,2,0)&lt;&gt;"Summer",VLOOKUP(MONTH(A95),ScalarTable,2,0),((0.059228/(B95/100))-(0.4980013/(SQRT(B95/100)))+2.137988))</f>
        <v>1.65524062015837</v>
      </c>
      <c r="F95" s="28" t="n">
        <f aca="false">+E95*B95</f>
        <v>132.419249612669</v>
      </c>
      <c r="H95" s="72" t="n">
        <f aca="false">2-E95</f>
        <v>0.344759379841633</v>
      </c>
      <c r="I95" s="73" t="n">
        <f aca="false">B95*H95</f>
        <v>27.5807503873306</v>
      </c>
      <c r="J95" s="74" t="n">
        <f aca="false">C95*E95</f>
        <v>57.9334217055428</v>
      </c>
      <c r="K95" s="75" t="n">
        <f aca="false">C95*H95</f>
        <v>12.0665782944572</v>
      </c>
      <c r="L95" s="28" t="n">
        <f aca="false">D95*E95</f>
        <v>51.3124560677884</v>
      </c>
      <c r="N95" s="32" t="n">
        <v>244593.565079186</v>
      </c>
      <c r="O95" s="32" t="n">
        <v>149247.899823354</v>
      </c>
      <c r="P95" s="32" t="n">
        <v>324262.372564507</v>
      </c>
      <c r="Q95" s="32" t="n">
        <v>287943.740309441</v>
      </c>
      <c r="R95" s="32" t="n">
        <v>318546.331548314</v>
      </c>
      <c r="S95" s="34" t="n">
        <f aca="false">IF(Tables!$B$2=1,'Michigan Curve'!N95,IF(Tables!$B$2=2,'Michigan Curve'!O95,IF(Tables!$B$2=4,'Michigan Curve'!P95,IF(Tables!$B$2=5,'Michigan Curve'!Q95,IF(Tables!$B$2=3,'Michigan Curve'!R95,0)))))</f>
        <v>287943.740309441</v>
      </c>
    </row>
    <row r="96" customFormat="false" ht="12.75" hidden="false" customHeight="false" outlineLevel="0" collapsed="false">
      <c r="A96" s="21" t="n">
        <v>39661</v>
      </c>
      <c r="B96" s="22" t="n">
        <v>80</v>
      </c>
      <c r="C96" s="71" t="n">
        <v>35.0000038146973</v>
      </c>
      <c r="D96" s="59" t="n">
        <v>31</v>
      </c>
      <c r="E96" s="26" t="n">
        <f aca="false">IF(VLOOKUP(MONTH(A96),SeasonTable,2,0)&lt;&gt;"Summer",VLOOKUP(MONTH(A96),ScalarTable,2,0),((0.059228/(B96/100))-(0.4980013/(SQRT(B96/100)))+2.137988))</f>
        <v>1.65524062015837</v>
      </c>
      <c r="F96" s="28" t="n">
        <f aca="false">+E96*B96</f>
        <v>132.419249612669</v>
      </c>
      <c r="H96" s="72" t="n">
        <f aca="false">2-E96</f>
        <v>0.344759379841633</v>
      </c>
      <c r="I96" s="73" t="n">
        <f aca="false">B96*H96</f>
        <v>27.5807503873306</v>
      </c>
      <c r="J96" s="74" t="n">
        <f aca="false">C96*E96</f>
        <v>57.9334280197847</v>
      </c>
      <c r="K96" s="75" t="n">
        <f aca="false">C96*H96</f>
        <v>12.0665796096098</v>
      </c>
      <c r="L96" s="28" t="n">
        <f aca="false">D96*E96</f>
        <v>51.3124592249094</v>
      </c>
      <c r="N96" s="32" t="n">
        <v>254615.101314162</v>
      </c>
      <c r="O96" s="32" t="n">
        <v>155738.159429343</v>
      </c>
      <c r="P96" s="32" t="n">
        <v>337380.349239671</v>
      </c>
      <c r="Q96" s="32" t="n">
        <v>301071.835401227</v>
      </c>
      <c r="R96" s="32" t="n">
        <v>336683.181802371</v>
      </c>
      <c r="S96" s="34" t="n">
        <f aca="false">IF(Tables!$B$2=1,'Michigan Curve'!N96,IF(Tables!$B$2=2,'Michigan Curve'!O96,IF(Tables!$B$2=4,'Michigan Curve'!P96,IF(Tables!$B$2=5,'Michigan Curve'!Q96,IF(Tables!$B$2=3,'Michigan Curve'!R96,0)))))</f>
        <v>301071.835401227</v>
      </c>
    </row>
    <row r="97" customFormat="false" ht="12.75" hidden="false" customHeight="false" outlineLevel="0" collapsed="false">
      <c r="A97" s="21" t="n">
        <v>39692</v>
      </c>
      <c r="B97" s="22" t="n">
        <v>33.75</v>
      </c>
      <c r="C97" s="71" t="n">
        <v>25</v>
      </c>
      <c r="D97" s="59" t="n">
        <v>24</v>
      </c>
      <c r="E97" s="26" t="n">
        <f aca="false">IF(VLOOKUP(MONTH(A97),SeasonTable,2,0)&lt;&gt;"Summer",VLOOKUP(MONTH(A97),ScalarTable,2,0),((0.059228/(B97/100))-(0.4980013/(SQRT(B97/100)))+2.137988))</f>
        <v>1.35124999284744</v>
      </c>
      <c r="F97" s="28" t="n">
        <f aca="false">+E97*B97</f>
        <v>45.6046872586012</v>
      </c>
      <c r="H97" s="72" t="n">
        <f aca="false">2-E97</f>
        <v>0.648750007152557</v>
      </c>
      <c r="I97" s="73" t="n">
        <f aca="false">B97*H97</f>
        <v>21.8953127413988</v>
      </c>
      <c r="J97" s="74" t="n">
        <f aca="false">C97*E97</f>
        <v>33.7812498211861</v>
      </c>
      <c r="K97" s="75" t="n">
        <f aca="false">C97*H97</f>
        <v>16.2187501788139</v>
      </c>
      <c r="L97" s="28" t="n">
        <f aca="false">D97*E97</f>
        <v>32.4299998283386</v>
      </c>
      <c r="N97" s="32" t="n">
        <v>214107.680047115</v>
      </c>
      <c r="O97" s="32" t="n">
        <v>120911.916479816</v>
      </c>
      <c r="P97" s="32" t="n">
        <v>288202.752228172</v>
      </c>
      <c r="Q97" s="32" t="n">
        <v>217876.894048022</v>
      </c>
      <c r="R97" s="32" t="n">
        <v>162144.102987638</v>
      </c>
      <c r="S97" s="34" t="n">
        <f aca="false">IF(Tables!$B$2=1,'Michigan Curve'!N97,IF(Tables!$B$2=2,'Michigan Curve'!O97,IF(Tables!$B$2=4,'Michigan Curve'!P97,IF(Tables!$B$2=5,'Michigan Curve'!Q97,IF(Tables!$B$2=3,'Michigan Curve'!R97,0)))))</f>
        <v>217876.894048022</v>
      </c>
    </row>
    <row r="98" customFormat="false" ht="12.75" hidden="false" customHeight="false" outlineLevel="0" collapsed="false">
      <c r="A98" s="21" t="n">
        <v>39722</v>
      </c>
      <c r="B98" s="22" t="n">
        <v>26.8499946594238</v>
      </c>
      <c r="C98" s="71" t="n">
        <v>19.996000289917</v>
      </c>
      <c r="D98" s="59" t="n">
        <v>18.9965000152588</v>
      </c>
      <c r="E98" s="26" t="n">
        <f aca="false">IF(VLOOKUP(MONTH(A98),SeasonTable,2,0)&lt;&gt;"Summer",VLOOKUP(MONTH(A98),ScalarTable,2,0),((0.059228/(B98/100))-(0.4980013/(SQRT(B98/100)))+2.137988))</f>
        <v>1</v>
      </c>
      <c r="F98" s="28" t="n">
        <f aca="false">+E98*B98</f>
        <v>26.8499946594238</v>
      </c>
      <c r="H98" s="72" t="n">
        <f aca="false">2-E98</f>
        <v>1</v>
      </c>
      <c r="I98" s="73" t="n">
        <f aca="false">B98*H98</f>
        <v>26.8499946594238</v>
      </c>
      <c r="J98" s="74" t="n">
        <f aca="false">C98*E98</f>
        <v>19.996000289917</v>
      </c>
      <c r="K98" s="75" t="n">
        <f aca="false">C98*H98</f>
        <v>19.996000289917</v>
      </c>
      <c r="L98" s="28" t="n">
        <f aca="false">D98*E98</f>
        <v>18.9965000152588</v>
      </c>
      <c r="N98" s="32" t="n">
        <v>4175.35148007271</v>
      </c>
      <c r="O98" s="32" t="n">
        <v>2194.28457710086</v>
      </c>
      <c r="P98" s="32" t="n">
        <v>5702.06044227896</v>
      </c>
      <c r="Q98" s="32" t="n">
        <v>3720.90685095633</v>
      </c>
      <c r="R98" s="32" t="n">
        <v>1965.78322437666</v>
      </c>
      <c r="S98" s="34" t="n">
        <f aca="false">IF(Tables!$B$2=1,'Michigan Curve'!N98,IF(Tables!$B$2=2,'Michigan Curve'!O98,IF(Tables!$B$2=4,'Michigan Curve'!P98,IF(Tables!$B$2=5,'Michigan Curve'!Q98,IF(Tables!$B$2=3,'Michigan Curve'!R98,0)))))</f>
        <v>3720.90685095633</v>
      </c>
    </row>
    <row r="99" customFormat="false" ht="12.75" hidden="false" customHeight="false" outlineLevel="0" collapsed="false">
      <c r="A99" s="21" t="n">
        <v>39753</v>
      </c>
      <c r="B99" s="22" t="n">
        <v>26.7299957275391</v>
      </c>
      <c r="C99" s="71" t="n">
        <v>20</v>
      </c>
      <c r="D99" s="59" t="n">
        <v>19</v>
      </c>
      <c r="E99" s="26" t="n">
        <f aca="false">IF(VLOOKUP(MONTH(A99),SeasonTable,2,0)&lt;&gt;"Summer",VLOOKUP(MONTH(A99),ScalarTable,2,0),((0.059228/(B99/100))-(0.4980013/(SQRT(B99/100)))+2.137988))</f>
        <v>1.08</v>
      </c>
      <c r="F99" s="28" t="n">
        <f aca="false">+E99*B99</f>
        <v>28.8683953857422</v>
      </c>
      <c r="H99" s="72" t="n">
        <f aca="false">2-E99</f>
        <v>0.92</v>
      </c>
      <c r="I99" s="73" t="n">
        <f aca="false">B99*H99</f>
        <v>24.5915960693359</v>
      </c>
      <c r="J99" s="74" t="n">
        <f aca="false">C99*E99</f>
        <v>21.6</v>
      </c>
      <c r="K99" s="75" t="n">
        <f aca="false">C99*H99</f>
        <v>18.4</v>
      </c>
      <c r="L99" s="28" t="n">
        <f aca="false">D99*E99</f>
        <v>20.52</v>
      </c>
      <c r="N99" s="32" t="n">
        <v>14428.6190167647</v>
      </c>
      <c r="O99" s="32" t="n">
        <v>7935.720062035</v>
      </c>
      <c r="P99" s="32" t="n">
        <v>19526.7146040714</v>
      </c>
      <c r="Q99" s="32" t="n">
        <v>14003.418388359</v>
      </c>
      <c r="R99" s="32" t="n">
        <v>9595.95963741574</v>
      </c>
      <c r="S99" s="34" t="n">
        <f aca="false">IF(Tables!$B$2=1,'Michigan Curve'!N99,IF(Tables!$B$2=2,'Michigan Curve'!O99,IF(Tables!$B$2=4,'Michigan Curve'!P99,IF(Tables!$B$2=5,'Michigan Curve'!Q99,IF(Tables!$B$2=3,'Michigan Curve'!R99,0)))))</f>
        <v>14003.418388359</v>
      </c>
    </row>
    <row r="100" customFormat="false" ht="12.75" hidden="false" customHeight="false" outlineLevel="0" collapsed="false">
      <c r="A100" s="21" t="n">
        <v>39783</v>
      </c>
      <c r="B100" s="22" t="n">
        <v>27.1999950408936</v>
      </c>
      <c r="C100" s="71" t="n">
        <v>20</v>
      </c>
      <c r="D100" s="59" t="n">
        <v>19</v>
      </c>
      <c r="E100" s="26" t="n">
        <f aca="false">IF(VLOOKUP(MONTH(A100),SeasonTable,2,0)&lt;&gt;"Summer",VLOOKUP(MONTH(A100),ScalarTable,2,0),((0.059228/(B100/100))-(0.4980013/(SQRT(B100/100)))+2.137988))</f>
        <v>1.02</v>
      </c>
      <c r="F100" s="28" t="n">
        <f aca="false">+E100*B100</f>
        <v>27.7439949417114</v>
      </c>
      <c r="H100" s="72" t="n">
        <f aca="false">2-E100</f>
        <v>0.98</v>
      </c>
      <c r="I100" s="73" t="n">
        <f aca="false">B100*H100</f>
        <v>26.6559951400757</v>
      </c>
      <c r="J100" s="74" t="n">
        <f aca="false">C100*E100</f>
        <v>20.4</v>
      </c>
      <c r="K100" s="75" t="n">
        <f aca="false">C100*H100</f>
        <v>19.6</v>
      </c>
      <c r="L100" s="28" t="n">
        <f aca="false">D100*E100</f>
        <v>19.38</v>
      </c>
      <c r="N100" s="32" t="n">
        <v>8487.12575668906</v>
      </c>
      <c r="O100" s="32" t="n">
        <v>4615.04826743536</v>
      </c>
      <c r="P100" s="32" t="n">
        <v>11512.1891284923</v>
      </c>
      <c r="Q100" s="32" t="n">
        <v>8068.92045981202</v>
      </c>
      <c r="R100" s="32" t="n">
        <v>5369.26990875083</v>
      </c>
      <c r="S100" s="34" t="n">
        <f aca="false">IF(Tables!$B$2=1,'Michigan Curve'!N100,IF(Tables!$B$2=2,'Michigan Curve'!O100,IF(Tables!$B$2=4,'Michigan Curve'!P100,IF(Tables!$B$2=5,'Michigan Curve'!Q100,IF(Tables!$B$2=3,'Michigan Curve'!R100,0)))))</f>
        <v>8068.92045981202</v>
      </c>
    </row>
    <row r="101" customFormat="false" ht="12.75" hidden="false" customHeight="false" outlineLevel="0" collapsed="false">
      <c r="A101" s="21" t="n">
        <v>39814</v>
      </c>
      <c r="B101" s="22" t="n">
        <v>32.7000003814697</v>
      </c>
      <c r="C101" s="71" t="n">
        <v>22</v>
      </c>
      <c r="D101" s="59" t="n">
        <v>21</v>
      </c>
      <c r="E101" s="26" t="n">
        <f aca="false">IF(VLOOKUP(MONTH(A101),SeasonTable,2,0)&lt;&gt;"Summer",VLOOKUP(MONTH(A101),ScalarTable,2,0),((0.059228/(B101/100))-(0.4980013/(SQRT(B101/100)))+2.137988))</f>
        <v>1.02</v>
      </c>
      <c r="F101" s="28" t="n">
        <f aca="false">+E101*B101</f>
        <v>33.3540003890991</v>
      </c>
      <c r="H101" s="72" t="n">
        <f aca="false">2-E101</f>
        <v>0.98</v>
      </c>
      <c r="I101" s="73" t="n">
        <f aca="false">B101*H101</f>
        <v>32.0460003738403</v>
      </c>
      <c r="J101" s="74" t="n">
        <f aca="false">C101*E101</f>
        <v>22.44</v>
      </c>
      <c r="K101" s="75" t="n">
        <f aca="false">C101*H101</f>
        <v>21.56</v>
      </c>
      <c r="L101" s="28" t="n">
        <f aca="false">D101*E101</f>
        <v>21.42</v>
      </c>
      <c r="N101" s="32" t="n">
        <v>37793.7124618772</v>
      </c>
      <c r="O101" s="32" t="n">
        <v>21092.7435773801</v>
      </c>
      <c r="P101" s="32" t="n">
        <v>50997.9493495036</v>
      </c>
      <c r="Q101" s="32" t="n">
        <v>37676.3208319755</v>
      </c>
      <c r="R101" s="32" t="n">
        <v>27755.1429966597</v>
      </c>
      <c r="S101" s="34" t="n">
        <f aca="false">IF(Tables!$B$2=1,'Michigan Curve'!N101,IF(Tables!$B$2=2,'Michigan Curve'!O101,IF(Tables!$B$2=4,'Michigan Curve'!P101,IF(Tables!$B$2=5,'Michigan Curve'!Q101,IF(Tables!$B$2=3,'Michigan Curve'!R101,0)))))</f>
        <v>37676.3208319755</v>
      </c>
    </row>
    <row r="102" customFormat="false" ht="12.75" hidden="false" customHeight="false" outlineLevel="0" collapsed="false">
      <c r="A102" s="21" t="n">
        <v>39845</v>
      </c>
      <c r="B102" s="22" t="n">
        <v>32.6999984741211</v>
      </c>
      <c r="C102" s="71" t="n">
        <v>21.996000289917</v>
      </c>
      <c r="D102" s="59" t="n">
        <v>20.9965019226074</v>
      </c>
      <c r="E102" s="26" t="n">
        <f aca="false">IF(VLOOKUP(MONTH(A102),SeasonTable,2,0)&lt;&gt;"Summer",VLOOKUP(MONTH(A102),ScalarTable,2,0),((0.059228/(B102/100))-(0.4980013/(SQRT(B102/100)))+2.137988))</f>
        <v>1.02</v>
      </c>
      <c r="F102" s="28" t="n">
        <f aca="false">+E102*B102</f>
        <v>33.3539984436035</v>
      </c>
      <c r="H102" s="72" t="n">
        <f aca="false">2-E102</f>
        <v>0.98</v>
      </c>
      <c r="I102" s="73" t="n">
        <f aca="false">B102*H102</f>
        <v>32.0459985046387</v>
      </c>
      <c r="J102" s="74" t="n">
        <f aca="false">C102*E102</f>
        <v>22.4359202957153</v>
      </c>
      <c r="K102" s="75" t="n">
        <f aca="false">C102*H102</f>
        <v>21.5560802841187</v>
      </c>
      <c r="L102" s="28" t="n">
        <f aca="false">D102*E102</f>
        <v>21.4164319610596</v>
      </c>
      <c r="N102" s="32" t="n">
        <v>36840.246657554</v>
      </c>
      <c r="O102" s="32" t="n">
        <v>20571.2724792395</v>
      </c>
      <c r="P102" s="32" t="n">
        <v>49706.2108284437</v>
      </c>
      <c r="Q102" s="32" t="n">
        <v>36761.0219839915</v>
      </c>
      <c r="R102" s="32" t="n">
        <v>27166.7151966429</v>
      </c>
      <c r="S102" s="34" t="n">
        <f aca="false">IF(Tables!$B$2=1,'Michigan Curve'!N102,IF(Tables!$B$2=2,'Michigan Curve'!O102,IF(Tables!$B$2=4,'Michigan Curve'!P102,IF(Tables!$B$2=5,'Michigan Curve'!Q102,IF(Tables!$B$2=3,'Michigan Curve'!R102,0)))))</f>
        <v>36761.0219839915</v>
      </c>
    </row>
    <row r="103" customFormat="false" ht="12.75" hidden="false" customHeight="false" outlineLevel="0" collapsed="false">
      <c r="A103" s="21" t="n">
        <v>39873</v>
      </c>
      <c r="B103" s="22" t="n">
        <v>27.5</v>
      </c>
      <c r="C103" s="71" t="n">
        <v>20</v>
      </c>
      <c r="D103" s="59" t="n">
        <v>19</v>
      </c>
      <c r="E103" s="26" t="n">
        <f aca="false">IF(VLOOKUP(MONTH(A103),SeasonTable,2,0)&lt;&gt;"Summer",VLOOKUP(MONTH(A103),ScalarTable,2,0),((0.059228/(B103/100))-(0.4980013/(SQRT(B103/100)))+2.137988))</f>
        <v>1.02</v>
      </c>
      <c r="F103" s="28" t="n">
        <f aca="false">+E103*B103</f>
        <v>28.05</v>
      </c>
      <c r="H103" s="72" t="n">
        <f aca="false">2-E103</f>
        <v>0.98</v>
      </c>
      <c r="I103" s="73" t="n">
        <f aca="false">B103*H103</f>
        <v>26.95</v>
      </c>
      <c r="J103" s="74" t="n">
        <f aca="false">C103*E103</f>
        <v>20.4</v>
      </c>
      <c r="K103" s="75" t="n">
        <f aca="false">C103*H103</f>
        <v>19.6</v>
      </c>
      <c r="L103" s="28" t="n">
        <f aca="false">D103*E103</f>
        <v>19.38</v>
      </c>
      <c r="N103" s="32" t="n">
        <v>8677.95061922743</v>
      </c>
      <c r="O103" s="32" t="n">
        <v>4716.08105290999</v>
      </c>
      <c r="P103" s="32" t="n">
        <v>11772.3601512597</v>
      </c>
      <c r="Q103" s="32" t="n">
        <v>8237.97529676286</v>
      </c>
      <c r="R103" s="32" t="n">
        <v>5446.07919706734</v>
      </c>
      <c r="S103" s="34" t="n">
        <f aca="false">IF(Tables!$B$2=1,'Michigan Curve'!N103,IF(Tables!$B$2=2,'Michigan Curve'!O103,IF(Tables!$B$2=4,'Michigan Curve'!P103,IF(Tables!$B$2=5,'Michigan Curve'!Q103,IF(Tables!$B$2=3,'Michigan Curve'!R103,0)))))</f>
        <v>8237.97529676286</v>
      </c>
    </row>
    <row r="104" customFormat="false" ht="12.75" hidden="false" customHeight="false" outlineLevel="0" collapsed="false">
      <c r="A104" s="21" t="n">
        <v>39904</v>
      </c>
      <c r="B104" s="22" t="n">
        <v>27.75</v>
      </c>
      <c r="C104" s="71" t="n">
        <v>20</v>
      </c>
      <c r="D104" s="59" t="n">
        <v>18.9950008392334</v>
      </c>
      <c r="E104" s="26" t="n">
        <f aca="false">IF(VLOOKUP(MONTH(A104),SeasonTable,2,0)&lt;&gt;"Summer",VLOOKUP(MONTH(A104),ScalarTable,2,0),((0.059228/(B104/100))-(0.4980013/(SQRT(B104/100)))+2.137988))</f>
        <v>1</v>
      </c>
      <c r="F104" s="28" t="n">
        <f aca="false">+E104*B104</f>
        <v>27.75</v>
      </c>
      <c r="H104" s="72" t="n">
        <f aca="false">2-E104</f>
        <v>1</v>
      </c>
      <c r="I104" s="73" t="n">
        <f aca="false">B104*H104</f>
        <v>27.75</v>
      </c>
      <c r="J104" s="74" t="n">
        <f aca="false">C104*E104</f>
        <v>20</v>
      </c>
      <c r="K104" s="75" t="n">
        <f aca="false">C104*H104</f>
        <v>20</v>
      </c>
      <c r="L104" s="28" t="n">
        <f aca="false">D104*E104</f>
        <v>18.9950008392334</v>
      </c>
      <c r="N104" s="32" t="n">
        <v>11078.5738769167</v>
      </c>
      <c r="O104" s="32" t="n">
        <v>6029.55650650491</v>
      </c>
      <c r="P104" s="32" t="n">
        <v>15024.4229839862</v>
      </c>
      <c r="Q104" s="32" t="n">
        <v>10543.0099283942</v>
      </c>
      <c r="R104" s="32" t="n">
        <v>6994.02508740789</v>
      </c>
      <c r="S104" s="34" t="n">
        <f aca="false">IF(Tables!$B$2=1,'Michigan Curve'!N104,IF(Tables!$B$2=2,'Michigan Curve'!O104,IF(Tables!$B$2=4,'Michigan Curve'!P104,IF(Tables!$B$2=5,'Michigan Curve'!Q104,IF(Tables!$B$2=3,'Michigan Curve'!R104,0)))))</f>
        <v>10543.0099283942</v>
      </c>
    </row>
    <row r="105" customFormat="false" ht="12.75" hidden="false" customHeight="false" outlineLevel="0" collapsed="false">
      <c r="A105" s="21" t="n">
        <v>39934</v>
      </c>
      <c r="B105" s="22" t="n">
        <v>31.5</v>
      </c>
      <c r="C105" s="71" t="n">
        <v>21</v>
      </c>
      <c r="D105" s="59" t="n">
        <v>20.0049991607666</v>
      </c>
      <c r="E105" s="26" t="n">
        <f aca="false">IF(VLOOKUP(MONTH(A105),SeasonTable,2,0)&lt;&gt;"Summer",VLOOKUP(MONTH(A105),ScalarTable,2,0),((0.059228/(B105/100))-(0.4980013/(SQRT(B105/100)))+2.137988))</f>
        <v>1.07625000178814</v>
      </c>
      <c r="F105" s="28" t="n">
        <f aca="false">+E105*B105</f>
        <v>33.9018750563264</v>
      </c>
      <c r="H105" s="72" t="n">
        <f aca="false">2-E105</f>
        <v>0.923749998211861</v>
      </c>
      <c r="I105" s="73" t="n">
        <f aca="false">B105*H105</f>
        <v>29.0981249436736</v>
      </c>
      <c r="J105" s="74" t="n">
        <f aca="false">C105*E105</f>
        <v>22.6012500375509</v>
      </c>
      <c r="K105" s="75" t="n">
        <f aca="false">C105*H105</f>
        <v>19.3987499624491</v>
      </c>
      <c r="L105" s="28" t="n">
        <f aca="false">D105*E105</f>
        <v>21.5303803825468</v>
      </c>
      <c r="N105" s="32" t="n">
        <v>25327.1304465524</v>
      </c>
      <c r="O105" s="32" t="n">
        <v>13728.8643243613</v>
      </c>
      <c r="P105" s="32" t="n">
        <v>34373.2444043412</v>
      </c>
      <c r="Q105" s="32" t="n">
        <v>23892.0169146468</v>
      </c>
      <c r="R105" s="32" t="n">
        <v>14859.0159395342</v>
      </c>
      <c r="S105" s="34" t="n">
        <f aca="false">IF(Tables!$B$2=1,'Michigan Curve'!N105,IF(Tables!$B$2=2,'Michigan Curve'!O105,IF(Tables!$B$2=4,'Michigan Curve'!P105,IF(Tables!$B$2=5,'Michigan Curve'!Q105,IF(Tables!$B$2=3,'Michigan Curve'!R105,0)))))</f>
        <v>23892.0169146468</v>
      </c>
    </row>
    <row r="106" customFormat="false" ht="12.75" hidden="false" customHeight="false" outlineLevel="0" collapsed="false">
      <c r="A106" s="21" t="n">
        <v>39965</v>
      </c>
      <c r="B106" s="22" t="n">
        <v>50.25</v>
      </c>
      <c r="C106" s="71" t="n">
        <v>26</v>
      </c>
      <c r="D106" s="59" t="n">
        <v>24</v>
      </c>
      <c r="E106" s="26" t="n">
        <f aca="false">IF(VLOOKUP(MONTH(A106),SeasonTable,2,0)&lt;&gt;"Summer",VLOOKUP(MONTH(A106),ScalarTable,2,0),((0.059228/(B106/100))-(0.4980013/(SQRT(B106/100)))+2.137988))</f>
        <v>1.5533285993729</v>
      </c>
      <c r="F106" s="28" t="n">
        <f aca="false">+E106*B106</f>
        <v>78.0547621184883</v>
      </c>
      <c r="H106" s="72" t="n">
        <f aca="false">2-E106</f>
        <v>0.446671400627098</v>
      </c>
      <c r="I106" s="73" t="n">
        <f aca="false">B106*H106</f>
        <v>22.4452378815117</v>
      </c>
      <c r="J106" s="74" t="n">
        <f aca="false">C106*E106</f>
        <v>40.3865435836954</v>
      </c>
      <c r="K106" s="75" t="n">
        <f aca="false">C106*H106</f>
        <v>11.6134564163046</v>
      </c>
      <c r="L106" s="28" t="n">
        <f aca="false">D106*E106</f>
        <v>37.2798863849496</v>
      </c>
      <c r="N106" s="32" t="n">
        <v>86388.4466872618</v>
      </c>
      <c r="O106" s="32" t="n">
        <v>51976.5771278304</v>
      </c>
      <c r="P106" s="32" t="n">
        <v>114885.956064276</v>
      </c>
      <c r="Q106" s="32" t="n">
        <v>99271.1184067261</v>
      </c>
      <c r="R106" s="32" t="n">
        <v>105784.597598025</v>
      </c>
      <c r="S106" s="34" t="n">
        <f aca="false">IF(Tables!$B$2=1,'Michigan Curve'!N106,IF(Tables!$B$2=2,'Michigan Curve'!O106,IF(Tables!$B$2=4,'Michigan Curve'!P106,IF(Tables!$B$2=5,'Michigan Curve'!Q106,IF(Tables!$B$2=3,'Michigan Curve'!R106,0)))))</f>
        <v>99271.1184067261</v>
      </c>
    </row>
    <row r="107" customFormat="false" ht="12.75" hidden="false" customHeight="false" outlineLevel="0" collapsed="false">
      <c r="A107" s="21" t="n">
        <v>39995</v>
      </c>
      <c r="B107" s="22" t="n">
        <v>83</v>
      </c>
      <c r="C107" s="71" t="n">
        <v>35</v>
      </c>
      <c r="D107" s="59" t="n">
        <v>30.9999980926514</v>
      </c>
      <c r="E107" s="26" t="n">
        <f aca="false">IF(VLOOKUP(MONTH(A107),SeasonTable,2,0)&lt;&gt;"Summer",VLOOKUP(MONTH(A107),ScalarTable,2,0),((0.059228/(B107/100))-(0.4980013/(SQRT(B107/100)))+2.137988))</f>
        <v>1.66271959446054</v>
      </c>
      <c r="F107" s="28" t="n">
        <f aca="false">+E107*B107</f>
        <v>138.005726340225</v>
      </c>
      <c r="H107" s="72" t="n">
        <f aca="false">2-E107</f>
        <v>0.337280405539459</v>
      </c>
      <c r="I107" s="73" t="n">
        <f aca="false">B107*H107</f>
        <v>27.9942736597751</v>
      </c>
      <c r="J107" s="74" t="n">
        <f aca="false">C107*E107</f>
        <v>58.1951858061189</v>
      </c>
      <c r="K107" s="75" t="n">
        <f aca="false">C107*H107</f>
        <v>11.8048141938811</v>
      </c>
      <c r="L107" s="28" t="n">
        <f aca="false">D107*E107</f>
        <v>51.5443042568908</v>
      </c>
      <c r="N107" s="32" t="n">
        <v>221202.818629053</v>
      </c>
      <c r="O107" s="32" t="n">
        <v>134885.805392797</v>
      </c>
      <c r="P107" s="32" t="n">
        <v>293297.037331224</v>
      </c>
      <c r="Q107" s="32" t="n">
        <v>260108.453418607</v>
      </c>
      <c r="R107" s="32" t="n">
        <v>287352.235276313</v>
      </c>
      <c r="S107" s="34" t="n">
        <f aca="false">IF(Tables!$B$2=1,'Michigan Curve'!N107,IF(Tables!$B$2=2,'Michigan Curve'!O107,IF(Tables!$B$2=4,'Michigan Curve'!P107,IF(Tables!$B$2=5,'Michigan Curve'!Q107,IF(Tables!$B$2=3,'Michigan Curve'!R107,0)))))</f>
        <v>260108.453418607</v>
      </c>
    </row>
    <row r="108" customFormat="false" ht="12.75" hidden="false" customHeight="false" outlineLevel="0" collapsed="false">
      <c r="A108" s="21" t="n">
        <v>40026</v>
      </c>
      <c r="B108" s="22" t="n">
        <v>83</v>
      </c>
      <c r="C108" s="71" t="n">
        <v>35.0000038146973</v>
      </c>
      <c r="D108" s="59" t="n">
        <v>31</v>
      </c>
      <c r="E108" s="26" t="n">
        <f aca="false">IF(VLOOKUP(MONTH(A108),SeasonTable,2,0)&lt;&gt;"Summer",VLOOKUP(MONTH(A108),ScalarTable,2,0),((0.059228/(B108/100))-(0.4980013/(SQRT(B108/100)))+2.137988))</f>
        <v>1.66271959446054</v>
      </c>
      <c r="F108" s="28" t="n">
        <f aca="false">+E108*B108</f>
        <v>138.005726340225</v>
      </c>
      <c r="H108" s="72" t="n">
        <f aca="false">2-E108</f>
        <v>0.337280405539459</v>
      </c>
      <c r="I108" s="73" t="n">
        <f aca="false">B108*H108</f>
        <v>27.9942736597751</v>
      </c>
      <c r="J108" s="74" t="n">
        <f aca="false">C108*E108</f>
        <v>58.1951921488908</v>
      </c>
      <c r="K108" s="75" t="n">
        <f aca="false">C108*H108</f>
        <v>11.8048154805037</v>
      </c>
      <c r="L108" s="28" t="n">
        <f aca="false">D108*E108</f>
        <v>51.5443074282768</v>
      </c>
      <c r="N108" s="32" t="n">
        <v>241131.77069338</v>
      </c>
      <c r="O108" s="32" t="n">
        <v>147755.080134836</v>
      </c>
      <c r="P108" s="32" t="n">
        <v>319400.494541216</v>
      </c>
      <c r="Q108" s="32" t="n">
        <v>286078.309034907</v>
      </c>
      <c r="R108" s="32" t="n">
        <v>320167.769375349</v>
      </c>
      <c r="S108" s="34" t="n">
        <f aca="false">IF(Tables!$B$2=1,'Michigan Curve'!N108,IF(Tables!$B$2=2,'Michigan Curve'!O108,IF(Tables!$B$2=4,'Michigan Curve'!P108,IF(Tables!$B$2=5,'Michigan Curve'!Q108,IF(Tables!$B$2=3,'Michigan Curve'!R108,0)))))</f>
        <v>286078.309034907</v>
      </c>
    </row>
    <row r="109" customFormat="false" ht="12.75" hidden="false" customHeight="false" outlineLevel="0" collapsed="false">
      <c r="A109" s="21" t="n">
        <v>40057</v>
      </c>
      <c r="B109" s="22" t="n">
        <v>34.25</v>
      </c>
      <c r="C109" s="71" t="n">
        <v>25</v>
      </c>
      <c r="D109" s="59" t="n">
        <v>24</v>
      </c>
      <c r="E109" s="26" t="n">
        <f aca="false">IF(VLOOKUP(MONTH(A109),SeasonTable,2,0)&lt;&gt;"Summer",VLOOKUP(MONTH(A109),ScalarTable,2,0),((0.059228/(B109/100))-(0.4980013/(SQRT(B109/100)))+2.137988))</f>
        <v>1.35124999284744</v>
      </c>
      <c r="F109" s="28" t="n">
        <f aca="false">+E109*B109</f>
        <v>46.2803122550249</v>
      </c>
      <c r="H109" s="72" t="n">
        <f aca="false">2-E109</f>
        <v>0.648750007152557</v>
      </c>
      <c r="I109" s="73" t="n">
        <f aca="false">B109*H109</f>
        <v>22.2196877449751</v>
      </c>
      <c r="J109" s="74" t="n">
        <f aca="false">C109*E109</f>
        <v>33.7812498211861</v>
      </c>
      <c r="K109" s="75" t="n">
        <f aca="false">C109*H109</f>
        <v>16.2187501788139</v>
      </c>
      <c r="L109" s="28" t="n">
        <f aca="false">D109*E109</f>
        <v>32.4299998283386</v>
      </c>
      <c r="N109" s="32" t="n">
        <v>190596.695124511</v>
      </c>
      <c r="O109" s="32" t="n">
        <v>106887.311648217</v>
      </c>
      <c r="P109" s="32" t="n">
        <v>256907.294999915</v>
      </c>
      <c r="Q109" s="32" t="n">
        <v>191419.907598978</v>
      </c>
      <c r="R109" s="32" t="n">
        <v>137833.323221438</v>
      </c>
      <c r="S109" s="34" t="n">
        <f aca="false">IF(Tables!$B$2=1,'Michigan Curve'!N109,IF(Tables!$B$2=2,'Michigan Curve'!O109,IF(Tables!$B$2=4,'Michigan Curve'!P109,IF(Tables!$B$2=5,'Michigan Curve'!Q109,IF(Tables!$B$2=3,'Michigan Curve'!R109,0)))))</f>
        <v>191419.907598978</v>
      </c>
    </row>
    <row r="110" customFormat="false" ht="12.75" hidden="false" customHeight="false" outlineLevel="0" collapsed="false">
      <c r="A110" s="21" t="n">
        <v>40087</v>
      </c>
      <c r="B110" s="22" t="n">
        <v>27.3499946594238</v>
      </c>
      <c r="C110" s="71" t="n">
        <v>19.996000289917</v>
      </c>
      <c r="D110" s="59" t="n">
        <v>18.9965000152588</v>
      </c>
      <c r="E110" s="26" t="n">
        <f aca="false">IF(VLOOKUP(MONTH(A110),SeasonTable,2,0)&lt;&gt;"Summer",VLOOKUP(MONTH(A110),ScalarTable,2,0),((0.059228/(B110/100))-(0.4980013/(SQRT(B110/100)))+2.137988))</f>
        <v>1</v>
      </c>
      <c r="F110" s="28" t="n">
        <f aca="false">+E110*B110</f>
        <v>27.3499946594238</v>
      </c>
      <c r="H110" s="72" t="n">
        <f aca="false">2-E110</f>
        <v>1</v>
      </c>
      <c r="I110" s="73" t="n">
        <f aca="false">B110*H110</f>
        <v>27.3499946594238</v>
      </c>
      <c r="J110" s="74" t="n">
        <f aca="false">C110*E110</f>
        <v>19.996000289917</v>
      </c>
      <c r="K110" s="75" t="n">
        <f aca="false">C110*H110</f>
        <v>19.996000289917</v>
      </c>
      <c r="L110" s="28" t="n">
        <f aca="false">D110*E110</f>
        <v>18.9965000152588</v>
      </c>
      <c r="N110" s="32" t="n">
        <v>2740.8168291719</v>
      </c>
      <c r="O110" s="32" t="n">
        <v>1424.45721838355</v>
      </c>
      <c r="P110" s="32" t="n">
        <v>3751.32622924503</v>
      </c>
      <c r="Q110" s="32" t="n">
        <v>2392.75662760281</v>
      </c>
      <c r="R110" s="32" t="n">
        <v>1239.98961329993</v>
      </c>
      <c r="S110" s="34" t="n">
        <f aca="false">IF(Tables!$B$2=1,'Michigan Curve'!N110,IF(Tables!$B$2=2,'Michigan Curve'!O110,IF(Tables!$B$2=4,'Michigan Curve'!P110,IF(Tables!$B$2=5,'Michigan Curve'!Q110,IF(Tables!$B$2=3,'Michigan Curve'!R110,0)))))</f>
        <v>2392.75662760281</v>
      </c>
    </row>
    <row r="111" customFormat="false" ht="12.75" hidden="false" customHeight="false" outlineLevel="0" collapsed="false">
      <c r="A111" s="21" t="n">
        <v>40118</v>
      </c>
      <c r="B111" s="22" t="n">
        <v>27.2299957275391</v>
      </c>
      <c r="C111" s="71" t="n">
        <v>20</v>
      </c>
      <c r="D111" s="59" t="n">
        <v>19</v>
      </c>
      <c r="E111" s="26" t="n">
        <f aca="false">IF(VLOOKUP(MONTH(A111),SeasonTable,2,0)&lt;&gt;"Summer",VLOOKUP(MONTH(A111),ScalarTable,2,0),((0.059228/(B111/100))-(0.4980013/(SQRT(B111/100)))+2.137988))</f>
        <v>1.08</v>
      </c>
      <c r="F111" s="28" t="n">
        <f aca="false">+E111*B111</f>
        <v>29.4083953857422</v>
      </c>
      <c r="H111" s="72" t="n">
        <f aca="false">2-E111</f>
        <v>0.92</v>
      </c>
      <c r="I111" s="73" t="n">
        <f aca="false">B111*H111</f>
        <v>25.0515960693359</v>
      </c>
      <c r="J111" s="74" t="n">
        <f aca="false">C111*E111</f>
        <v>21.6</v>
      </c>
      <c r="K111" s="75" t="n">
        <f aca="false">C111*H111</f>
        <v>18.4</v>
      </c>
      <c r="L111" s="28" t="n">
        <f aca="false">D111*E111</f>
        <v>20.52</v>
      </c>
      <c r="N111" s="32" t="n">
        <v>13263.6361704462</v>
      </c>
      <c r="O111" s="32" t="n">
        <v>7267.23161145456</v>
      </c>
      <c r="P111" s="32" t="n">
        <v>17963.7982746964</v>
      </c>
      <c r="Q111" s="32" t="n">
        <v>12781.4300778391</v>
      </c>
      <c r="R111" s="32" t="n">
        <v>8782.07290329683</v>
      </c>
      <c r="S111" s="34" t="n">
        <f aca="false">IF(Tables!$B$2=1,'Michigan Curve'!N111,IF(Tables!$B$2=2,'Michigan Curve'!O111,IF(Tables!$B$2=4,'Michigan Curve'!P111,IF(Tables!$B$2=5,'Michigan Curve'!Q111,IF(Tables!$B$2=3,'Michigan Curve'!R111,0)))))</f>
        <v>12781.4300778391</v>
      </c>
    </row>
    <row r="112" customFormat="false" ht="12.75" hidden="false" customHeight="false" outlineLevel="0" collapsed="false">
      <c r="A112" s="21" t="n">
        <v>40148</v>
      </c>
      <c r="B112" s="22" t="n">
        <v>27.6999950408936</v>
      </c>
      <c r="C112" s="71" t="n">
        <v>20</v>
      </c>
      <c r="D112" s="59" t="n">
        <v>19</v>
      </c>
      <c r="E112" s="26" t="n">
        <f aca="false">IF(VLOOKUP(MONTH(A112),SeasonTable,2,0)&lt;&gt;"Summer",VLOOKUP(MONTH(A112),ScalarTable,2,0),((0.059228/(B112/100))-(0.4980013/(SQRT(B112/100)))+2.137988))</f>
        <v>1.02</v>
      </c>
      <c r="F112" s="28" t="n">
        <f aca="false">+E112*B112</f>
        <v>28.2539949417114</v>
      </c>
      <c r="H112" s="72" t="n">
        <f aca="false">2-E112</f>
        <v>0.98</v>
      </c>
      <c r="I112" s="73" t="n">
        <f aca="false">B112*H112</f>
        <v>27.1459951400757</v>
      </c>
      <c r="J112" s="74" t="n">
        <f aca="false">C112*E112</f>
        <v>20.4</v>
      </c>
      <c r="K112" s="75" t="n">
        <f aca="false">C112*H112</f>
        <v>19.6</v>
      </c>
      <c r="L112" s="28" t="n">
        <f aca="false">D112*E112</f>
        <v>19.38</v>
      </c>
      <c r="N112" s="32" t="n">
        <v>7399.49873667191</v>
      </c>
      <c r="O112" s="32" t="n">
        <v>4008.27515203793</v>
      </c>
      <c r="P112" s="32" t="n">
        <v>10044.5759583198</v>
      </c>
      <c r="Q112" s="32" t="n">
        <v>6984.2971668156</v>
      </c>
      <c r="R112" s="32" t="n">
        <v>4687.05636595506</v>
      </c>
      <c r="S112" s="34" t="n">
        <f aca="false">IF(Tables!$B$2=1,'Michigan Curve'!N112,IF(Tables!$B$2=2,'Michigan Curve'!O112,IF(Tables!$B$2=4,'Michigan Curve'!P112,IF(Tables!$B$2=5,'Michigan Curve'!Q112,IF(Tables!$B$2=3,'Michigan Curve'!R112,0)))))</f>
        <v>6984.2971668156</v>
      </c>
    </row>
    <row r="113" customFormat="false" ht="12.75" hidden="false" customHeight="false" outlineLevel="0" collapsed="false">
      <c r="A113" s="21" t="n">
        <v>40179</v>
      </c>
      <c r="B113" s="22" t="n">
        <v>33.2000003814697</v>
      </c>
      <c r="C113" s="71" t="n">
        <v>22</v>
      </c>
      <c r="D113" s="59" t="n">
        <v>21</v>
      </c>
      <c r="E113" s="26" t="n">
        <f aca="false">IF(VLOOKUP(MONTH(A113),SeasonTable,2,0)&lt;&gt;"Summer",VLOOKUP(MONTH(A113),ScalarTable,2,0),((0.059228/(B113/100))-(0.4980013/(SQRT(B113/100)))+2.137988))</f>
        <v>1.02</v>
      </c>
      <c r="F113" s="28" t="n">
        <f aca="false">+E113*B113</f>
        <v>33.8640003890991</v>
      </c>
      <c r="H113" s="72" t="n">
        <f aca="false">2-E113</f>
        <v>0.98</v>
      </c>
      <c r="I113" s="73" t="n">
        <f aca="false">B113*H113</f>
        <v>32.5360003738403</v>
      </c>
      <c r="J113" s="74" t="n">
        <f aca="false">C113*E113</f>
        <v>22.44</v>
      </c>
      <c r="K113" s="75" t="n">
        <f aca="false">C113*H113</f>
        <v>21.56</v>
      </c>
      <c r="L113" s="28" t="n">
        <f aca="false">D113*E113</f>
        <v>21.42</v>
      </c>
      <c r="N113" s="32" t="n">
        <v>36821.8641724739</v>
      </c>
      <c r="O113" s="32" t="n">
        <v>20565.9897139754</v>
      </c>
      <c r="P113" s="32" t="n">
        <v>49679.0656541706</v>
      </c>
      <c r="Q113" s="32" t="n">
        <v>36758.0930692376</v>
      </c>
      <c r="R113" s="32" t="n">
        <v>27156.1470131838</v>
      </c>
      <c r="S113" s="34" t="n">
        <f aca="false">IF(Tables!$B$2=1,'Michigan Curve'!N113,IF(Tables!$B$2=2,'Michigan Curve'!O113,IF(Tables!$B$2=4,'Michigan Curve'!P113,IF(Tables!$B$2=5,'Michigan Curve'!Q113,IF(Tables!$B$2=3,'Michigan Curve'!R113,0)))))</f>
        <v>36758.0930692376</v>
      </c>
    </row>
    <row r="114" customFormat="false" ht="12.75" hidden="false" customHeight="false" outlineLevel="0" collapsed="false">
      <c r="A114" s="21" t="n">
        <v>40210</v>
      </c>
      <c r="B114" s="22" t="n">
        <v>33.1999984741211</v>
      </c>
      <c r="C114" s="71" t="n">
        <v>21.996000289917</v>
      </c>
      <c r="D114" s="59" t="n">
        <v>20.9965019226074</v>
      </c>
      <c r="E114" s="26" t="n">
        <f aca="false">IF(VLOOKUP(MONTH(A114),SeasonTable,2,0)&lt;&gt;"Summer",VLOOKUP(MONTH(A114),ScalarTable,2,0),((0.059228/(B114/100))-(0.4980013/(SQRT(B114/100)))+2.137988))</f>
        <v>1.02</v>
      </c>
      <c r="F114" s="28" t="n">
        <f aca="false">+E114*B114</f>
        <v>33.8639984436035</v>
      </c>
      <c r="H114" s="72" t="n">
        <f aca="false">2-E114</f>
        <v>0.98</v>
      </c>
      <c r="I114" s="73" t="n">
        <f aca="false">B114*H114</f>
        <v>32.5359985046387</v>
      </c>
      <c r="J114" s="74" t="n">
        <f aca="false">C114*E114</f>
        <v>22.4359202957153</v>
      </c>
      <c r="K114" s="75" t="n">
        <f aca="false">C114*H114</f>
        <v>21.5560802841187</v>
      </c>
      <c r="L114" s="28" t="n">
        <f aca="false">D114*E114</f>
        <v>21.4164319610596</v>
      </c>
      <c r="N114" s="32" t="n">
        <v>35366.6186713565</v>
      </c>
      <c r="O114" s="32" t="n">
        <v>19742.3587260823</v>
      </c>
      <c r="P114" s="32" t="n">
        <v>47720.9731095142</v>
      </c>
      <c r="Q114" s="32" t="n">
        <v>35269.9718491063</v>
      </c>
      <c r="R114" s="32" t="n">
        <v>25977.4345156435</v>
      </c>
      <c r="S114" s="34" t="n">
        <f aca="false">IF(Tables!$B$2=1,'Michigan Curve'!N114,IF(Tables!$B$2=2,'Michigan Curve'!O114,IF(Tables!$B$2=4,'Michigan Curve'!P114,IF(Tables!$B$2=5,'Michigan Curve'!Q114,IF(Tables!$B$2=3,'Michigan Curve'!R114,0)))))</f>
        <v>35269.9718491063</v>
      </c>
    </row>
    <row r="115" customFormat="false" ht="12.75" hidden="false" customHeight="false" outlineLevel="0" collapsed="false">
      <c r="A115" s="21" t="n">
        <v>40238</v>
      </c>
      <c r="B115" s="22" t="n">
        <v>28</v>
      </c>
      <c r="C115" s="71" t="n">
        <v>20</v>
      </c>
      <c r="D115" s="59" t="n">
        <v>19</v>
      </c>
      <c r="E115" s="26" t="n">
        <f aca="false">IF(VLOOKUP(MONTH(A115),SeasonTable,2,0)&lt;&gt;"Summer",VLOOKUP(MONTH(A115),ScalarTable,2,0),((0.059228/(B115/100))-(0.4980013/(SQRT(B115/100)))+2.137988))</f>
        <v>1.02</v>
      </c>
      <c r="F115" s="28" t="n">
        <f aca="false">+E115*B115</f>
        <v>28.56</v>
      </c>
      <c r="H115" s="72" t="n">
        <f aca="false">2-E115</f>
        <v>0.98</v>
      </c>
      <c r="I115" s="73" t="n">
        <f aca="false">B115*H115</f>
        <v>27.44</v>
      </c>
      <c r="J115" s="74" t="n">
        <f aca="false">C115*E115</f>
        <v>20.4</v>
      </c>
      <c r="K115" s="75" t="n">
        <f aca="false">C115*H115</f>
        <v>19.6</v>
      </c>
      <c r="L115" s="28" t="n">
        <f aca="false">D115*E115</f>
        <v>19.38</v>
      </c>
      <c r="N115" s="32" t="n">
        <v>8824.2458747143</v>
      </c>
      <c r="O115" s="32" t="n">
        <v>4796.85338538513</v>
      </c>
      <c r="P115" s="32" t="n">
        <v>11970.2230893638</v>
      </c>
      <c r="Q115" s="32" t="n">
        <v>8380.51903005806</v>
      </c>
      <c r="R115" s="32" t="n">
        <v>5526.35685951297</v>
      </c>
      <c r="S115" s="34" t="n">
        <f aca="false">IF(Tables!$B$2=1,'Michigan Curve'!N115,IF(Tables!$B$2=2,'Michigan Curve'!O115,IF(Tables!$B$2=4,'Michigan Curve'!P115,IF(Tables!$B$2=5,'Michigan Curve'!Q115,IF(Tables!$B$2=3,'Michigan Curve'!R115,0)))))</f>
        <v>8380.51903005806</v>
      </c>
    </row>
    <row r="116" customFormat="false" ht="12.75" hidden="false" customHeight="false" outlineLevel="0" collapsed="false">
      <c r="A116" s="21" t="n">
        <v>40269</v>
      </c>
      <c r="B116" s="22" t="n">
        <v>28.25</v>
      </c>
      <c r="C116" s="71" t="n">
        <v>20</v>
      </c>
      <c r="D116" s="59" t="n">
        <v>18.9950008392334</v>
      </c>
      <c r="E116" s="26" t="n">
        <f aca="false">IF(VLOOKUP(MONTH(A116),SeasonTable,2,0)&lt;&gt;"Summer",VLOOKUP(MONTH(A116),ScalarTable,2,0),((0.059228/(B116/100))-(0.4980013/(SQRT(B116/100)))+2.137988))</f>
        <v>1</v>
      </c>
      <c r="F116" s="28" t="n">
        <f aca="false">+E116*B116</f>
        <v>28.25</v>
      </c>
      <c r="H116" s="72" t="n">
        <f aca="false">2-E116</f>
        <v>1</v>
      </c>
      <c r="I116" s="73" t="n">
        <f aca="false">B116*H116</f>
        <v>28.25</v>
      </c>
      <c r="J116" s="74" t="n">
        <f aca="false">C116*E116</f>
        <v>20</v>
      </c>
      <c r="K116" s="75" t="n">
        <f aca="false">C116*H116</f>
        <v>20</v>
      </c>
      <c r="L116" s="28" t="n">
        <f aca="false">D116*E116</f>
        <v>18.9950008392334</v>
      </c>
      <c r="N116" s="32" t="n">
        <v>10575.0721796494</v>
      </c>
      <c r="O116" s="32" t="n">
        <v>5755.29367739877</v>
      </c>
      <c r="P116" s="32" t="n">
        <v>14341.7539090642</v>
      </c>
      <c r="Q116" s="32" t="n">
        <v>10062.8397096581</v>
      </c>
      <c r="R116" s="32" t="n">
        <v>6646.62037348136</v>
      </c>
      <c r="S116" s="34" t="n">
        <f aca="false">IF(Tables!$B$2=1,'Michigan Curve'!N116,IF(Tables!$B$2=2,'Michigan Curve'!O116,IF(Tables!$B$2=4,'Michigan Curve'!P116,IF(Tables!$B$2=5,'Michigan Curve'!Q116,IF(Tables!$B$2=3,'Michigan Curve'!R116,0)))))</f>
        <v>10062.8397096581</v>
      </c>
    </row>
    <row r="117" customFormat="false" ht="12.75" hidden="false" customHeight="false" outlineLevel="0" collapsed="false">
      <c r="A117" s="21" t="n">
        <v>40299</v>
      </c>
      <c r="B117" s="22" t="n">
        <v>32</v>
      </c>
      <c r="C117" s="71" t="n">
        <v>21</v>
      </c>
      <c r="D117" s="59" t="n">
        <v>20.0049991607666</v>
      </c>
      <c r="E117" s="26" t="n">
        <f aca="false">IF(VLOOKUP(MONTH(A117),SeasonTable,2,0)&lt;&gt;"Summer",VLOOKUP(MONTH(A117),ScalarTable,2,0),((0.059228/(B117/100))-(0.4980013/(SQRT(B117/100)))+2.137988))</f>
        <v>1.07625000178814</v>
      </c>
      <c r="F117" s="28" t="n">
        <f aca="false">+E117*B117</f>
        <v>34.4400000572205</v>
      </c>
      <c r="H117" s="72" t="n">
        <f aca="false">2-E117</f>
        <v>0.923749998211861</v>
      </c>
      <c r="I117" s="73" t="n">
        <f aca="false">B117*H117</f>
        <v>29.5599999427795</v>
      </c>
      <c r="J117" s="74" t="n">
        <f aca="false">C117*E117</f>
        <v>22.6012500375509</v>
      </c>
      <c r="K117" s="75" t="n">
        <f aca="false">C117*H117</f>
        <v>19.3987499624491</v>
      </c>
      <c r="L117" s="28" t="n">
        <f aca="false">D117*E117</f>
        <v>21.5303803825468</v>
      </c>
      <c r="N117" s="32" t="n">
        <v>23131.7816752037</v>
      </c>
      <c r="O117" s="32" t="n">
        <v>12522.8260811483</v>
      </c>
      <c r="P117" s="32" t="n">
        <v>31401.976732747</v>
      </c>
      <c r="Q117" s="32" t="n">
        <v>21770.2291481299</v>
      </c>
      <c r="R117" s="32" t="n">
        <v>13398.5601444166</v>
      </c>
      <c r="S117" s="34" t="n">
        <f aca="false">IF(Tables!$B$2=1,'Michigan Curve'!N117,IF(Tables!$B$2=2,'Michigan Curve'!O117,IF(Tables!$B$2=4,'Michigan Curve'!P117,IF(Tables!$B$2=5,'Michigan Curve'!Q117,IF(Tables!$B$2=3,'Michigan Curve'!R117,0)))))</f>
        <v>21770.2291481299</v>
      </c>
    </row>
    <row r="118" customFormat="false" ht="12.75" hidden="false" customHeight="false" outlineLevel="0" collapsed="false">
      <c r="A118" s="21" t="n">
        <v>40330</v>
      </c>
      <c r="B118" s="22" t="n">
        <v>51.25</v>
      </c>
      <c r="C118" s="71" t="n">
        <v>26</v>
      </c>
      <c r="D118" s="59" t="n">
        <v>24</v>
      </c>
      <c r="E118" s="26" t="n">
        <f aca="false">IF(VLOOKUP(MONTH(A118),SeasonTable,2,0)&lt;&gt;"Summer",VLOOKUP(MONTH(A118),ScalarTable,2,0),((0.059228/(B118/100))-(0.4980013/(SQRT(B118/100)))+2.137988))</f>
        <v>1.55791643876302</v>
      </c>
      <c r="F118" s="28" t="n">
        <f aca="false">+E118*B118</f>
        <v>79.843217486605</v>
      </c>
      <c r="H118" s="72" t="n">
        <f aca="false">2-E118</f>
        <v>0.442083561236976</v>
      </c>
      <c r="I118" s="73" t="n">
        <f aca="false">B118*H118</f>
        <v>22.656782513395</v>
      </c>
      <c r="J118" s="74" t="n">
        <f aca="false">C118*E118</f>
        <v>40.5058274078386</v>
      </c>
      <c r="K118" s="75" t="n">
        <f aca="false">C118*H118</f>
        <v>11.4941725921614</v>
      </c>
      <c r="L118" s="28" t="n">
        <f aca="false">D118*E118</f>
        <v>37.3899945303126</v>
      </c>
      <c r="N118" s="32" t="n">
        <v>88544.7774701663</v>
      </c>
      <c r="O118" s="32" t="n">
        <v>53670.873308945</v>
      </c>
      <c r="P118" s="32" t="n">
        <v>117578.886272541</v>
      </c>
      <c r="Q118" s="32" t="n">
        <v>103169.650314326</v>
      </c>
      <c r="R118" s="32" t="n">
        <v>113860.166437892</v>
      </c>
      <c r="S118" s="34" t="n">
        <f aca="false">IF(Tables!$B$2=1,'Michigan Curve'!N118,IF(Tables!$B$2=2,'Michigan Curve'!O118,IF(Tables!$B$2=4,'Michigan Curve'!P118,IF(Tables!$B$2=5,'Michigan Curve'!Q118,IF(Tables!$B$2=3,'Michigan Curve'!R118,0)))))</f>
        <v>103169.650314326</v>
      </c>
    </row>
    <row r="119" customFormat="false" ht="12.75" hidden="false" customHeight="false" outlineLevel="0" collapsed="false">
      <c r="A119" s="21" t="n">
        <v>40360</v>
      </c>
      <c r="B119" s="22" t="n">
        <v>86</v>
      </c>
      <c r="C119" s="71" t="n">
        <v>35</v>
      </c>
      <c r="D119" s="59" t="n">
        <v>30.9999980926514</v>
      </c>
      <c r="E119" s="26" t="n">
        <f aca="false">IF(VLOOKUP(MONTH(A119),SeasonTable,2,0)&lt;&gt;"Summer",VLOOKUP(MONTH(A119),ScalarTable,2,0),((0.059228/(B119/100))-(0.4980013/(SQRT(B119/100)))+2.137988))</f>
        <v>1.66984915506269</v>
      </c>
      <c r="F119" s="28" t="n">
        <f aca="false">+E119*B119</f>
        <v>143.607027335391</v>
      </c>
      <c r="H119" s="72" t="n">
        <f aca="false">2-E119</f>
        <v>0.330150844937315</v>
      </c>
      <c r="I119" s="73" t="n">
        <f aca="false">B119*H119</f>
        <v>28.392972664609</v>
      </c>
      <c r="J119" s="74" t="n">
        <f aca="false">C119*E119</f>
        <v>58.444720427194</v>
      </c>
      <c r="K119" s="75" t="n">
        <f aca="false">C119*H119</f>
        <v>11.555279572806</v>
      </c>
      <c r="L119" s="28" t="n">
        <f aca="false">D119*E119</f>
        <v>51.7653206219588</v>
      </c>
      <c r="N119" s="32" t="n">
        <v>257576.045704527</v>
      </c>
      <c r="O119" s="32" t="n">
        <v>158074.365051987</v>
      </c>
      <c r="P119" s="32" t="n">
        <v>341071.703644488</v>
      </c>
      <c r="Q119" s="32" t="n">
        <v>306449.057396988</v>
      </c>
      <c r="R119" s="32" t="n">
        <v>325388.086201878</v>
      </c>
      <c r="S119" s="34" t="n">
        <f aca="false">IF(Tables!$B$2=1,'Michigan Curve'!N119,IF(Tables!$B$2=2,'Michigan Curve'!O119,IF(Tables!$B$2=4,'Michigan Curve'!P119,IF(Tables!$B$2=5,'Michigan Curve'!Q119,IF(Tables!$B$2=3,'Michigan Curve'!R119,0)))))</f>
        <v>306449.057396988</v>
      </c>
    </row>
    <row r="120" customFormat="false" ht="12.75" hidden="false" customHeight="false" outlineLevel="0" collapsed="false">
      <c r="A120" s="21" t="n">
        <v>40391</v>
      </c>
      <c r="B120" s="22" t="n">
        <v>86</v>
      </c>
      <c r="C120" s="71" t="n">
        <v>35.0000038146973</v>
      </c>
      <c r="D120" s="59" t="n">
        <v>31</v>
      </c>
      <c r="E120" s="26" t="n">
        <f aca="false">IF(VLOOKUP(MONTH(A120),SeasonTable,2,0)&lt;&gt;"Summer",VLOOKUP(MONTH(A120),ScalarTable,2,0),((0.059228/(B120/100))-(0.4980013/(SQRT(B120/100)))+2.137988))</f>
        <v>1.66984915506269</v>
      </c>
      <c r="F120" s="28" t="n">
        <f aca="false">+E120*B120</f>
        <v>143.607027335391</v>
      </c>
      <c r="H120" s="72" t="n">
        <f aca="false">2-E120</f>
        <v>0.330150844937315</v>
      </c>
      <c r="I120" s="73" t="n">
        <f aca="false">B120*H120</f>
        <v>28.392972664609</v>
      </c>
      <c r="J120" s="74" t="n">
        <f aca="false">C120*E120</f>
        <v>58.444726797163</v>
      </c>
      <c r="K120" s="75" t="n">
        <f aca="false">C120*H120</f>
        <v>11.5552808322315</v>
      </c>
      <c r="L120" s="28" t="n">
        <f aca="false">D120*E120</f>
        <v>51.7653238069433</v>
      </c>
      <c r="N120" s="32" t="n">
        <v>249477.889215947</v>
      </c>
      <c r="O120" s="32" t="n">
        <v>152842.54060082</v>
      </c>
      <c r="P120" s="32" t="n">
        <v>330465.357674348</v>
      </c>
      <c r="Q120" s="32" t="n">
        <v>295892.336272388</v>
      </c>
      <c r="R120" s="32" t="n">
        <v>308726.161176967</v>
      </c>
      <c r="S120" s="34" t="n">
        <f aca="false">IF(Tables!$B$2=1,'Michigan Curve'!N120,IF(Tables!$B$2=2,'Michigan Curve'!O120,IF(Tables!$B$2=4,'Michigan Curve'!P120,IF(Tables!$B$2=5,'Michigan Curve'!Q120,IF(Tables!$B$2=3,'Michigan Curve'!R120,0)))))</f>
        <v>295892.336272388</v>
      </c>
    </row>
    <row r="121" customFormat="false" ht="12.75" hidden="false" customHeight="false" outlineLevel="0" collapsed="false">
      <c r="A121" s="21" t="n">
        <v>40422</v>
      </c>
      <c r="B121" s="22" t="n">
        <v>34.75</v>
      </c>
      <c r="C121" s="71" t="n">
        <v>25</v>
      </c>
      <c r="D121" s="59" t="n">
        <v>24</v>
      </c>
      <c r="E121" s="26" t="n">
        <f aca="false">IF(VLOOKUP(MONTH(A121),SeasonTable,2,0)&lt;&gt;"Summer",VLOOKUP(MONTH(A121),ScalarTable,2,0),((0.059228/(B121/100))-(0.4980013/(SQRT(B121/100)))+2.137988))</f>
        <v>1.35124999284744</v>
      </c>
      <c r="F121" s="28" t="n">
        <f aca="false">+E121*B121</f>
        <v>46.9559372514486</v>
      </c>
      <c r="H121" s="72" t="n">
        <f aca="false">2-E121</f>
        <v>0.648750007152557</v>
      </c>
      <c r="I121" s="73" t="n">
        <f aca="false">B121*H121</f>
        <v>22.5440627485514</v>
      </c>
      <c r="J121" s="74" t="n">
        <f aca="false">C121*E121</f>
        <v>33.7812498211861</v>
      </c>
      <c r="K121" s="75" t="n">
        <f aca="false">C121*H121</f>
        <v>16.2187501788139</v>
      </c>
      <c r="L121" s="28" t="n">
        <f aca="false">D121*E121</f>
        <v>32.4299998283386</v>
      </c>
      <c r="N121" s="32" t="n">
        <v>176171.470247215</v>
      </c>
      <c r="O121" s="32" t="n">
        <v>98577.1820242262</v>
      </c>
      <c r="P121" s="32" t="n">
        <v>237569.95822104</v>
      </c>
      <c r="Q121" s="32" t="n">
        <v>176202.184306397</v>
      </c>
      <c r="R121" s="32" t="n">
        <v>125043.064439509</v>
      </c>
      <c r="S121" s="34" t="n">
        <f aca="false">IF(Tables!$B$2=1,'Michigan Curve'!N121,IF(Tables!$B$2=2,'Michigan Curve'!O121,IF(Tables!$B$2=4,'Michigan Curve'!P121,IF(Tables!$B$2=5,'Michigan Curve'!Q121,IF(Tables!$B$2=3,'Michigan Curve'!R121,0)))))</f>
        <v>176202.184306397</v>
      </c>
    </row>
    <row r="122" customFormat="false" ht="12.75" hidden="false" customHeight="false" outlineLevel="0" collapsed="false">
      <c r="A122" s="21" t="n">
        <v>40452</v>
      </c>
      <c r="B122" s="22" t="n">
        <v>27.8499946594238</v>
      </c>
      <c r="C122" s="71" t="n">
        <v>19.996000289917</v>
      </c>
      <c r="D122" s="59" t="n">
        <v>18.9965000152588</v>
      </c>
      <c r="E122" s="26" t="n">
        <f aca="false">IF(VLOOKUP(MONTH(A122),SeasonTable,2,0)&lt;&gt;"Summer",VLOOKUP(MONTH(A122),ScalarTable,2,0),((0.059228/(B122/100))-(0.4980013/(SQRT(B122/100)))+2.137988))</f>
        <v>1</v>
      </c>
      <c r="F122" s="28" t="n">
        <f aca="false">+E122*B122</f>
        <v>27.8499946594238</v>
      </c>
      <c r="H122" s="72" t="n">
        <f aca="false">2-E122</f>
        <v>1</v>
      </c>
      <c r="I122" s="73" t="n">
        <f aca="false">B122*H122</f>
        <v>27.8499946594238</v>
      </c>
      <c r="J122" s="74" t="n">
        <f aca="false">C122*E122</f>
        <v>19.996000289917</v>
      </c>
      <c r="K122" s="75" t="n">
        <f aca="false">C122*H122</f>
        <v>19.996000289917</v>
      </c>
      <c r="L122" s="28" t="n">
        <f aca="false">D122*E122</f>
        <v>18.9965000152588</v>
      </c>
      <c r="N122" s="32" t="n">
        <v>2432.90580780528</v>
      </c>
      <c r="O122" s="32" t="n">
        <v>1264.13492562623</v>
      </c>
      <c r="P122" s="32" t="n">
        <v>3330.06500648902</v>
      </c>
      <c r="Q122" s="32" t="n">
        <v>2123.0102728241</v>
      </c>
      <c r="R122" s="32" t="n">
        <v>1090.81655165479</v>
      </c>
      <c r="S122" s="34" t="n">
        <f aca="false">IF(Tables!$B$2=1,'Michigan Curve'!N122,IF(Tables!$B$2=2,'Michigan Curve'!O122,IF(Tables!$B$2=4,'Michigan Curve'!P122,IF(Tables!$B$2=5,'Michigan Curve'!Q122,IF(Tables!$B$2=3,'Michigan Curve'!R122,0)))))</f>
        <v>2123.0102728241</v>
      </c>
    </row>
    <row r="123" customFormat="false" ht="12.75" hidden="false" customHeight="false" outlineLevel="0" collapsed="false">
      <c r="A123" s="21" t="n">
        <v>40483</v>
      </c>
      <c r="B123" s="22" t="n">
        <v>27.7299957275391</v>
      </c>
      <c r="C123" s="71" t="n">
        <v>20</v>
      </c>
      <c r="D123" s="59" t="n">
        <v>19</v>
      </c>
      <c r="E123" s="26" t="n">
        <f aca="false">IF(VLOOKUP(MONTH(A123),SeasonTable,2,0)&lt;&gt;"Summer",VLOOKUP(MONTH(A123),ScalarTable,2,0),((0.059228/(B123/100))-(0.4980013/(SQRT(B123/100)))+2.137988))</f>
        <v>1.08</v>
      </c>
      <c r="F123" s="28" t="n">
        <f aca="false">+E123*B123</f>
        <v>29.9483953857422</v>
      </c>
      <c r="H123" s="72" t="n">
        <f aca="false">2-E123</f>
        <v>0.92</v>
      </c>
      <c r="I123" s="73" t="n">
        <f aca="false">B123*H123</f>
        <v>25.5115960693359</v>
      </c>
      <c r="J123" s="74" t="n">
        <f aca="false">C123*E123</f>
        <v>21.6</v>
      </c>
      <c r="K123" s="75" t="n">
        <f aca="false">C123*H123</f>
        <v>18.4</v>
      </c>
      <c r="L123" s="28" t="n">
        <f aca="false">D123*E123</f>
        <v>20.52</v>
      </c>
      <c r="N123" s="32" t="n">
        <v>13518.6684817456</v>
      </c>
      <c r="O123" s="32" t="n">
        <v>7407.15584699851</v>
      </c>
      <c r="P123" s="32" t="n">
        <v>18309.1576289156</v>
      </c>
      <c r="Q123" s="32" t="n">
        <v>13027.178941725</v>
      </c>
      <c r="R123" s="32" t="n">
        <v>8916.28473410114</v>
      </c>
      <c r="S123" s="34" t="n">
        <f aca="false">IF(Tables!$B$2=1,'Michigan Curve'!N123,IF(Tables!$B$2=2,'Michigan Curve'!O123,IF(Tables!$B$2=4,'Michigan Curve'!P123,IF(Tables!$B$2=5,'Michigan Curve'!Q123,IF(Tables!$B$2=3,'Michigan Curve'!R123,0)))))</f>
        <v>13027.178941725</v>
      </c>
    </row>
    <row r="124" customFormat="false" ht="12.75" hidden="false" customHeight="false" outlineLevel="0" collapsed="false">
      <c r="A124" s="21" t="n">
        <v>40513</v>
      </c>
      <c r="B124" s="22" t="n">
        <v>28.1999950408936</v>
      </c>
      <c r="C124" s="71" t="n">
        <v>20</v>
      </c>
      <c r="D124" s="59" t="n">
        <v>19</v>
      </c>
      <c r="E124" s="26" t="n">
        <f aca="false">IF(VLOOKUP(MONTH(A124),SeasonTable,2,0)&lt;&gt;"Summer",VLOOKUP(MONTH(A124),ScalarTable,2,0),((0.059228/(B124/100))-(0.4980013/(SQRT(B124/100)))+2.137988))</f>
        <v>1.02</v>
      </c>
      <c r="F124" s="28" t="n">
        <f aca="false">+E124*B124</f>
        <v>28.7639949417114</v>
      </c>
      <c r="H124" s="72" t="n">
        <f aca="false">2-E124</f>
        <v>0.98</v>
      </c>
      <c r="I124" s="73" t="n">
        <f aca="false">B124*H124</f>
        <v>27.6359951400757</v>
      </c>
      <c r="J124" s="74" t="n">
        <f aca="false">C124*E124</f>
        <v>20.4</v>
      </c>
      <c r="K124" s="75" t="n">
        <f aca="false">C124*H124</f>
        <v>19.6</v>
      </c>
      <c r="L124" s="28" t="n">
        <f aca="false">D124*E124</f>
        <v>19.38</v>
      </c>
      <c r="N124" s="32" t="n">
        <v>7744.2326902338</v>
      </c>
      <c r="O124" s="32" t="n">
        <v>4199.74600295733</v>
      </c>
      <c r="P124" s="32" t="n">
        <v>10510.2054358049</v>
      </c>
      <c r="Q124" s="32" t="n">
        <v>7324.573539957</v>
      </c>
      <c r="R124" s="32" t="n">
        <v>4934.03978025708</v>
      </c>
      <c r="S124" s="34" t="n">
        <f aca="false">IF(Tables!$B$2=1,'Michigan Curve'!N124,IF(Tables!$B$2=2,'Michigan Curve'!O124,IF(Tables!$B$2=4,'Michigan Curve'!P124,IF(Tables!$B$2=5,'Michigan Curve'!Q124,IF(Tables!$B$2=3,'Michigan Curve'!R124,0)))))</f>
        <v>7324.573539957</v>
      </c>
    </row>
    <row r="125" customFormat="false" ht="12.75" hidden="false" customHeight="false" outlineLevel="0" collapsed="false">
      <c r="A125" s="21" t="n">
        <v>40544</v>
      </c>
      <c r="B125" s="22" t="n">
        <v>33.7000003814697</v>
      </c>
      <c r="C125" s="71" t="n">
        <v>22</v>
      </c>
      <c r="D125" s="59" t="n">
        <v>21</v>
      </c>
      <c r="E125" s="26" t="n">
        <f aca="false">IF(VLOOKUP(MONTH(A125),SeasonTable,2,0)&lt;&gt;"Summer",VLOOKUP(MONTH(A125),ScalarTable,2,0),((0.059228/(B125/100))-(0.4980013/(SQRT(B125/100)))+2.137988))</f>
        <v>1.02</v>
      </c>
      <c r="F125" s="28" t="n">
        <f aca="false">+E125*B125</f>
        <v>34.3740003890991</v>
      </c>
      <c r="H125" s="72" t="n">
        <f aca="false">2-E125</f>
        <v>0.98</v>
      </c>
      <c r="I125" s="73" t="n">
        <f aca="false">B125*H125</f>
        <v>33.0260003738403</v>
      </c>
      <c r="J125" s="74" t="n">
        <f aca="false">C125*E125</f>
        <v>22.44</v>
      </c>
      <c r="K125" s="75" t="n">
        <f aca="false">C125*H125</f>
        <v>21.56</v>
      </c>
      <c r="L125" s="28" t="n">
        <f aca="false">D125*E125</f>
        <v>21.42</v>
      </c>
      <c r="N125" s="32" t="n">
        <v>38090.4010484448</v>
      </c>
      <c r="O125" s="32" t="n">
        <v>21289.5914777971</v>
      </c>
      <c r="P125" s="32" t="n">
        <v>51383.4366971198</v>
      </c>
      <c r="Q125" s="32" t="n">
        <v>38076.5512626632</v>
      </c>
      <c r="R125" s="32" t="n">
        <v>28327.6448731308</v>
      </c>
      <c r="S125" s="34" t="n">
        <f aca="false">IF(Tables!$B$2=1,'Michigan Curve'!N125,IF(Tables!$B$2=2,'Michigan Curve'!O125,IF(Tables!$B$2=4,'Michigan Curve'!P125,IF(Tables!$B$2=5,'Michigan Curve'!Q125,IF(Tables!$B$2=3,'Michigan Curve'!R125,0)))))</f>
        <v>38076.5512626632</v>
      </c>
    </row>
    <row r="126" customFormat="false" ht="12.75" hidden="false" customHeight="false" outlineLevel="0" collapsed="false">
      <c r="A126" s="21" t="n">
        <v>40575</v>
      </c>
      <c r="B126" s="22" t="n">
        <v>33.6999984741211</v>
      </c>
      <c r="C126" s="71" t="n">
        <v>21.996000289917</v>
      </c>
      <c r="D126" s="59" t="n">
        <v>20.9965019226074</v>
      </c>
      <c r="E126" s="26" t="n">
        <f aca="false">IF(VLOOKUP(MONTH(A126),SeasonTable,2,0)&lt;&gt;"Summer",VLOOKUP(MONTH(A126),ScalarTable,2,0),((0.059228/(B126/100))-(0.4980013/(SQRT(B126/100)))+2.137988))</f>
        <v>1.02</v>
      </c>
      <c r="F126" s="28" t="n">
        <f aca="false">+E126*B126</f>
        <v>34.3739984436035</v>
      </c>
      <c r="H126" s="72" t="n">
        <f aca="false">2-E126</f>
        <v>0.98</v>
      </c>
      <c r="I126" s="73" t="n">
        <f aca="false">B126*H126</f>
        <v>33.0259985046387</v>
      </c>
      <c r="J126" s="74" t="n">
        <f aca="false">C126*E126</f>
        <v>22.4359202957153</v>
      </c>
      <c r="K126" s="75" t="n">
        <f aca="false">C126*H126</f>
        <v>21.5560802841187</v>
      </c>
      <c r="L126" s="28" t="n">
        <f aca="false">D126*E126</f>
        <v>21.4164319610596</v>
      </c>
      <c r="N126" s="32" t="n">
        <v>36744.1365277419</v>
      </c>
      <c r="O126" s="32" t="n">
        <v>20543.7424994768</v>
      </c>
      <c r="P126" s="32" t="n">
        <v>49564.1588137778</v>
      </c>
      <c r="Q126" s="32" t="n">
        <v>36752.671649658</v>
      </c>
      <c r="R126" s="32" t="n">
        <v>27396.7291438212</v>
      </c>
      <c r="S126" s="34" t="n">
        <f aca="false">IF(Tables!$B$2=1,'Michigan Curve'!N126,IF(Tables!$B$2=2,'Michigan Curve'!O126,IF(Tables!$B$2=4,'Michigan Curve'!P126,IF(Tables!$B$2=5,'Michigan Curve'!Q126,IF(Tables!$B$2=3,'Michigan Curve'!R126,0)))))</f>
        <v>36752.671649658</v>
      </c>
    </row>
    <row r="127" customFormat="false" ht="12.75" hidden="false" customHeight="false" outlineLevel="0" collapsed="false">
      <c r="A127" s="21" t="n">
        <v>40603</v>
      </c>
      <c r="B127" s="22" t="n">
        <v>28.5</v>
      </c>
      <c r="C127" s="71" t="n">
        <v>20</v>
      </c>
      <c r="D127" s="59" t="n">
        <v>19</v>
      </c>
      <c r="E127" s="26" t="n">
        <f aca="false">IF(VLOOKUP(MONTH(A127),SeasonTable,2,0)&lt;&gt;"Summer",VLOOKUP(MONTH(A127),ScalarTable,2,0),((0.059228/(B127/100))-(0.4980013/(SQRT(B127/100)))+2.137988))</f>
        <v>1.02</v>
      </c>
      <c r="F127" s="28" t="n">
        <f aca="false">+E127*B127</f>
        <v>29.07</v>
      </c>
      <c r="H127" s="72" t="n">
        <f aca="false">2-E127</f>
        <v>0.98</v>
      </c>
      <c r="I127" s="73" t="n">
        <f aca="false">B127*H127</f>
        <v>27.93</v>
      </c>
      <c r="J127" s="74" t="n">
        <f aca="false">C127*E127</f>
        <v>20.4</v>
      </c>
      <c r="K127" s="75" t="n">
        <f aca="false">C127*H127</f>
        <v>19.6</v>
      </c>
      <c r="L127" s="28" t="n">
        <f aca="false">D127*E127</f>
        <v>19.38</v>
      </c>
      <c r="N127" s="32" t="n">
        <v>9678.82602633034</v>
      </c>
      <c r="O127" s="32" t="n">
        <v>5277.85122497695</v>
      </c>
      <c r="P127" s="32" t="n">
        <v>13121.3205149044</v>
      </c>
      <c r="Q127" s="32" t="n">
        <v>9245.85726817725</v>
      </c>
      <c r="R127" s="32" t="n">
        <v>6232.90222224361</v>
      </c>
      <c r="S127" s="34" t="n">
        <f aca="false">IF(Tables!$B$2=1,'Michigan Curve'!N127,IF(Tables!$B$2=2,'Michigan Curve'!O127,IF(Tables!$B$2=4,'Michigan Curve'!P127,IF(Tables!$B$2=5,'Michigan Curve'!Q127,IF(Tables!$B$2=3,'Michigan Curve'!R127,0)))))</f>
        <v>9245.85726817725</v>
      </c>
    </row>
    <row r="128" customFormat="false" ht="12.75" hidden="false" customHeight="false" outlineLevel="0" collapsed="false">
      <c r="A128" s="21" t="n">
        <v>40634</v>
      </c>
      <c r="B128" s="22" t="n">
        <v>28.75</v>
      </c>
      <c r="C128" s="71" t="n">
        <v>20</v>
      </c>
      <c r="D128" s="59" t="n">
        <v>18.9950008392334</v>
      </c>
      <c r="E128" s="26" t="n">
        <f aca="false">IF(VLOOKUP(MONTH(A128),SeasonTable,2,0)&lt;&gt;"Summer",VLOOKUP(MONTH(A128),ScalarTable,2,0),((0.059228/(B128/100))-(0.4980013/(SQRT(B128/100)))+2.137988))</f>
        <v>1</v>
      </c>
      <c r="F128" s="28" t="n">
        <f aca="false">+E128*B128</f>
        <v>28.75</v>
      </c>
      <c r="H128" s="72" t="n">
        <f aca="false">2-E128</f>
        <v>1</v>
      </c>
      <c r="I128" s="73" t="n">
        <f aca="false">B128*H128</f>
        <v>28.75</v>
      </c>
      <c r="J128" s="74" t="n">
        <f aca="false">C128*E128</f>
        <v>20</v>
      </c>
      <c r="K128" s="75" t="n">
        <f aca="false">C128*H128</f>
        <v>20</v>
      </c>
      <c r="L128" s="28" t="n">
        <f aca="false">D128*E128</f>
        <v>18.9950008392334</v>
      </c>
      <c r="N128" s="32" t="n">
        <v>10783.2811294465</v>
      </c>
      <c r="O128" s="32" t="n">
        <v>5884.51080911593</v>
      </c>
      <c r="P128" s="32" t="n">
        <v>14616.2705612909</v>
      </c>
      <c r="Q128" s="32" t="n">
        <v>10313.3722086397</v>
      </c>
      <c r="R128" s="32" t="n">
        <v>6951.20766441541</v>
      </c>
      <c r="S128" s="34" t="n">
        <f aca="false">IF(Tables!$B$2=1,'Michigan Curve'!N128,IF(Tables!$B$2=2,'Michigan Curve'!O128,IF(Tables!$B$2=4,'Michigan Curve'!P128,IF(Tables!$B$2=5,'Michigan Curve'!Q128,IF(Tables!$B$2=3,'Michigan Curve'!R128,0)))))</f>
        <v>10313.3722086397</v>
      </c>
    </row>
    <row r="129" customFormat="false" ht="12.75" hidden="false" customHeight="false" outlineLevel="0" collapsed="false">
      <c r="A129" s="21" t="n">
        <v>40664</v>
      </c>
      <c r="B129" s="22" t="n">
        <v>32.5</v>
      </c>
      <c r="C129" s="71" t="n">
        <v>21</v>
      </c>
      <c r="D129" s="59" t="n">
        <v>20.0049991607666</v>
      </c>
      <c r="E129" s="26" t="n">
        <f aca="false">IF(VLOOKUP(MONTH(A129),SeasonTable,2,0)&lt;&gt;"Summer",VLOOKUP(MONTH(A129),ScalarTable,2,0),((0.059228/(B129/100))-(0.4980013/(SQRT(B129/100)))+2.137988))</f>
        <v>1.07625000178814</v>
      </c>
      <c r="F129" s="28" t="n">
        <f aca="false">+E129*B129</f>
        <v>34.9781250581145</v>
      </c>
      <c r="H129" s="72" t="n">
        <f aca="false">2-E129</f>
        <v>0.923749998211861</v>
      </c>
      <c r="I129" s="73" t="n">
        <f aca="false">B129*H129</f>
        <v>30.0218749418855</v>
      </c>
      <c r="J129" s="74" t="n">
        <f aca="false">C129*E129</f>
        <v>22.6012500375509</v>
      </c>
      <c r="K129" s="75" t="n">
        <f aca="false">C129*H129</f>
        <v>19.3987499624491</v>
      </c>
      <c r="L129" s="28" t="n">
        <f aca="false">D129*E129</f>
        <v>21.5303803825468</v>
      </c>
      <c r="N129" s="32" t="n">
        <v>23852.6354226671</v>
      </c>
      <c r="O129" s="32" t="n">
        <v>12920.4804785768</v>
      </c>
      <c r="P129" s="32" t="n">
        <v>32377.0519106386</v>
      </c>
      <c r="Q129" s="32" t="n">
        <v>22476.0623437597</v>
      </c>
      <c r="R129" s="32" t="n">
        <v>13976.3949428033</v>
      </c>
      <c r="S129" s="34" t="n">
        <f aca="false">IF(Tables!$B$2=1,'Michigan Curve'!N129,IF(Tables!$B$2=2,'Michigan Curve'!O129,IF(Tables!$B$2=4,'Michigan Curve'!P129,IF(Tables!$B$2=5,'Michigan Curve'!Q129,IF(Tables!$B$2=3,'Michigan Curve'!R129,0)))))</f>
        <v>22476.0623437597</v>
      </c>
    </row>
    <row r="130" customFormat="false" ht="12.75" hidden="false" customHeight="false" outlineLevel="0" collapsed="false">
      <c r="A130" s="21" t="n">
        <v>40695</v>
      </c>
      <c r="B130" s="22" t="n">
        <v>52.25</v>
      </c>
      <c r="C130" s="71" t="n">
        <v>26</v>
      </c>
      <c r="D130" s="59" t="n">
        <v>24</v>
      </c>
      <c r="E130" s="26" t="n">
        <f aca="false">IF(VLOOKUP(MONTH(A130),SeasonTable,2,0)&lt;&gt;"Summer",VLOOKUP(MONTH(A130),ScalarTable,2,0),((0.059228/(B130/100))-(0.4980013/(SQRT(B130/100)))+2.137988))</f>
        <v>1.56239361945523</v>
      </c>
      <c r="F130" s="28" t="n">
        <f aca="false">+E130*B130</f>
        <v>81.6350666165357</v>
      </c>
      <c r="H130" s="72" t="n">
        <f aca="false">2-E130</f>
        <v>0.437606380544771</v>
      </c>
      <c r="I130" s="73" t="n">
        <f aca="false">B130*H130</f>
        <v>22.8649333834643</v>
      </c>
      <c r="J130" s="74" t="n">
        <f aca="false">C130*E130</f>
        <v>40.6222341058359</v>
      </c>
      <c r="K130" s="75" t="n">
        <f aca="false">C130*H130</f>
        <v>11.3777658941641</v>
      </c>
      <c r="L130" s="28" t="n">
        <f aca="false">D130*E130</f>
        <v>37.4974468669255</v>
      </c>
      <c r="N130" s="32" t="n">
        <v>85914.9485302095</v>
      </c>
      <c r="O130" s="32" t="n">
        <v>52213.5993239858</v>
      </c>
      <c r="P130" s="32" t="n">
        <v>114027.661723613</v>
      </c>
      <c r="Q130" s="32" t="n">
        <v>100606.163737078</v>
      </c>
      <c r="R130" s="32" t="n">
        <v>112664.651609003</v>
      </c>
      <c r="S130" s="34" t="n">
        <f aca="false">IF(Tables!$B$2=1,'Michigan Curve'!N130,IF(Tables!$B$2=2,'Michigan Curve'!O130,IF(Tables!$B$2=4,'Michigan Curve'!P130,IF(Tables!$B$2=5,'Michigan Curve'!Q130,IF(Tables!$B$2=3,'Michigan Curve'!R130,0)))))</f>
        <v>100606.163737078</v>
      </c>
    </row>
    <row r="131" customFormat="false" ht="12.75" hidden="false" customHeight="false" outlineLevel="0" collapsed="false">
      <c r="A131" s="21" t="n">
        <v>40725</v>
      </c>
      <c r="B131" s="22" t="n">
        <v>89</v>
      </c>
      <c r="C131" s="71" t="n">
        <v>35</v>
      </c>
      <c r="D131" s="59" t="n">
        <v>30.9999980926514</v>
      </c>
      <c r="E131" s="26" t="n">
        <f aca="false">IF(VLOOKUP(MONTH(A131),SeasonTable,2,0)&lt;&gt;"Summer",VLOOKUP(MONTH(A131),ScalarTable,2,0),((0.059228/(B131/100))-(0.4980013/(SQRT(B131/100)))+2.137988))</f>
        <v>1.67665599236633</v>
      </c>
      <c r="F131" s="28" t="n">
        <f aca="false">+E131*B131</f>
        <v>149.222383320603</v>
      </c>
      <c r="H131" s="72" t="n">
        <f aca="false">2-E131</f>
        <v>0.32334400763367</v>
      </c>
      <c r="I131" s="73" t="n">
        <f aca="false">B131*H131</f>
        <v>28.7776166793966</v>
      </c>
      <c r="J131" s="74" t="n">
        <f aca="false">C131*E131</f>
        <v>58.6829597328216</v>
      </c>
      <c r="K131" s="75" t="n">
        <f aca="false">C131*H131</f>
        <v>11.3170402671784</v>
      </c>
      <c r="L131" s="28" t="n">
        <f aca="false">D131*E131</f>
        <v>51.9763325653887</v>
      </c>
      <c r="N131" s="32" t="n">
        <v>278514.504227261</v>
      </c>
      <c r="O131" s="32" t="n">
        <v>171467.467198094</v>
      </c>
      <c r="P131" s="32" t="n">
        <v>368553.782891359</v>
      </c>
      <c r="Q131" s="32" t="n">
        <v>333287.245781361</v>
      </c>
      <c r="R131" s="32" t="n">
        <v>338621.806320794</v>
      </c>
      <c r="S131" s="34" t="n">
        <f aca="false">IF(Tables!$B$2=1,'Michigan Curve'!N131,IF(Tables!$B$2=2,'Michigan Curve'!O131,IF(Tables!$B$2=4,'Michigan Curve'!P131,IF(Tables!$B$2=5,'Michigan Curve'!Q131,IF(Tables!$B$2=3,'Michigan Curve'!R131,0)))))</f>
        <v>333287.245781361</v>
      </c>
    </row>
    <row r="132" customFormat="false" ht="12.75" hidden="false" customHeight="false" outlineLevel="0" collapsed="false">
      <c r="A132" s="21" t="n">
        <v>40756</v>
      </c>
      <c r="B132" s="22" t="n">
        <v>89</v>
      </c>
      <c r="C132" s="71" t="n">
        <v>35.0000038146973</v>
      </c>
      <c r="D132" s="59" t="n">
        <v>31</v>
      </c>
      <c r="E132" s="26" t="n">
        <f aca="false">IF(VLOOKUP(MONTH(A132),SeasonTable,2,0)&lt;&gt;"Summer",VLOOKUP(MONTH(A132),ScalarTable,2,0),((0.059228/(B132/100))-(0.4980013/(SQRT(B132/100)))+2.137988))</f>
        <v>1.67665599236633</v>
      </c>
      <c r="F132" s="28" t="n">
        <f aca="false">+E132*B132</f>
        <v>149.222383320603</v>
      </c>
      <c r="H132" s="72" t="n">
        <f aca="false">2-E132</f>
        <v>0.32334400763367</v>
      </c>
      <c r="I132" s="73" t="n">
        <f aca="false">B132*H132</f>
        <v>28.7776166793966</v>
      </c>
      <c r="J132" s="74" t="n">
        <f aca="false">C132*E132</f>
        <v>58.6829661287566</v>
      </c>
      <c r="K132" s="75" t="n">
        <f aca="false">C132*H132</f>
        <v>11.3170415006379</v>
      </c>
      <c r="L132" s="28" t="n">
        <f aca="false">D132*E132</f>
        <v>51.9763357633562</v>
      </c>
      <c r="N132" s="32" t="n">
        <v>237825.180940733</v>
      </c>
      <c r="O132" s="32" t="n">
        <v>145543.760016544</v>
      </c>
      <c r="P132" s="32" t="n">
        <v>315102.149714613</v>
      </c>
      <c r="Q132" s="32" t="n">
        <v>281522.274509662</v>
      </c>
      <c r="R132" s="32" t="n">
        <v>284609.412480691</v>
      </c>
      <c r="S132" s="34" t="n">
        <f aca="false">IF(Tables!$B$2=1,'Michigan Curve'!N132,IF(Tables!$B$2=2,'Michigan Curve'!O132,IF(Tables!$B$2=4,'Michigan Curve'!P132,IF(Tables!$B$2=5,'Michigan Curve'!Q132,IF(Tables!$B$2=3,'Michigan Curve'!R132,0)))))</f>
        <v>281522.274509662</v>
      </c>
    </row>
    <row r="133" customFormat="false" ht="12.75" hidden="false" customHeight="false" outlineLevel="0" collapsed="false">
      <c r="A133" s="21" t="n">
        <v>40787</v>
      </c>
      <c r="B133" s="22" t="n">
        <v>35.25</v>
      </c>
      <c r="C133" s="71" t="n">
        <v>25</v>
      </c>
      <c r="D133" s="59" t="n">
        <v>24</v>
      </c>
      <c r="E133" s="26" t="n">
        <f aca="false">IF(VLOOKUP(MONTH(A133),SeasonTable,2,0)&lt;&gt;"Summer",VLOOKUP(MONTH(A133),ScalarTable,2,0),((0.059228/(B133/100))-(0.4980013/(SQRT(B133/100)))+2.137988))</f>
        <v>1.35124999284744</v>
      </c>
      <c r="F133" s="28" t="n">
        <f aca="false">+E133*B133</f>
        <v>47.6315622478724</v>
      </c>
      <c r="H133" s="72" t="n">
        <f aca="false">2-E133</f>
        <v>0.648750007152557</v>
      </c>
      <c r="I133" s="73" t="n">
        <f aca="false">B133*H133</f>
        <v>22.8684377521276</v>
      </c>
      <c r="J133" s="74" t="n">
        <f aca="false">C133*E133</f>
        <v>33.7812498211861</v>
      </c>
      <c r="K133" s="75" t="n">
        <f aca="false">C133*H133</f>
        <v>16.2187501788139</v>
      </c>
      <c r="L133" s="28" t="n">
        <f aca="false">D133*E133</f>
        <v>32.4299998283386</v>
      </c>
      <c r="N133" s="32" t="n">
        <v>168968.376110624</v>
      </c>
      <c r="O133" s="32" t="n">
        <v>94400.2622902006</v>
      </c>
      <c r="P133" s="32" t="n">
        <v>227927.286781676</v>
      </c>
      <c r="Q133" s="32" t="n">
        <v>168520.260227145</v>
      </c>
      <c r="R133" s="32" t="n">
        <v>118946.328650409</v>
      </c>
      <c r="S133" s="34" t="n">
        <f aca="false">IF(Tables!$B$2=1,'Michigan Curve'!N133,IF(Tables!$B$2=2,'Michigan Curve'!O133,IF(Tables!$B$2=4,'Michigan Curve'!P133,IF(Tables!$B$2=5,'Michigan Curve'!Q133,IF(Tables!$B$2=3,'Michigan Curve'!R133,0)))))</f>
        <v>168520.260227145</v>
      </c>
    </row>
    <row r="134" customFormat="false" ht="12.75" hidden="false" customHeight="false" outlineLevel="0" collapsed="false">
      <c r="A134" s="21" t="n">
        <v>40817</v>
      </c>
      <c r="B134" s="22" t="n">
        <v>28.3499946594238</v>
      </c>
      <c r="C134" s="71" t="n">
        <v>19.996000289917</v>
      </c>
      <c r="D134" s="59" t="n">
        <v>18.9965000152588</v>
      </c>
      <c r="E134" s="26" t="n">
        <f aca="false">IF(VLOOKUP(MONTH(A134),SeasonTable,2,0)&lt;&gt;"Summer",VLOOKUP(MONTH(A134),ScalarTable,2,0),((0.059228/(B134/100))-(0.4980013/(SQRT(B134/100)))+2.137988))</f>
        <v>1</v>
      </c>
      <c r="F134" s="28" t="n">
        <f aca="false">+E134*B134</f>
        <v>28.3499946594238</v>
      </c>
      <c r="H134" s="72" t="n">
        <f aca="false">2-E134</f>
        <v>1</v>
      </c>
      <c r="I134" s="73" t="n">
        <f aca="false">B134*H134</f>
        <v>28.3499946594238</v>
      </c>
      <c r="J134" s="74" t="n">
        <f aca="false">C134*E134</f>
        <v>19.996000289917</v>
      </c>
      <c r="K134" s="75" t="n">
        <f aca="false">C134*H134</f>
        <v>19.996000289917</v>
      </c>
      <c r="L134" s="28" t="n">
        <f aca="false">D134*E134</f>
        <v>18.9965000152588</v>
      </c>
      <c r="N134" s="32" t="n">
        <v>2562.49366646324</v>
      </c>
      <c r="O134" s="32" t="n">
        <v>1335.58960738229</v>
      </c>
      <c r="P134" s="32" t="n">
        <v>3505.29800005512</v>
      </c>
      <c r="Q134" s="32" t="n">
        <v>2249.3776336251</v>
      </c>
      <c r="R134" s="32" t="n">
        <v>1188.87969760783</v>
      </c>
      <c r="S134" s="34" t="n">
        <f aca="false">IF(Tables!$B$2=1,'Michigan Curve'!N134,IF(Tables!$B$2=2,'Michigan Curve'!O134,IF(Tables!$B$2=4,'Michigan Curve'!P134,IF(Tables!$B$2=5,'Michigan Curve'!Q134,IF(Tables!$B$2=3,'Michigan Curve'!R134,0)))))</f>
        <v>2249.3776336251</v>
      </c>
    </row>
    <row r="135" customFormat="false" ht="12.75" hidden="false" customHeight="false" outlineLevel="0" collapsed="false">
      <c r="A135" s="21" t="n">
        <v>40848</v>
      </c>
      <c r="B135" s="22" t="n">
        <v>28.2299957275391</v>
      </c>
      <c r="C135" s="71" t="n">
        <v>20</v>
      </c>
      <c r="D135" s="59" t="n">
        <v>19</v>
      </c>
      <c r="E135" s="26" t="n">
        <f aca="false">IF(VLOOKUP(MONTH(A135),SeasonTable,2,0)&lt;&gt;"Summer",VLOOKUP(MONTH(A135),ScalarTable,2,0),((0.059228/(B135/100))-(0.4980013/(SQRT(B135/100)))+2.137988))</f>
        <v>1.08</v>
      </c>
      <c r="F135" s="28" t="n">
        <f aca="false">+E135*B135</f>
        <v>30.4883953857422</v>
      </c>
      <c r="H135" s="72" t="n">
        <f aca="false">2-E135</f>
        <v>0.92</v>
      </c>
      <c r="I135" s="73" t="n">
        <f aca="false">B135*H135</f>
        <v>25.9715960693359</v>
      </c>
      <c r="J135" s="74" t="n">
        <f aca="false">C135*E135</f>
        <v>21.6</v>
      </c>
      <c r="K135" s="75" t="n">
        <f aca="false">C135*H135</f>
        <v>18.4</v>
      </c>
      <c r="L135" s="28" t="n">
        <f aca="false">D135*E135</f>
        <v>20.52</v>
      </c>
      <c r="N135" s="32" t="n">
        <v>14693.9728005497</v>
      </c>
      <c r="O135" s="32" t="n">
        <v>8073.8025543817</v>
      </c>
      <c r="P135" s="32" t="n">
        <v>19889.8153065805</v>
      </c>
      <c r="Q135" s="32" t="n">
        <v>14234.303585498</v>
      </c>
      <c r="R135" s="32" t="n">
        <v>9935.01973249703</v>
      </c>
      <c r="S135" s="34" t="n">
        <f aca="false">IF(Tables!$B$2=1,'Michigan Curve'!N135,IF(Tables!$B$2=2,'Michigan Curve'!O135,IF(Tables!$B$2=4,'Michigan Curve'!P135,IF(Tables!$B$2=5,'Michigan Curve'!Q135,IF(Tables!$B$2=3,'Michigan Curve'!R135,0)))))</f>
        <v>14234.303585498</v>
      </c>
    </row>
    <row r="136" customFormat="false" ht="12.75" hidden="false" customHeight="false" outlineLevel="0" collapsed="false">
      <c r="A136" s="21" t="n">
        <v>40878</v>
      </c>
      <c r="B136" s="22" t="n">
        <v>28.6999950408936</v>
      </c>
      <c r="C136" s="71" t="n">
        <v>20</v>
      </c>
      <c r="D136" s="59" t="n">
        <v>19</v>
      </c>
      <c r="E136" s="26" t="n">
        <f aca="false">IF(VLOOKUP(MONTH(A136),SeasonTable,2,0)&lt;&gt;"Summer",VLOOKUP(MONTH(A136),ScalarTable,2,0),((0.059228/(B136/100))-(0.4980013/(SQRT(B136/100)))+2.137988))</f>
        <v>1.02</v>
      </c>
      <c r="F136" s="28" t="n">
        <f aca="false">+E136*B136</f>
        <v>29.2739949417114</v>
      </c>
      <c r="H136" s="72" t="n">
        <f aca="false">2-E136</f>
        <v>0.98</v>
      </c>
      <c r="I136" s="73" t="n">
        <f aca="false">B136*H136</f>
        <v>28.1259951400757</v>
      </c>
      <c r="J136" s="74" t="n">
        <f aca="false">C136*E136</f>
        <v>20.4</v>
      </c>
      <c r="K136" s="75" t="n">
        <f aca="false">C136*H136</f>
        <v>19.6</v>
      </c>
      <c r="L136" s="28" t="n">
        <f aca="false">D136*E136</f>
        <v>19.38</v>
      </c>
      <c r="N136" s="32" t="n">
        <v>8020.43537449111</v>
      </c>
      <c r="O136" s="32" t="n">
        <v>4366.38409360362</v>
      </c>
      <c r="P136" s="32" t="n">
        <v>10876.6712113867</v>
      </c>
      <c r="Q136" s="32" t="n">
        <v>7640.27178977061</v>
      </c>
      <c r="R136" s="32" t="n">
        <v>5273.25650322825</v>
      </c>
      <c r="S136" s="34" t="n">
        <f aca="false">IF(Tables!$B$2=1,'Michigan Curve'!N136,IF(Tables!$B$2=2,'Michigan Curve'!O136,IF(Tables!$B$2=4,'Michigan Curve'!P136,IF(Tables!$B$2=5,'Michigan Curve'!Q136,IF(Tables!$B$2=3,'Michigan Curve'!R136,0)))))</f>
        <v>7640.27178977061</v>
      </c>
    </row>
    <row r="137" customFormat="false" ht="12.75" hidden="false" customHeight="false" outlineLevel="0" collapsed="false">
      <c r="A137" s="21" t="n">
        <v>40909</v>
      </c>
      <c r="B137" s="22" t="n">
        <v>34.2000003814697</v>
      </c>
      <c r="C137" s="71" t="n">
        <v>22</v>
      </c>
      <c r="D137" s="59" t="n">
        <v>21</v>
      </c>
      <c r="E137" s="26" t="n">
        <f aca="false">IF(VLOOKUP(MONTH(A137),SeasonTable,2,0)&lt;&gt;"Summer",VLOOKUP(MONTH(A137),ScalarTable,2,0),((0.059228/(B137/100))-(0.4980013/(SQRT(B137/100)))+2.137988))</f>
        <v>1.02</v>
      </c>
      <c r="F137" s="28" t="n">
        <f aca="false">+E137*B137</f>
        <v>34.8840003890991</v>
      </c>
      <c r="H137" s="72" t="n">
        <f aca="false">2-E137</f>
        <v>0.98</v>
      </c>
      <c r="I137" s="73" t="n">
        <f aca="false">B137*H137</f>
        <v>33.5160003738403</v>
      </c>
      <c r="J137" s="74" t="n">
        <f aca="false">C137*E137</f>
        <v>22.44</v>
      </c>
      <c r="K137" s="75" t="n">
        <f aca="false">C137*H137</f>
        <v>21.56</v>
      </c>
      <c r="L137" s="28" t="n">
        <f aca="false">D137*E137</f>
        <v>21.42</v>
      </c>
      <c r="N137" s="32" t="n">
        <v>39724.6732711378</v>
      </c>
      <c r="O137" s="32" t="n">
        <v>22238.9319805709</v>
      </c>
      <c r="P137" s="32" t="n">
        <v>53570.8594217682</v>
      </c>
      <c r="Q137" s="32" t="n">
        <v>39830.6743586008</v>
      </c>
      <c r="R137" s="32" t="n">
        <v>29990.9621025684</v>
      </c>
      <c r="S137" s="34" t="n">
        <f aca="false">IF(Tables!$B$2=1,'Michigan Curve'!N137,IF(Tables!$B$2=2,'Michigan Curve'!O137,IF(Tables!$B$2=4,'Michigan Curve'!P137,IF(Tables!$B$2=5,'Michigan Curve'!Q137,IF(Tables!$B$2=3,'Michigan Curve'!R137,0)))))</f>
        <v>39830.6743586008</v>
      </c>
    </row>
    <row r="138" customFormat="false" ht="12.75" hidden="false" customHeight="false" outlineLevel="0" collapsed="false">
      <c r="A138" s="21" t="n">
        <v>40940</v>
      </c>
      <c r="B138" s="22" t="n">
        <v>34.1999984741211</v>
      </c>
      <c r="C138" s="71" t="n">
        <v>21.996000289917</v>
      </c>
      <c r="D138" s="59" t="n">
        <v>20.9965019226074</v>
      </c>
      <c r="E138" s="26" t="n">
        <f aca="false">IF(VLOOKUP(MONTH(A138),SeasonTable,2,0)&lt;&gt;"Summer",VLOOKUP(MONTH(A138),ScalarTable,2,0),((0.059228/(B138/100))-(0.4980013/(SQRT(B138/100)))+2.137988))</f>
        <v>1.02</v>
      </c>
      <c r="F138" s="28" t="n">
        <f aca="false">+E138*B138</f>
        <v>34.8839984436035</v>
      </c>
      <c r="H138" s="72" t="n">
        <f aca="false">2-E138</f>
        <v>0.98</v>
      </c>
      <c r="I138" s="73" t="n">
        <f aca="false">B138*H138</f>
        <v>33.5159985046387</v>
      </c>
      <c r="J138" s="74" t="n">
        <f aca="false">C138*E138</f>
        <v>22.4359202957153</v>
      </c>
      <c r="K138" s="75" t="n">
        <f aca="false">C138*H138</f>
        <v>21.5560802841187</v>
      </c>
      <c r="L138" s="28" t="n">
        <f aca="false">D138*E138</f>
        <v>21.4164319610596</v>
      </c>
      <c r="N138" s="32" t="n">
        <v>40033.8161008586</v>
      </c>
      <c r="O138" s="32" t="n">
        <v>22417.068058091</v>
      </c>
      <c r="P138" s="32" t="n">
        <v>53985.3201467833</v>
      </c>
      <c r="Q138" s="32" t="n">
        <v>40157.501214488</v>
      </c>
      <c r="R138" s="32" t="n">
        <v>30279.8410708327</v>
      </c>
      <c r="S138" s="34" t="n">
        <f aca="false">IF(Tables!$B$2=1,'Michigan Curve'!N138,IF(Tables!$B$2=2,'Michigan Curve'!O138,IF(Tables!$B$2=4,'Michigan Curve'!P138,IF(Tables!$B$2=5,'Michigan Curve'!Q138,IF(Tables!$B$2=3,'Michigan Curve'!R138,0)))))</f>
        <v>40157.501214488</v>
      </c>
    </row>
    <row r="139" customFormat="false" ht="12.75" hidden="false" customHeight="false" outlineLevel="0" collapsed="false">
      <c r="A139" s="21" t="n">
        <v>40969</v>
      </c>
      <c r="B139" s="22" t="n">
        <v>29</v>
      </c>
      <c r="C139" s="71" t="n">
        <v>20</v>
      </c>
      <c r="D139" s="59" t="n">
        <v>19</v>
      </c>
      <c r="E139" s="26" t="n">
        <f aca="false">IF(VLOOKUP(MONTH(A139),SeasonTable,2,0)&lt;&gt;"Summer",VLOOKUP(MONTH(A139),ScalarTable,2,0),((0.059228/(B139/100))-(0.4980013/(SQRT(B139/100)))+2.137988))</f>
        <v>1.02</v>
      </c>
      <c r="F139" s="28" t="n">
        <f aca="false">+E139*B139</f>
        <v>29.58</v>
      </c>
      <c r="H139" s="72" t="n">
        <f aca="false">2-E139</f>
        <v>0.98</v>
      </c>
      <c r="I139" s="73" t="n">
        <f aca="false">B139*H139</f>
        <v>28.42</v>
      </c>
      <c r="J139" s="74" t="n">
        <f aca="false">C139*E139</f>
        <v>20.4</v>
      </c>
      <c r="K139" s="75" t="n">
        <f aca="false">C139*H139</f>
        <v>19.6</v>
      </c>
      <c r="L139" s="28" t="n">
        <f aca="false">D139*E139</f>
        <v>19.38</v>
      </c>
      <c r="N139" s="32" t="n">
        <v>10123.7585074423</v>
      </c>
      <c r="O139" s="32" t="n">
        <v>5536.95393994428</v>
      </c>
      <c r="P139" s="32" t="n">
        <v>13716.3608772534</v>
      </c>
      <c r="Q139" s="32" t="n">
        <v>9724.75623913901</v>
      </c>
      <c r="R139" s="32" t="n">
        <v>6692.87650054218</v>
      </c>
      <c r="S139" s="34" t="n">
        <f aca="false">IF(Tables!$B$2=1,'Michigan Curve'!N139,IF(Tables!$B$2=2,'Michigan Curve'!O139,IF(Tables!$B$2=4,'Michigan Curve'!P139,IF(Tables!$B$2=5,'Michigan Curve'!Q139,IF(Tables!$B$2=3,'Michigan Curve'!R139,0)))))</f>
        <v>9724.75623913901</v>
      </c>
    </row>
    <row r="140" customFormat="false" ht="12.75" hidden="false" customHeight="false" outlineLevel="0" collapsed="false">
      <c r="A140" s="21" t="n">
        <v>41000</v>
      </c>
      <c r="B140" s="22" t="n">
        <v>29.25</v>
      </c>
      <c r="C140" s="71" t="n">
        <v>20</v>
      </c>
      <c r="D140" s="59" t="n">
        <v>18.9950008392334</v>
      </c>
      <c r="E140" s="26" t="n">
        <f aca="false">IF(VLOOKUP(MONTH(A140),SeasonTable,2,0)&lt;&gt;"Summer",VLOOKUP(MONTH(A140),ScalarTable,2,0),((0.059228/(B140/100))-(0.4980013/(SQRT(B140/100)))+2.137988))</f>
        <v>1</v>
      </c>
      <c r="F140" s="28" t="n">
        <f aca="false">+E140*B140</f>
        <v>29.25</v>
      </c>
      <c r="H140" s="72" t="n">
        <f aca="false">2-E140</f>
        <v>1</v>
      </c>
      <c r="I140" s="73" t="n">
        <f aca="false">B140*H140</f>
        <v>29.25</v>
      </c>
      <c r="J140" s="74" t="n">
        <f aca="false">C140*E140</f>
        <v>20</v>
      </c>
      <c r="K140" s="75" t="n">
        <f aca="false">C140*H140</f>
        <v>20</v>
      </c>
      <c r="L140" s="28" t="n">
        <f aca="false">D140*E140</f>
        <v>18.9950008392334</v>
      </c>
      <c r="N140" s="32" t="n">
        <v>11521.6075631806</v>
      </c>
      <c r="O140" s="32" t="n">
        <v>6304.1352706152</v>
      </c>
      <c r="P140" s="32" t="n">
        <v>15608.8078214526</v>
      </c>
      <c r="Q140" s="32" t="n">
        <v>11074.5324165362</v>
      </c>
      <c r="R140" s="32" t="n">
        <v>7610.21528714081</v>
      </c>
      <c r="S140" s="34" t="n">
        <f aca="false">IF(Tables!$B$2=1,'Michigan Curve'!N140,IF(Tables!$B$2=2,'Michigan Curve'!O140,IF(Tables!$B$2=4,'Michigan Curve'!P140,IF(Tables!$B$2=5,'Michigan Curve'!Q140,IF(Tables!$B$2=3,'Michigan Curve'!R140,0)))))</f>
        <v>11074.5324165362</v>
      </c>
    </row>
    <row r="141" customFormat="false" ht="12.75" hidden="false" customHeight="false" outlineLevel="0" collapsed="false">
      <c r="A141" s="21" t="n">
        <v>41030</v>
      </c>
      <c r="B141" s="22" t="n">
        <v>33</v>
      </c>
      <c r="C141" s="71" t="n">
        <v>21</v>
      </c>
      <c r="D141" s="59" t="n">
        <v>20.0049991607666</v>
      </c>
      <c r="E141" s="26" t="n">
        <f aca="false">IF(VLOOKUP(MONTH(A141),SeasonTable,2,0)&lt;&gt;"Summer",VLOOKUP(MONTH(A141),ScalarTable,2,0),((0.059228/(B141/100))-(0.4980013/(SQRT(B141/100)))+2.137988))</f>
        <v>1.07625000178814</v>
      </c>
      <c r="F141" s="28" t="n">
        <f aca="false">+E141*B141</f>
        <v>35.5162500590086</v>
      </c>
      <c r="H141" s="72" t="n">
        <f aca="false">2-E141</f>
        <v>0.923749998211861</v>
      </c>
      <c r="I141" s="73" t="n">
        <f aca="false">B141*H141</f>
        <v>30.4837499409914</v>
      </c>
      <c r="J141" s="74" t="n">
        <f aca="false">C141*E141</f>
        <v>22.6012500375509</v>
      </c>
      <c r="K141" s="75" t="n">
        <f aca="false">C141*H141</f>
        <v>19.3987499624491</v>
      </c>
      <c r="L141" s="28" t="n">
        <f aca="false">D141*E141</f>
        <v>21.5303803825468</v>
      </c>
      <c r="N141" s="32" t="n">
        <v>24706.0663177054</v>
      </c>
      <c r="O141" s="32" t="n">
        <v>13394.5429632705</v>
      </c>
      <c r="P141" s="32" t="n">
        <v>33529.8036237136</v>
      </c>
      <c r="Q141" s="32" t="n">
        <v>23321.4696708334</v>
      </c>
      <c r="R141" s="32" t="n">
        <v>14675.4504129048</v>
      </c>
      <c r="S141" s="34" t="n">
        <f aca="false">IF(Tables!$B$2=1,'Michigan Curve'!N141,IF(Tables!$B$2=2,'Michigan Curve'!O141,IF(Tables!$B$2=4,'Michigan Curve'!P141,IF(Tables!$B$2=5,'Michigan Curve'!Q141,IF(Tables!$B$2=3,'Michigan Curve'!R141,0)))))</f>
        <v>23321.4696708334</v>
      </c>
    </row>
    <row r="142" customFormat="false" ht="12.75" hidden="false" customHeight="false" outlineLevel="0" collapsed="false">
      <c r="A142" s="21" t="n">
        <v>41061</v>
      </c>
      <c r="B142" s="22" t="n">
        <v>53.25</v>
      </c>
      <c r="C142" s="71" t="n">
        <v>26</v>
      </c>
      <c r="D142" s="59" t="n">
        <v>24</v>
      </c>
      <c r="E142" s="26" t="n">
        <f aca="false">IF(VLOOKUP(MONTH(A142),SeasonTable,2,0)&lt;&gt;"Summer",VLOOKUP(MONTH(A142),ScalarTable,2,0),((0.059228/(B142/100))-(0.4980013/(SQRT(B142/100)))+2.137988))</f>
        <v>1.56676455460095</v>
      </c>
      <c r="F142" s="28" t="n">
        <f aca="false">+E142*B142</f>
        <v>83.4302125325003</v>
      </c>
      <c r="H142" s="72" t="n">
        <f aca="false">2-E142</f>
        <v>0.433235445399055</v>
      </c>
      <c r="I142" s="73" t="n">
        <f aca="false">B142*H142</f>
        <v>23.0697874674997</v>
      </c>
      <c r="J142" s="74" t="n">
        <f aca="false">C142*E142</f>
        <v>40.7358784196246</v>
      </c>
      <c r="K142" s="75" t="n">
        <f aca="false">C142*H142</f>
        <v>11.2641215803754</v>
      </c>
      <c r="L142" s="28" t="n">
        <f aca="false">D142*E142</f>
        <v>37.6023493104227</v>
      </c>
      <c r="N142" s="32" t="n">
        <v>86154.029664347</v>
      </c>
      <c r="O142" s="32" t="n">
        <v>52223.3678328715</v>
      </c>
      <c r="P142" s="32" t="n">
        <v>114406.267435975</v>
      </c>
      <c r="Q142" s="32" t="n">
        <v>100418.868358742</v>
      </c>
      <c r="R142" s="32" t="n">
        <v>111727.77111233</v>
      </c>
      <c r="S142" s="34" t="n">
        <f aca="false">IF(Tables!$B$2=1,'Michigan Curve'!N142,IF(Tables!$B$2=2,'Michigan Curve'!O142,IF(Tables!$B$2=4,'Michigan Curve'!P142,IF(Tables!$B$2=5,'Michigan Curve'!Q142,IF(Tables!$B$2=3,'Michigan Curve'!R142,0)))))</f>
        <v>100418.868358742</v>
      </c>
    </row>
    <row r="143" customFormat="false" ht="12.75" hidden="false" customHeight="false" outlineLevel="0" collapsed="false">
      <c r="A143" s="21" t="n">
        <v>41091</v>
      </c>
      <c r="B143" s="22" t="n">
        <v>92</v>
      </c>
      <c r="C143" s="71" t="n">
        <v>35</v>
      </c>
      <c r="D143" s="59" t="n">
        <v>30.9999980926514</v>
      </c>
      <c r="E143" s="26" t="n">
        <f aca="false">IF(VLOOKUP(MONTH(A143),SeasonTable,2,0)&lt;&gt;"Summer",VLOOKUP(MONTH(A143),ScalarTable,2,0),((0.059228/(B143/100))-(0.4980013/(SQRT(B143/100)))+2.137988))</f>
        <v>1.68316401452376</v>
      </c>
      <c r="F143" s="28" t="n">
        <f aca="false">+E143*B143</f>
        <v>154.851089336186</v>
      </c>
      <c r="H143" s="72" t="n">
        <f aca="false">2-E143</f>
        <v>0.316835985476242</v>
      </c>
      <c r="I143" s="73" t="n">
        <f aca="false">B143*H143</f>
        <v>29.1489106638143</v>
      </c>
      <c r="J143" s="74" t="n">
        <f aca="false">C143*E143</f>
        <v>58.9107405083315</v>
      </c>
      <c r="K143" s="75" t="n">
        <f aca="false">C143*H143</f>
        <v>11.0892594916685</v>
      </c>
      <c r="L143" s="28" t="n">
        <f aca="false">D143*E143</f>
        <v>52.1780812398559</v>
      </c>
      <c r="N143" s="32" t="n">
        <v>273858.160550121</v>
      </c>
      <c r="O143" s="32" t="n">
        <v>167506.752001696</v>
      </c>
      <c r="P143" s="32" t="n">
        <v>362431.133831861</v>
      </c>
      <c r="Q143" s="32" t="n">
        <v>316294.927177495</v>
      </c>
      <c r="R143" s="32" t="n">
        <v>312967.483409403</v>
      </c>
      <c r="S143" s="34" t="n">
        <f aca="false">IF(Tables!$B$2=1,'Michigan Curve'!N143,IF(Tables!$B$2=2,'Michigan Curve'!O143,IF(Tables!$B$2=4,'Michigan Curve'!P143,IF(Tables!$B$2=5,'Michigan Curve'!Q143,IF(Tables!$B$2=3,'Michigan Curve'!R143,0)))))</f>
        <v>316294.927177495</v>
      </c>
    </row>
    <row r="144" customFormat="false" ht="12.75" hidden="false" customHeight="false" outlineLevel="0" collapsed="false">
      <c r="A144" s="21" t="n">
        <v>41122</v>
      </c>
      <c r="B144" s="22" t="n">
        <v>92</v>
      </c>
      <c r="C144" s="71" t="n">
        <v>35.0000038146973</v>
      </c>
      <c r="D144" s="59" t="n">
        <v>31</v>
      </c>
      <c r="E144" s="26" t="n">
        <f aca="false">IF(VLOOKUP(MONTH(A144),SeasonTable,2,0)&lt;&gt;"Summer",VLOOKUP(MONTH(A144),ScalarTable,2,0),((0.059228/(B144/100))-(0.4980013/(SQRT(B144/100)))+2.137988))</f>
        <v>1.68316401452376</v>
      </c>
      <c r="F144" s="28" t="n">
        <f aca="false">+E144*B144</f>
        <v>154.851089336186</v>
      </c>
      <c r="H144" s="72" t="n">
        <f aca="false">2-E144</f>
        <v>0.316835985476242</v>
      </c>
      <c r="I144" s="73" t="n">
        <f aca="false">B144*H144</f>
        <v>29.1489106638143</v>
      </c>
      <c r="J144" s="74" t="n">
        <f aca="false">C144*E144</f>
        <v>58.9107469290927</v>
      </c>
      <c r="K144" s="75" t="n">
        <f aca="false">C144*H144</f>
        <v>11.0892607003018</v>
      </c>
      <c r="L144" s="28" t="n">
        <f aca="false">D144*E144</f>
        <v>52.1780844502365</v>
      </c>
      <c r="N144" s="32" t="n">
        <v>242615.174185702</v>
      </c>
      <c r="O144" s="32" t="n">
        <v>147057.718533546</v>
      </c>
      <c r="P144" s="32" t="n">
        <v>321355.33325635</v>
      </c>
      <c r="Q144" s="32" t="n">
        <v>278680.725543684</v>
      </c>
      <c r="R144" s="32" t="n">
        <v>281722.509905401</v>
      </c>
      <c r="S144" s="34" t="n">
        <f aca="false">IF(Tables!$B$2=1,'Michigan Curve'!N144,IF(Tables!$B$2=2,'Michigan Curve'!O144,IF(Tables!$B$2=4,'Michigan Curve'!P144,IF(Tables!$B$2=5,'Michigan Curve'!Q144,IF(Tables!$B$2=3,'Michigan Curve'!R144,0)))))</f>
        <v>278680.725543684</v>
      </c>
    </row>
    <row r="145" customFormat="false" ht="12.75" hidden="false" customHeight="false" outlineLevel="0" collapsed="false">
      <c r="A145" s="21" t="n">
        <v>41153</v>
      </c>
      <c r="B145" s="22" t="n">
        <v>35.75</v>
      </c>
      <c r="C145" s="71" t="n">
        <v>25</v>
      </c>
      <c r="D145" s="59" t="n">
        <v>24</v>
      </c>
      <c r="E145" s="26" t="n">
        <f aca="false">IF(VLOOKUP(MONTH(A145),SeasonTable,2,0)&lt;&gt;"Summer",VLOOKUP(MONTH(A145),ScalarTable,2,0),((0.059228/(B145/100))-(0.4980013/(SQRT(B145/100)))+2.137988))</f>
        <v>1.35124999284744</v>
      </c>
      <c r="F145" s="28" t="n">
        <f aca="false">+E145*B145</f>
        <v>48.3071872442961</v>
      </c>
      <c r="H145" s="72" t="n">
        <f aca="false">2-E145</f>
        <v>0.648750007152557</v>
      </c>
      <c r="I145" s="73" t="n">
        <f aca="false">B145*H145</f>
        <v>23.1928127557039</v>
      </c>
      <c r="J145" s="74" t="n">
        <f aca="false">C145*E145</f>
        <v>33.7812498211861</v>
      </c>
      <c r="K145" s="75" t="n">
        <f aca="false">C145*H145</f>
        <v>16.2187501788139</v>
      </c>
      <c r="L145" s="28" t="n">
        <f aca="false">D145*E145</f>
        <v>32.4299998283386</v>
      </c>
      <c r="N145" s="32" t="n">
        <v>146898.114703766</v>
      </c>
      <c r="O145" s="32" t="n">
        <v>81964.7239977915</v>
      </c>
      <c r="P145" s="32" t="n">
        <v>198207.239497983</v>
      </c>
      <c r="Q145" s="32" t="n">
        <v>146168.394686394</v>
      </c>
      <c r="R145" s="32" t="n">
        <v>102815.838177113</v>
      </c>
      <c r="S145" s="34" t="n">
        <f aca="false">IF(Tables!$B$2=1,'Michigan Curve'!N145,IF(Tables!$B$2=2,'Michigan Curve'!O145,IF(Tables!$B$2=4,'Michigan Curve'!P145,IF(Tables!$B$2=5,'Michigan Curve'!Q145,IF(Tables!$B$2=3,'Michigan Curve'!R145,0)))))</f>
        <v>146168.394686394</v>
      </c>
    </row>
    <row r="146" customFormat="false" ht="12.75" hidden="false" customHeight="false" outlineLevel="0" collapsed="false">
      <c r="A146" s="21" t="n">
        <v>41183</v>
      </c>
      <c r="B146" s="22" t="n">
        <v>28.8499946594238</v>
      </c>
      <c r="C146" s="71" t="n">
        <v>19.996000289917</v>
      </c>
      <c r="D146" s="59" t="n">
        <v>18.9965000152588</v>
      </c>
      <c r="E146" s="26" t="n">
        <f aca="false">IF(VLOOKUP(MONTH(A146),SeasonTable,2,0)&lt;&gt;"Summer",VLOOKUP(MONTH(A146),ScalarTable,2,0),((0.059228/(B146/100))-(0.4980013/(SQRT(B146/100)))+2.137988))</f>
        <v>1</v>
      </c>
      <c r="F146" s="28" t="n">
        <f aca="false">+E146*B146</f>
        <v>28.8499946594238</v>
      </c>
      <c r="H146" s="72" t="n">
        <f aca="false">2-E146</f>
        <v>1</v>
      </c>
      <c r="I146" s="73" t="n">
        <f aca="false">B146*H146</f>
        <v>28.8499946594238</v>
      </c>
      <c r="J146" s="74" t="n">
        <f aca="false">C146*E146</f>
        <v>19.996000289917</v>
      </c>
      <c r="K146" s="75" t="n">
        <f aca="false">C146*H146</f>
        <v>19.996000289917</v>
      </c>
      <c r="L146" s="28" t="n">
        <f aca="false">D146*E146</f>
        <v>18.9965000152588</v>
      </c>
      <c r="N146" s="32" t="n">
        <v>2974.86659099904</v>
      </c>
      <c r="O146" s="32" t="n">
        <v>1555.54799559735</v>
      </c>
      <c r="P146" s="32" t="n">
        <v>4066.7869168572</v>
      </c>
      <c r="Q146" s="32" t="n">
        <v>2627.48492329788</v>
      </c>
      <c r="R146" s="32" t="n">
        <v>1428.45466988392</v>
      </c>
      <c r="S146" s="34" t="n">
        <f aca="false">IF(Tables!$B$2=1,'Michigan Curve'!N146,IF(Tables!$B$2=2,'Michigan Curve'!O146,IF(Tables!$B$2=4,'Michigan Curve'!P146,IF(Tables!$B$2=5,'Michigan Curve'!Q146,IF(Tables!$B$2=3,'Michigan Curve'!R146,0)))))</f>
        <v>2627.48492329788</v>
      </c>
    </row>
    <row r="147" customFormat="false" ht="12.75" hidden="false" customHeight="false" outlineLevel="0" collapsed="false">
      <c r="A147" s="21" t="n">
        <v>41214</v>
      </c>
      <c r="B147" s="22" t="n">
        <v>28.7299957275391</v>
      </c>
      <c r="C147" s="71" t="n">
        <v>20</v>
      </c>
      <c r="D147" s="59" t="n">
        <v>19</v>
      </c>
      <c r="E147" s="26" t="n">
        <f aca="false">IF(VLOOKUP(MONTH(A147),SeasonTable,2,0)&lt;&gt;"Summer",VLOOKUP(MONTH(A147),ScalarTable,2,0),((0.059228/(B147/100))-(0.4980013/(SQRT(B147/100)))+2.137988))</f>
        <v>1.08</v>
      </c>
      <c r="F147" s="28" t="n">
        <f aca="false">+E147*B147</f>
        <v>31.0283953857422</v>
      </c>
      <c r="H147" s="72" t="n">
        <f aca="false">2-E147</f>
        <v>0.92</v>
      </c>
      <c r="I147" s="73" t="n">
        <f aca="false">B147*H147</f>
        <v>26.4315960693359</v>
      </c>
      <c r="J147" s="74" t="n">
        <f aca="false">C147*E147</f>
        <v>21.6</v>
      </c>
      <c r="K147" s="75" t="n">
        <f aca="false">C147*H147</f>
        <v>18.4</v>
      </c>
      <c r="L147" s="28" t="n">
        <f aca="false">D147*E147</f>
        <v>20.52</v>
      </c>
      <c r="N147" s="32" t="n">
        <v>15920.8407519501</v>
      </c>
      <c r="O147" s="32" t="n">
        <v>8771.38537666536</v>
      </c>
      <c r="P147" s="32" t="n">
        <v>21539.0263246186</v>
      </c>
      <c r="Q147" s="32" t="n">
        <v>15499.991393449</v>
      </c>
      <c r="R147" s="32" t="n">
        <v>11018.8836226646</v>
      </c>
      <c r="S147" s="34" t="n">
        <f aca="false">IF(Tables!$B$2=1,'Michigan Curve'!N147,IF(Tables!$B$2=2,'Michigan Curve'!O147,IF(Tables!$B$2=4,'Michigan Curve'!P147,IF(Tables!$B$2=5,'Michigan Curve'!Q147,IF(Tables!$B$2=3,'Michigan Curve'!R147,0)))))</f>
        <v>15499.991393449</v>
      </c>
    </row>
    <row r="148" customFormat="false" ht="12.75" hidden="false" customHeight="false" outlineLevel="0" collapsed="false">
      <c r="A148" s="21" t="n">
        <v>41244</v>
      </c>
      <c r="B148" s="22" t="n">
        <v>29.1999950408936</v>
      </c>
      <c r="C148" s="71" t="n">
        <v>20</v>
      </c>
      <c r="D148" s="59" t="n">
        <v>19</v>
      </c>
      <c r="E148" s="26" t="n">
        <f aca="false">IF(VLOOKUP(MONTH(A148),SeasonTable,2,0)&lt;&gt;"Summer",VLOOKUP(MONTH(A148),ScalarTable,2,0),((0.059228/(B148/100))-(0.4980013/(SQRT(B148/100)))+2.137988))</f>
        <v>1.02</v>
      </c>
      <c r="F148" s="28" t="n">
        <f aca="false">+E148*B148</f>
        <v>29.7839949417114</v>
      </c>
      <c r="H148" s="72" t="n">
        <f aca="false">2-E148</f>
        <v>0.98</v>
      </c>
      <c r="I148" s="73" t="n">
        <f aca="false">B148*H148</f>
        <v>28.6159951400757</v>
      </c>
      <c r="J148" s="74" t="n">
        <f aca="false">C148*E148</f>
        <v>20.4</v>
      </c>
      <c r="K148" s="75" t="n">
        <f aca="false">C148*H148</f>
        <v>19.6</v>
      </c>
      <c r="L148" s="28" t="n">
        <f aca="false">D148*E148</f>
        <v>19.38</v>
      </c>
      <c r="N148" s="32" t="n">
        <v>8592.69794738956</v>
      </c>
      <c r="O148" s="32" t="n">
        <v>4694.6938549329</v>
      </c>
      <c r="P148" s="32" t="n">
        <v>11644.4195959143</v>
      </c>
      <c r="Q148" s="32" t="n">
        <v>8239.73945687808</v>
      </c>
      <c r="R148" s="32" t="n">
        <v>5814.61422593393</v>
      </c>
      <c r="S148" s="34" t="n">
        <f aca="false">IF(Tables!$B$2=1,'Michigan Curve'!N148,IF(Tables!$B$2=2,'Michigan Curve'!O148,IF(Tables!$B$2=4,'Michigan Curve'!P148,IF(Tables!$B$2=5,'Michigan Curve'!Q148,IF(Tables!$B$2=3,'Michigan Curve'!R148,0)))))</f>
        <v>8239.73945687808</v>
      </c>
    </row>
    <row r="149" customFormat="false" ht="12.75" hidden="false" customHeight="false" outlineLevel="0" collapsed="false">
      <c r="A149" s="21" t="n">
        <v>41275</v>
      </c>
      <c r="B149" s="22" t="n">
        <v>34.7000003814697</v>
      </c>
      <c r="C149" s="71" t="n">
        <v>22</v>
      </c>
      <c r="D149" s="59" t="n">
        <v>21</v>
      </c>
      <c r="E149" s="26" t="n">
        <f aca="false">IF(VLOOKUP(MONTH(A149),SeasonTable,2,0)&lt;&gt;"Summer",VLOOKUP(MONTH(A149),ScalarTable,2,0),((0.059228/(B149/100))-(0.4980013/(SQRT(B149/100)))+2.137988))</f>
        <v>1.02</v>
      </c>
      <c r="F149" s="28" t="n">
        <f aca="false">+E149*B149</f>
        <v>35.3940003890991</v>
      </c>
      <c r="H149" s="72" t="n">
        <f aca="false">2-E149</f>
        <v>0.98</v>
      </c>
      <c r="I149" s="73" t="n">
        <f aca="false">B149*H149</f>
        <v>34.0060003738403</v>
      </c>
      <c r="J149" s="74" t="n">
        <f aca="false">C149*E149</f>
        <v>22.44</v>
      </c>
      <c r="K149" s="75" t="n">
        <f aca="false">C149*H149</f>
        <v>21.56</v>
      </c>
      <c r="L149" s="28" t="n">
        <f aca="false">D149*E149</f>
        <v>21.42</v>
      </c>
      <c r="N149" s="32" t="n">
        <v>43322.4329678477</v>
      </c>
      <c r="O149" s="32" t="n">
        <v>24290.7223330905</v>
      </c>
      <c r="P149" s="32" t="n">
        <v>58404.6310006357</v>
      </c>
      <c r="Q149" s="32" t="n">
        <v>43564.3867377292</v>
      </c>
      <c r="R149" s="32" t="n">
        <v>33179.659906956</v>
      </c>
      <c r="S149" s="34" t="n">
        <f aca="false">IF(Tables!$B$2=1,'Michigan Curve'!N149,IF(Tables!$B$2=2,'Michigan Curve'!O149,IF(Tables!$B$2=4,'Michigan Curve'!P149,IF(Tables!$B$2=5,'Michigan Curve'!Q149,IF(Tables!$B$2=3,'Michigan Curve'!R149,0)))))</f>
        <v>43564.3867377292</v>
      </c>
    </row>
    <row r="150" customFormat="false" ht="12.75" hidden="false" customHeight="false" outlineLevel="0" collapsed="false">
      <c r="A150" s="21" t="n">
        <v>41306</v>
      </c>
      <c r="B150" s="22" t="n">
        <v>34.6999984741211</v>
      </c>
      <c r="C150" s="71" t="n">
        <v>21.996000289917</v>
      </c>
      <c r="D150" s="59" t="n">
        <v>20.9965019226074</v>
      </c>
      <c r="E150" s="26" t="n">
        <f aca="false">IF(VLOOKUP(MONTH(A150),SeasonTable,2,0)&lt;&gt;"Summer",VLOOKUP(MONTH(A150),ScalarTable,2,0),((0.059228/(B150/100))-(0.4980013/(SQRT(B150/100)))+2.137988))</f>
        <v>1.02</v>
      </c>
      <c r="F150" s="28" t="n">
        <f aca="false">+E150*B150</f>
        <v>35.3939984436035</v>
      </c>
      <c r="H150" s="72" t="n">
        <f aca="false">2-E150</f>
        <v>0.98</v>
      </c>
      <c r="I150" s="73" t="n">
        <f aca="false">B150*H150</f>
        <v>34.0059985046387</v>
      </c>
      <c r="J150" s="74" t="n">
        <f aca="false">C150*E150</f>
        <v>22.4359202957153</v>
      </c>
      <c r="K150" s="75" t="n">
        <f aca="false">C150*H150</f>
        <v>21.5560802841187</v>
      </c>
      <c r="L150" s="28" t="n">
        <f aca="false">D150*E150</f>
        <v>21.4164319610596</v>
      </c>
      <c r="N150" s="32" t="n">
        <v>39536.2861689755</v>
      </c>
      <c r="O150" s="32" t="n">
        <v>22171.5039909478</v>
      </c>
      <c r="P150" s="32" t="n">
        <v>53298.6319703248</v>
      </c>
      <c r="Q150" s="32" t="n">
        <v>39769.3112615208</v>
      </c>
      <c r="R150" s="32" t="n">
        <v>30320.6138558791</v>
      </c>
      <c r="S150" s="34" t="n">
        <f aca="false">IF(Tables!$B$2=1,'Michigan Curve'!N150,IF(Tables!$B$2=2,'Michigan Curve'!O150,IF(Tables!$B$2=4,'Michigan Curve'!P150,IF(Tables!$B$2=5,'Michigan Curve'!Q150,IF(Tables!$B$2=3,'Michigan Curve'!R150,0)))))</f>
        <v>39769.3112615208</v>
      </c>
    </row>
    <row r="151" customFormat="false" ht="12.75" hidden="false" customHeight="false" outlineLevel="0" collapsed="false">
      <c r="A151" s="21" t="n">
        <v>41334</v>
      </c>
      <c r="B151" s="22" t="n">
        <v>29.5</v>
      </c>
      <c r="C151" s="71" t="n">
        <v>20</v>
      </c>
      <c r="D151" s="59" t="n">
        <v>19</v>
      </c>
      <c r="E151" s="26" t="n">
        <f aca="false">IF(VLOOKUP(MONTH(A151),SeasonTable,2,0)&lt;&gt;"Summer",VLOOKUP(MONTH(A151),ScalarTable,2,0),((0.059228/(B151/100))-(0.4980013/(SQRT(B151/100)))+2.137988))</f>
        <v>1.02</v>
      </c>
      <c r="F151" s="28" t="n">
        <f aca="false">+E151*B151</f>
        <v>30.09</v>
      </c>
      <c r="H151" s="72" t="n">
        <f aca="false">2-E151</f>
        <v>0.98</v>
      </c>
      <c r="I151" s="73" t="n">
        <f aca="false">B151*H151</f>
        <v>28.91</v>
      </c>
      <c r="J151" s="74" t="n">
        <f aca="false">C151*E151</f>
        <v>20.4</v>
      </c>
      <c r="K151" s="75" t="n">
        <f aca="false">C151*H151</f>
        <v>19.6</v>
      </c>
      <c r="L151" s="28" t="n">
        <f aca="false">D151*E151</f>
        <v>19.38</v>
      </c>
      <c r="N151" s="32" t="n">
        <v>10517.450388955</v>
      </c>
      <c r="O151" s="32" t="n">
        <v>5768.43716383303</v>
      </c>
      <c r="P151" s="32" t="n">
        <v>14241.8025742585</v>
      </c>
      <c r="Q151" s="32" t="n">
        <v>10155.8134401894</v>
      </c>
      <c r="R151" s="32" t="n">
        <v>7125.1657321777</v>
      </c>
      <c r="S151" s="34" t="n">
        <f aca="false">IF(Tables!$B$2=1,'Michigan Curve'!N151,IF(Tables!$B$2=2,'Michigan Curve'!O151,IF(Tables!$B$2=4,'Michigan Curve'!P151,IF(Tables!$B$2=5,'Michigan Curve'!Q151,IF(Tables!$B$2=3,'Michigan Curve'!R151,0)))))</f>
        <v>10155.8134401894</v>
      </c>
    </row>
    <row r="152" customFormat="false" ht="12.75" hidden="false" customHeight="false" outlineLevel="0" collapsed="false">
      <c r="A152" s="21" t="n">
        <v>41365</v>
      </c>
      <c r="B152" s="22" t="n">
        <v>29.75</v>
      </c>
      <c r="C152" s="71" t="n">
        <v>20</v>
      </c>
      <c r="D152" s="59" t="n">
        <v>18.9950008392334</v>
      </c>
      <c r="E152" s="26" t="n">
        <f aca="false">IF(VLOOKUP(MONTH(A152),SeasonTable,2,0)&lt;&gt;"Summer",VLOOKUP(MONTH(A152),ScalarTable,2,0),((0.059228/(B152/100))-(0.4980013/(SQRT(B152/100)))+2.137988))</f>
        <v>1</v>
      </c>
      <c r="F152" s="28" t="n">
        <f aca="false">+E152*B152</f>
        <v>29.75</v>
      </c>
      <c r="H152" s="72" t="n">
        <f aca="false">2-E152</f>
        <v>1</v>
      </c>
      <c r="I152" s="73" t="n">
        <f aca="false">B152*H152</f>
        <v>29.75</v>
      </c>
      <c r="J152" s="74" t="n">
        <f aca="false">C152*E152</f>
        <v>20</v>
      </c>
      <c r="K152" s="75" t="n">
        <f aca="false">C152*H152</f>
        <v>20</v>
      </c>
      <c r="L152" s="28" t="n">
        <f aca="false">D152*E152</f>
        <v>18.9950008392334</v>
      </c>
      <c r="N152" s="32" t="n">
        <v>12871.0676683618</v>
      </c>
      <c r="O152" s="32" t="n">
        <v>7060.45940521568</v>
      </c>
      <c r="P152" s="32" t="n">
        <v>17428.1581319202</v>
      </c>
      <c r="Q152" s="32" t="n">
        <v>12430.705707553</v>
      </c>
      <c r="R152" s="32" t="n">
        <v>8699.38859835368</v>
      </c>
      <c r="S152" s="34" t="n">
        <f aca="false">IF(Tables!$B$2=1,'Michigan Curve'!N152,IF(Tables!$B$2=2,'Michigan Curve'!O152,IF(Tables!$B$2=4,'Michigan Curve'!P152,IF(Tables!$B$2=5,'Michigan Curve'!Q152,IF(Tables!$B$2=3,'Michigan Curve'!R152,0)))))</f>
        <v>12430.705707553</v>
      </c>
    </row>
    <row r="153" customFormat="false" ht="12.75" hidden="false" customHeight="false" outlineLevel="0" collapsed="false">
      <c r="A153" s="21" t="n">
        <v>41395</v>
      </c>
      <c r="B153" s="22" t="n">
        <v>33.5</v>
      </c>
      <c r="C153" s="71" t="n">
        <v>21</v>
      </c>
      <c r="D153" s="59" t="n">
        <v>20.0049991607666</v>
      </c>
      <c r="E153" s="26" t="n">
        <f aca="false">IF(VLOOKUP(MONTH(A153),SeasonTable,2,0)&lt;&gt;"Summer",VLOOKUP(MONTH(A153),ScalarTable,2,0),((0.059228/(B153/100))-(0.4980013/(SQRT(B153/100)))+2.137988))</f>
        <v>1.07625000178814</v>
      </c>
      <c r="F153" s="28" t="n">
        <f aca="false">+E153*B153</f>
        <v>36.0543750599027</v>
      </c>
      <c r="H153" s="72" t="n">
        <f aca="false">2-E153</f>
        <v>0.923749998211861</v>
      </c>
      <c r="I153" s="73" t="n">
        <f aca="false">B153*H153</f>
        <v>30.9456249400973</v>
      </c>
      <c r="J153" s="74" t="n">
        <f aca="false">C153*E153</f>
        <v>22.6012500375509</v>
      </c>
      <c r="K153" s="75" t="n">
        <f aca="false">C153*H153</f>
        <v>19.3987499624491</v>
      </c>
      <c r="L153" s="28" t="n">
        <f aca="false">D153*E153</f>
        <v>21.5303803825468</v>
      </c>
      <c r="N153" s="32" t="n">
        <v>24534.2834377418</v>
      </c>
      <c r="O153" s="32" t="n">
        <v>13315.720626191</v>
      </c>
      <c r="P153" s="32" t="n">
        <v>33289.7250628657</v>
      </c>
      <c r="Q153" s="32" t="n">
        <v>23208.3443058107</v>
      </c>
      <c r="R153" s="32" t="n">
        <v>14790.941267379</v>
      </c>
      <c r="S153" s="34" t="n">
        <f aca="false">IF(Tables!$B$2=1,'Michigan Curve'!N153,IF(Tables!$B$2=2,'Michigan Curve'!O153,IF(Tables!$B$2=4,'Michigan Curve'!P153,IF(Tables!$B$2=5,'Michigan Curve'!Q153,IF(Tables!$B$2=3,'Michigan Curve'!R153,0)))))</f>
        <v>23208.3443058107</v>
      </c>
    </row>
    <row r="154" customFormat="false" ht="12.75" hidden="false" customHeight="false" outlineLevel="0" collapsed="false">
      <c r="A154" s="21" t="n">
        <v>41426</v>
      </c>
      <c r="B154" s="22" t="n">
        <v>54.25</v>
      </c>
      <c r="C154" s="71" t="n">
        <v>26</v>
      </c>
      <c r="D154" s="59" t="n">
        <v>24</v>
      </c>
      <c r="E154" s="26" t="n">
        <f aca="false">IF(VLOOKUP(MONTH(A154),SeasonTable,2,0)&lt;&gt;"Summer",VLOOKUP(MONTH(A154),ScalarTable,2,0),((0.059228/(B154/100))-(0.4980013/(SQRT(B154/100)))+2.137988))</f>
        <v>1.57103341550243</v>
      </c>
      <c r="F154" s="28" t="n">
        <f aca="false">+E154*B154</f>
        <v>85.2285627910069</v>
      </c>
      <c r="H154" s="72" t="n">
        <f aca="false">2-E154</f>
        <v>0.428966584497569</v>
      </c>
      <c r="I154" s="73" t="n">
        <f aca="false">B154*H154</f>
        <v>23.2714372089931</v>
      </c>
      <c r="J154" s="74" t="n">
        <f aca="false">C154*E154</f>
        <v>40.8468688030632</v>
      </c>
      <c r="K154" s="75" t="n">
        <f aca="false">C154*H154</f>
        <v>11.1531311969368</v>
      </c>
      <c r="L154" s="28" t="n">
        <f aca="false">D154*E154</f>
        <v>37.7048019720583</v>
      </c>
      <c r="N154" s="32" t="n">
        <v>84379.8890443128</v>
      </c>
      <c r="O154" s="32" t="n">
        <v>51122.3071733948</v>
      </c>
      <c r="P154" s="32" t="n">
        <v>112063.379082459</v>
      </c>
      <c r="Q154" s="32" t="n">
        <v>98274.8064026923</v>
      </c>
      <c r="R154" s="32" t="n">
        <v>109637.194962431</v>
      </c>
      <c r="S154" s="34" t="n">
        <f aca="false">IF(Tables!$B$2=1,'Michigan Curve'!N154,IF(Tables!$B$2=2,'Michigan Curve'!O154,IF(Tables!$B$2=4,'Michigan Curve'!P154,IF(Tables!$B$2=5,'Michigan Curve'!Q154,IF(Tables!$B$2=3,'Michigan Curve'!R154,0)))))</f>
        <v>98274.8064026923</v>
      </c>
    </row>
    <row r="155" customFormat="false" ht="12.75" hidden="false" customHeight="false" outlineLevel="0" collapsed="false">
      <c r="A155" s="21" t="n">
        <v>41456</v>
      </c>
      <c r="B155" s="22" t="n">
        <v>95</v>
      </c>
      <c r="C155" s="71" t="n">
        <v>35</v>
      </c>
      <c r="D155" s="59" t="n">
        <v>30.9999980926514</v>
      </c>
      <c r="E155" s="26" t="n">
        <f aca="false">IF(VLOOKUP(MONTH(A155),SeasonTable,2,0)&lt;&gt;"Summer",VLOOKUP(MONTH(A155),ScalarTable,2,0),((0.059228/(B155/100))-(0.4980013/(SQRT(B155/100)))+2.137988))</f>
        <v>1.68939471004763</v>
      </c>
      <c r="F155" s="28" t="n">
        <f aca="false">+E155*B155</f>
        <v>160.492497454525</v>
      </c>
      <c r="H155" s="72" t="n">
        <f aca="false">2-E155</f>
        <v>0.31060528995237</v>
      </c>
      <c r="I155" s="73" t="n">
        <f aca="false">B155*H155</f>
        <v>29.5075025454751</v>
      </c>
      <c r="J155" s="74" t="n">
        <f aca="false">C155*E155</f>
        <v>59.1288148516671</v>
      </c>
      <c r="K155" s="75" t="n">
        <f aca="false">C155*H155</f>
        <v>10.8711851483329</v>
      </c>
      <c r="L155" s="28" t="n">
        <f aca="false">D155*E155</f>
        <v>52.3712327892119</v>
      </c>
      <c r="N155" s="32" t="n">
        <v>257942.487633102</v>
      </c>
      <c r="O155" s="32" t="n">
        <v>153917.477985797</v>
      </c>
      <c r="P155" s="32" t="n">
        <v>343495.781278022</v>
      </c>
      <c r="Q155" s="32" t="n">
        <v>291367.583863832</v>
      </c>
      <c r="R155" s="32" t="n">
        <v>292812.09787194</v>
      </c>
      <c r="S155" s="34" t="n">
        <f aca="false">IF(Tables!$B$2=1,'Michigan Curve'!N155,IF(Tables!$B$2=2,'Michigan Curve'!O155,IF(Tables!$B$2=4,'Michigan Curve'!P155,IF(Tables!$B$2=5,'Michigan Curve'!Q155,IF(Tables!$B$2=3,'Michigan Curve'!R155,0)))))</f>
        <v>291367.583863832</v>
      </c>
    </row>
    <row r="156" customFormat="false" ht="12.75" hidden="false" customHeight="false" outlineLevel="0" collapsed="false">
      <c r="A156" s="21" t="n">
        <v>41487</v>
      </c>
      <c r="B156" s="22" t="n">
        <v>95</v>
      </c>
      <c r="C156" s="71" t="n">
        <v>35.0000038146973</v>
      </c>
      <c r="D156" s="59" t="n">
        <v>31</v>
      </c>
      <c r="E156" s="26" t="n">
        <f aca="false">IF(VLOOKUP(MONTH(A156),SeasonTable,2,0)&lt;&gt;"Summer",VLOOKUP(MONTH(A156),ScalarTable,2,0),((0.059228/(B156/100))-(0.4980013/(SQRT(B156/100)))+2.137988))</f>
        <v>1.68939471004763</v>
      </c>
      <c r="F156" s="28" t="n">
        <f aca="false">+E156*B156</f>
        <v>160.492497454525</v>
      </c>
      <c r="H156" s="72" t="n">
        <f aca="false">2-E156</f>
        <v>0.31060528995237</v>
      </c>
      <c r="I156" s="73" t="n">
        <f aca="false">B156*H156</f>
        <v>29.5075025454751</v>
      </c>
      <c r="J156" s="74" t="n">
        <f aca="false">C156*E156</f>
        <v>59.1288212961964</v>
      </c>
      <c r="K156" s="75" t="n">
        <f aca="false">C156*H156</f>
        <v>10.8711863331981</v>
      </c>
      <c r="L156" s="28" t="n">
        <f aca="false">D156*E156</f>
        <v>52.3712360114765</v>
      </c>
      <c r="N156" s="32" t="n">
        <v>256090.783300777</v>
      </c>
      <c r="O156" s="32" t="n">
        <v>153735.368780927</v>
      </c>
      <c r="P156" s="32" t="n">
        <v>340621.788064223</v>
      </c>
      <c r="Q156" s="32" t="n">
        <v>292554.224392762</v>
      </c>
      <c r="R156" s="32" t="n">
        <v>303035.182114013</v>
      </c>
      <c r="S156" s="34" t="n">
        <f aca="false">IF(Tables!$B$2=1,'Michigan Curve'!N156,IF(Tables!$B$2=2,'Michigan Curve'!O156,IF(Tables!$B$2=4,'Michigan Curve'!P156,IF(Tables!$B$2=5,'Michigan Curve'!Q156,IF(Tables!$B$2=3,'Michigan Curve'!R156,0)))))</f>
        <v>292554.224392762</v>
      </c>
    </row>
    <row r="157" customFormat="false" ht="12.75" hidden="false" customHeight="false" outlineLevel="0" collapsed="false">
      <c r="A157" s="21" t="n">
        <v>41518</v>
      </c>
      <c r="B157" s="22" t="n">
        <v>36.25</v>
      </c>
      <c r="C157" s="71" t="n">
        <v>25</v>
      </c>
      <c r="D157" s="59" t="n">
        <v>24</v>
      </c>
      <c r="E157" s="26" t="n">
        <f aca="false">IF(VLOOKUP(MONTH(A157),SeasonTable,2,0)&lt;&gt;"Summer",VLOOKUP(MONTH(A157),ScalarTable,2,0),((0.059228/(B157/100))-(0.4980013/(SQRT(B157/100)))+2.137988))</f>
        <v>1.35124999284744</v>
      </c>
      <c r="F157" s="28" t="n">
        <f aca="false">+E157*B157</f>
        <v>48.9828122407198</v>
      </c>
      <c r="H157" s="72" t="n">
        <f aca="false">2-E157</f>
        <v>0.648750007152557</v>
      </c>
      <c r="I157" s="73" t="n">
        <f aca="false">B157*H157</f>
        <v>23.5171877592802</v>
      </c>
      <c r="J157" s="74" t="n">
        <f aca="false">C157*E157</f>
        <v>33.7812498211861</v>
      </c>
      <c r="K157" s="75" t="n">
        <f aca="false">C157*H157</f>
        <v>16.2187501788139</v>
      </c>
      <c r="L157" s="28" t="n">
        <f aca="false">D157*E157</f>
        <v>32.4299998283386</v>
      </c>
      <c r="N157" s="32" t="n">
        <v>148774.741731234</v>
      </c>
      <c r="O157" s="32" t="n">
        <v>82924.7183768355</v>
      </c>
      <c r="P157" s="32" t="n">
        <v>200782.218308852</v>
      </c>
      <c r="Q157" s="32" t="n">
        <v>147756.746813379</v>
      </c>
      <c r="R157" s="32" t="n">
        <v>103746.388705558</v>
      </c>
      <c r="S157" s="34" t="n">
        <f aca="false">IF(Tables!$B$2=1,'Michigan Curve'!N157,IF(Tables!$B$2=2,'Michigan Curve'!O157,IF(Tables!$B$2=4,'Michigan Curve'!P157,IF(Tables!$B$2=5,'Michigan Curve'!Q157,IF(Tables!$B$2=3,'Michigan Curve'!R157,0)))))</f>
        <v>147756.746813379</v>
      </c>
    </row>
    <row r="158" customFormat="false" ht="12.75" hidden="false" customHeight="false" outlineLevel="0" collapsed="false">
      <c r="A158" s="21" t="n">
        <v>41548</v>
      </c>
      <c r="B158" s="22" t="n">
        <v>29.3499946594238</v>
      </c>
      <c r="C158" s="71" t="n">
        <v>19.996000289917</v>
      </c>
      <c r="D158" s="59" t="n">
        <v>18.9965000152588</v>
      </c>
      <c r="E158" s="26" t="n">
        <f aca="false">IF(VLOOKUP(MONTH(A158),SeasonTable,2,0)&lt;&gt;"Summer",VLOOKUP(MONTH(A158),ScalarTable,2,0),((0.059228/(B158/100))-(0.4980013/(SQRT(B158/100)))+2.137988))</f>
        <v>1</v>
      </c>
      <c r="F158" s="28" t="n">
        <f aca="false">+E158*B158</f>
        <v>29.3499946594238</v>
      </c>
      <c r="H158" s="72" t="n">
        <f aca="false">2-E158</f>
        <v>1</v>
      </c>
      <c r="I158" s="73" t="n">
        <f aca="false">B158*H158</f>
        <v>29.3499946594238</v>
      </c>
      <c r="J158" s="74" t="n">
        <f aca="false">C158*E158</f>
        <v>19.996000289917</v>
      </c>
      <c r="K158" s="75" t="n">
        <f aca="false">C158*H158</f>
        <v>19.996000289917</v>
      </c>
      <c r="L158" s="28" t="n">
        <f aca="false">D158*E158</f>
        <v>18.9965000152588</v>
      </c>
      <c r="N158" s="32" t="n">
        <v>3160.63776401521</v>
      </c>
      <c r="O158" s="32" t="n">
        <v>1658.06746274633</v>
      </c>
      <c r="P158" s="32" t="n">
        <v>4317.96393630131</v>
      </c>
      <c r="Q158" s="32" t="n">
        <v>2808.77864511269</v>
      </c>
      <c r="R158" s="32" t="n">
        <v>1569.37869258599</v>
      </c>
      <c r="S158" s="34" t="n">
        <f aca="false">IF(Tables!$B$2=1,'Michigan Curve'!N158,IF(Tables!$B$2=2,'Michigan Curve'!O158,IF(Tables!$B$2=4,'Michigan Curve'!P158,IF(Tables!$B$2=5,'Michigan Curve'!Q158,IF(Tables!$B$2=3,'Michigan Curve'!R158,0)))))</f>
        <v>2808.77864511269</v>
      </c>
    </row>
    <row r="159" customFormat="false" ht="12.75" hidden="false" customHeight="false" outlineLevel="0" collapsed="false">
      <c r="A159" s="21" t="n">
        <v>41579</v>
      </c>
      <c r="B159" s="22" t="n">
        <v>29.2299957275391</v>
      </c>
      <c r="C159" s="71" t="n">
        <v>20</v>
      </c>
      <c r="D159" s="59" t="n">
        <v>19</v>
      </c>
      <c r="E159" s="26" t="n">
        <f aca="false">IF(VLOOKUP(MONTH(A159),SeasonTable,2,0)&lt;&gt;"Summer",VLOOKUP(MONTH(A159),ScalarTable,2,0),((0.059228/(B159/100))-(0.4980013/(SQRT(B159/100)))+2.137988))</f>
        <v>1.08</v>
      </c>
      <c r="F159" s="28" t="n">
        <f aca="false">+E159*B159</f>
        <v>31.5683953857422</v>
      </c>
      <c r="H159" s="72" t="n">
        <f aca="false">2-E159</f>
        <v>0.92</v>
      </c>
      <c r="I159" s="73" t="n">
        <f aca="false">B159*H159</f>
        <v>26.8915960693359</v>
      </c>
      <c r="J159" s="74" t="n">
        <f aca="false">C159*E159</f>
        <v>21.6</v>
      </c>
      <c r="K159" s="75" t="n">
        <f aca="false">C159*H159</f>
        <v>18.4</v>
      </c>
      <c r="L159" s="28" t="n">
        <f aca="false">D159*E159</f>
        <v>20.52</v>
      </c>
      <c r="N159" s="32" t="n">
        <v>16354.2061310929</v>
      </c>
      <c r="O159" s="32" t="n">
        <v>9032.84483933321</v>
      </c>
      <c r="P159" s="32" t="n">
        <v>22114.2416845872</v>
      </c>
      <c r="Q159" s="32" t="n">
        <v>15996.6719383809</v>
      </c>
      <c r="R159" s="32" t="n">
        <v>11567.4045041193</v>
      </c>
      <c r="S159" s="34" t="n">
        <f aca="false">IF(Tables!$B$2=1,'Michigan Curve'!N159,IF(Tables!$B$2=2,'Michigan Curve'!O159,IF(Tables!$B$2=4,'Michigan Curve'!P159,IF(Tables!$B$2=5,'Michigan Curve'!Q159,IF(Tables!$B$2=3,'Michigan Curve'!R159,0)))))</f>
        <v>15996.6719383809</v>
      </c>
    </row>
    <row r="160" customFormat="false" ht="12.75" hidden="false" customHeight="false" outlineLevel="0" collapsed="false">
      <c r="A160" s="21" t="n">
        <v>41609</v>
      </c>
      <c r="B160" s="22" t="n">
        <v>29.6999950408936</v>
      </c>
      <c r="C160" s="71" t="n">
        <v>20</v>
      </c>
      <c r="D160" s="59" t="n">
        <v>19</v>
      </c>
      <c r="E160" s="26" t="n">
        <f aca="false">IF(VLOOKUP(MONTH(A160),SeasonTable,2,0)&lt;&gt;"Summer",VLOOKUP(MONTH(A160),ScalarTable,2,0),((0.059228/(B160/100))-(0.4980013/(SQRT(B160/100)))+2.137988))</f>
        <v>1.02</v>
      </c>
      <c r="F160" s="28" t="n">
        <f aca="false">+E160*B160</f>
        <v>30.2939949417114</v>
      </c>
      <c r="H160" s="72" t="n">
        <f aca="false">2-E160</f>
        <v>0.98</v>
      </c>
      <c r="I160" s="73" t="n">
        <f aca="false">B160*H160</f>
        <v>29.1059951400757</v>
      </c>
      <c r="J160" s="74" t="n">
        <f aca="false">C160*E160</f>
        <v>20.4</v>
      </c>
      <c r="K160" s="75" t="n">
        <f aca="false">C160*H160</f>
        <v>19.6</v>
      </c>
      <c r="L160" s="28" t="n">
        <f aca="false">D160*E160</f>
        <v>19.38</v>
      </c>
      <c r="N160" s="32" t="n">
        <v>10057.4848011164</v>
      </c>
      <c r="O160" s="32" t="n">
        <v>5513.07113983791</v>
      </c>
      <c r="P160" s="32" t="n">
        <v>13620.5070362204</v>
      </c>
      <c r="Q160" s="32" t="n">
        <v>9703.09500719753</v>
      </c>
      <c r="R160" s="32" t="n">
        <v>6986.71575057208</v>
      </c>
      <c r="S160" s="34" t="n">
        <f aca="false">IF(Tables!$B$2=1,'Michigan Curve'!N160,IF(Tables!$B$2=2,'Michigan Curve'!O160,IF(Tables!$B$2=4,'Michigan Curve'!P160,IF(Tables!$B$2=5,'Michigan Curve'!Q160,IF(Tables!$B$2=3,'Michigan Curve'!R160,0)))))</f>
        <v>9703.09500719753</v>
      </c>
    </row>
    <row r="161" customFormat="false" ht="12.75" hidden="false" customHeight="false" outlineLevel="0" collapsed="false">
      <c r="A161" s="21" t="n">
        <v>41640</v>
      </c>
      <c r="B161" s="22" t="n">
        <v>35.2000003814697</v>
      </c>
      <c r="C161" s="71" t="n">
        <v>22</v>
      </c>
      <c r="D161" s="59" t="n">
        <v>21</v>
      </c>
      <c r="E161" s="26" t="n">
        <f aca="false">IF(VLOOKUP(MONTH(A161),SeasonTable,2,0)&lt;&gt;"Summer",VLOOKUP(MONTH(A161),ScalarTable,2,0),((0.059228/(B161/100))-(0.4980013/(SQRT(B161/100)))+2.137988))</f>
        <v>1.02</v>
      </c>
      <c r="F161" s="28" t="n">
        <f aca="false">+E161*B161</f>
        <v>35.9040003890991</v>
      </c>
      <c r="H161" s="72" t="n">
        <f aca="false">2-E161</f>
        <v>0.98</v>
      </c>
      <c r="I161" s="73" t="n">
        <f aca="false">B161*H161</f>
        <v>34.4960003738403</v>
      </c>
      <c r="J161" s="74" t="n">
        <f aca="false">C161*E161</f>
        <v>22.44</v>
      </c>
      <c r="K161" s="75" t="n">
        <f aca="false">C161*H161</f>
        <v>21.56</v>
      </c>
      <c r="L161" s="28" t="n">
        <f aca="false">D161*E161</f>
        <v>21.42</v>
      </c>
      <c r="N161" s="32" t="n">
        <v>49889.3781308645</v>
      </c>
      <c r="O161" s="32" t="n">
        <v>28050.7897505843</v>
      </c>
      <c r="P161" s="32" t="n">
        <v>67220.3844070542</v>
      </c>
      <c r="Q161" s="32" t="n">
        <v>50427.8441385469</v>
      </c>
      <c r="R161" s="32" t="n">
        <v>39119.4767290497</v>
      </c>
      <c r="S161" s="34" t="n">
        <f aca="false">IF(Tables!$B$2=1,'Michigan Curve'!N161,IF(Tables!$B$2=2,'Michigan Curve'!O161,IF(Tables!$B$2=4,'Michigan Curve'!P161,IF(Tables!$B$2=5,'Michigan Curve'!Q161,IF(Tables!$B$2=3,'Michigan Curve'!R161,0)))))</f>
        <v>50427.8441385469</v>
      </c>
    </row>
    <row r="162" customFormat="false" ht="12.75" hidden="false" customHeight="false" outlineLevel="0" collapsed="false">
      <c r="A162" s="21" t="n">
        <v>41671</v>
      </c>
      <c r="B162" s="22" t="n">
        <v>35.1999984741211</v>
      </c>
      <c r="C162" s="71" t="n">
        <v>21.996000289917</v>
      </c>
      <c r="D162" s="59" t="n">
        <v>20.9965019226074</v>
      </c>
      <c r="E162" s="26" t="n">
        <f aca="false">IF(VLOOKUP(MONTH(A162),SeasonTable,2,0)&lt;&gt;"Summer",VLOOKUP(MONTH(A162),ScalarTable,2,0),((0.059228/(B162/100))-(0.4980013/(SQRT(B162/100)))+2.137988))</f>
        <v>1.02</v>
      </c>
      <c r="F162" s="28" t="n">
        <f aca="false">+E162*B162</f>
        <v>35.9039984436035</v>
      </c>
      <c r="H162" s="72" t="n">
        <f aca="false">2-E162</f>
        <v>0.98</v>
      </c>
      <c r="I162" s="73" t="n">
        <f aca="false">B162*H162</f>
        <v>34.4959985046387</v>
      </c>
      <c r="J162" s="74" t="n">
        <f aca="false">C162*E162</f>
        <v>22.4359202957153</v>
      </c>
      <c r="K162" s="75" t="n">
        <f aca="false">C162*H162</f>
        <v>21.5560802841187</v>
      </c>
      <c r="L162" s="28" t="n">
        <f aca="false">D162*E162</f>
        <v>21.4164319610596</v>
      </c>
      <c r="N162" s="32" t="n">
        <v>45344.031331164</v>
      </c>
      <c r="O162" s="32" t="n">
        <v>25497.5350566621</v>
      </c>
      <c r="P162" s="32" t="n">
        <v>61094.8946466699</v>
      </c>
      <c r="Q162" s="32" t="n">
        <v>45841.5694549464</v>
      </c>
      <c r="R162" s="32" t="n">
        <v>35583.7408288431</v>
      </c>
      <c r="S162" s="34" t="n">
        <f aca="false">IF(Tables!$B$2=1,'Michigan Curve'!N162,IF(Tables!$B$2=2,'Michigan Curve'!O162,IF(Tables!$B$2=4,'Michigan Curve'!P162,IF(Tables!$B$2=5,'Michigan Curve'!Q162,IF(Tables!$B$2=3,'Michigan Curve'!R162,0)))))</f>
        <v>45841.5694549464</v>
      </c>
    </row>
    <row r="163" customFormat="false" ht="12.75" hidden="false" customHeight="false" outlineLevel="0" collapsed="false">
      <c r="A163" s="21" t="n">
        <v>41699</v>
      </c>
      <c r="B163" s="22" t="n">
        <v>30</v>
      </c>
      <c r="C163" s="71" t="n">
        <v>20</v>
      </c>
      <c r="D163" s="59" t="n">
        <v>19</v>
      </c>
      <c r="E163" s="26" t="n">
        <f aca="false">IF(VLOOKUP(MONTH(A163),SeasonTable,2,0)&lt;&gt;"Summer",VLOOKUP(MONTH(A163),ScalarTable,2,0),((0.059228/(B163/100))-(0.4980013/(SQRT(B163/100)))+2.137988))</f>
        <v>1.02</v>
      </c>
      <c r="F163" s="28" t="n">
        <f aca="false">+E163*B163</f>
        <v>30.6</v>
      </c>
      <c r="H163" s="72" t="n">
        <f aca="false">2-E163</f>
        <v>0.98</v>
      </c>
      <c r="I163" s="73" t="n">
        <f aca="false">B163*H163</f>
        <v>29.4</v>
      </c>
      <c r="J163" s="74" t="n">
        <f aca="false">C163*E163</f>
        <v>20.4</v>
      </c>
      <c r="K163" s="75" t="n">
        <f aca="false">C163*H163</f>
        <v>19.6</v>
      </c>
      <c r="L163" s="28" t="n">
        <f aca="false">D163*E163</f>
        <v>19.38</v>
      </c>
      <c r="N163" s="32" t="n">
        <v>12963.0777601811</v>
      </c>
      <c r="O163" s="32" t="n">
        <v>7140.15232892541</v>
      </c>
      <c r="P163" s="32" t="n">
        <v>17538.5010660732</v>
      </c>
      <c r="Q163" s="32" t="n">
        <v>12616.3876947942</v>
      </c>
      <c r="R163" s="32" t="n">
        <v>9095.21252053196</v>
      </c>
      <c r="S163" s="34" t="n">
        <f aca="false">IF(Tables!$B$2=1,'Michigan Curve'!N163,IF(Tables!$B$2=2,'Michigan Curve'!O163,IF(Tables!$B$2=4,'Michigan Curve'!P163,IF(Tables!$B$2=5,'Michigan Curve'!Q163,IF(Tables!$B$2=3,'Michigan Curve'!R163,0)))))</f>
        <v>12616.3876947942</v>
      </c>
    </row>
    <row r="164" customFormat="false" ht="12.75" hidden="false" customHeight="false" outlineLevel="0" collapsed="false">
      <c r="A164" s="21" t="n">
        <v>41730</v>
      </c>
      <c r="B164" s="22" t="n">
        <v>30.25</v>
      </c>
      <c r="C164" s="71" t="n">
        <v>20</v>
      </c>
      <c r="D164" s="59" t="n">
        <v>18.9950008392334</v>
      </c>
      <c r="E164" s="26" t="n">
        <f aca="false">IF(VLOOKUP(MONTH(A164),SeasonTable,2,0)&lt;&gt;"Summer",VLOOKUP(MONTH(A164),ScalarTable,2,0),((0.059228/(B164/100))-(0.4980013/(SQRT(B164/100)))+2.137988))</f>
        <v>1</v>
      </c>
      <c r="F164" s="28" t="n">
        <f aca="false">+E164*B164</f>
        <v>30.25</v>
      </c>
      <c r="H164" s="72" t="n">
        <f aca="false">2-E164</f>
        <v>1</v>
      </c>
      <c r="I164" s="73" t="n">
        <f aca="false">B164*H164</f>
        <v>30.25</v>
      </c>
      <c r="J164" s="74" t="n">
        <f aca="false">C164*E164</f>
        <v>20</v>
      </c>
      <c r="K164" s="75" t="n">
        <f aca="false">C164*H164</f>
        <v>20</v>
      </c>
      <c r="L164" s="28" t="n">
        <f aca="false">D164*E164</f>
        <v>18.9950008392334</v>
      </c>
      <c r="N164" s="32" t="n">
        <v>15577.8257698154</v>
      </c>
      <c r="O164" s="32" t="n">
        <v>8580.61242329915</v>
      </c>
      <c r="P164" s="32" t="n">
        <v>21075.8782164099</v>
      </c>
      <c r="Q164" s="32" t="n">
        <v>15160.4055902716</v>
      </c>
      <c r="R164" s="32" t="n">
        <v>10899.3384913678</v>
      </c>
      <c r="S164" s="34" t="n">
        <f aca="false">IF(Tables!$B$2=1,'Michigan Curve'!N164,IF(Tables!$B$2=2,'Michigan Curve'!O164,IF(Tables!$B$2=4,'Michigan Curve'!P164,IF(Tables!$B$2=5,'Michigan Curve'!Q164,IF(Tables!$B$2=3,'Michigan Curve'!R164,0)))))</f>
        <v>15160.4055902716</v>
      </c>
    </row>
    <row r="165" customFormat="false" ht="12.75" hidden="false" customHeight="false" outlineLevel="0" collapsed="false">
      <c r="A165" s="21" t="n">
        <v>41760</v>
      </c>
      <c r="B165" s="22" t="n">
        <v>34</v>
      </c>
      <c r="C165" s="71" t="n">
        <v>21</v>
      </c>
      <c r="D165" s="59" t="n">
        <v>20.0049991607666</v>
      </c>
      <c r="E165" s="26" t="n">
        <f aca="false">IF(VLOOKUP(MONTH(A165),SeasonTable,2,0)&lt;&gt;"Summer",VLOOKUP(MONTH(A165),ScalarTable,2,0),((0.059228/(B165/100))-(0.4980013/(SQRT(B165/100)))+2.137988))</f>
        <v>1.07625000178814</v>
      </c>
      <c r="F165" s="28" t="n">
        <f aca="false">+E165*B165</f>
        <v>36.5925000607967</v>
      </c>
      <c r="H165" s="72" t="n">
        <f aca="false">2-E165</f>
        <v>0.923749998211861</v>
      </c>
      <c r="I165" s="73" t="n">
        <f aca="false">B165*H165</f>
        <v>31.4074999392033</v>
      </c>
      <c r="J165" s="74" t="n">
        <f aca="false">C165*E165</f>
        <v>22.6012500375509</v>
      </c>
      <c r="K165" s="75" t="n">
        <f aca="false">C165*H165</f>
        <v>19.3987499624491</v>
      </c>
      <c r="L165" s="28" t="n">
        <f aca="false">D165*E165</f>
        <v>21.5303803825468</v>
      </c>
      <c r="N165" s="32" t="n">
        <v>26919.7567522981</v>
      </c>
      <c r="O165" s="32" t="n">
        <v>14664.710678839</v>
      </c>
      <c r="P165" s="32" t="n">
        <v>36499.5612579868</v>
      </c>
      <c r="Q165" s="32" t="n">
        <v>25642.7981172433</v>
      </c>
      <c r="R165" s="32" t="n">
        <v>16799.2110990251</v>
      </c>
      <c r="S165" s="34" t="n">
        <f aca="false">IF(Tables!$B$2=1,'Michigan Curve'!N165,IF(Tables!$B$2=2,'Michigan Curve'!O165,IF(Tables!$B$2=4,'Michigan Curve'!P165,IF(Tables!$B$2=5,'Michigan Curve'!Q165,IF(Tables!$B$2=3,'Michigan Curve'!R165,0)))))</f>
        <v>25642.7981172433</v>
      </c>
    </row>
    <row r="166" customFormat="false" ht="12.75" hidden="false" customHeight="false" outlineLevel="0" collapsed="false">
      <c r="A166" s="21" t="n">
        <v>41791</v>
      </c>
      <c r="B166" s="22" t="n">
        <v>55.25</v>
      </c>
      <c r="C166" s="71" t="n">
        <v>26</v>
      </c>
      <c r="D166" s="59" t="n">
        <v>24</v>
      </c>
      <c r="E166" s="26" t="n">
        <f aca="false">IF(VLOOKUP(MONTH(A166),SeasonTable,2,0)&lt;&gt;"Summer",VLOOKUP(MONTH(A166),ScalarTable,2,0),((0.059228/(B166/100))-(0.4980013/(SQRT(B166/100)))+2.137988))</f>
        <v>1.57520414823041</v>
      </c>
      <c r="F166" s="28" t="n">
        <f aca="false">+E166*B166</f>
        <v>87.0300291897301</v>
      </c>
      <c r="H166" s="72" t="n">
        <f aca="false">2-E166</f>
        <v>0.424795851769592</v>
      </c>
      <c r="I166" s="73" t="n">
        <f aca="false">B166*H166</f>
        <v>23.4699708102699</v>
      </c>
      <c r="J166" s="74" t="n">
        <f aca="false">C166*E166</f>
        <v>40.9553078539906</v>
      </c>
      <c r="K166" s="75" t="n">
        <f aca="false">C166*H166</f>
        <v>11.0446921460094</v>
      </c>
      <c r="L166" s="28" t="n">
        <f aca="false">D166*E166</f>
        <v>37.8048995575298</v>
      </c>
      <c r="N166" s="32" t="n">
        <v>83264.4252961567</v>
      </c>
      <c r="O166" s="32" t="n">
        <v>50626.9281804911</v>
      </c>
      <c r="P166" s="32" t="n">
        <v>110499.843035399</v>
      </c>
      <c r="Q166" s="32" t="n">
        <v>97609.2581810111</v>
      </c>
      <c r="R166" s="32" t="n">
        <v>110503.672269588</v>
      </c>
      <c r="S166" s="34" t="n">
        <f aca="false">IF(Tables!$B$2=1,'Michigan Curve'!N166,IF(Tables!$B$2=2,'Michigan Curve'!O166,IF(Tables!$B$2=4,'Michigan Curve'!P166,IF(Tables!$B$2=5,'Michigan Curve'!Q166,IF(Tables!$B$2=3,'Michigan Curve'!R166,0)))))</f>
        <v>97609.2581810111</v>
      </c>
    </row>
    <row r="167" customFormat="false" ht="12.75" hidden="false" customHeight="false" outlineLevel="0" collapsed="false">
      <c r="A167" s="21" t="n">
        <v>41821</v>
      </c>
      <c r="B167" s="22" t="n">
        <v>98</v>
      </c>
      <c r="C167" s="71" t="n">
        <v>35</v>
      </c>
      <c r="D167" s="59" t="n">
        <v>30.9999980926514</v>
      </c>
      <c r="E167" s="26" t="n">
        <f aca="false">IF(VLOOKUP(MONTH(A167),SeasonTable,2,0)&lt;&gt;"Summer",VLOOKUP(MONTH(A167),ScalarTable,2,0),((0.059228/(B167/100))-(0.4980013/(SQRT(B167/100)))+2.137988))</f>
        <v>1.69536745430857</v>
      </c>
      <c r="F167" s="28" t="n">
        <f aca="false">+E167*B167</f>
        <v>166.14601052224</v>
      </c>
      <c r="H167" s="72" t="n">
        <f aca="false">2-E167</f>
        <v>0.304632545691431</v>
      </c>
      <c r="I167" s="73" t="n">
        <f aca="false">B167*H167</f>
        <v>29.8539894777603</v>
      </c>
      <c r="J167" s="74" t="n">
        <f aca="false">C167*E167</f>
        <v>59.3378609007999</v>
      </c>
      <c r="K167" s="75" t="n">
        <f aca="false">C167*H167</f>
        <v>10.6621390992001</v>
      </c>
      <c r="L167" s="28" t="n">
        <f aca="false">D167*E167</f>
        <v>52.5563878499088</v>
      </c>
      <c r="N167" s="32" t="n">
        <v>261355.769374593</v>
      </c>
      <c r="O167" s="32" t="n">
        <v>155918.577774615</v>
      </c>
      <c r="P167" s="32" t="n">
        <v>348057.06129483</v>
      </c>
      <c r="Q167" s="32" t="n">
        <v>295105.111870083</v>
      </c>
      <c r="R167" s="32" t="n">
        <v>296459.210605389</v>
      </c>
      <c r="S167" s="34" t="n">
        <f aca="false">IF(Tables!$B$2=1,'Michigan Curve'!N167,IF(Tables!$B$2=2,'Michigan Curve'!O167,IF(Tables!$B$2=4,'Michigan Curve'!P167,IF(Tables!$B$2=5,'Michigan Curve'!Q167,IF(Tables!$B$2=3,'Michigan Curve'!R167,0)))))</f>
        <v>295105.111870083</v>
      </c>
    </row>
    <row r="168" customFormat="false" ht="12.75" hidden="false" customHeight="false" outlineLevel="0" collapsed="false">
      <c r="A168" s="21" t="n">
        <v>41852</v>
      </c>
      <c r="B168" s="22" t="n">
        <v>98</v>
      </c>
      <c r="C168" s="71" t="n">
        <v>35.0000038146973</v>
      </c>
      <c r="D168" s="59" t="n">
        <v>31</v>
      </c>
      <c r="E168" s="26" t="n">
        <f aca="false">IF(VLOOKUP(MONTH(A168),SeasonTable,2,0)&lt;&gt;"Summer",VLOOKUP(MONTH(A168),ScalarTable,2,0),((0.059228/(B168/100))-(0.4980013/(SQRT(B168/100)))+2.137988))</f>
        <v>1.69536745430857</v>
      </c>
      <c r="F168" s="28" t="n">
        <f aca="false">+E168*B168</f>
        <v>166.14601052224</v>
      </c>
      <c r="H168" s="72" t="n">
        <f aca="false">2-E168</f>
        <v>0.304632545691431</v>
      </c>
      <c r="I168" s="73" t="n">
        <f aca="false">B168*H168</f>
        <v>29.8539894777603</v>
      </c>
      <c r="J168" s="74" t="n">
        <f aca="false">C168*E168</f>
        <v>59.3378673681135</v>
      </c>
      <c r="K168" s="75" t="n">
        <f aca="false">C168*H168</f>
        <v>10.662140261281</v>
      </c>
      <c r="L168" s="28" t="n">
        <f aca="false">D168*E168</f>
        <v>52.5563910835656</v>
      </c>
      <c r="N168" s="32" t="n">
        <v>277045.382493953</v>
      </c>
      <c r="O168" s="32" t="n">
        <v>165930.070591837</v>
      </c>
      <c r="P168" s="32" t="n">
        <v>368661.202489243</v>
      </c>
      <c r="Q168" s="32" t="n">
        <v>315125.797003647</v>
      </c>
      <c r="R168" s="32" t="n">
        <v>322872.521891601</v>
      </c>
      <c r="S168" s="34" t="n">
        <f aca="false">IF(Tables!$B$2=1,'Michigan Curve'!N168,IF(Tables!$B$2=2,'Michigan Curve'!O168,IF(Tables!$B$2=4,'Michigan Curve'!P168,IF(Tables!$B$2=5,'Michigan Curve'!Q168,IF(Tables!$B$2=3,'Michigan Curve'!R168,0)))))</f>
        <v>315125.797003647</v>
      </c>
    </row>
    <row r="169" customFormat="false" ht="12.75" hidden="false" customHeight="false" outlineLevel="0" collapsed="false">
      <c r="A169" s="21" t="n">
        <v>41883</v>
      </c>
      <c r="B169" s="22" t="n">
        <v>36.75</v>
      </c>
      <c r="C169" s="71" t="n">
        <v>25</v>
      </c>
      <c r="D169" s="59" t="n">
        <v>24</v>
      </c>
      <c r="E169" s="26" t="n">
        <f aca="false">IF(VLOOKUP(MONTH(A169),SeasonTable,2,0)&lt;&gt;"Summer",VLOOKUP(MONTH(A169),ScalarTable,2,0),((0.059228/(B169/100))-(0.4980013/(SQRT(B169/100)))+2.137988))</f>
        <v>1.35124999284744</v>
      </c>
      <c r="F169" s="28" t="n">
        <f aca="false">+E169*B169</f>
        <v>49.6584372371435</v>
      </c>
      <c r="H169" s="72" t="n">
        <f aca="false">2-E169</f>
        <v>0.648750007152557</v>
      </c>
      <c r="I169" s="73" t="n">
        <f aca="false">B169*H169</f>
        <v>23.8415627628565</v>
      </c>
      <c r="J169" s="74" t="n">
        <f aca="false">C169*E169</f>
        <v>33.7812498211861</v>
      </c>
      <c r="K169" s="75" t="n">
        <f aca="false">C169*H169</f>
        <v>16.2187501788139</v>
      </c>
      <c r="L169" s="28" t="n">
        <f aca="false">D169*E169</f>
        <v>32.4299998283386</v>
      </c>
      <c r="N169" s="32" t="n">
        <v>168313.279204168</v>
      </c>
      <c r="O169" s="32" t="n">
        <v>93988.9515650818</v>
      </c>
      <c r="P169" s="32" t="n">
        <v>227068.013338273</v>
      </c>
      <c r="Q169" s="32" t="n">
        <v>167750.532271965</v>
      </c>
      <c r="R169" s="32" t="n">
        <v>119628.647452044</v>
      </c>
      <c r="S169" s="34" t="n">
        <f aca="false">IF(Tables!$B$2=1,'Michigan Curve'!N169,IF(Tables!$B$2=2,'Michigan Curve'!O169,IF(Tables!$B$2=4,'Michigan Curve'!P169,IF(Tables!$B$2=5,'Michigan Curve'!Q169,IF(Tables!$B$2=3,'Michigan Curve'!R169,0)))))</f>
        <v>167750.532271965</v>
      </c>
    </row>
    <row r="170" customFormat="false" ht="12.75" hidden="false" customHeight="false" outlineLevel="0" collapsed="false">
      <c r="A170" s="21" t="n">
        <v>41913</v>
      </c>
      <c r="B170" s="22" t="n">
        <v>29.8499946594238</v>
      </c>
      <c r="C170" s="71" t="n">
        <v>19.996000289917</v>
      </c>
      <c r="D170" s="59" t="n">
        <v>18.9965000152588</v>
      </c>
      <c r="E170" s="26" t="n">
        <f aca="false">IF(VLOOKUP(MONTH(A170),SeasonTable,2,0)&lt;&gt;"Summer",VLOOKUP(MONTH(A170),ScalarTable,2,0),((0.059228/(B170/100))-(0.4980013/(SQRT(B170/100)))+2.137988))</f>
        <v>1</v>
      </c>
      <c r="F170" s="28" t="n">
        <f aca="false">+E170*B170</f>
        <v>29.8499946594238</v>
      </c>
      <c r="H170" s="72" t="n">
        <f aca="false">2-E170</f>
        <v>1</v>
      </c>
      <c r="I170" s="73" t="n">
        <f aca="false">B170*H170</f>
        <v>29.8499946594238</v>
      </c>
      <c r="J170" s="74" t="n">
        <f aca="false">C170*E170</f>
        <v>19.996000289917</v>
      </c>
      <c r="K170" s="75" t="n">
        <f aca="false">C170*H170</f>
        <v>19.996000289917</v>
      </c>
      <c r="L170" s="28" t="n">
        <f aca="false">D170*E170</f>
        <v>18.9965000152588</v>
      </c>
      <c r="N170" s="32" t="n">
        <v>4034.11753603931</v>
      </c>
      <c r="O170" s="32" t="n">
        <v>2129.0310745011</v>
      </c>
      <c r="P170" s="32" t="n">
        <v>5504.68868743159</v>
      </c>
      <c r="Q170" s="32" t="n">
        <v>3625.30024042415</v>
      </c>
      <c r="R170" s="32" t="n">
        <v>2112.90480403018</v>
      </c>
      <c r="S170" s="34" t="n">
        <f aca="false">IF(Tables!$B$2=1,'Michigan Curve'!N170,IF(Tables!$B$2=2,'Michigan Curve'!O170,IF(Tables!$B$2=4,'Michigan Curve'!P170,IF(Tables!$B$2=5,'Michigan Curve'!Q170,IF(Tables!$B$2=3,'Michigan Curve'!R170,0)))))</f>
        <v>3625.30024042415</v>
      </c>
    </row>
    <row r="171" customFormat="false" ht="12.75" hidden="false" customHeight="false" outlineLevel="0" collapsed="false">
      <c r="A171" s="21" t="n">
        <v>41944</v>
      </c>
      <c r="B171" s="22" t="n">
        <v>29.7299957275391</v>
      </c>
      <c r="C171" s="71" t="n">
        <v>20</v>
      </c>
      <c r="D171" s="59" t="n">
        <v>19</v>
      </c>
      <c r="E171" s="26" t="n">
        <f aca="false">IF(VLOOKUP(MONTH(A171),SeasonTable,2,0)&lt;&gt;"Summer",VLOOKUP(MONTH(A171),ScalarTable,2,0),((0.059228/(B171/100))-(0.4980013/(SQRT(B171/100)))+2.137988))</f>
        <v>1.08</v>
      </c>
      <c r="F171" s="28" t="n">
        <f aca="false">+E171*B171</f>
        <v>32.1083953857422</v>
      </c>
      <c r="H171" s="72" t="n">
        <f aca="false">2-E171</f>
        <v>0.92</v>
      </c>
      <c r="I171" s="73" t="n">
        <f aca="false">B171*H171</f>
        <v>27.3515960693359</v>
      </c>
      <c r="J171" s="74" t="n">
        <f aca="false">C171*E171</f>
        <v>21.6</v>
      </c>
      <c r="K171" s="75" t="n">
        <f aca="false">C171*H171</f>
        <v>18.4</v>
      </c>
      <c r="L171" s="28" t="n">
        <f aca="false">D171*E171</f>
        <v>20.52</v>
      </c>
      <c r="N171" s="32" t="n">
        <v>16714.8390405874</v>
      </c>
      <c r="O171" s="32" t="n">
        <v>9251.86885822589</v>
      </c>
      <c r="P171" s="32" t="n">
        <v>22592.2533858206</v>
      </c>
      <c r="Q171" s="32" t="n">
        <v>16415.0240964738</v>
      </c>
      <c r="R171" s="32" t="n">
        <v>12050.2684016607</v>
      </c>
      <c r="S171" s="34" t="n">
        <f aca="false">IF(Tables!$B$2=1,'Michigan Curve'!N171,IF(Tables!$B$2=2,'Michigan Curve'!O171,IF(Tables!$B$2=4,'Michigan Curve'!P171,IF(Tables!$B$2=5,'Michigan Curve'!Q171,IF(Tables!$B$2=3,'Michigan Curve'!R171,0)))))</f>
        <v>16415.0240964738</v>
      </c>
    </row>
    <row r="172" customFormat="false" ht="12.75" hidden="false" customHeight="false" outlineLevel="0" collapsed="false">
      <c r="A172" s="21" t="n">
        <v>41974</v>
      </c>
      <c r="B172" s="22" t="n">
        <v>30.1999950408936</v>
      </c>
      <c r="C172" s="71" t="n">
        <v>20</v>
      </c>
      <c r="D172" s="59" t="n">
        <v>19</v>
      </c>
      <c r="E172" s="26" t="n">
        <f aca="false">IF(VLOOKUP(MONTH(A172),SeasonTable,2,0)&lt;&gt;"Summer",VLOOKUP(MONTH(A172),ScalarTable,2,0),((0.059228/(B172/100))-(0.4980013/(SQRT(B172/100)))+2.137988))</f>
        <v>1.02</v>
      </c>
      <c r="F172" s="28" t="n">
        <f aca="false">+E172*B172</f>
        <v>30.8039949417114</v>
      </c>
      <c r="H172" s="72" t="n">
        <f aca="false">2-E172</f>
        <v>0.98</v>
      </c>
      <c r="I172" s="73" t="n">
        <f aca="false">B172*H172</f>
        <v>29.5959951400757</v>
      </c>
      <c r="J172" s="74" t="n">
        <f aca="false">C172*E172</f>
        <v>20.4</v>
      </c>
      <c r="K172" s="75" t="n">
        <f aca="false">C172*H172</f>
        <v>19.6</v>
      </c>
      <c r="L172" s="28" t="n">
        <f aca="false">D172*E172</f>
        <v>19.38</v>
      </c>
      <c r="N172" s="32" t="n">
        <v>11708.2016903133</v>
      </c>
      <c r="O172" s="32" t="n">
        <v>6436.5370049225</v>
      </c>
      <c r="P172" s="32" t="n">
        <v>15846.8711329808</v>
      </c>
      <c r="Q172" s="32" t="n">
        <v>11356.3953045619</v>
      </c>
      <c r="R172" s="32" t="n">
        <v>8328.46241534182</v>
      </c>
      <c r="S172" s="34" t="n">
        <f aca="false">IF(Tables!$B$2=1,'Michigan Curve'!N172,IF(Tables!$B$2=2,'Michigan Curve'!O172,IF(Tables!$B$2=4,'Michigan Curve'!P172,IF(Tables!$B$2=5,'Michigan Curve'!Q172,IF(Tables!$B$2=3,'Michigan Curve'!R172,0)))))</f>
        <v>11356.3953045619</v>
      </c>
    </row>
    <row r="173" customFormat="false" ht="12.75" hidden="false" customHeight="false" outlineLevel="0" collapsed="false">
      <c r="A173" s="21" t="n">
        <v>42005</v>
      </c>
      <c r="B173" s="22" t="n">
        <v>35.7000003814697</v>
      </c>
      <c r="C173" s="71" t="n">
        <v>22</v>
      </c>
      <c r="D173" s="59" t="n">
        <v>21</v>
      </c>
      <c r="E173" s="26" t="n">
        <f aca="false">IF(VLOOKUP(MONTH(A173),SeasonTable,2,0)&lt;&gt;"Summer",VLOOKUP(MONTH(A173),ScalarTable,2,0),((0.059228/(B173/100))-(0.4980013/(SQRT(B173/100)))+2.137988))</f>
        <v>1.02</v>
      </c>
      <c r="F173" s="28" t="n">
        <f aca="false">+E173*B173</f>
        <v>36.4140003890991</v>
      </c>
      <c r="H173" s="72" t="n">
        <f aca="false">2-E173</f>
        <v>0.98</v>
      </c>
      <c r="I173" s="73" t="n">
        <f aca="false">B173*H173</f>
        <v>34.9860003738403</v>
      </c>
      <c r="J173" s="74" t="n">
        <f aca="false">C173*E173</f>
        <v>22.44</v>
      </c>
      <c r="K173" s="75" t="n">
        <f aca="false">C173*H173</f>
        <v>21.56</v>
      </c>
      <c r="L173" s="28" t="n">
        <f aca="false">D173*E173</f>
        <v>21.42</v>
      </c>
      <c r="N173" s="32" t="n">
        <v>45021.6280232763</v>
      </c>
      <c r="O173" s="32" t="n">
        <v>25313.7288934953</v>
      </c>
      <c r="P173" s="32" t="n">
        <v>60661.900815806</v>
      </c>
      <c r="Q173" s="32" t="n">
        <v>45509.2065754876</v>
      </c>
      <c r="R173" s="32" t="n">
        <v>35388.1374938039</v>
      </c>
      <c r="S173" s="34" t="n">
        <f aca="false">IF(Tables!$B$2=1,'Michigan Curve'!N173,IF(Tables!$B$2=2,'Michigan Curve'!O173,IF(Tables!$B$2=4,'Michigan Curve'!P173,IF(Tables!$B$2=5,'Michigan Curve'!Q173,IF(Tables!$B$2=3,'Michigan Curve'!R173,0)))))</f>
        <v>45509.2065754876</v>
      </c>
    </row>
    <row r="174" customFormat="false" ht="12.75" hidden="false" customHeight="false" outlineLevel="0" collapsed="false">
      <c r="A174" s="21" t="n">
        <v>42036</v>
      </c>
      <c r="B174" s="22" t="n">
        <v>35.6999984741211</v>
      </c>
      <c r="C174" s="71" t="n">
        <v>21.996000289917</v>
      </c>
      <c r="D174" s="59" t="n">
        <v>20.9965019226074</v>
      </c>
      <c r="E174" s="26" t="n">
        <f aca="false">IF(VLOOKUP(MONTH(A174),SeasonTable,2,0)&lt;&gt;"Summer",VLOOKUP(MONTH(A174),ScalarTable,2,0),((0.059228/(B174/100))-(0.4980013/(SQRT(B174/100)))+2.137988))</f>
        <v>1.02</v>
      </c>
      <c r="F174" s="28" t="n">
        <f aca="false">+E174*B174</f>
        <v>36.4139984436035</v>
      </c>
      <c r="H174" s="72" t="n">
        <f aca="false">2-E174</f>
        <v>0.98</v>
      </c>
      <c r="I174" s="73" t="n">
        <f aca="false">B174*H174</f>
        <v>34.9859985046387</v>
      </c>
      <c r="J174" s="74" t="n">
        <f aca="false">C174*E174</f>
        <v>22.4359202957153</v>
      </c>
      <c r="K174" s="75" t="n">
        <f aca="false">C174*H174</f>
        <v>21.5560802841187</v>
      </c>
      <c r="L174" s="28" t="n">
        <f aca="false">D174*E174</f>
        <v>21.4164319610596</v>
      </c>
      <c r="N174" s="32" t="n">
        <v>42727.2364188229</v>
      </c>
      <c r="O174" s="32" t="n">
        <v>24024.745911875</v>
      </c>
      <c r="P174" s="32" t="n">
        <v>57569.9601196254</v>
      </c>
      <c r="Q174" s="32" t="n">
        <v>43193.6010128397</v>
      </c>
      <c r="R174" s="32" t="n">
        <v>33598.6940176525</v>
      </c>
      <c r="S174" s="34" t="n">
        <f aca="false">IF(Tables!$B$2=1,'Michigan Curve'!N174,IF(Tables!$B$2=2,'Michigan Curve'!O174,IF(Tables!$B$2=4,'Michigan Curve'!P174,IF(Tables!$B$2=5,'Michigan Curve'!Q174,IF(Tables!$B$2=3,'Michigan Curve'!R174,0)))))</f>
        <v>43193.6010128397</v>
      </c>
    </row>
    <row r="175" customFormat="false" ht="12.75" hidden="false" customHeight="false" outlineLevel="0" collapsed="false">
      <c r="A175" s="21" t="n">
        <v>42064</v>
      </c>
      <c r="B175" s="22" t="n">
        <v>30.5</v>
      </c>
      <c r="C175" s="71" t="n">
        <v>20</v>
      </c>
      <c r="D175" s="59" t="n">
        <v>19</v>
      </c>
      <c r="E175" s="26" t="n">
        <f aca="false">IF(VLOOKUP(MONTH(A175),SeasonTable,2,0)&lt;&gt;"Summer",VLOOKUP(MONTH(A175),ScalarTable,2,0),((0.059228/(B175/100))-(0.4980013/(SQRT(B175/100)))+2.137988))</f>
        <v>1.02</v>
      </c>
      <c r="F175" s="28" t="n">
        <f aca="false">+E175*B175</f>
        <v>31.11</v>
      </c>
      <c r="H175" s="72" t="n">
        <f aca="false">2-E175</f>
        <v>0.98</v>
      </c>
      <c r="I175" s="73" t="n">
        <f aca="false">B175*H175</f>
        <v>29.89</v>
      </c>
      <c r="J175" s="74" t="n">
        <f aca="false">C175*E175</f>
        <v>20.4</v>
      </c>
      <c r="K175" s="75" t="n">
        <f aca="false">C175*H175</f>
        <v>19.6</v>
      </c>
      <c r="L175" s="28" t="n">
        <f aca="false">D175*E175</f>
        <v>19.38</v>
      </c>
      <c r="N175" s="32" t="n">
        <v>12971.4735147243</v>
      </c>
      <c r="O175" s="32" t="n">
        <v>7150.05917811935</v>
      </c>
      <c r="P175" s="32" t="n">
        <v>17547.3398022134</v>
      </c>
      <c r="Q175" s="32" t="n">
        <v>12642.5317266963</v>
      </c>
      <c r="R175" s="32" t="n">
        <v>9179.46873967594</v>
      </c>
      <c r="S175" s="34" t="n">
        <f aca="false">IF(Tables!$B$2=1,'Michigan Curve'!N175,IF(Tables!$B$2=2,'Michigan Curve'!O175,IF(Tables!$B$2=4,'Michigan Curve'!P175,IF(Tables!$B$2=5,'Michigan Curve'!Q175,IF(Tables!$B$2=3,'Michigan Curve'!R175,0)))))</f>
        <v>12642.5317266963</v>
      </c>
    </row>
    <row r="176" customFormat="false" ht="12.75" hidden="false" customHeight="false" outlineLevel="0" collapsed="false">
      <c r="A176" s="21" t="n">
        <v>42095</v>
      </c>
      <c r="B176" s="22" t="n">
        <v>30.75</v>
      </c>
      <c r="C176" s="71" t="n">
        <v>20</v>
      </c>
      <c r="D176" s="59" t="n">
        <v>18.9950008392334</v>
      </c>
      <c r="E176" s="26" t="n">
        <f aca="false">IF(VLOOKUP(MONTH(A176),SeasonTable,2,0)&lt;&gt;"Summer",VLOOKUP(MONTH(A176),ScalarTable,2,0),((0.059228/(B176/100))-(0.4980013/(SQRT(B176/100)))+2.137988))</f>
        <v>1</v>
      </c>
      <c r="F176" s="28" t="n">
        <f aca="false">+E176*B176</f>
        <v>30.75</v>
      </c>
      <c r="H176" s="72" t="n">
        <f aca="false">2-E176</f>
        <v>1</v>
      </c>
      <c r="I176" s="73" t="n">
        <f aca="false">B176*H176</f>
        <v>30.75</v>
      </c>
      <c r="J176" s="74" t="n">
        <f aca="false">C176*E176</f>
        <v>20</v>
      </c>
      <c r="K176" s="75" t="n">
        <f aca="false">C176*H176</f>
        <v>20</v>
      </c>
      <c r="L176" s="28" t="n">
        <f aca="false">D176*E176</f>
        <v>18.9950008392334</v>
      </c>
      <c r="N176" s="32" t="n">
        <v>14538.4223844293</v>
      </c>
      <c r="O176" s="32" t="n">
        <v>8011.12130057977</v>
      </c>
      <c r="P176" s="32" t="n">
        <v>19668.2349809701</v>
      </c>
      <c r="Q176" s="32" t="n">
        <v>14159.8010121482</v>
      </c>
      <c r="R176" s="32" t="n">
        <v>10235.7388769891</v>
      </c>
      <c r="S176" s="34" t="n">
        <f aca="false">IF(Tables!$B$2=1,'Michigan Curve'!N176,IF(Tables!$B$2=2,'Michigan Curve'!O176,IF(Tables!$B$2=4,'Michigan Curve'!P176,IF(Tables!$B$2=5,'Michigan Curve'!Q176,IF(Tables!$B$2=3,'Michigan Curve'!R176,0)))))</f>
        <v>14159.8010121482</v>
      </c>
    </row>
    <row r="177" customFormat="false" ht="12.75" hidden="false" customHeight="false" outlineLevel="0" collapsed="false">
      <c r="A177" s="21" t="n">
        <v>42125</v>
      </c>
      <c r="B177" s="22" t="n">
        <v>34.5</v>
      </c>
      <c r="C177" s="71" t="n">
        <v>21</v>
      </c>
      <c r="D177" s="59" t="n">
        <v>20.0049991607666</v>
      </c>
      <c r="E177" s="26" t="n">
        <f aca="false">IF(VLOOKUP(MONTH(A177),SeasonTable,2,0)&lt;&gt;"Summer",VLOOKUP(MONTH(A177),ScalarTable,2,0),((0.059228/(B177/100))-(0.4980013/(SQRT(B177/100)))+2.137988))</f>
        <v>1.07625000178814</v>
      </c>
      <c r="F177" s="28" t="n">
        <f aca="false">+E177*B177</f>
        <v>37.1306250616908</v>
      </c>
      <c r="H177" s="72" t="n">
        <f aca="false">2-E177</f>
        <v>0.923749998211861</v>
      </c>
      <c r="I177" s="73" t="n">
        <f aca="false">B177*H177</f>
        <v>31.8693749383092</v>
      </c>
      <c r="J177" s="74" t="n">
        <f aca="false">C177*E177</f>
        <v>22.6012500375509</v>
      </c>
      <c r="K177" s="75" t="n">
        <f aca="false">C177*H177</f>
        <v>19.3987499624491</v>
      </c>
      <c r="L177" s="28" t="n">
        <f aca="false">D177*E177</f>
        <v>21.5303803825468</v>
      </c>
      <c r="N177" s="32" t="n">
        <v>22090.7076058183</v>
      </c>
      <c r="O177" s="32" t="n">
        <v>12014.1922239781</v>
      </c>
      <c r="P177" s="32" t="n">
        <v>29962.1735135577</v>
      </c>
      <c r="Q177" s="32" t="n">
        <v>20981.1010734267</v>
      </c>
      <c r="R177" s="32" t="n">
        <v>13702.7599348883</v>
      </c>
      <c r="S177" s="34" t="n">
        <f aca="false">IF(Tables!$B$2=1,'Michigan Curve'!N177,IF(Tables!$B$2=2,'Michigan Curve'!O177,IF(Tables!$B$2=4,'Michigan Curve'!P177,IF(Tables!$B$2=5,'Michigan Curve'!Q177,IF(Tables!$B$2=3,'Michigan Curve'!R177,0)))))</f>
        <v>20981.1010734267</v>
      </c>
    </row>
    <row r="178" customFormat="false" ht="12.75" hidden="false" customHeight="false" outlineLevel="0" collapsed="false">
      <c r="A178" s="21" t="n">
        <v>42156</v>
      </c>
      <c r="B178" s="22" t="n">
        <v>56.25</v>
      </c>
      <c r="C178" s="71" t="n">
        <v>26</v>
      </c>
      <c r="D178" s="59" t="n">
        <v>24</v>
      </c>
      <c r="E178" s="26" t="n">
        <f aca="false">IF(VLOOKUP(MONTH(A178),SeasonTable,2,0)&lt;&gt;"Summer",VLOOKUP(MONTH(A178),ScalarTable,2,0),((0.059228/(B178/100))-(0.4980013/(SQRT(B178/100)))+2.137988))</f>
        <v>1.57928048888889</v>
      </c>
      <c r="F178" s="28" t="n">
        <f aca="false">+E178*B178</f>
        <v>88.8345275</v>
      </c>
      <c r="H178" s="72" t="n">
        <f aca="false">2-E178</f>
        <v>0.420719511111111</v>
      </c>
      <c r="I178" s="73" t="n">
        <f aca="false">B178*H178</f>
        <v>23.6654725</v>
      </c>
      <c r="J178" s="74" t="n">
        <f aca="false">C178*E178</f>
        <v>41.0612927111111</v>
      </c>
      <c r="K178" s="75" t="n">
        <f aca="false">C178*H178</f>
        <v>10.9387072888889</v>
      </c>
      <c r="L178" s="28" t="n">
        <f aca="false">D178*E178</f>
        <v>37.9027317333333</v>
      </c>
      <c r="N178" s="32" t="n">
        <v>85891.7355827123</v>
      </c>
      <c r="O178" s="32" t="n">
        <v>52906.9472705019</v>
      </c>
      <c r="P178" s="32" t="n">
        <v>113685.06665295</v>
      </c>
      <c r="Q178" s="32" t="n">
        <v>103121.02301235</v>
      </c>
      <c r="R178" s="32" t="n">
        <v>123702.607373203</v>
      </c>
      <c r="S178" s="34" t="n">
        <f aca="false">IF(Tables!$B$2=1,'Michigan Curve'!N178,IF(Tables!$B$2=2,'Michigan Curve'!O178,IF(Tables!$B$2=4,'Michigan Curve'!P178,IF(Tables!$B$2=5,'Michigan Curve'!Q178,IF(Tables!$B$2=3,'Michigan Curve'!R178,0)))))</f>
        <v>103121.02301235</v>
      </c>
    </row>
    <row r="179" customFormat="false" ht="12.75" hidden="false" customHeight="false" outlineLevel="0" collapsed="false">
      <c r="A179" s="21" t="n">
        <v>42186</v>
      </c>
      <c r="B179" s="22" t="n">
        <v>101</v>
      </c>
      <c r="C179" s="71" t="n">
        <v>35</v>
      </c>
      <c r="D179" s="59" t="n">
        <v>30.9999980926514</v>
      </c>
      <c r="E179" s="26" t="n">
        <f aca="false">IF(VLOOKUP(MONTH(A179),SeasonTable,2,0)&lt;&gt;"Summer",VLOOKUP(MONTH(A179),ScalarTable,2,0),((0.059228/(B179/100))-(0.4980013/(SQRT(B179/100)))+2.137988))</f>
        <v>1.70109976988549</v>
      </c>
      <c r="F179" s="28" t="n">
        <f aca="false">+E179*B179</f>
        <v>171.811076758435</v>
      </c>
      <c r="H179" s="72" t="n">
        <f aca="false">2-E179</f>
        <v>0.298900230114506</v>
      </c>
      <c r="I179" s="73" t="n">
        <f aca="false">B179*H179</f>
        <v>30.1889232415651</v>
      </c>
      <c r="J179" s="74" t="n">
        <f aca="false">C179*E179</f>
        <v>59.5384919459923</v>
      </c>
      <c r="K179" s="75" t="n">
        <f aca="false">C179*H179</f>
        <v>10.4615080540077</v>
      </c>
      <c r="L179" s="28" t="n">
        <f aca="false">D179*E179</f>
        <v>52.73408962186</v>
      </c>
      <c r="N179" s="32" t="n">
        <v>238239.991104662</v>
      </c>
      <c r="O179" s="32" t="n">
        <v>142026.175877151</v>
      </c>
      <c r="P179" s="32" t="n">
        <v>317321.433094388</v>
      </c>
      <c r="Q179" s="32" t="n">
        <v>268664.37588637</v>
      </c>
      <c r="R179" s="32" t="n">
        <v>257100.628074752</v>
      </c>
      <c r="S179" s="34" t="n">
        <f aca="false">IF(Tables!$B$2=1,'Michigan Curve'!N179,IF(Tables!$B$2=2,'Michigan Curve'!O179,IF(Tables!$B$2=4,'Michigan Curve'!P179,IF(Tables!$B$2=5,'Michigan Curve'!Q179,IF(Tables!$B$2=3,'Michigan Curve'!R179,0)))))</f>
        <v>268664.37588637</v>
      </c>
    </row>
    <row r="180" customFormat="false" ht="12.75" hidden="false" customHeight="false" outlineLevel="0" collapsed="false">
      <c r="A180" s="21" t="n">
        <v>42217</v>
      </c>
      <c r="B180" s="22" t="n">
        <v>101</v>
      </c>
      <c r="C180" s="71" t="n">
        <v>35.0000038146973</v>
      </c>
      <c r="D180" s="59" t="n">
        <v>31</v>
      </c>
      <c r="E180" s="26" t="n">
        <f aca="false">IF(VLOOKUP(MONTH(A180),SeasonTable,2,0)&lt;&gt;"Summer",VLOOKUP(MONTH(A180),ScalarTable,2,0),((0.059228/(B180/100))-(0.4980013/(SQRT(B180/100)))+2.137988))</f>
        <v>1.70109976988549</v>
      </c>
      <c r="F180" s="28" t="n">
        <f aca="false">+E180*B180</f>
        <v>171.811076758435</v>
      </c>
      <c r="H180" s="72" t="n">
        <f aca="false">2-E180</f>
        <v>0.298900230114506</v>
      </c>
      <c r="I180" s="73" t="n">
        <f aca="false">B180*H180</f>
        <v>30.1889232415651</v>
      </c>
      <c r="J180" s="74" t="n">
        <f aca="false">C180*E180</f>
        <v>59.5384984351729</v>
      </c>
      <c r="K180" s="75" t="n">
        <f aca="false">C180*H180</f>
        <v>10.4615091942216</v>
      </c>
      <c r="L180" s="28" t="n">
        <f aca="false">D180*E180</f>
        <v>52.7340928664503</v>
      </c>
      <c r="N180" s="32" t="n">
        <v>273068.148530345</v>
      </c>
      <c r="O180" s="32" t="n">
        <v>164144.516985981</v>
      </c>
      <c r="P180" s="32" t="n">
        <v>363105.855423803</v>
      </c>
      <c r="Q180" s="32" t="n">
        <v>312731.224304199</v>
      </c>
      <c r="R180" s="32" t="n">
        <v>303295.441595258</v>
      </c>
      <c r="S180" s="34" t="n">
        <f aca="false">IF(Tables!$B$2=1,'Michigan Curve'!N180,IF(Tables!$B$2=2,'Michigan Curve'!O180,IF(Tables!$B$2=4,'Michigan Curve'!P180,IF(Tables!$B$2=5,'Michigan Curve'!Q180,IF(Tables!$B$2=3,'Michigan Curve'!R180,0)))))</f>
        <v>312731.224304199</v>
      </c>
    </row>
    <row r="181" customFormat="false" ht="12.75" hidden="false" customHeight="false" outlineLevel="0" collapsed="false">
      <c r="A181" s="21" t="n">
        <v>42248</v>
      </c>
      <c r="B181" s="22" t="n">
        <v>37.25</v>
      </c>
      <c r="C181" s="71" t="n">
        <v>25</v>
      </c>
      <c r="D181" s="59" t="n">
        <v>24</v>
      </c>
      <c r="E181" s="26" t="n">
        <f aca="false">IF(VLOOKUP(MONTH(A181),SeasonTable,2,0)&lt;&gt;"Summer",VLOOKUP(MONTH(A181),ScalarTable,2,0),((0.059228/(B181/100))-(0.4980013/(SQRT(B181/100)))+2.137988))</f>
        <v>1.35124999284744</v>
      </c>
      <c r="F181" s="28" t="n">
        <f aca="false">+E181*B181</f>
        <v>50.3340622335672</v>
      </c>
      <c r="H181" s="72" t="n">
        <f aca="false">2-E181</f>
        <v>0.648750007152557</v>
      </c>
      <c r="I181" s="73" t="n">
        <f aca="false">B181*H181</f>
        <v>24.1659377664328</v>
      </c>
      <c r="J181" s="74" t="n">
        <f aca="false">C181*E181</f>
        <v>33.7812498211861</v>
      </c>
      <c r="K181" s="75" t="n">
        <f aca="false">C181*H181</f>
        <v>16.2187501788139</v>
      </c>
      <c r="L181" s="28" t="n">
        <f aca="false">D181*E181</f>
        <v>32.4299998283386</v>
      </c>
      <c r="N181" s="32" t="n">
        <v>145277.921150356</v>
      </c>
      <c r="O181" s="32" t="n">
        <v>80810.4321382892</v>
      </c>
      <c r="P181" s="32" t="n">
        <v>196144.896066145</v>
      </c>
      <c r="Q181" s="32" t="n">
        <v>143757.270381114</v>
      </c>
      <c r="R181" s="32" t="n">
        <v>100699.176596028</v>
      </c>
      <c r="S181" s="34" t="n">
        <f aca="false">IF(Tables!$B$2=1,'Michigan Curve'!N181,IF(Tables!$B$2=2,'Michigan Curve'!O181,IF(Tables!$B$2=4,'Michigan Curve'!P181,IF(Tables!$B$2=5,'Michigan Curve'!Q181,IF(Tables!$B$2=3,'Michigan Curve'!R181,0)))))</f>
        <v>143757.270381114</v>
      </c>
    </row>
    <row r="182" customFormat="false" ht="12.75" hidden="false" customHeight="false" outlineLevel="0" collapsed="false">
      <c r="A182" s="21" t="n">
        <v>42278</v>
      </c>
      <c r="B182" s="22" t="n">
        <v>30.3499946594238</v>
      </c>
      <c r="C182" s="71" t="n">
        <v>19.996000289917</v>
      </c>
      <c r="D182" s="59" t="n">
        <v>18.9965000152588</v>
      </c>
      <c r="E182" s="26" t="n">
        <f aca="false">IF(VLOOKUP(MONTH(A182),SeasonTable,2,0)&lt;&gt;"Summer",VLOOKUP(MONTH(A182),ScalarTable,2,0),((0.059228/(B182/100))-(0.4980013/(SQRT(B182/100)))+2.137988))</f>
        <v>1</v>
      </c>
      <c r="F182" s="28" t="n">
        <f aca="false">+E182*B182</f>
        <v>30.3499946594238</v>
      </c>
      <c r="H182" s="72" t="n">
        <f aca="false">2-E182</f>
        <v>1</v>
      </c>
      <c r="I182" s="73" t="n">
        <f aca="false">B182*H182</f>
        <v>30.3499946594238</v>
      </c>
      <c r="J182" s="74" t="n">
        <f aca="false">C182*E182</f>
        <v>19.996000289917</v>
      </c>
      <c r="K182" s="75" t="n">
        <f aca="false">C182*H182</f>
        <v>19.996000289917</v>
      </c>
      <c r="L182" s="28" t="n">
        <f aca="false">D182*E182</f>
        <v>18.9965000152588</v>
      </c>
      <c r="N182" s="32" t="n">
        <v>3387.16954286294</v>
      </c>
      <c r="O182" s="32" t="n">
        <v>1787.50747138638</v>
      </c>
      <c r="P182" s="32" t="n">
        <v>4621.99599082911</v>
      </c>
      <c r="Q182" s="32" t="n">
        <v>3044.05927775469</v>
      </c>
      <c r="R182" s="32" t="n">
        <v>1788.3645351197</v>
      </c>
      <c r="S182" s="34" t="n">
        <f aca="false">IF(Tables!$B$2=1,'Michigan Curve'!N182,IF(Tables!$B$2=2,'Michigan Curve'!O182,IF(Tables!$B$2=4,'Michigan Curve'!P182,IF(Tables!$B$2=5,'Michigan Curve'!Q182,IF(Tables!$B$2=3,'Michigan Curve'!R182,0)))))</f>
        <v>3044.05927775469</v>
      </c>
    </row>
    <row r="183" customFormat="false" ht="12.75" hidden="false" customHeight="false" outlineLevel="0" collapsed="false">
      <c r="A183" s="21" t="n">
        <v>42309</v>
      </c>
      <c r="B183" s="22" t="n">
        <v>30.2299957275391</v>
      </c>
      <c r="C183" s="71" t="n">
        <v>20</v>
      </c>
      <c r="D183" s="59" t="n">
        <v>19</v>
      </c>
      <c r="E183" s="26" t="n">
        <f aca="false">IF(VLOOKUP(MONTH(A183),SeasonTable,2,0)&lt;&gt;"Summer",VLOOKUP(MONTH(A183),ScalarTable,2,0),((0.059228/(B183/100))-(0.4980013/(SQRT(B183/100)))+2.137988))</f>
        <v>1.08</v>
      </c>
      <c r="F183" s="28" t="n">
        <f aca="false">+E183*B183</f>
        <v>32.6483953857422</v>
      </c>
      <c r="H183" s="72" t="n">
        <f aca="false">2-E183</f>
        <v>0.92</v>
      </c>
      <c r="I183" s="73" t="n">
        <f aca="false">B183*H183</f>
        <v>27.8115960693359</v>
      </c>
      <c r="J183" s="74" t="n">
        <f aca="false">C183*E183</f>
        <v>21.6</v>
      </c>
      <c r="K183" s="75" t="n">
        <f aca="false">C183*H183</f>
        <v>18.4</v>
      </c>
      <c r="L183" s="28" t="n">
        <f aca="false">D183*E183</f>
        <v>20.52</v>
      </c>
      <c r="N183" s="32" t="n">
        <v>16905.1554747791</v>
      </c>
      <c r="O183" s="32" t="n">
        <v>9363.62314389042</v>
      </c>
      <c r="P183" s="32" t="n">
        <v>22846.4511557196</v>
      </c>
      <c r="Q183" s="32" t="n">
        <v>16623.8169116258</v>
      </c>
      <c r="R183" s="32" t="n">
        <v>12283.5398274481</v>
      </c>
      <c r="S183" s="34" t="n">
        <f aca="false">IF(Tables!$B$2=1,'Michigan Curve'!N183,IF(Tables!$B$2=2,'Michigan Curve'!O183,IF(Tables!$B$2=4,'Michigan Curve'!P183,IF(Tables!$B$2=5,'Michigan Curve'!Q183,IF(Tables!$B$2=3,'Michigan Curve'!R183,0)))))</f>
        <v>16623.8169116258</v>
      </c>
    </row>
    <row r="184" customFormat="false" ht="12.75" hidden="false" customHeight="false" outlineLevel="0" collapsed="false">
      <c r="A184" s="21" t="n">
        <v>42339</v>
      </c>
      <c r="B184" s="22" t="n">
        <v>30.6999950408936</v>
      </c>
      <c r="C184" s="71" t="n">
        <v>20</v>
      </c>
      <c r="D184" s="59" t="n">
        <v>19</v>
      </c>
      <c r="E184" s="26" t="n">
        <f aca="false">IF(VLOOKUP(MONTH(A184),SeasonTable,2,0)&lt;&gt;"Summer",VLOOKUP(MONTH(A184),ScalarTable,2,0),((0.059228/(B184/100))-(0.4980013/(SQRT(B184/100)))+2.137988))</f>
        <v>1.02</v>
      </c>
      <c r="F184" s="28" t="n">
        <f aca="false">+E184*B184</f>
        <v>31.3139949417114</v>
      </c>
      <c r="H184" s="72" t="n">
        <f aca="false">2-E184</f>
        <v>0.98</v>
      </c>
      <c r="I184" s="73" t="n">
        <f aca="false">B184*H184</f>
        <v>30.0859951400757</v>
      </c>
      <c r="J184" s="74" t="n">
        <f aca="false">C184*E184</f>
        <v>20.4</v>
      </c>
      <c r="K184" s="75" t="n">
        <f aca="false">C184*H184</f>
        <v>19.6</v>
      </c>
      <c r="L184" s="28" t="n">
        <f aca="false">D184*E184</f>
        <v>19.38</v>
      </c>
      <c r="N184" s="32" t="n">
        <v>11492.511118189</v>
      </c>
      <c r="O184" s="55" t="n">
        <v>6326.03090021451</v>
      </c>
      <c r="P184" s="55" t="n">
        <v>15551.0238091178</v>
      </c>
      <c r="Q184" s="55" t="n">
        <v>11173.8912560314</v>
      </c>
      <c r="R184" s="55" t="n">
        <v>8271.08839440891</v>
      </c>
      <c r="S184" s="34" t="n">
        <f aca="false">IF(Tables!$B$2=1,'Michigan Curve'!N184,IF(Tables!$B$2=2,'Michigan Curve'!O184,IF(Tables!$B$2=4,'Michigan Curve'!P184,IF(Tables!$B$2=5,'Michigan Curve'!Q184,IF(Tables!$B$2=3,'Michigan Curve'!R184,0)))))</f>
        <v>11173.8912560314</v>
      </c>
    </row>
    <row r="185" customFormat="false" ht="12.75" hidden="false" customHeight="false" outlineLevel="0" collapsed="false">
      <c r="A185" s="21" t="n">
        <v>42370</v>
      </c>
      <c r="B185" s="22" t="n">
        <v>36.2000003814697</v>
      </c>
      <c r="C185" s="71" t="n">
        <v>22</v>
      </c>
      <c r="D185" s="81" t="n">
        <v>21</v>
      </c>
      <c r="E185" s="26" t="n">
        <f aca="false">IF(VLOOKUP(MONTH(A185),SeasonTable,2,0)&lt;&gt;"Summer",VLOOKUP(MONTH(A185),ScalarTable,2,0),((0.059228/(B185/100))-(0.4980013/(SQRT(B185/100)))+2.137988))</f>
        <v>1.02</v>
      </c>
      <c r="F185" s="28" t="n">
        <f aca="false">+E185*B185</f>
        <v>36.9240003890991</v>
      </c>
      <c r="H185" s="72" t="n">
        <f aca="false">2-E185</f>
        <v>0.98</v>
      </c>
      <c r="I185" s="73" t="n">
        <f aca="false">B185*H185</f>
        <v>35.4760003738403</v>
      </c>
      <c r="J185" s="74" t="n">
        <f aca="false">C185*E185</f>
        <v>22.44</v>
      </c>
      <c r="K185" s="75" t="n">
        <f aca="false">C185*H185</f>
        <v>21.56</v>
      </c>
      <c r="L185" s="28" t="n">
        <f aca="false">D185*E185</f>
        <v>21.42</v>
      </c>
      <c r="N185" s="32"/>
    </row>
    <row r="186" customFormat="false" ht="12.75" hidden="false" customHeight="false" outlineLevel="0" collapsed="false">
      <c r="A186" s="21" t="n">
        <v>42401</v>
      </c>
      <c r="B186" s="22" t="n">
        <v>36.1999984741211</v>
      </c>
      <c r="C186" s="71" t="n">
        <v>21.996000289917</v>
      </c>
      <c r="D186" s="81" t="n">
        <v>20.9965019226074</v>
      </c>
      <c r="E186" s="26" t="n">
        <f aca="false">IF(VLOOKUP(MONTH(A186),SeasonTable,2,0)&lt;&gt;"Summer",VLOOKUP(MONTH(A186),ScalarTable,2,0),((0.059228/(B186/100))-(0.4980013/(SQRT(B186/100)))+2.137988))</f>
        <v>1.02</v>
      </c>
      <c r="F186" s="28" t="n">
        <f aca="false">+E186*B186</f>
        <v>36.9239984436035</v>
      </c>
      <c r="H186" s="72" t="n">
        <f aca="false">2-E186</f>
        <v>0.98</v>
      </c>
      <c r="I186" s="73" t="n">
        <f aca="false">B186*H186</f>
        <v>35.4759985046387</v>
      </c>
      <c r="J186" s="74" t="n">
        <f aca="false">C186*E186</f>
        <v>22.4359202957153</v>
      </c>
      <c r="K186" s="75" t="n">
        <f aca="false">C186*H186</f>
        <v>21.5560802841187</v>
      </c>
      <c r="L186" s="28" t="n">
        <f aca="false">D186*E186</f>
        <v>21.4164319610596</v>
      </c>
      <c r="N186" s="32"/>
    </row>
    <row r="187" customFormat="false" ht="12.75" hidden="false" customHeight="false" outlineLevel="0" collapsed="false">
      <c r="A187" s="21" t="n">
        <v>42430</v>
      </c>
      <c r="B187" s="22" t="n">
        <v>31</v>
      </c>
      <c r="C187" s="71" t="n">
        <v>20</v>
      </c>
      <c r="D187" s="81" t="n">
        <v>19</v>
      </c>
      <c r="E187" s="26" t="n">
        <f aca="false">IF(VLOOKUP(MONTH(A187),SeasonTable,2,0)&lt;&gt;"Summer",VLOOKUP(MONTH(A187),ScalarTable,2,0),((0.059228/(B187/100))-(0.4980013/(SQRT(B187/100)))+2.137988))</f>
        <v>1.02</v>
      </c>
      <c r="F187" s="28" t="n">
        <f aca="false">+E187*B187</f>
        <v>31.62</v>
      </c>
      <c r="H187" s="72" t="n">
        <f aca="false">2-E187</f>
        <v>0.98</v>
      </c>
      <c r="I187" s="73" t="n">
        <f aca="false">B187*H187</f>
        <v>30.38</v>
      </c>
      <c r="J187" s="74" t="n">
        <f aca="false">C187*E187</f>
        <v>20.4</v>
      </c>
      <c r="K187" s="75" t="n">
        <f aca="false">C187*H187</f>
        <v>19.6</v>
      </c>
      <c r="L187" s="28" t="n">
        <f aca="false">D187*E187</f>
        <v>19.38</v>
      </c>
      <c r="N187" s="32"/>
    </row>
    <row r="188" customFormat="false" ht="12.75" hidden="false" customHeight="false" outlineLevel="0" collapsed="false">
      <c r="A188" s="21" t="n">
        <v>42461</v>
      </c>
      <c r="B188" s="22" t="n">
        <v>31.25</v>
      </c>
      <c r="C188" s="71" t="n">
        <v>20</v>
      </c>
      <c r="D188" s="81" t="n">
        <v>18.9950008392334</v>
      </c>
      <c r="E188" s="26" t="n">
        <f aca="false">IF(VLOOKUP(MONTH(A188),SeasonTable,2,0)&lt;&gt;"Summer",VLOOKUP(MONTH(A188),ScalarTable,2,0),((0.059228/(B188/100))-(0.4980013/(SQRT(B188/100)))+2.137988))</f>
        <v>1</v>
      </c>
      <c r="F188" s="28" t="n">
        <f aca="false">+E188*B188</f>
        <v>31.25</v>
      </c>
      <c r="H188" s="72" t="n">
        <f aca="false">2-E188</f>
        <v>1</v>
      </c>
      <c r="I188" s="73" t="n">
        <f aca="false">B188*H188</f>
        <v>31.25</v>
      </c>
      <c r="J188" s="74" t="n">
        <f aca="false">C188*E188</f>
        <v>20</v>
      </c>
      <c r="K188" s="75" t="n">
        <f aca="false">C188*H188</f>
        <v>20</v>
      </c>
      <c r="L188" s="28" t="n">
        <f aca="false">D188*E188</f>
        <v>18.9950008392334</v>
      </c>
      <c r="N188" s="32"/>
    </row>
    <row r="189" customFormat="false" ht="12.75" hidden="false" customHeight="false" outlineLevel="0" collapsed="false">
      <c r="A189" s="21" t="n">
        <v>42491</v>
      </c>
      <c r="B189" s="22" t="n">
        <v>35</v>
      </c>
      <c r="C189" s="71" t="n">
        <v>21</v>
      </c>
      <c r="D189" s="81" t="n">
        <v>20.0049991607666</v>
      </c>
      <c r="E189" s="26" t="n">
        <f aca="false">IF(VLOOKUP(MONTH(A189),SeasonTable,2,0)&lt;&gt;"Summer",VLOOKUP(MONTH(A189),ScalarTable,2,0),((0.059228/(B189/100))-(0.4980013/(SQRT(B189/100)))+2.137988))</f>
        <v>1.07625000178814</v>
      </c>
      <c r="F189" s="28" t="n">
        <f aca="false">+E189*B189</f>
        <v>37.6687500625849</v>
      </c>
      <c r="H189" s="72" t="n">
        <f aca="false">2-E189</f>
        <v>0.923749998211861</v>
      </c>
      <c r="I189" s="73" t="n">
        <f aca="false">B189*H189</f>
        <v>32.3312499374151</v>
      </c>
      <c r="J189" s="74" t="n">
        <f aca="false">C189*E189</f>
        <v>22.6012500375509</v>
      </c>
      <c r="K189" s="75" t="n">
        <f aca="false">C189*H189</f>
        <v>19.3987499624491</v>
      </c>
      <c r="L189" s="28" t="n">
        <f aca="false">D189*E189</f>
        <v>21.5303803825468</v>
      </c>
      <c r="N189" s="32"/>
    </row>
    <row r="190" customFormat="false" ht="12.75" hidden="false" customHeight="false" outlineLevel="0" collapsed="false">
      <c r="A190" s="21" t="n">
        <v>42522</v>
      </c>
      <c r="B190" s="22" t="n">
        <v>57.25</v>
      </c>
      <c r="C190" s="71" t="n">
        <v>26</v>
      </c>
      <c r="D190" s="81" t="n">
        <v>24</v>
      </c>
      <c r="E190" s="26" t="n">
        <f aca="false">IF(VLOOKUP(MONTH(A190),SeasonTable,2,0)&lt;&gt;"Summer",VLOOKUP(MONTH(A190),ScalarTable,2,0),((0.059228/(B190/100))-(0.4980013/(SQRT(B190/100)))+2.137988))</f>
        <v>1.58326597765243</v>
      </c>
      <c r="F190" s="28" t="n">
        <f aca="false">+E190*B190</f>
        <v>90.6419772206017</v>
      </c>
      <c r="H190" s="72" t="n">
        <f aca="false">2-E190</f>
        <v>0.41673402234757</v>
      </c>
      <c r="I190" s="73" t="n">
        <f aca="false">B190*H190</f>
        <v>23.8580227793984</v>
      </c>
      <c r="J190" s="74" t="n">
        <f aca="false">C190*E190</f>
        <v>41.1649154189632</v>
      </c>
      <c r="K190" s="75" t="n">
        <f aca="false">C190*H190</f>
        <v>10.8350845810368</v>
      </c>
      <c r="L190" s="28" t="n">
        <f aca="false">D190*E190</f>
        <v>37.9983834636583</v>
      </c>
      <c r="N190" s="32"/>
    </row>
    <row r="191" customFormat="false" ht="12.75" hidden="false" customHeight="false" outlineLevel="0" collapsed="false">
      <c r="A191" s="21" t="n">
        <v>42552</v>
      </c>
      <c r="B191" s="22" t="n">
        <v>104</v>
      </c>
      <c r="C191" s="71" t="n">
        <v>35</v>
      </c>
      <c r="D191" s="81" t="n">
        <v>30.9999980926514</v>
      </c>
      <c r="E191" s="26" t="n">
        <f aca="false">IF(VLOOKUP(MONTH(A191),SeasonTable,2,0)&lt;&gt;"Summer",VLOOKUP(MONTH(A191),ScalarTable,2,0),((0.059228/(B191/100))-(0.4980013/(SQRT(B191/100)))+2.137988))</f>
        <v>1.70660754875104</v>
      </c>
      <c r="F191" s="28" t="n">
        <f aca="false">+E191*B191</f>
        <v>177.487185070109</v>
      </c>
      <c r="H191" s="72" t="n">
        <f aca="false">2-E191</f>
        <v>0.293392451248957</v>
      </c>
      <c r="I191" s="73" t="n">
        <f aca="false">B191*H191</f>
        <v>30.5128149298915</v>
      </c>
      <c r="J191" s="74" t="n">
        <f aca="false">C191*E191</f>
        <v>59.7312642062865</v>
      </c>
      <c r="K191" s="75" t="n">
        <f aca="false">C191*H191</f>
        <v>10.2687357937135</v>
      </c>
      <c r="L191" s="28" t="n">
        <f aca="false">D191*E191</f>
        <v>52.9048307561868</v>
      </c>
      <c r="N191" s="32"/>
    </row>
    <row r="192" customFormat="false" ht="12.75" hidden="false" customHeight="false" outlineLevel="0" collapsed="false">
      <c r="A192" s="21" t="n">
        <v>42583</v>
      </c>
      <c r="B192" s="22" t="n">
        <v>104</v>
      </c>
      <c r="C192" s="71" t="n">
        <v>35.0000038146973</v>
      </c>
      <c r="D192" s="81" t="n">
        <v>31</v>
      </c>
      <c r="E192" s="26" t="n">
        <f aca="false">IF(VLOOKUP(MONTH(A192),SeasonTable,2,0)&lt;&gt;"Summer",VLOOKUP(MONTH(A192),ScalarTable,2,0),((0.059228/(B192/100))-(0.4980013/(SQRT(B192/100)))+2.137988))</f>
        <v>1.70660754875104</v>
      </c>
      <c r="F192" s="28" t="n">
        <f aca="false">+E192*B192</f>
        <v>177.487185070109</v>
      </c>
      <c r="H192" s="72" t="n">
        <f aca="false">2-E192</f>
        <v>0.293392451248957</v>
      </c>
      <c r="I192" s="73" t="n">
        <f aca="false">B192*H192</f>
        <v>30.5128149298915</v>
      </c>
      <c r="J192" s="74" t="n">
        <f aca="false">C192*E192</f>
        <v>59.7312707164777</v>
      </c>
      <c r="K192" s="75" t="n">
        <f aca="false">C192*H192</f>
        <v>10.2687369129169</v>
      </c>
      <c r="L192" s="28" t="n">
        <f aca="false">D192*E192</f>
        <v>52.9048340112824</v>
      </c>
      <c r="N192" s="32"/>
    </row>
    <row r="193" customFormat="false" ht="12.75" hidden="false" customHeight="false" outlineLevel="0" collapsed="false">
      <c r="A193" s="21" t="n">
        <v>42614</v>
      </c>
      <c r="B193" s="22" t="n">
        <v>37.75</v>
      </c>
      <c r="C193" s="71" t="n">
        <v>25</v>
      </c>
      <c r="D193" s="81" t="n">
        <v>24</v>
      </c>
      <c r="E193" s="26" t="n">
        <f aca="false">IF(VLOOKUP(MONTH(A193),SeasonTable,2,0)&lt;&gt;"Summer",VLOOKUP(MONTH(A193),ScalarTable,2,0),((0.059228/(B193/100))-(0.4980013/(SQRT(B193/100)))+2.137988))</f>
        <v>1.35124999284744</v>
      </c>
      <c r="F193" s="28" t="n">
        <f aca="false">+E193*B193</f>
        <v>51.009687229991</v>
      </c>
      <c r="H193" s="72" t="n">
        <f aca="false">2-E193</f>
        <v>0.648750007152557</v>
      </c>
      <c r="I193" s="73" t="n">
        <f aca="false">B193*H193</f>
        <v>24.490312770009</v>
      </c>
      <c r="J193" s="74" t="n">
        <f aca="false">C193*E193</f>
        <v>33.7812498211861</v>
      </c>
      <c r="K193" s="75" t="n">
        <f aca="false">C193*H193</f>
        <v>16.2187501788139</v>
      </c>
      <c r="L193" s="28" t="n">
        <f aca="false">D193*E193</f>
        <v>32.4299998283386</v>
      </c>
      <c r="N193" s="32"/>
    </row>
    <row r="194" customFormat="false" ht="12.75" hidden="false" customHeight="false" outlineLevel="0" collapsed="false">
      <c r="A194" s="21" t="n">
        <v>42644</v>
      </c>
      <c r="B194" s="22" t="n">
        <v>30.8499946594238</v>
      </c>
      <c r="C194" s="71" t="n">
        <v>19.996000289917</v>
      </c>
      <c r="D194" s="81" t="n">
        <v>18.9965000152588</v>
      </c>
      <c r="E194" s="26" t="n">
        <f aca="false">IF(VLOOKUP(MONTH(A194),SeasonTable,2,0)&lt;&gt;"Summer",VLOOKUP(MONTH(A194),ScalarTable,2,0),((0.059228/(B194/100))-(0.4980013/(SQRT(B194/100)))+2.137988))</f>
        <v>1</v>
      </c>
      <c r="F194" s="28" t="n">
        <f aca="false">+E194*B194</f>
        <v>30.8499946594238</v>
      </c>
      <c r="H194" s="72" t="n">
        <f aca="false">2-E194</f>
        <v>1</v>
      </c>
      <c r="I194" s="73" t="n">
        <f aca="false">B194*H194</f>
        <v>30.8499946594238</v>
      </c>
      <c r="J194" s="74" t="n">
        <f aca="false">C194*E194</f>
        <v>19.996000289917</v>
      </c>
      <c r="K194" s="75" t="n">
        <f aca="false">C194*H194</f>
        <v>19.996000289917</v>
      </c>
      <c r="L194" s="28" t="n">
        <f aca="false">D194*E194</f>
        <v>18.9965000152588</v>
      </c>
      <c r="N194" s="32"/>
    </row>
    <row r="195" customFormat="false" ht="12.75" hidden="false" customHeight="false" outlineLevel="0" collapsed="false">
      <c r="A195" s="21" t="n">
        <v>42675</v>
      </c>
      <c r="B195" s="22" t="n">
        <v>30.7299957275391</v>
      </c>
      <c r="C195" s="71" t="n">
        <v>20</v>
      </c>
      <c r="D195" s="81" t="n">
        <v>19</v>
      </c>
      <c r="E195" s="26" t="n">
        <f aca="false">IF(VLOOKUP(MONTH(A195),SeasonTable,2,0)&lt;&gt;"Summer",VLOOKUP(MONTH(A195),ScalarTable,2,0),((0.059228/(B195/100))-(0.4980013/(SQRT(B195/100)))+2.137988))</f>
        <v>1.08</v>
      </c>
      <c r="F195" s="28" t="n">
        <f aca="false">+E195*B195</f>
        <v>33.1883953857422</v>
      </c>
      <c r="H195" s="72" t="n">
        <f aca="false">2-E195</f>
        <v>0.92</v>
      </c>
      <c r="I195" s="73" t="n">
        <f aca="false">B195*H195</f>
        <v>28.2715960693359</v>
      </c>
      <c r="J195" s="74" t="n">
        <f aca="false">C195*E195</f>
        <v>21.6</v>
      </c>
      <c r="K195" s="75" t="n">
        <f aca="false">C195*H195</f>
        <v>18.4</v>
      </c>
      <c r="L195" s="28" t="n">
        <f aca="false">D195*E195</f>
        <v>20.52</v>
      </c>
      <c r="N195" s="32"/>
    </row>
    <row r="196" customFormat="false" ht="12.75" hidden="false" customHeight="false" outlineLevel="0" collapsed="false">
      <c r="A196" s="21" t="n">
        <v>42705</v>
      </c>
      <c r="B196" s="22" t="n">
        <v>31.1999950408936</v>
      </c>
      <c r="C196" s="71" t="n">
        <v>20</v>
      </c>
      <c r="D196" s="81" t="n">
        <v>19</v>
      </c>
      <c r="E196" s="26" t="n">
        <f aca="false">IF(VLOOKUP(MONTH(A196),SeasonTable,2,0)&lt;&gt;"Summer",VLOOKUP(MONTH(A196),ScalarTable,2,0),((0.059228/(B196/100))-(0.4980013/(SQRT(B196/100)))+2.137988))</f>
        <v>1.02</v>
      </c>
      <c r="F196" s="28" t="n">
        <f aca="false">+E196*B196</f>
        <v>31.8239949417114</v>
      </c>
      <c r="H196" s="72" t="n">
        <f aca="false">2-E196</f>
        <v>0.98</v>
      </c>
      <c r="I196" s="73" t="n">
        <f aca="false">B196*H196</f>
        <v>30.5759951400757</v>
      </c>
      <c r="J196" s="74" t="n">
        <f aca="false">C196*E196</f>
        <v>20.4</v>
      </c>
      <c r="K196" s="75" t="n">
        <f aca="false">C196*H196</f>
        <v>19.6</v>
      </c>
      <c r="L196" s="28" t="n">
        <f aca="false">D196*E196</f>
        <v>19.38</v>
      </c>
      <c r="N196" s="32"/>
    </row>
    <row r="197" customFormat="false" ht="12.75" hidden="false" customHeight="false" outlineLevel="0" collapsed="false">
      <c r="A197" s="21" t="n">
        <v>42736</v>
      </c>
      <c r="B197" s="22" t="n">
        <v>36.7000003814697</v>
      </c>
      <c r="C197" s="71" t="n">
        <v>22</v>
      </c>
      <c r="D197" s="81" t="n">
        <v>21</v>
      </c>
      <c r="E197" s="26" t="n">
        <f aca="false">IF(VLOOKUP(MONTH(A197),SeasonTable,2,0)&lt;&gt;"Summer",VLOOKUP(MONTH(A197),ScalarTable,2,0),((0.059228/(B197/100))-(0.4980013/(SQRT(B197/100)))+2.137988))</f>
        <v>1.02</v>
      </c>
      <c r="F197" s="28" t="n">
        <f aca="false">+E197*B197</f>
        <v>37.4340003890991</v>
      </c>
      <c r="H197" s="72" t="n">
        <f aca="false">2-E197</f>
        <v>0.98</v>
      </c>
      <c r="I197" s="73" t="n">
        <f aca="false">B197*H197</f>
        <v>35.9660003738403</v>
      </c>
      <c r="J197" s="74" t="n">
        <f aca="false">C197*E197</f>
        <v>22.44</v>
      </c>
      <c r="K197" s="75" t="n">
        <f aca="false">C197*H197</f>
        <v>21.56</v>
      </c>
      <c r="L197" s="28" t="n">
        <f aca="false">D197*E197</f>
        <v>21.42</v>
      </c>
      <c r="N197" s="32"/>
    </row>
    <row r="198" customFormat="false" ht="12.75" hidden="false" customHeight="false" outlineLevel="0" collapsed="false">
      <c r="A198" s="21" t="n">
        <v>42767</v>
      </c>
      <c r="B198" s="22" t="n">
        <v>36.6999984741211</v>
      </c>
      <c r="C198" s="71" t="n">
        <v>21.996000289917</v>
      </c>
      <c r="D198" s="81" t="n">
        <v>20.9965019226074</v>
      </c>
      <c r="E198" s="26" t="n">
        <f aca="false">IF(VLOOKUP(MONTH(A198),SeasonTable,2,0)&lt;&gt;"Summer",VLOOKUP(MONTH(A198),ScalarTable,2,0),((0.059228/(B198/100))-(0.4980013/(SQRT(B198/100)))+2.137988))</f>
        <v>1.02</v>
      </c>
      <c r="F198" s="28" t="n">
        <f aca="false">+E198*B198</f>
        <v>37.4339984436035</v>
      </c>
      <c r="H198" s="72" t="n">
        <f aca="false">2-E198</f>
        <v>0.98</v>
      </c>
      <c r="I198" s="73" t="n">
        <f aca="false">B198*H198</f>
        <v>35.9659985046387</v>
      </c>
      <c r="J198" s="74" t="n">
        <f aca="false">C198*E198</f>
        <v>22.4359202957153</v>
      </c>
      <c r="K198" s="75" t="n">
        <f aca="false">C198*H198</f>
        <v>21.5560802841187</v>
      </c>
      <c r="L198" s="28" t="n">
        <f aca="false">D198*E198</f>
        <v>21.4164319610596</v>
      </c>
      <c r="N198" s="32"/>
    </row>
    <row r="199" customFormat="false" ht="12.75" hidden="false" customHeight="false" outlineLevel="0" collapsed="false">
      <c r="A199" s="21" t="n">
        <v>42795</v>
      </c>
      <c r="B199" s="22" t="n">
        <v>31.5</v>
      </c>
      <c r="C199" s="71" t="n">
        <v>20</v>
      </c>
      <c r="D199" s="81" t="n">
        <v>19</v>
      </c>
      <c r="E199" s="26" t="n">
        <f aca="false">IF(VLOOKUP(MONTH(A199),SeasonTable,2,0)&lt;&gt;"Summer",VLOOKUP(MONTH(A199),ScalarTable,2,0),((0.059228/(B199/100))-(0.4980013/(SQRT(B199/100)))+2.137988))</f>
        <v>1.02</v>
      </c>
      <c r="F199" s="28" t="n">
        <f aca="false">+E199*B199</f>
        <v>32.13</v>
      </c>
      <c r="H199" s="72" t="n">
        <f aca="false">2-E199</f>
        <v>0.98</v>
      </c>
      <c r="I199" s="73" t="n">
        <f aca="false">B199*H199</f>
        <v>30.87</v>
      </c>
      <c r="J199" s="74" t="n">
        <f aca="false">C199*E199</f>
        <v>20.4</v>
      </c>
      <c r="K199" s="75" t="n">
        <f aca="false">C199*H199</f>
        <v>19.6</v>
      </c>
      <c r="L199" s="28" t="n">
        <f aca="false">D199*E199</f>
        <v>19.38</v>
      </c>
      <c r="N199" s="32"/>
    </row>
    <row r="200" customFormat="false" ht="12.75" hidden="false" customHeight="false" outlineLevel="0" collapsed="false">
      <c r="A200" s="21" t="n">
        <v>42826</v>
      </c>
      <c r="B200" s="22" t="n">
        <v>31.75</v>
      </c>
      <c r="C200" s="71" t="n">
        <v>20</v>
      </c>
      <c r="D200" s="81" t="n">
        <v>18.9950008392334</v>
      </c>
      <c r="E200" s="26" t="n">
        <f aca="false">IF(VLOOKUP(MONTH(A200),SeasonTable,2,0)&lt;&gt;"Summer",VLOOKUP(MONTH(A200),ScalarTable,2,0),((0.059228/(B200/100))-(0.4980013/(SQRT(B200/100)))+2.137988))</f>
        <v>1</v>
      </c>
      <c r="F200" s="28" t="n">
        <f aca="false">+E200*B200</f>
        <v>31.75</v>
      </c>
      <c r="H200" s="72" t="n">
        <f aca="false">2-E200</f>
        <v>1</v>
      </c>
      <c r="I200" s="73" t="n">
        <f aca="false">B200*H200</f>
        <v>31.75</v>
      </c>
      <c r="J200" s="74" t="n">
        <f aca="false">C200*E200</f>
        <v>20</v>
      </c>
      <c r="K200" s="75" t="n">
        <f aca="false">C200*H200</f>
        <v>20</v>
      </c>
      <c r="L200" s="28" t="n">
        <f aca="false">D200*E200</f>
        <v>18.9950008392334</v>
      </c>
      <c r="N200" s="32"/>
    </row>
    <row r="201" customFormat="false" ht="12.75" hidden="false" customHeight="false" outlineLevel="0" collapsed="false">
      <c r="A201" s="21" t="n">
        <v>42856</v>
      </c>
      <c r="B201" s="22" t="n">
        <v>35.5</v>
      </c>
      <c r="C201" s="71" t="n">
        <v>21</v>
      </c>
      <c r="D201" s="81" t="n">
        <v>20.0049991607666</v>
      </c>
      <c r="E201" s="26" t="n">
        <f aca="false">IF(VLOOKUP(MONTH(A201),SeasonTable,2,0)&lt;&gt;"Summer",VLOOKUP(MONTH(A201),ScalarTable,2,0),((0.059228/(B201/100))-(0.4980013/(SQRT(B201/100)))+2.137988))</f>
        <v>1.07625000178814</v>
      </c>
      <c r="F201" s="28" t="n">
        <f aca="false">+E201*B201</f>
        <v>38.206875063479</v>
      </c>
      <c r="H201" s="72" t="n">
        <f aca="false">2-E201</f>
        <v>0.923749998211861</v>
      </c>
      <c r="I201" s="73" t="n">
        <f aca="false">B201*H201</f>
        <v>32.7931249365211</v>
      </c>
      <c r="J201" s="74" t="n">
        <f aca="false">C201*E201</f>
        <v>22.6012500375509</v>
      </c>
      <c r="K201" s="75" t="n">
        <f aca="false">C201*H201</f>
        <v>19.3987499624491</v>
      </c>
      <c r="L201" s="28" t="n">
        <f aca="false">D201*E201</f>
        <v>21.5303803825468</v>
      </c>
      <c r="N201" s="32"/>
    </row>
    <row r="202" customFormat="false" ht="12.75" hidden="false" customHeight="false" outlineLevel="0" collapsed="false">
      <c r="A202" s="21" t="n">
        <v>42887</v>
      </c>
      <c r="B202" s="22" t="n">
        <v>58.25</v>
      </c>
      <c r="C202" s="71" t="n">
        <v>26</v>
      </c>
      <c r="D202" s="81" t="n">
        <v>24</v>
      </c>
      <c r="E202" s="26" t="n">
        <f aca="false">IF(VLOOKUP(MONTH(A202),SeasonTable,2,0)&lt;&gt;"Summer",VLOOKUP(MONTH(A202),ScalarTable,2,0),((0.059228/(B202/100))-(0.4980013/(SQRT(B202/100)))+2.137988))</f>
        <v>1.58716397168835</v>
      </c>
      <c r="F202" s="28" t="n">
        <f aca="false">+E202*B202</f>
        <v>92.4523013508465</v>
      </c>
      <c r="H202" s="72" t="n">
        <f aca="false">2-E202</f>
        <v>0.412836028311649</v>
      </c>
      <c r="I202" s="73" t="n">
        <f aca="false">B202*H202</f>
        <v>24.0476986491535</v>
      </c>
      <c r="J202" s="74" t="n">
        <f aca="false">C202*E202</f>
        <v>41.2662632638971</v>
      </c>
      <c r="K202" s="75" t="n">
        <f aca="false">C202*H202</f>
        <v>10.7337367361029</v>
      </c>
      <c r="L202" s="28" t="n">
        <f aca="false">D202*E202</f>
        <v>38.0919353205204</v>
      </c>
      <c r="N202" s="32"/>
    </row>
    <row r="203" customFormat="false" ht="12.75" hidden="false" customHeight="false" outlineLevel="0" collapsed="false">
      <c r="A203" s="21" t="n">
        <v>42917</v>
      </c>
      <c r="B203" s="22" t="n">
        <v>107</v>
      </c>
      <c r="C203" s="71" t="n">
        <v>35</v>
      </c>
      <c r="D203" s="81" t="n">
        <v>30.9999980926514</v>
      </c>
      <c r="E203" s="26" t="n">
        <f aca="false">IF(VLOOKUP(MONTH(A203),SeasonTable,2,0)&lt;&gt;"Summer",VLOOKUP(MONTH(A203),ScalarTable,2,0),((0.059228/(B203/100))-(0.4980013/(SQRT(B203/100)))+2.137988))</f>
        <v>1.71190524272586</v>
      </c>
      <c r="F203" s="28" t="n">
        <f aca="false">+E203*B203</f>
        <v>183.173860971667</v>
      </c>
      <c r="H203" s="72" t="n">
        <f aca="false">2-E203</f>
        <v>0.288094757274139</v>
      </c>
      <c r="I203" s="73" t="n">
        <f aca="false">B203*H203</f>
        <v>30.8261390283329</v>
      </c>
      <c r="J203" s="74" t="n">
        <f aca="false">C203*E203</f>
        <v>59.9166834954051</v>
      </c>
      <c r="K203" s="75" t="n">
        <f aca="false">C203*H203</f>
        <v>10.0833165045949</v>
      </c>
      <c r="L203" s="28" t="n">
        <f aca="false">D203*E203</f>
        <v>53.0690592593016</v>
      </c>
      <c r="N203" s="32"/>
    </row>
    <row r="204" customFormat="false" ht="12.75" hidden="false" customHeight="false" outlineLevel="0" collapsed="false">
      <c r="A204" s="21" t="n">
        <v>42948</v>
      </c>
      <c r="B204" s="22" t="n">
        <v>107</v>
      </c>
      <c r="C204" s="71" t="n">
        <v>35.0000038146973</v>
      </c>
      <c r="D204" s="81" t="n">
        <v>31</v>
      </c>
      <c r="E204" s="26" t="n">
        <f aca="false">IF(VLOOKUP(MONTH(A204),SeasonTable,2,0)&lt;&gt;"Summer",VLOOKUP(MONTH(A204),ScalarTable,2,0),((0.059228/(B204/100))-(0.4980013/(SQRT(B204/100)))+2.137988))</f>
        <v>1.71190524272586</v>
      </c>
      <c r="F204" s="28" t="n">
        <f aca="false">+E204*B204</f>
        <v>183.173860971667</v>
      </c>
      <c r="H204" s="72" t="n">
        <f aca="false">2-E204</f>
        <v>0.288094757274139</v>
      </c>
      <c r="I204" s="73" t="n">
        <f aca="false">B204*H204</f>
        <v>30.8261390283329</v>
      </c>
      <c r="J204" s="74" t="n">
        <f aca="false">C204*E204</f>
        <v>59.9166900258054</v>
      </c>
      <c r="K204" s="75" t="n">
        <f aca="false">C204*H204</f>
        <v>10.0833176035891</v>
      </c>
      <c r="L204" s="28" t="n">
        <f aca="false">D204*E204</f>
        <v>53.0690625245017</v>
      </c>
      <c r="N204" s="32"/>
    </row>
    <row r="205" customFormat="false" ht="12.75" hidden="false" customHeight="false" outlineLevel="0" collapsed="false">
      <c r="A205" s="21" t="n">
        <v>42979</v>
      </c>
      <c r="B205" s="22" t="n">
        <v>38.25</v>
      </c>
      <c r="C205" s="71" t="n">
        <v>25</v>
      </c>
      <c r="D205" s="81" t="n">
        <v>24</v>
      </c>
      <c r="E205" s="26" t="n">
        <f aca="false">IF(VLOOKUP(MONTH(A205),SeasonTable,2,0)&lt;&gt;"Summer",VLOOKUP(MONTH(A205),ScalarTable,2,0),((0.059228/(B205/100))-(0.4980013/(SQRT(B205/100)))+2.137988))</f>
        <v>1.35124999284744</v>
      </c>
      <c r="F205" s="28" t="n">
        <f aca="false">+E205*B205</f>
        <v>51.6853122264147</v>
      </c>
      <c r="H205" s="72" t="n">
        <f aca="false">2-E205</f>
        <v>0.648750007152557</v>
      </c>
      <c r="I205" s="73" t="n">
        <f aca="false">B205*H205</f>
        <v>24.8146877735853</v>
      </c>
      <c r="J205" s="74" t="n">
        <f aca="false">C205*E205</f>
        <v>33.7812498211861</v>
      </c>
      <c r="K205" s="75" t="n">
        <f aca="false">C205*H205</f>
        <v>16.2187501788139</v>
      </c>
      <c r="L205" s="28" t="n">
        <f aca="false">D205*E205</f>
        <v>32.4299998283386</v>
      </c>
      <c r="N205" s="32"/>
    </row>
    <row r="206" customFormat="false" ht="12.75" hidden="false" customHeight="false" outlineLevel="0" collapsed="false">
      <c r="A206" s="21" t="n">
        <v>43009</v>
      </c>
      <c r="B206" s="22" t="n">
        <v>31.3499946594238</v>
      </c>
      <c r="C206" s="71" t="n">
        <v>19.996000289917</v>
      </c>
      <c r="D206" s="81" t="n">
        <v>18.9965000152588</v>
      </c>
      <c r="E206" s="26" t="n">
        <f aca="false">IF(VLOOKUP(MONTH(A206),SeasonTable,2,0)&lt;&gt;"Summer",VLOOKUP(MONTH(A206),ScalarTable,2,0),((0.059228/(B206/100))-(0.4980013/(SQRT(B206/100)))+2.137988))</f>
        <v>1</v>
      </c>
      <c r="F206" s="28" t="n">
        <f aca="false">+E206*B206</f>
        <v>31.3499946594238</v>
      </c>
      <c r="H206" s="72" t="n">
        <f aca="false">2-E206</f>
        <v>1</v>
      </c>
      <c r="I206" s="73" t="n">
        <f aca="false">B206*H206</f>
        <v>31.3499946594238</v>
      </c>
      <c r="J206" s="74" t="n">
        <f aca="false">C206*E206</f>
        <v>19.996000289917</v>
      </c>
      <c r="K206" s="75" t="n">
        <f aca="false">C206*H206</f>
        <v>19.996000289917</v>
      </c>
      <c r="L206" s="28" t="n">
        <f aca="false">D206*E206</f>
        <v>18.9965000152588</v>
      </c>
      <c r="N206" s="32"/>
    </row>
    <row r="207" customFormat="false" ht="12.75" hidden="false" customHeight="false" outlineLevel="0" collapsed="false">
      <c r="A207" s="21" t="n">
        <v>43040</v>
      </c>
      <c r="B207" s="22" t="n">
        <v>31.2299957275391</v>
      </c>
      <c r="C207" s="71" t="n">
        <v>20</v>
      </c>
      <c r="D207" s="81" t="n">
        <v>19</v>
      </c>
      <c r="E207" s="26" t="n">
        <f aca="false">IF(VLOOKUP(MONTH(A207),SeasonTable,2,0)&lt;&gt;"Summer",VLOOKUP(MONTH(A207),ScalarTable,2,0),((0.059228/(B207/100))-(0.4980013/(SQRT(B207/100)))+2.137988))</f>
        <v>1.08</v>
      </c>
      <c r="F207" s="28" t="n">
        <f aca="false">+E207*B207</f>
        <v>33.7283953857422</v>
      </c>
      <c r="H207" s="72" t="n">
        <f aca="false">2-E207</f>
        <v>0.92</v>
      </c>
      <c r="I207" s="73" t="n">
        <f aca="false">B207*H207</f>
        <v>28.7315960693359</v>
      </c>
      <c r="J207" s="74" t="n">
        <f aca="false">C207*E207</f>
        <v>21.6</v>
      </c>
      <c r="K207" s="75" t="n">
        <f aca="false">C207*H207</f>
        <v>18.4</v>
      </c>
      <c r="L207" s="28" t="n">
        <f aca="false">D207*E207</f>
        <v>20.52</v>
      </c>
      <c r="N207" s="32"/>
    </row>
    <row r="208" customFormat="false" ht="12.75" hidden="false" customHeight="false" outlineLevel="0" collapsed="false">
      <c r="A208" s="21" t="n">
        <v>43070</v>
      </c>
      <c r="B208" s="22" t="n">
        <v>31.6999950408936</v>
      </c>
      <c r="C208" s="71" t="n">
        <v>20</v>
      </c>
      <c r="D208" s="81" t="n">
        <v>19</v>
      </c>
      <c r="E208" s="26" t="n">
        <f aca="false">IF(VLOOKUP(MONTH(A208),SeasonTable,2,0)&lt;&gt;"Summer",VLOOKUP(MONTH(A208),ScalarTable,2,0),((0.059228/(B208/100))-(0.4980013/(SQRT(B208/100)))+2.137988))</f>
        <v>1.02</v>
      </c>
      <c r="F208" s="28" t="n">
        <f aca="false">+E208*B208</f>
        <v>32.3339949417114</v>
      </c>
      <c r="H208" s="72" t="n">
        <f aca="false">2-E208</f>
        <v>0.98</v>
      </c>
      <c r="I208" s="73" t="n">
        <f aca="false">B208*H208</f>
        <v>31.0659951400757</v>
      </c>
      <c r="J208" s="74" t="n">
        <f aca="false">C208*E208</f>
        <v>20.4</v>
      </c>
      <c r="K208" s="75" t="n">
        <f aca="false">C208*H208</f>
        <v>19.6</v>
      </c>
      <c r="L208" s="28" t="n">
        <f aca="false">D208*E208</f>
        <v>19.38</v>
      </c>
      <c r="N208" s="32"/>
    </row>
    <row r="209" customFormat="false" ht="12.75" hidden="false" customHeight="false" outlineLevel="0" collapsed="false">
      <c r="A209" s="21" t="n">
        <v>43101</v>
      </c>
      <c r="B209" s="22" t="n">
        <v>37.2000003814697</v>
      </c>
      <c r="C209" s="71" t="n">
        <v>22</v>
      </c>
      <c r="D209" s="81" t="n">
        <v>21</v>
      </c>
      <c r="E209" s="26" t="n">
        <f aca="false">IF(VLOOKUP(MONTH(A209),SeasonTable,2,0)&lt;&gt;"Summer",VLOOKUP(MONTH(A209),ScalarTable,2,0),((0.059228/(B209/100))-(0.4980013/(SQRT(B209/100)))+2.137988))</f>
        <v>1.02</v>
      </c>
      <c r="F209" s="28" t="n">
        <f aca="false">+E209*B209</f>
        <v>37.9440003890991</v>
      </c>
      <c r="H209" s="72" t="n">
        <f aca="false">2-E209</f>
        <v>0.98</v>
      </c>
      <c r="I209" s="73" t="n">
        <f aca="false">B209*H209</f>
        <v>36.4560003738403</v>
      </c>
      <c r="J209" s="74" t="n">
        <f aca="false">C209*E209</f>
        <v>22.44</v>
      </c>
      <c r="K209" s="75" t="n">
        <f aca="false">C209*H209</f>
        <v>21.56</v>
      </c>
      <c r="L209" s="28" t="n">
        <f aca="false">D209*E209</f>
        <v>21.42</v>
      </c>
      <c r="N209" s="32"/>
    </row>
    <row r="210" customFormat="false" ht="12.75" hidden="false" customHeight="false" outlineLevel="0" collapsed="false">
      <c r="A210" s="21" t="n">
        <v>43132</v>
      </c>
      <c r="B210" s="22" t="n">
        <v>37.1999984741211</v>
      </c>
      <c r="C210" s="71" t="n">
        <v>21.996000289917</v>
      </c>
      <c r="D210" s="81" t="n">
        <v>20.9965019226074</v>
      </c>
      <c r="E210" s="26" t="n">
        <f aca="false">IF(VLOOKUP(MONTH(A210),SeasonTable,2,0)&lt;&gt;"Summer",VLOOKUP(MONTH(A210),ScalarTable,2,0),((0.059228/(B210/100))-(0.4980013/(SQRT(B210/100)))+2.137988))</f>
        <v>1.02</v>
      </c>
      <c r="F210" s="28" t="n">
        <f aca="false">+E210*B210</f>
        <v>37.9439984436035</v>
      </c>
      <c r="H210" s="72" t="n">
        <f aca="false">2-E210</f>
        <v>0.98</v>
      </c>
      <c r="I210" s="73" t="n">
        <f aca="false">B210*H210</f>
        <v>36.4559985046387</v>
      </c>
      <c r="J210" s="74" t="n">
        <f aca="false">C210*E210</f>
        <v>22.4359202957153</v>
      </c>
      <c r="K210" s="75" t="n">
        <f aca="false">C210*H210</f>
        <v>21.5560802841187</v>
      </c>
      <c r="L210" s="28" t="n">
        <f aca="false">D210*E210</f>
        <v>21.4164319610596</v>
      </c>
      <c r="N210" s="32"/>
    </row>
    <row r="211" customFormat="false" ht="12.75" hidden="false" customHeight="false" outlineLevel="0" collapsed="false">
      <c r="A211" s="21" t="n">
        <v>43160</v>
      </c>
      <c r="B211" s="22" t="n">
        <v>32</v>
      </c>
      <c r="C211" s="71" t="n">
        <v>20</v>
      </c>
      <c r="D211" s="81" t="n">
        <v>19</v>
      </c>
      <c r="E211" s="26" t="n">
        <f aca="false">IF(VLOOKUP(MONTH(A211),SeasonTable,2,0)&lt;&gt;"Summer",VLOOKUP(MONTH(A211),ScalarTable,2,0),((0.059228/(B211/100))-(0.4980013/(SQRT(B211/100)))+2.137988))</f>
        <v>1.02</v>
      </c>
      <c r="F211" s="28" t="n">
        <f aca="false">+E211*B211</f>
        <v>32.64</v>
      </c>
      <c r="H211" s="72" t="n">
        <f aca="false">2-E211</f>
        <v>0.98</v>
      </c>
      <c r="I211" s="73" t="n">
        <f aca="false">B211*H211</f>
        <v>31.36</v>
      </c>
      <c r="J211" s="74" t="n">
        <f aca="false">C211*E211</f>
        <v>20.4</v>
      </c>
      <c r="K211" s="75" t="n">
        <f aca="false">C211*H211</f>
        <v>19.6</v>
      </c>
      <c r="L211" s="28" t="n">
        <f aca="false">D211*E211</f>
        <v>19.38</v>
      </c>
      <c r="N211" s="32"/>
    </row>
    <row r="212" customFormat="false" ht="12.75" hidden="false" customHeight="false" outlineLevel="0" collapsed="false">
      <c r="A212" s="21" t="n">
        <v>43191</v>
      </c>
      <c r="B212" s="22" t="n">
        <v>32.25</v>
      </c>
      <c r="C212" s="71" t="n">
        <v>20</v>
      </c>
      <c r="D212" s="81" t="n">
        <v>18.9950008392334</v>
      </c>
      <c r="E212" s="26" t="n">
        <f aca="false">IF(VLOOKUP(MONTH(A212),SeasonTable,2,0)&lt;&gt;"Summer",VLOOKUP(MONTH(A212),ScalarTable,2,0),((0.059228/(B212/100))-(0.4980013/(SQRT(B212/100)))+2.137988))</f>
        <v>1</v>
      </c>
      <c r="F212" s="28" t="n">
        <f aca="false">+E212*B212</f>
        <v>32.25</v>
      </c>
      <c r="H212" s="72" t="n">
        <f aca="false">2-E212</f>
        <v>1</v>
      </c>
      <c r="I212" s="73" t="n">
        <f aca="false">B212*H212</f>
        <v>32.25</v>
      </c>
      <c r="J212" s="74" t="n">
        <f aca="false">C212*E212</f>
        <v>20</v>
      </c>
      <c r="K212" s="75" t="n">
        <f aca="false">C212*H212</f>
        <v>20</v>
      </c>
      <c r="L212" s="28" t="n">
        <f aca="false">D212*E212</f>
        <v>18.9950008392334</v>
      </c>
      <c r="N212" s="32"/>
    </row>
    <row r="213" customFormat="false" ht="12.75" hidden="false" customHeight="false" outlineLevel="0" collapsed="false">
      <c r="A213" s="21" t="n">
        <v>43221</v>
      </c>
      <c r="B213" s="22" t="n">
        <v>36</v>
      </c>
      <c r="C213" s="71" t="n">
        <v>21</v>
      </c>
      <c r="D213" s="81" t="n">
        <v>20.0049991607666</v>
      </c>
      <c r="E213" s="26" t="n">
        <f aca="false">IF(VLOOKUP(MONTH(A213),SeasonTable,2,0)&lt;&gt;"Summer",VLOOKUP(MONTH(A213),ScalarTable,2,0),((0.059228/(B213/100))-(0.4980013/(SQRT(B213/100)))+2.137988))</f>
        <v>1.07625000178814</v>
      </c>
      <c r="F213" s="28" t="n">
        <f aca="false">+E213*B213</f>
        <v>38.745000064373</v>
      </c>
      <c r="H213" s="72" t="n">
        <f aca="false">2-E213</f>
        <v>0.923749998211861</v>
      </c>
      <c r="I213" s="73" t="n">
        <f aca="false">B213*H213</f>
        <v>33.254999935627</v>
      </c>
      <c r="J213" s="74" t="n">
        <f aca="false">C213*E213</f>
        <v>22.6012500375509</v>
      </c>
      <c r="K213" s="75" t="n">
        <f aca="false">C213*H213</f>
        <v>19.3987499624491</v>
      </c>
      <c r="L213" s="28" t="n">
        <f aca="false">D213*E213</f>
        <v>21.5303803825468</v>
      </c>
      <c r="N213" s="32"/>
    </row>
    <row r="214" customFormat="false" ht="12.75" hidden="false" customHeight="false" outlineLevel="0" collapsed="false">
      <c r="A214" s="21" t="n">
        <v>43252</v>
      </c>
      <c r="B214" s="22" t="n">
        <v>59.25</v>
      </c>
      <c r="C214" s="71" t="n">
        <v>26</v>
      </c>
      <c r="D214" s="81" t="n">
        <v>24</v>
      </c>
      <c r="E214" s="26" t="n">
        <f aca="false">IF(VLOOKUP(MONTH(A214),SeasonTable,2,0)&lt;&gt;"Summer",VLOOKUP(MONTH(A214),ScalarTable,2,0),((0.059228/(B214/100))-(0.4980013/(SQRT(B214/100)))+2.137988))</f>
        <v>1.59097765706504</v>
      </c>
      <c r="F214" s="28" t="n">
        <f aca="false">+E214*B214</f>
        <v>94.2654261811037</v>
      </c>
      <c r="H214" s="72" t="n">
        <f aca="false">2-E214</f>
        <v>0.409022342934958</v>
      </c>
      <c r="I214" s="73" t="n">
        <f aca="false">B214*H214</f>
        <v>24.2345738188963</v>
      </c>
      <c r="J214" s="74" t="n">
        <f aca="false">C214*E214</f>
        <v>41.3654190836911</v>
      </c>
      <c r="K214" s="75" t="n">
        <f aca="false">C214*H214</f>
        <v>10.6345809163089</v>
      </c>
      <c r="L214" s="28" t="n">
        <f aca="false">D214*E214</f>
        <v>38.183463769561</v>
      </c>
      <c r="N214" s="32"/>
    </row>
    <row r="215" customFormat="false" ht="12.75" hidden="false" customHeight="false" outlineLevel="0" collapsed="false">
      <c r="A215" s="21" t="n">
        <v>43282</v>
      </c>
      <c r="B215" s="22" t="n">
        <v>110</v>
      </c>
      <c r="C215" s="71" t="n">
        <v>35</v>
      </c>
      <c r="D215" s="81" t="n">
        <v>30.9999980926514</v>
      </c>
      <c r="E215" s="26" t="n">
        <f aca="false">IF(VLOOKUP(MONTH(A215),SeasonTable,2,0)&lt;&gt;"Summer",VLOOKUP(MONTH(A215),ScalarTable,2,0),((0.059228/(B215/100))-(0.4980013/(SQRT(B215/100)))+2.137988))</f>
        <v>1.71700602741797</v>
      </c>
      <c r="F215" s="28" t="n">
        <f aca="false">+E215*B215</f>
        <v>188.870663015976</v>
      </c>
      <c r="H215" s="72" t="n">
        <f aca="false">2-E215</f>
        <v>0.282993972582035</v>
      </c>
      <c r="I215" s="73" t="n">
        <f aca="false">B215*H215</f>
        <v>31.1293369840238</v>
      </c>
      <c r="J215" s="74" t="n">
        <f aca="false">C215*E215</f>
        <v>60.0952109596288</v>
      </c>
      <c r="K215" s="75" t="n">
        <f aca="false">C215*H215</f>
        <v>9.90478904037121</v>
      </c>
      <c r="L215" s="28" t="n">
        <f aca="false">D215*E215</f>
        <v>53.2271835750278</v>
      </c>
      <c r="N215" s="32"/>
    </row>
    <row r="216" customFormat="false" ht="12.75" hidden="false" customHeight="false" outlineLevel="0" collapsed="false">
      <c r="A216" s="21" t="n">
        <v>43313</v>
      </c>
      <c r="B216" s="22" t="n">
        <v>110</v>
      </c>
      <c r="C216" s="71" t="n">
        <v>35.0000038146973</v>
      </c>
      <c r="D216" s="81" t="n">
        <v>31</v>
      </c>
      <c r="E216" s="26" t="n">
        <f aca="false">IF(VLOOKUP(MONTH(A216),SeasonTable,2,0)&lt;&gt;"Summer",VLOOKUP(MONTH(A216),ScalarTable,2,0),((0.059228/(B216/100))-(0.4980013/(SQRT(B216/100)))+2.137988))</f>
        <v>1.71700602741797</v>
      </c>
      <c r="F216" s="28" t="n">
        <f aca="false">+E216*B216</f>
        <v>188.870663015976</v>
      </c>
      <c r="H216" s="72" t="n">
        <f aca="false">2-E216</f>
        <v>0.282993972582035</v>
      </c>
      <c r="I216" s="73" t="n">
        <f aca="false">B216*H216</f>
        <v>31.1293369840238</v>
      </c>
      <c r="J216" s="74" t="n">
        <f aca="false">C216*E216</f>
        <v>60.095217509487</v>
      </c>
      <c r="K216" s="75" t="n">
        <f aca="false">C216*H216</f>
        <v>9.90479011990754</v>
      </c>
      <c r="L216" s="28" t="n">
        <f aca="false">D216*E216</f>
        <v>53.2271868499569</v>
      </c>
      <c r="N216" s="32"/>
    </row>
    <row r="217" customFormat="false" ht="12.75" hidden="false" customHeight="false" outlineLevel="0" collapsed="false">
      <c r="A217" s="21" t="n">
        <v>43344</v>
      </c>
      <c r="B217" s="82" t="n">
        <v>38.75</v>
      </c>
      <c r="C217" s="57" t="n">
        <v>25</v>
      </c>
      <c r="D217" s="59" t="n">
        <v>24</v>
      </c>
      <c r="E217" s="26" t="n">
        <f aca="false">IF(VLOOKUP(MONTH(A217),SeasonTable,2,0)&lt;&gt;"Summer",VLOOKUP(MONTH(A217),ScalarTable,2,0),((0.059228/(B217/100))-(0.4980013/(SQRT(B217/100)))+2.137988))</f>
        <v>1.35124999284744</v>
      </c>
      <c r="F217" s="28" t="n">
        <f aca="false">+E217*B217</f>
        <v>52.3609372228384</v>
      </c>
      <c r="H217" s="72" t="n">
        <f aca="false">2-E217</f>
        <v>0.648750007152557</v>
      </c>
      <c r="I217" s="73" t="n">
        <f aca="false">B217*H217</f>
        <v>25.1390627771616</v>
      </c>
      <c r="J217" s="74" t="n">
        <f aca="false">C217*E217</f>
        <v>33.7812498211861</v>
      </c>
      <c r="K217" s="75" t="n">
        <f aca="false">C217*H217</f>
        <v>16.2187501788139</v>
      </c>
      <c r="L217" s="28" t="n">
        <f aca="false">D217*E217</f>
        <v>32.4299998283386</v>
      </c>
      <c r="N217" s="32"/>
    </row>
    <row r="218" customFormat="false" ht="12.75" hidden="false" customHeight="false" outlineLevel="0" collapsed="false">
      <c r="A218" s="21" t="n">
        <v>43374</v>
      </c>
      <c r="B218" s="82"/>
      <c r="C218" s="57"/>
      <c r="D218" s="59"/>
      <c r="E218" s="26" t="n">
        <f aca="false">IF(VLOOKUP(MONTH(A218),SeasonTable,2,0)&lt;&gt;"Summer",VLOOKUP(MONTH(A218),ScalarTable,2,0),((0.059228/(B218/100))-(0.4980013/(SQRT(B218/100)))+2.137988))</f>
        <v>1</v>
      </c>
      <c r="F218" s="28" t="n">
        <f aca="false">+E218*B218</f>
        <v>0</v>
      </c>
      <c r="H218" s="72" t="n">
        <f aca="false">2-E218</f>
        <v>1</v>
      </c>
      <c r="I218" s="73" t="n">
        <f aca="false">B218*H218</f>
        <v>0</v>
      </c>
      <c r="J218" s="74" t="n">
        <f aca="false">C218*E218</f>
        <v>0</v>
      </c>
      <c r="K218" s="75" t="n">
        <f aca="false">C218*H218</f>
        <v>0</v>
      </c>
      <c r="L218" s="28" t="n">
        <f aca="false">D218*E218</f>
        <v>0</v>
      </c>
      <c r="N218" s="32"/>
    </row>
    <row r="219" customFormat="false" ht="12.75" hidden="false" customHeight="false" outlineLevel="0" collapsed="false">
      <c r="A219" s="21" t="n">
        <v>43405</v>
      </c>
      <c r="B219" s="82"/>
      <c r="C219" s="57"/>
      <c r="D219" s="59"/>
      <c r="E219" s="26" t="n">
        <f aca="false">IF(VLOOKUP(MONTH(A219),SeasonTable,2,0)&lt;&gt;"Summer",VLOOKUP(MONTH(A219),ScalarTable,2,0),((0.059228/(B219/100))-(0.4980013/(SQRT(B219/100)))+2.137988))</f>
        <v>1.08</v>
      </c>
      <c r="F219" s="28" t="n">
        <f aca="false">+E219*B219</f>
        <v>0</v>
      </c>
      <c r="H219" s="72" t="n">
        <f aca="false">2-E219</f>
        <v>0.92</v>
      </c>
      <c r="I219" s="73" t="n">
        <f aca="false">B219*H219</f>
        <v>0</v>
      </c>
      <c r="J219" s="74" t="n">
        <f aca="false">C219*E219</f>
        <v>0</v>
      </c>
      <c r="K219" s="75" t="n">
        <f aca="false">C219*H219</f>
        <v>0</v>
      </c>
      <c r="L219" s="28" t="n">
        <f aca="false">D219*E219</f>
        <v>0</v>
      </c>
      <c r="N219" s="32"/>
    </row>
    <row r="220" customFormat="false" ht="12.75" hidden="false" customHeight="false" outlineLevel="0" collapsed="false">
      <c r="A220" s="21" t="n">
        <v>43435</v>
      </c>
      <c r="B220" s="82"/>
      <c r="C220" s="57"/>
      <c r="D220" s="59"/>
      <c r="E220" s="26" t="n">
        <f aca="false">IF(VLOOKUP(MONTH(A220),SeasonTable,2,0)&lt;&gt;"Summer",VLOOKUP(MONTH(A220),ScalarTable,2,0),((0.059228/(B220/100))-(0.4980013/(SQRT(B220/100)))+2.137988))</f>
        <v>1.02</v>
      </c>
      <c r="F220" s="28" t="n">
        <f aca="false">+E220*B220</f>
        <v>0</v>
      </c>
      <c r="H220" s="72" t="n">
        <f aca="false">2-E220</f>
        <v>0.98</v>
      </c>
      <c r="I220" s="73" t="n">
        <f aca="false">B220*H220</f>
        <v>0</v>
      </c>
      <c r="J220" s="74" t="n">
        <f aca="false">C220*E220</f>
        <v>0</v>
      </c>
      <c r="K220" s="75" t="n">
        <f aca="false">C220*H220</f>
        <v>0</v>
      </c>
      <c r="L220" s="28" t="n">
        <f aca="false">D220*E220</f>
        <v>0</v>
      </c>
      <c r="N220" s="32"/>
    </row>
    <row r="221" customFormat="false" ht="12.75" hidden="false" customHeight="false" outlineLevel="0" collapsed="false">
      <c r="A221" s="21" t="n">
        <v>43466</v>
      </c>
      <c r="B221" s="82"/>
      <c r="C221" s="57"/>
      <c r="D221" s="59"/>
      <c r="E221" s="26" t="n">
        <f aca="false">IF(VLOOKUP(MONTH(A221),SeasonTable,2,0)&lt;&gt;"Summer",VLOOKUP(MONTH(A221),ScalarTable,2,0),((0.059228/(B221/100))-(0.4980013/(SQRT(B221/100)))+2.137988))</f>
        <v>1.02</v>
      </c>
      <c r="F221" s="28" t="n">
        <f aca="false">+E221*B221</f>
        <v>0</v>
      </c>
      <c r="H221" s="72" t="n">
        <f aca="false">2-E221</f>
        <v>0.98</v>
      </c>
      <c r="I221" s="73" t="n">
        <f aca="false">B221*H221</f>
        <v>0</v>
      </c>
      <c r="J221" s="74" t="n">
        <f aca="false">C221*E221</f>
        <v>0</v>
      </c>
      <c r="K221" s="75" t="n">
        <f aca="false">C221*H221</f>
        <v>0</v>
      </c>
      <c r="L221" s="28" t="n">
        <f aca="false">D221*E221</f>
        <v>0</v>
      </c>
      <c r="N221" s="32"/>
    </row>
    <row r="222" customFormat="false" ht="12.75" hidden="false" customHeight="false" outlineLevel="0" collapsed="false">
      <c r="A222" s="21" t="n">
        <v>43497</v>
      </c>
      <c r="B222" s="82"/>
      <c r="C222" s="57"/>
      <c r="D222" s="59"/>
      <c r="E222" s="26" t="n">
        <f aca="false">IF(VLOOKUP(MONTH(A222),SeasonTable,2,0)&lt;&gt;"Summer",VLOOKUP(MONTH(A222),ScalarTable,2,0),((0.059228/(B222/100))-(0.4980013/(SQRT(B222/100)))+2.137988))</f>
        <v>1.02</v>
      </c>
      <c r="F222" s="28" t="n">
        <f aca="false">+E222*B222</f>
        <v>0</v>
      </c>
      <c r="H222" s="72" t="n">
        <f aca="false">2-E222</f>
        <v>0.98</v>
      </c>
      <c r="I222" s="73" t="n">
        <f aca="false">B222*H222</f>
        <v>0</v>
      </c>
      <c r="J222" s="74" t="n">
        <f aca="false">C222*E222</f>
        <v>0</v>
      </c>
      <c r="K222" s="75" t="n">
        <f aca="false">C222*H222</f>
        <v>0</v>
      </c>
      <c r="L222" s="28" t="n">
        <f aca="false">D222*E222</f>
        <v>0</v>
      </c>
      <c r="N222" s="32"/>
    </row>
    <row r="223" customFormat="false" ht="12.75" hidden="false" customHeight="false" outlineLevel="0" collapsed="false">
      <c r="A223" s="21" t="n">
        <v>43525</v>
      </c>
      <c r="B223" s="82"/>
      <c r="C223" s="57"/>
      <c r="D223" s="59"/>
      <c r="E223" s="26" t="n">
        <f aca="false">IF(VLOOKUP(MONTH(A223),SeasonTable,2,0)&lt;&gt;"Summer",VLOOKUP(MONTH(A223),ScalarTable,2,0),((0.059228/(B223/100))-(0.4980013/(SQRT(B223/100)))+2.137988))</f>
        <v>1.02</v>
      </c>
      <c r="F223" s="28" t="n">
        <f aca="false">+E223*B223</f>
        <v>0</v>
      </c>
      <c r="H223" s="72" t="n">
        <f aca="false">2-E223</f>
        <v>0.98</v>
      </c>
      <c r="I223" s="73" t="n">
        <f aca="false">B223*H223</f>
        <v>0</v>
      </c>
      <c r="J223" s="74" t="n">
        <f aca="false">C223*E223</f>
        <v>0</v>
      </c>
      <c r="K223" s="75" t="n">
        <f aca="false">C223*H223</f>
        <v>0</v>
      </c>
      <c r="L223" s="28" t="n">
        <f aca="false">D223*E223</f>
        <v>0</v>
      </c>
      <c r="N223" s="32"/>
    </row>
    <row r="224" customFormat="false" ht="12.75" hidden="false" customHeight="false" outlineLevel="0" collapsed="false">
      <c r="A224" s="21" t="n">
        <v>43556</v>
      </c>
      <c r="B224" s="82"/>
      <c r="C224" s="57"/>
      <c r="D224" s="59"/>
      <c r="E224" s="26" t="n">
        <f aca="false">IF(VLOOKUP(MONTH(A224),SeasonTable,2,0)&lt;&gt;"Summer",VLOOKUP(MONTH(A224),ScalarTable,2,0),((0.059228/(B224/100))-(0.4980013/(SQRT(B224/100)))+2.137988))</f>
        <v>1</v>
      </c>
      <c r="F224" s="28" t="n">
        <f aca="false">+E224*B224</f>
        <v>0</v>
      </c>
      <c r="H224" s="72" t="n">
        <f aca="false">2-E224</f>
        <v>1</v>
      </c>
      <c r="I224" s="73" t="n">
        <f aca="false">B224*H224</f>
        <v>0</v>
      </c>
      <c r="J224" s="74" t="n">
        <f aca="false">C224*E224</f>
        <v>0</v>
      </c>
      <c r="K224" s="75" t="n">
        <f aca="false">C224*H224</f>
        <v>0</v>
      </c>
      <c r="L224" s="28" t="n">
        <f aca="false">D224*E224</f>
        <v>0</v>
      </c>
      <c r="N224" s="32"/>
    </row>
    <row r="225" customFormat="false" ht="12.75" hidden="false" customHeight="false" outlineLevel="0" collapsed="false">
      <c r="A225" s="21" t="n">
        <v>43586</v>
      </c>
      <c r="B225" s="82"/>
      <c r="C225" s="57"/>
      <c r="D225" s="59"/>
      <c r="E225" s="26" t="n">
        <f aca="false">IF(VLOOKUP(MONTH(A225),SeasonTable,2,0)&lt;&gt;"Summer",VLOOKUP(MONTH(A225),ScalarTable,2,0),((0.059228/(B225/100))-(0.4980013/(SQRT(B225/100)))+2.137988))</f>
        <v>1.07625000178814</v>
      </c>
      <c r="F225" s="28" t="n">
        <f aca="false">+E225*B225</f>
        <v>0</v>
      </c>
      <c r="H225" s="72" t="n">
        <f aca="false">2-E225</f>
        <v>0.923749998211861</v>
      </c>
      <c r="I225" s="73" t="n">
        <f aca="false">B225*H225</f>
        <v>0</v>
      </c>
      <c r="J225" s="74" t="n">
        <f aca="false">C225*E225</f>
        <v>0</v>
      </c>
      <c r="K225" s="75" t="n">
        <f aca="false">C225*H225</f>
        <v>0</v>
      </c>
      <c r="L225" s="28" t="n">
        <f aca="false">D225*E225</f>
        <v>0</v>
      </c>
      <c r="N225" s="32"/>
    </row>
    <row r="226" customFormat="false" ht="12.75" hidden="false" customHeight="false" outlineLevel="0" collapsed="false">
      <c r="A226" s="21" t="n">
        <v>43617</v>
      </c>
      <c r="B226" s="82"/>
      <c r="C226" s="57"/>
      <c r="D226" s="59"/>
      <c r="E226" s="26" t="e">
        <f aca="false">IF(VLOOKUP(MONTH(A226),SeasonTable,2,0)&lt;&gt;"Summer",VLOOKUP(MONTH(A226),ScalarTable,2,0),((0.059228/(B226/100))-(0.4980013/(SQRT(B226/100)))+2.137988))</f>
        <v>#DIV/0!</v>
      </c>
      <c r="F226" s="28" t="e">
        <f aca="false">+E226*B226</f>
        <v>#DIV/0!</v>
      </c>
      <c r="H226" s="72" t="e">
        <f aca="false">2-E226</f>
        <v>#DIV/0!</v>
      </c>
      <c r="I226" s="73" t="e">
        <f aca="false">B226*H226</f>
        <v>#DIV/0!</v>
      </c>
      <c r="J226" s="74" t="e">
        <f aca="false">C226*E226</f>
        <v>#DIV/0!</v>
      </c>
      <c r="K226" s="75" t="e">
        <f aca="false">C226*H226</f>
        <v>#DIV/0!</v>
      </c>
      <c r="L226" s="28" t="e">
        <f aca="false">D226*E226</f>
        <v>#DIV/0!</v>
      </c>
      <c r="N226" s="32"/>
    </row>
    <row r="227" customFormat="false" ht="12.75" hidden="false" customHeight="false" outlineLevel="0" collapsed="false">
      <c r="A227" s="21" t="n">
        <v>43647</v>
      </c>
      <c r="B227" s="82"/>
      <c r="C227" s="57"/>
      <c r="D227" s="59"/>
      <c r="E227" s="26" t="e">
        <f aca="false">IF(VLOOKUP(MONTH(A227),SeasonTable,2,0)&lt;&gt;"Summer",VLOOKUP(MONTH(A227),ScalarTable,2,0),((0.059228/(B227/100))-(0.4980013/(SQRT(B227/100)))+2.137988))</f>
        <v>#DIV/0!</v>
      </c>
      <c r="F227" s="28" t="e">
        <f aca="false">+E227*B227</f>
        <v>#DIV/0!</v>
      </c>
      <c r="H227" s="72" t="e">
        <f aca="false">2-E227</f>
        <v>#DIV/0!</v>
      </c>
      <c r="I227" s="73" t="e">
        <f aca="false">B227*H227</f>
        <v>#DIV/0!</v>
      </c>
      <c r="J227" s="74" t="e">
        <f aca="false">C227*E227</f>
        <v>#DIV/0!</v>
      </c>
      <c r="K227" s="75" t="e">
        <f aca="false">C227*H227</f>
        <v>#DIV/0!</v>
      </c>
      <c r="L227" s="28" t="e">
        <f aca="false">D227*E227</f>
        <v>#DIV/0!</v>
      </c>
      <c r="N227" s="32"/>
    </row>
    <row r="228" customFormat="false" ht="12.75" hidden="false" customHeight="false" outlineLevel="0" collapsed="false">
      <c r="A228" s="21" t="n">
        <v>43678</v>
      </c>
      <c r="B228" s="82"/>
      <c r="C228" s="57"/>
      <c r="D228" s="59"/>
      <c r="E228" s="26" t="e">
        <f aca="false">IF(VLOOKUP(MONTH(A228),SeasonTable,2,0)&lt;&gt;"Summer",VLOOKUP(MONTH(A228),ScalarTable,2,0),((0.059228/(B228/100))-(0.4980013/(SQRT(B228/100)))+2.137988))</f>
        <v>#DIV/0!</v>
      </c>
      <c r="F228" s="28" t="e">
        <f aca="false">+E228*B228</f>
        <v>#DIV/0!</v>
      </c>
      <c r="H228" s="72" t="e">
        <f aca="false">2-E228</f>
        <v>#DIV/0!</v>
      </c>
      <c r="I228" s="73" t="e">
        <f aca="false">B228*H228</f>
        <v>#DIV/0!</v>
      </c>
      <c r="J228" s="74" t="e">
        <f aca="false">C228*E228</f>
        <v>#DIV/0!</v>
      </c>
      <c r="K228" s="75" t="e">
        <f aca="false">C228*H228</f>
        <v>#DIV/0!</v>
      </c>
      <c r="L228" s="28" t="e">
        <f aca="false">D228*E228</f>
        <v>#DIV/0!</v>
      </c>
      <c r="N228" s="32"/>
    </row>
    <row r="229" customFormat="false" ht="12.75" hidden="false" customHeight="false" outlineLevel="0" collapsed="false">
      <c r="A229" s="21" t="n">
        <v>43709</v>
      </c>
      <c r="B229" s="82"/>
      <c r="C229" s="57"/>
      <c r="D229" s="59"/>
      <c r="E229" s="26" t="n">
        <f aca="false">IF(VLOOKUP(MONTH(A229),SeasonTable,2,0)&lt;&gt;"Summer",VLOOKUP(MONTH(A229),ScalarTable,2,0),((0.059228/(B229/100))-(0.4980013/(SQRT(B229/100)))+2.137988))</f>
        <v>1.35124999284744</v>
      </c>
      <c r="F229" s="28" t="n">
        <f aca="false">+E229*B229</f>
        <v>0</v>
      </c>
      <c r="H229" s="72" t="n">
        <f aca="false">2-E229</f>
        <v>0.648750007152557</v>
      </c>
      <c r="I229" s="73" t="n">
        <f aca="false">B229*H229</f>
        <v>0</v>
      </c>
      <c r="J229" s="74" t="n">
        <f aca="false">C229*E229</f>
        <v>0</v>
      </c>
      <c r="K229" s="75" t="n">
        <f aca="false">C229*H229</f>
        <v>0</v>
      </c>
      <c r="L229" s="28" t="n">
        <f aca="false">D229*E229</f>
        <v>0</v>
      </c>
      <c r="N229" s="32"/>
    </row>
    <row r="230" customFormat="false" ht="12.75" hidden="false" customHeight="false" outlineLevel="0" collapsed="false">
      <c r="A230" s="21" t="n">
        <v>43739</v>
      </c>
      <c r="B230" s="82"/>
      <c r="C230" s="57"/>
      <c r="D230" s="59"/>
      <c r="E230" s="26" t="n">
        <f aca="false">IF(VLOOKUP(MONTH(A230),SeasonTable,2,0)&lt;&gt;"Summer",VLOOKUP(MONTH(A230),ScalarTable,2,0),((0.059228/(B230/100))-(0.4980013/(SQRT(B230/100)))+2.137988))</f>
        <v>1</v>
      </c>
      <c r="F230" s="28" t="n">
        <f aca="false">+E230*B230</f>
        <v>0</v>
      </c>
      <c r="H230" s="72" t="n">
        <f aca="false">2-E230</f>
        <v>1</v>
      </c>
      <c r="I230" s="73" t="n">
        <f aca="false">B230*H230</f>
        <v>0</v>
      </c>
      <c r="J230" s="74" t="n">
        <f aca="false">C230*E230</f>
        <v>0</v>
      </c>
      <c r="K230" s="75" t="n">
        <f aca="false">C230*H230</f>
        <v>0</v>
      </c>
      <c r="L230" s="28" t="n">
        <f aca="false">D230*E230</f>
        <v>0</v>
      </c>
      <c r="N230" s="32"/>
    </row>
    <row r="231" customFormat="false" ht="12.75" hidden="false" customHeight="false" outlineLevel="0" collapsed="false">
      <c r="A231" s="21" t="n">
        <v>43770</v>
      </c>
      <c r="B231" s="82"/>
      <c r="C231" s="57"/>
      <c r="D231" s="59"/>
      <c r="E231" s="26" t="n">
        <f aca="false">IF(VLOOKUP(MONTH(A231),SeasonTable,2,0)&lt;&gt;"Summer",VLOOKUP(MONTH(A231),ScalarTable,2,0),((0.059228/(B231/100))-(0.4980013/(SQRT(B231/100)))+2.137988))</f>
        <v>1.08</v>
      </c>
      <c r="F231" s="28" t="n">
        <f aca="false">+E231*B231</f>
        <v>0</v>
      </c>
      <c r="H231" s="72" t="n">
        <f aca="false">2-E231</f>
        <v>0.92</v>
      </c>
      <c r="I231" s="73" t="n">
        <f aca="false">B231*H231</f>
        <v>0</v>
      </c>
      <c r="J231" s="74" t="n">
        <f aca="false">C231*E231</f>
        <v>0</v>
      </c>
      <c r="K231" s="75" t="n">
        <f aca="false">C231*H231</f>
        <v>0</v>
      </c>
      <c r="L231" s="28" t="n">
        <f aca="false">D231*E231</f>
        <v>0</v>
      </c>
      <c r="N231" s="32"/>
    </row>
    <row r="232" customFormat="false" ht="12.75" hidden="false" customHeight="false" outlineLevel="0" collapsed="false">
      <c r="A232" s="21" t="n">
        <v>43800</v>
      </c>
      <c r="B232" s="82"/>
      <c r="C232" s="57"/>
      <c r="D232" s="59"/>
      <c r="E232" s="26" t="n">
        <f aca="false">IF(VLOOKUP(MONTH(A232),SeasonTable,2,0)&lt;&gt;"Summer",VLOOKUP(MONTH(A232),ScalarTable,2,0),((0.059228/(B232/100))-(0.4980013/(SQRT(B232/100)))+2.137988))</f>
        <v>1.02</v>
      </c>
      <c r="F232" s="28" t="n">
        <f aca="false">+E232*B232</f>
        <v>0</v>
      </c>
      <c r="H232" s="72" t="n">
        <f aca="false">2-E232</f>
        <v>0.98</v>
      </c>
      <c r="I232" s="73" t="n">
        <f aca="false">B232*H232</f>
        <v>0</v>
      </c>
      <c r="J232" s="74" t="n">
        <f aca="false">C232*E232</f>
        <v>0</v>
      </c>
      <c r="K232" s="75" t="n">
        <f aca="false">C232*H232</f>
        <v>0</v>
      </c>
      <c r="L232" s="28" t="n">
        <f aca="false">D232*E232</f>
        <v>0</v>
      </c>
      <c r="N232" s="32"/>
    </row>
    <row r="233" customFormat="false" ht="12.75" hidden="false" customHeight="false" outlineLevel="0" collapsed="false">
      <c r="A233" s="21" t="n">
        <v>43831</v>
      </c>
      <c r="B233" s="82"/>
      <c r="C233" s="57"/>
      <c r="D233" s="59"/>
      <c r="E233" s="26" t="n">
        <f aca="false">IF(VLOOKUP(MONTH(A233),SeasonTable,2,0)&lt;&gt;"Summer",VLOOKUP(MONTH(A233),ScalarTable,2,0),((0.059228/(B233/100))-(0.4980013/(SQRT(B233/100)))+2.137988))</f>
        <v>1.02</v>
      </c>
      <c r="F233" s="28" t="n">
        <f aca="false">+E233*B233</f>
        <v>0</v>
      </c>
      <c r="H233" s="72" t="n">
        <f aca="false">2-E233</f>
        <v>0.98</v>
      </c>
      <c r="I233" s="73" t="n">
        <f aca="false">B233*H233</f>
        <v>0</v>
      </c>
      <c r="J233" s="74" t="n">
        <f aca="false">C233*E233</f>
        <v>0</v>
      </c>
      <c r="K233" s="75" t="n">
        <f aca="false">C233*H233</f>
        <v>0</v>
      </c>
      <c r="L233" s="28" t="n">
        <f aca="false">D233*E233</f>
        <v>0</v>
      </c>
      <c r="N233" s="32"/>
    </row>
    <row r="234" customFormat="false" ht="12.75" hidden="false" customHeight="false" outlineLevel="0" collapsed="false">
      <c r="A234" s="21" t="n">
        <v>43862</v>
      </c>
      <c r="B234" s="82"/>
      <c r="C234" s="57"/>
      <c r="D234" s="59"/>
      <c r="E234" s="26" t="n">
        <f aca="false">IF(VLOOKUP(MONTH(A234),SeasonTable,2,0)&lt;&gt;"Summer",VLOOKUP(MONTH(A234),ScalarTable,2,0),((0.059228/(B234/100))-(0.4980013/(SQRT(B234/100)))+2.137988))</f>
        <v>1.02</v>
      </c>
      <c r="F234" s="28" t="n">
        <f aca="false">+E234*B234</f>
        <v>0</v>
      </c>
      <c r="H234" s="72" t="n">
        <f aca="false">2-E234</f>
        <v>0.98</v>
      </c>
      <c r="I234" s="73" t="n">
        <f aca="false">B234*H234</f>
        <v>0</v>
      </c>
      <c r="J234" s="74" t="n">
        <f aca="false">C234*E234</f>
        <v>0</v>
      </c>
      <c r="K234" s="75" t="n">
        <f aca="false">C234*H234</f>
        <v>0</v>
      </c>
      <c r="L234" s="28" t="n">
        <f aca="false">D234*E234</f>
        <v>0</v>
      </c>
      <c r="N234" s="32"/>
    </row>
    <row r="235" customFormat="false" ht="12.75" hidden="false" customHeight="false" outlineLevel="0" collapsed="false">
      <c r="A235" s="21" t="n">
        <v>43891</v>
      </c>
      <c r="B235" s="82"/>
      <c r="C235" s="57"/>
      <c r="D235" s="59"/>
      <c r="E235" s="26" t="n">
        <f aca="false">IF(VLOOKUP(MONTH(A235),SeasonTable,2,0)&lt;&gt;"Summer",VLOOKUP(MONTH(A235),ScalarTable,2,0),((0.059228/(B235/100))-(0.4980013/(SQRT(B235/100)))+2.137988))</f>
        <v>1.02</v>
      </c>
      <c r="F235" s="28" t="n">
        <f aca="false">+E235*B235</f>
        <v>0</v>
      </c>
      <c r="H235" s="72" t="n">
        <f aca="false">2-E235</f>
        <v>0.98</v>
      </c>
      <c r="I235" s="73" t="n">
        <f aca="false">B235*H235</f>
        <v>0</v>
      </c>
      <c r="J235" s="74" t="n">
        <f aca="false">C235*E235</f>
        <v>0</v>
      </c>
      <c r="K235" s="75" t="n">
        <f aca="false">C235*H235</f>
        <v>0</v>
      </c>
      <c r="L235" s="28" t="n">
        <f aca="false">D235*E235</f>
        <v>0</v>
      </c>
      <c r="N235" s="32"/>
    </row>
    <row r="236" customFormat="false" ht="12.75" hidden="false" customHeight="false" outlineLevel="0" collapsed="false">
      <c r="A236" s="21" t="n">
        <v>43922</v>
      </c>
      <c r="B236" s="82"/>
      <c r="C236" s="57"/>
      <c r="D236" s="59"/>
      <c r="E236" s="26" t="n">
        <f aca="false">IF(VLOOKUP(MONTH(A236),SeasonTable,2,0)&lt;&gt;"Summer",VLOOKUP(MONTH(A236),ScalarTable,2,0),((0.059228/(B236/100))-(0.4980013/(SQRT(B236/100)))+2.137988))</f>
        <v>1</v>
      </c>
      <c r="F236" s="28" t="n">
        <f aca="false">+E236*B236</f>
        <v>0</v>
      </c>
      <c r="H236" s="72" t="n">
        <f aca="false">2-E236</f>
        <v>1</v>
      </c>
      <c r="I236" s="73" t="n">
        <f aca="false">B236*H236</f>
        <v>0</v>
      </c>
      <c r="J236" s="74" t="n">
        <f aca="false">C236*E236</f>
        <v>0</v>
      </c>
      <c r="K236" s="75" t="n">
        <f aca="false">C236*H236</f>
        <v>0</v>
      </c>
      <c r="L236" s="28" t="n">
        <f aca="false">D236*E236</f>
        <v>0</v>
      </c>
      <c r="N236" s="32"/>
    </row>
    <row r="237" customFormat="false" ht="12.75" hidden="false" customHeight="false" outlineLevel="0" collapsed="false">
      <c r="A237" s="21" t="n">
        <v>43952</v>
      </c>
      <c r="B237" s="82"/>
      <c r="C237" s="57"/>
      <c r="D237" s="59"/>
      <c r="E237" s="26" t="n">
        <f aca="false">IF(VLOOKUP(MONTH(A237),SeasonTable,2,0)&lt;&gt;"Summer",VLOOKUP(MONTH(A237),ScalarTable,2,0),((0.059228/(B237/100))-(0.4980013/(SQRT(B237/100)))+2.137988))</f>
        <v>1.07625000178814</v>
      </c>
      <c r="F237" s="28" t="n">
        <f aca="false">+E237*B237</f>
        <v>0</v>
      </c>
      <c r="H237" s="72" t="n">
        <f aca="false">2-E237</f>
        <v>0.923749998211861</v>
      </c>
      <c r="I237" s="73" t="n">
        <f aca="false">B237*H237</f>
        <v>0</v>
      </c>
      <c r="J237" s="74" t="n">
        <f aca="false">C237*E237</f>
        <v>0</v>
      </c>
      <c r="K237" s="75" t="n">
        <f aca="false">C237*H237</f>
        <v>0</v>
      </c>
      <c r="L237" s="28" t="n">
        <f aca="false">D237*E237</f>
        <v>0</v>
      </c>
      <c r="N237" s="32"/>
    </row>
    <row r="238" customFormat="false" ht="12.75" hidden="false" customHeight="false" outlineLevel="0" collapsed="false">
      <c r="A238" s="21" t="n">
        <v>43983</v>
      </c>
      <c r="B238" s="82"/>
      <c r="C238" s="57"/>
      <c r="D238" s="59"/>
      <c r="E238" s="26" t="e">
        <f aca="false">IF(VLOOKUP(MONTH(A238),SeasonTable,2,0)&lt;&gt;"Summer",VLOOKUP(MONTH(A238),ScalarTable,2,0),((0.059228/(B238/100))-(0.4980013/(SQRT(B238/100)))+2.137988))</f>
        <v>#DIV/0!</v>
      </c>
      <c r="F238" s="28" t="e">
        <f aca="false">+E238*B238</f>
        <v>#DIV/0!</v>
      </c>
      <c r="H238" s="72" t="e">
        <f aca="false">2-E238</f>
        <v>#DIV/0!</v>
      </c>
      <c r="I238" s="73" t="e">
        <f aca="false">B238*H238</f>
        <v>#DIV/0!</v>
      </c>
      <c r="J238" s="74" t="e">
        <f aca="false">C238*E238</f>
        <v>#DIV/0!</v>
      </c>
      <c r="K238" s="75" t="e">
        <f aca="false">C238*H238</f>
        <v>#DIV/0!</v>
      </c>
      <c r="L238" s="28" t="e">
        <f aca="false">D238*E238</f>
        <v>#DIV/0!</v>
      </c>
      <c r="N238" s="32"/>
    </row>
    <row r="239" customFormat="false" ht="12.75" hidden="false" customHeight="false" outlineLevel="0" collapsed="false">
      <c r="A239" s="21" t="n">
        <v>44013</v>
      </c>
      <c r="B239" s="82"/>
      <c r="C239" s="57"/>
      <c r="D239" s="59"/>
      <c r="E239" s="26" t="e">
        <f aca="false">IF(VLOOKUP(MONTH(A239),SeasonTable,2,0)&lt;&gt;"Summer",VLOOKUP(MONTH(A239),ScalarTable,2,0),((0.059228/(B239/100))-(0.4980013/(SQRT(B239/100)))+2.137988))</f>
        <v>#DIV/0!</v>
      </c>
      <c r="F239" s="28" t="e">
        <f aca="false">+E239*B239</f>
        <v>#DIV/0!</v>
      </c>
      <c r="H239" s="72" t="e">
        <f aca="false">2-E239</f>
        <v>#DIV/0!</v>
      </c>
      <c r="I239" s="73" t="e">
        <f aca="false">B239*H239</f>
        <v>#DIV/0!</v>
      </c>
      <c r="J239" s="74" t="e">
        <f aca="false">C239*E239</f>
        <v>#DIV/0!</v>
      </c>
      <c r="K239" s="75" t="e">
        <f aca="false">C239*H239</f>
        <v>#DIV/0!</v>
      </c>
      <c r="L239" s="28" t="e">
        <f aca="false">D239*E239</f>
        <v>#DIV/0!</v>
      </c>
      <c r="N239" s="32"/>
    </row>
    <row r="240" customFormat="false" ht="12.75" hidden="false" customHeight="false" outlineLevel="0" collapsed="false">
      <c r="A240" s="21" t="n">
        <v>44044</v>
      </c>
      <c r="B240" s="82"/>
      <c r="C240" s="57"/>
      <c r="D240" s="59"/>
      <c r="E240" s="26" t="e">
        <f aca="false">IF(VLOOKUP(MONTH(A240),SeasonTable,2,0)&lt;&gt;"Summer",VLOOKUP(MONTH(A240),ScalarTable,2,0),((0.059228/(B240/100))-(0.4980013/(SQRT(B240/100)))+2.137988))</f>
        <v>#DIV/0!</v>
      </c>
      <c r="F240" s="28" t="e">
        <f aca="false">+E240*B240</f>
        <v>#DIV/0!</v>
      </c>
      <c r="H240" s="72" t="e">
        <f aca="false">2-E240</f>
        <v>#DIV/0!</v>
      </c>
      <c r="I240" s="73" t="e">
        <f aca="false">B240*H240</f>
        <v>#DIV/0!</v>
      </c>
      <c r="J240" s="74" t="e">
        <f aca="false">C240*E240</f>
        <v>#DIV/0!</v>
      </c>
      <c r="K240" s="75" t="e">
        <f aca="false">C240*H240</f>
        <v>#DIV/0!</v>
      </c>
      <c r="L240" s="28" t="e">
        <f aca="false">D240*E240</f>
        <v>#DIV/0!</v>
      </c>
      <c r="N240" s="32"/>
    </row>
    <row r="241" customFormat="false" ht="12.75" hidden="false" customHeight="false" outlineLevel="0" collapsed="false">
      <c r="A241" s="21" t="n">
        <v>44075</v>
      </c>
      <c r="B241" s="82"/>
      <c r="C241" s="57"/>
      <c r="D241" s="59"/>
      <c r="E241" s="26" t="n">
        <f aca="false">IF(VLOOKUP(MONTH(A241),SeasonTable,2,0)&lt;&gt;"Summer",VLOOKUP(MONTH(A241),ScalarTable,2,0),((0.059228/(B241/100))-(0.4980013/(SQRT(B241/100)))+2.137988))</f>
        <v>1.35124999284744</v>
      </c>
      <c r="F241" s="28" t="n">
        <f aca="false">+E241*B241</f>
        <v>0</v>
      </c>
      <c r="H241" s="72" t="n">
        <f aca="false">2-E241</f>
        <v>0.648750007152557</v>
      </c>
      <c r="I241" s="73" t="n">
        <f aca="false">B241*H241</f>
        <v>0</v>
      </c>
      <c r="J241" s="74" t="n">
        <f aca="false">C241*E241</f>
        <v>0</v>
      </c>
      <c r="K241" s="75" t="n">
        <f aca="false">C241*H241</f>
        <v>0</v>
      </c>
      <c r="L241" s="28" t="n">
        <f aca="false">D241*E241</f>
        <v>0</v>
      </c>
      <c r="N241" s="32"/>
    </row>
    <row r="242" customFormat="false" ht="12.75" hidden="false" customHeight="false" outlineLevel="0" collapsed="false">
      <c r="A242" s="21" t="n">
        <v>44105</v>
      </c>
      <c r="B242" s="82"/>
      <c r="C242" s="57"/>
      <c r="D242" s="59"/>
      <c r="E242" s="26" t="n">
        <f aca="false">IF(VLOOKUP(MONTH(A242),SeasonTable,2,0)&lt;&gt;"Summer",VLOOKUP(MONTH(A242),ScalarTable,2,0),((0.059228/(B242/100))-(0.4980013/(SQRT(B242/100)))+2.137988))</f>
        <v>1</v>
      </c>
      <c r="F242" s="28" t="n">
        <f aca="false">+E242*B242</f>
        <v>0</v>
      </c>
      <c r="H242" s="72" t="n">
        <f aca="false">2-E242</f>
        <v>1</v>
      </c>
      <c r="I242" s="73" t="n">
        <f aca="false">B242*H242</f>
        <v>0</v>
      </c>
      <c r="J242" s="74" t="n">
        <f aca="false">C242*E242</f>
        <v>0</v>
      </c>
      <c r="K242" s="75" t="n">
        <f aca="false">C242*H242</f>
        <v>0</v>
      </c>
      <c r="L242" s="28" t="n">
        <f aca="false">D242*E242</f>
        <v>0</v>
      </c>
      <c r="N242" s="32"/>
    </row>
    <row r="243" customFormat="false" ht="12.75" hidden="false" customHeight="false" outlineLevel="0" collapsed="false">
      <c r="A243" s="21" t="n">
        <v>44136</v>
      </c>
      <c r="B243" s="82"/>
      <c r="C243" s="57"/>
      <c r="D243" s="59"/>
      <c r="E243" s="26" t="n">
        <f aca="false">IF(VLOOKUP(MONTH(A243),SeasonTable,2,0)&lt;&gt;"Summer",VLOOKUP(MONTH(A243),ScalarTable,2,0),((0.059228/(B243/100))-(0.4980013/(SQRT(B243/100)))+2.137988))</f>
        <v>1.08</v>
      </c>
      <c r="F243" s="28" t="n">
        <f aca="false">+E243*B243</f>
        <v>0</v>
      </c>
      <c r="H243" s="72" t="n">
        <f aca="false">2-E243</f>
        <v>0.92</v>
      </c>
      <c r="I243" s="73" t="n">
        <f aca="false">B243*H243</f>
        <v>0</v>
      </c>
      <c r="J243" s="74" t="n">
        <f aca="false">C243*E243</f>
        <v>0</v>
      </c>
      <c r="K243" s="75" t="n">
        <f aca="false">C243*H243</f>
        <v>0</v>
      </c>
      <c r="L243" s="28" t="n">
        <f aca="false">D243*E243</f>
        <v>0</v>
      </c>
      <c r="N243" s="32"/>
    </row>
    <row r="244" customFormat="false" ht="12.75" hidden="false" customHeight="false" outlineLevel="0" collapsed="false">
      <c r="A244" s="21" t="n">
        <v>44166</v>
      </c>
      <c r="B244" s="82"/>
      <c r="C244" s="57"/>
      <c r="D244" s="59"/>
      <c r="E244" s="26" t="n">
        <f aca="false">IF(VLOOKUP(MONTH(A244),SeasonTable,2,0)&lt;&gt;"Summer",VLOOKUP(MONTH(A244),ScalarTable,2,0),((0.059228/(B244/100))-(0.4980013/(SQRT(B244/100)))+2.137988))</f>
        <v>1.02</v>
      </c>
      <c r="F244" s="28" t="n">
        <f aca="false">+E244*B244</f>
        <v>0</v>
      </c>
      <c r="H244" s="72" t="n">
        <f aca="false">2-E244</f>
        <v>0.98</v>
      </c>
      <c r="I244" s="73" t="n">
        <f aca="false">B244*H244</f>
        <v>0</v>
      </c>
      <c r="J244" s="74" t="n">
        <f aca="false">C244*E244</f>
        <v>0</v>
      </c>
      <c r="K244" s="75" t="n">
        <f aca="false">C244*H244</f>
        <v>0</v>
      </c>
      <c r="L244" s="28" t="n">
        <f aca="false">D244*E244</f>
        <v>0</v>
      </c>
      <c r="N244" s="32"/>
    </row>
    <row r="245" customFormat="false" ht="12.75" hidden="false" customHeight="false" outlineLevel="0" collapsed="false">
      <c r="A245" s="21" t="n">
        <v>44197</v>
      </c>
      <c r="B245" s="82"/>
      <c r="C245" s="57"/>
      <c r="D245" s="59"/>
      <c r="E245" s="26" t="n">
        <f aca="false">IF(VLOOKUP(MONTH(A245),SeasonTable,2,0)&lt;&gt;"Summer",VLOOKUP(MONTH(A245),ScalarTable,2,0),((0.059228/(B245/100))-(0.4980013/(SQRT(B245/100)))+2.137988))</f>
        <v>1.02</v>
      </c>
      <c r="F245" s="28" t="n">
        <f aca="false">+E245*B245</f>
        <v>0</v>
      </c>
      <c r="H245" s="72" t="n">
        <f aca="false">2-E245</f>
        <v>0.98</v>
      </c>
      <c r="I245" s="73" t="n">
        <f aca="false">B245*H245</f>
        <v>0</v>
      </c>
      <c r="J245" s="74" t="n">
        <f aca="false">C245*E245</f>
        <v>0</v>
      </c>
      <c r="K245" s="75" t="n">
        <f aca="false">C245*H245</f>
        <v>0</v>
      </c>
      <c r="L245" s="28" t="n">
        <f aca="false">D245*E245</f>
        <v>0</v>
      </c>
      <c r="N245" s="32"/>
    </row>
    <row r="246" customFormat="false" ht="12.75" hidden="false" customHeight="false" outlineLevel="0" collapsed="false">
      <c r="A246" s="21" t="n">
        <v>44228</v>
      </c>
      <c r="B246" s="82"/>
      <c r="C246" s="57"/>
      <c r="D246" s="59"/>
      <c r="E246" s="26" t="n">
        <f aca="false">IF(VLOOKUP(MONTH(A246),SeasonTable,2,0)&lt;&gt;"Summer",VLOOKUP(MONTH(A246),ScalarTable,2,0),((0.059228/(B246/100))-(0.4980013/(SQRT(B246/100)))+2.137988))</f>
        <v>1.02</v>
      </c>
      <c r="F246" s="28" t="n">
        <f aca="false">+E246*B246</f>
        <v>0</v>
      </c>
      <c r="H246" s="72" t="n">
        <f aca="false">2-E246</f>
        <v>0.98</v>
      </c>
      <c r="I246" s="73" t="n">
        <f aca="false">B246*H246</f>
        <v>0</v>
      </c>
      <c r="J246" s="74" t="n">
        <f aca="false">C246*E246</f>
        <v>0</v>
      </c>
      <c r="K246" s="75" t="n">
        <f aca="false">C246*H246</f>
        <v>0</v>
      </c>
      <c r="L246" s="28" t="n">
        <f aca="false">D246*E246</f>
        <v>0</v>
      </c>
      <c r="N246" s="32"/>
    </row>
    <row r="247" customFormat="false" ht="12.75" hidden="false" customHeight="false" outlineLevel="0" collapsed="false">
      <c r="A247" s="21" t="n">
        <v>44256</v>
      </c>
      <c r="B247" s="82"/>
      <c r="C247" s="57"/>
      <c r="D247" s="59"/>
      <c r="E247" s="26" t="n">
        <f aca="false">IF(VLOOKUP(MONTH(A247),SeasonTable,2,0)&lt;&gt;"Summer",VLOOKUP(MONTH(A247),ScalarTable,2,0),((0.059228/(B247/100))-(0.4980013/(SQRT(B247/100)))+2.137988))</f>
        <v>1.02</v>
      </c>
      <c r="F247" s="28" t="n">
        <f aca="false">+E247*B247</f>
        <v>0</v>
      </c>
      <c r="H247" s="72" t="n">
        <f aca="false">2-E247</f>
        <v>0.98</v>
      </c>
      <c r="I247" s="73" t="n">
        <f aca="false">B247*H247</f>
        <v>0</v>
      </c>
      <c r="J247" s="74" t="n">
        <f aca="false">C247*E247</f>
        <v>0</v>
      </c>
      <c r="K247" s="75" t="n">
        <f aca="false">C247*H247</f>
        <v>0</v>
      </c>
      <c r="L247" s="28" t="n">
        <f aca="false">D247*E247</f>
        <v>0</v>
      </c>
      <c r="N247" s="32"/>
    </row>
    <row r="248" customFormat="false" ht="12.75" hidden="false" customHeight="false" outlineLevel="0" collapsed="false">
      <c r="A248" s="21" t="n">
        <v>44287</v>
      </c>
      <c r="B248" s="82"/>
      <c r="C248" s="57"/>
      <c r="D248" s="59"/>
      <c r="E248" s="26" t="n">
        <f aca="false">IF(VLOOKUP(MONTH(A248),SeasonTable,2,0)&lt;&gt;"Summer",VLOOKUP(MONTH(A248),ScalarTable,2,0),((0.059228/(B248/100))-(0.4980013/(SQRT(B248/100)))+2.137988))</f>
        <v>1</v>
      </c>
      <c r="F248" s="28" t="n">
        <f aca="false">+E248*B248</f>
        <v>0</v>
      </c>
      <c r="H248" s="72" t="n">
        <f aca="false">2-E248</f>
        <v>1</v>
      </c>
      <c r="I248" s="73" t="n">
        <f aca="false">B248*H248</f>
        <v>0</v>
      </c>
      <c r="J248" s="74" t="n">
        <f aca="false">C248*E248</f>
        <v>0</v>
      </c>
      <c r="K248" s="75" t="n">
        <f aca="false">C248*H248</f>
        <v>0</v>
      </c>
      <c r="L248" s="28" t="n">
        <f aca="false">D248*E248</f>
        <v>0</v>
      </c>
      <c r="N248" s="32"/>
    </row>
    <row r="249" customFormat="false" ht="12.75" hidden="false" customHeight="false" outlineLevel="0" collapsed="false">
      <c r="A249" s="21" t="n">
        <v>44317</v>
      </c>
      <c r="B249" s="82"/>
      <c r="C249" s="57"/>
      <c r="D249" s="59"/>
      <c r="E249" s="26" t="n">
        <f aca="false">IF(VLOOKUP(MONTH(A249),SeasonTable,2,0)&lt;&gt;"Summer",VLOOKUP(MONTH(A249),ScalarTable,2,0),((0.059228/(B249/100))-(0.4980013/(SQRT(B249/100)))+2.137988))</f>
        <v>1.07625000178814</v>
      </c>
      <c r="F249" s="28" t="n">
        <f aca="false">+E249*B249</f>
        <v>0</v>
      </c>
      <c r="H249" s="72" t="n">
        <f aca="false">2-E249</f>
        <v>0.923749998211861</v>
      </c>
      <c r="I249" s="73" t="n">
        <f aca="false">B249*H249</f>
        <v>0</v>
      </c>
      <c r="J249" s="74" t="n">
        <f aca="false">C249*E249</f>
        <v>0</v>
      </c>
      <c r="K249" s="75" t="n">
        <f aca="false">C249*H249</f>
        <v>0</v>
      </c>
      <c r="L249" s="28" t="n">
        <f aca="false">D249*E249</f>
        <v>0</v>
      </c>
      <c r="N249" s="32"/>
    </row>
    <row r="250" customFormat="false" ht="12.75" hidden="false" customHeight="false" outlineLevel="0" collapsed="false">
      <c r="A250" s="21" t="n">
        <v>44348</v>
      </c>
      <c r="B250" s="82"/>
      <c r="C250" s="57"/>
      <c r="D250" s="59"/>
      <c r="E250" s="26" t="e">
        <f aca="false">IF(VLOOKUP(MONTH(A250),SeasonTable,2,0)&lt;&gt;"Summer",VLOOKUP(MONTH(A250),ScalarTable,2,0),((0.059228/(B250/100))-(0.4980013/(SQRT(B250/100)))+2.137988))</f>
        <v>#DIV/0!</v>
      </c>
      <c r="F250" s="28" t="e">
        <f aca="false">+E250*B250</f>
        <v>#DIV/0!</v>
      </c>
      <c r="H250" s="72" t="e">
        <f aca="false">2-E250</f>
        <v>#DIV/0!</v>
      </c>
      <c r="I250" s="73" t="e">
        <f aca="false">B250*H250</f>
        <v>#DIV/0!</v>
      </c>
      <c r="J250" s="74" t="e">
        <f aca="false">C250*E250</f>
        <v>#DIV/0!</v>
      </c>
      <c r="K250" s="75" t="e">
        <f aca="false">C250*H250</f>
        <v>#DIV/0!</v>
      </c>
      <c r="L250" s="28" t="e">
        <f aca="false">D250*E250</f>
        <v>#DIV/0!</v>
      </c>
      <c r="N250" s="32"/>
    </row>
    <row r="251" customFormat="false" ht="12.75" hidden="false" customHeight="false" outlineLevel="0" collapsed="false">
      <c r="A251" s="21" t="n">
        <v>44378</v>
      </c>
      <c r="B251" s="82"/>
      <c r="C251" s="57"/>
      <c r="D251" s="59"/>
      <c r="E251" s="26" t="e">
        <f aca="false">IF(VLOOKUP(MONTH(A251),SeasonTable,2,0)&lt;&gt;"Summer",VLOOKUP(MONTH(A251),ScalarTable,2,0),((0.059228/(B251/100))-(0.4980013/(SQRT(B251/100)))+2.137988))</f>
        <v>#DIV/0!</v>
      </c>
      <c r="F251" s="28" t="e">
        <f aca="false">+E251*B251</f>
        <v>#DIV/0!</v>
      </c>
      <c r="H251" s="72" t="e">
        <f aca="false">2-E251</f>
        <v>#DIV/0!</v>
      </c>
      <c r="I251" s="73" t="e">
        <f aca="false">B251*H251</f>
        <v>#DIV/0!</v>
      </c>
      <c r="J251" s="74" t="e">
        <f aca="false">C251*E251</f>
        <v>#DIV/0!</v>
      </c>
      <c r="K251" s="75" t="e">
        <f aca="false">C251*H251</f>
        <v>#DIV/0!</v>
      </c>
      <c r="L251" s="28" t="e">
        <f aca="false">D251*E251</f>
        <v>#DIV/0!</v>
      </c>
      <c r="N251" s="32"/>
    </row>
    <row r="252" customFormat="false" ht="12.75" hidden="false" customHeight="false" outlineLevel="0" collapsed="false">
      <c r="A252" s="21" t="n">
        <v>44409</v>
      </c>
      <c r="B252" s="82"/>
      <c r="C252" s="57"/>
      <c r="D252" s="59"/>
      <c r="E252" s="26" t="e">
        <f aca="false">IF(VLOOKUP(MONTH(A252),SeasonTable,2,0)&lt;&gt;"Summer",VLOOKUP(MONTH(A252),ScalarTable,2,0),((0.059228/(B252/100))-(0.4980013/(SQRT(B252/100)))+2.137988))</f>
        <v>#DIV/0!</v>
      </c>
      <c r="F252" s="28" t="e">
        <f aca="false">+E252*B252</f>
        <v>#DIV/0!</v>
      </c>
      <c r="H252" s="72" t="e">
        <f aca="false">2-E252</f>
        <v>#DIV/0!</v>
      </c>
      <c r="I252" s="73" t="e">
        <f aca="false">B252*H252</f>
        <v>#DIV/0!</v>
      </c>
      <c r="J252" s="74" t="e">
        <f aca="false">C252*E252</f>
        <v>#DIV/0!</v>
      </c>
      <c r="K252" s="75" t="e">
        <f aca="false">C252*H252</f>
        <v>#DIV/0!</v>
      </c>
      <c r="L252" s="28" t="e">
        <f aca="false">D252*E252</f>
        <v>#DIV/0!</v>
      </c>
      <c r="N252" s="32"/>
    </row>
    <row r="253" customFormat="false" ht="12.75" hidden="false" customHeight="false" outlineLevel="0" collapsed="false">
      <c r="A253" s="21" t="n">
        <v>44440</v>
      </c>
      <c r="B253" s="82"/>
      <c r="C253" s="57"/>
      <c r="D253" s="59"/>
      <c r="E253" s="26" t="n">
        <f aca="false">IF(VLOOKUP(MONTH(A253),SeasonTable,2,0)&lt;&gt;"Summer",VLOOKUP(MONTH(A253),ScalarTable,2,0),((0.059228/(B253/100))-(0.4980013/(SQRT(B253/100)))+2.137988))</f>
        <v>1.35124999284744</v>
      </c>
      <c r="F253" s="28" t="n">
        <f aca="false">+E253*B253</f>
        <v>0</v>
      </c>
      <c r="H253" s="72" t="n">
        <f aca="false">2-E253</f>
        <v>0.648750007152557</v>
      </c>
      <c r="I253" s="73" t="n">
        <f aca="false">B253*H253</f>
        <v>0</v>
      </c>
      <c r="J253" s="74" t="n">
        <f aca="false">C253*E253</f>
        <v>0</v>
      </c>
      <c r="K253" s="75" t="n">
        <f aca="false">C253*H253</f>
        <v>0</v>
      </c>
      <c r="L253" s="28" t="n">
        <f aca="false">D253*E253</f>
        <v>0</v>
      </c>
      <c r="N253" s="32"/>
    </row>
    <row r="254" customFormat="false" ht="12.75" hidden="false" customHeight="false" outlineLevel="0" collapsed="false">
      <c r="A254" s="21" t="n">
        <v>44470</v>
      </c>
      <c r="B254" s="82"/>
      <c r="C254" s="57"/>
      <c r="D254" s="59"/>
      <c r="E254" s="26" t="n">
        <f aca="false">IF(VLOOKUP(MONTH(A254),SeasonTable,2,0)&lt;&gt;"Summer",VLOOKUP(MONTH(A254),ScalarTable,2,0),((0.059228/(B254/100))-(0.4980013/(SQRT(B254/100)))+2.137988))</f>
        <v>1</v>
      </c>
      <c r="F254" s="28" t="n">
        <f aca="false">+E254*B254</f>
        <v>0</v>
      </c>
      <c r="H254" s="72" t="n">
        <f aca="false">2-E254</f>
        <v>1</v>
      </c>
      <c r="I254" s="73" t="n">
        <f aca="false">B254*H254</f>
        <v>0</v>
      </c>
      <c r="J254" s="74" t="n">
        <f aca="false">C254*E254</f>
        <v>0</v>
      </c>
      <c r="K254" s="75" t="n">
        <f aca="false">C254*H254</f>
        <v>0</v>
      </c>
      <c r="L254" s="28" t="n">
        <f aca="false">D254*E254</f>
        <v>0</v>
      </c>
      <c r="N254" s="32"/>
    </row>
    <row r="255" customFormat="false" ht="12.75" hidden="false" customHeight="false" outlineLevel="0" collapsed="false">
      <c r="A255" s="21" t="n">
        <v>44501</v>
      </c>
      <c r="B255" s="82"/>
      <c r="C255" s="57"/>
      <c r="D255" s="59"/>
      <c r="E255" s="26" t="n">
        <f aca="false">IF(VLOOKUP(MONTH(A255),SeasonTable,2,0)&lt;&gt;"Summer",VLOOKUP(MONTH(A255),ScalarTable,2,0),((0.059228/(B255/100))-(0.4980013/(SQRT(B255/100)))+2.137988))</f>
        <v>1.08</v>
      </c>
      <c r="F255" s="28" t="n">
        <f aca="false">+E255*B255</f>
        <v>0</v>
      </c>
      <c r="H255" s="72" t="n">
        <f aca="false">2-E255</f>
        <v>0.92</v>
      </c>
      <c r="I255" s="73" t="n">
        <f aca="false">B255*H255</f>
        <v>0</v>
      </c>
      <c r="J255" s="74" t="n">
        <f aca="false">C255*E255</f>
        <v>0</v>
      </c>
      <c r="K255" s="75" t="n">
        <f aca="false">C255*H255</f>
        <v>0</v>
      </c>
      <c r="L255" s="28" t="n">
        <f aca="false">D255*E255</f>
        <v>0</v>
      </c>
      <c r="N255" s="32"/>
    </row>
    <row r="256" customFormat="false" ht="12.75" hidden="false" customHeight="false" outlineLevel="0" collapsed="false">
      <c r="A256" s="21" t="n">
        <v>44531</v>
      </c>
      <c r="B256" s="83"/>
      <c r="C256" s="62"/>
      <c r="D256" s="84"/>
      <c r="E256" s="85" t="n">
        <f aca="false">IF(VLOOKUP(MONTH(A256),SeasonTable,2,0)&lt;&gt;"Summer",VLOOKUP(MONTH(A256),ScalarTable,2,0),((0.059228/(B256/100))-(0.4980013/(SQRT(B256/100)))+2.137988))</f>
        <v>1.02</v>
      </c>
      <c r="F256" s="63" t="n">
        <f aca="false">+E256*B256</f>
        <v>0</v>
      </c>
      <c r="H256" s="86" t="n">
        <f aca="false">2-E256</f>
        <v>0.98</v>
      </c>
      <c r="I256" s="87" t="n">
        <f aca="false">B256*H256</f>
        <v>0</v>
      </c>
      <c r="J256" s="88" t="n">
        <f aca="false">C256*E256</f>
        <v>0</v>
      </c>
      <c r="K256" s="75" t="n">
        <f aca="false">C256*H256</f>
        <v>0</v>
      </c>
      <c r="L256" s="63" t="n">
        <f aca="false">D256*E256</f>
        <v>0</v>
      </c>
      <c r="N256" s="32"/>
    </row>
    <row r="257" customFormat="false" ht="12.75" hidden="false" customHeight="false" outlineLevel="0" collapsed="false">
      <c r="N257" s="32"/>
    </row>
    <row r="258" customFormat="false" ht="12.75" hidden="false" customHeight="false" outlineLevel="0" collapsed="false">
      <c r="N258" s="32"/>
    </row>
    <row r="259" customFormat="false" ht="12.75" hidden="false" customHeight="false" outlineLevel="0" collapsed="false">
      <c r="N259" s="32"/>
    </row>
    <row r="260" customFormat="false" ht="12.75" hidden="false" customHeight="false" outlineLevel="0" collapsed="false">
      <c r="N260" s="32"/>
    </row>
    <row r="261" customFormat="false" ht="12.75" hidden="false" customHeight="false" outlineLevel="0" collapsed="false">
      <c r="N261" s="32"/>
    </row>
    <row r="262" customFormat="false" ht="12.75" hidden="false" customHeight="false" outlineLevel="0" collapsed="false">
      <c r="N262" s="32"/>
    </row>
    <row r="263" customFormat="false" ht="12.75" hidden="false" customHeight="false" outlineLevel="0" collapsed="false">
      <c r="N263" s="32"/>
    </row>
    <row r="264" customFormat="false" ht="12.75" hidden="false" customHeight="false" outlineLevel="0" collapsed="false">
      <c r="N264" s="32"/>
    </row>
    <row r="265" customFormat="false" ht="12.75" hidden="false" customHeight="false" outlineLevel="0" collapsed="false">
      <c r="N265" s="32"/>
    </row>
    <row r="266" customFormat="false" ht="12.75" hidden="false" customHeight="false" outlineLevel="0" collapsed="false">
      <c r="N266" s="32"/>
    </row>
    <row r="267" customFormat="false" ht="12.75" hidden="false" customHeight="false" outlineLevel="0" collapsed="false">
      <c r="N267" s="32"/>
    </row>
    <row r="268" customFormat="false" ht="12.75" hidden="false" customHeight="false" outlineLevel="0" collapsed="false">
      <c r="N268" s="32"/>
    </row>
    <row r="269" customFormat="false" ht="12.75" hidden="false" customHeight="false" outlineLevel="0" collapsed="false">
      <c r="N269" s="32"/>
    </row>
    <row r="270" customFormat="false" ht="12.75" hidden="false" customHeight="false" outlineLevel="0" collapsed="false">
      <c r="N270" s="32"/>
    </row>
    <row r="271" customFormat="false" ht="12.75" hidden="false" customHeight="false" outlineLevel="0" collapsed="false">
      <c r="N271" s="32"/>
    </row>
    <row r="272" customFormat="false" ht="12.75" hidden="false" customHeight="false" outlineLevel="0" collapsed="false">
      <c r="N272" s="32"/>
    </row>
    <row r="273" customFormat="false" ht="12.75" hidden="false" customHeight="false" outlineLevel="0" collapsed="false">
      <c r="N273" s="32"/>
    </row>
    <row r="274" customFormat="false" ht="12.75" hidden="false" customHeight="false" outlineLevel="0" collapsed="false">
      <c r="N274" s="32"/>
    </row>
    <row r="275" customFormat="false" ht="12.75" hidden="false" customHeight="false" outlineLevel="0" collapsed="false">
      <c r="N275" s="32"/>
    </row>
    <row r="276" customFormat="false" ht="12.75" hidden="false" customHeight="false" outlineLevel="0" collapsed="false">
      <c r="N276" s="32"/>
    </row>
    <row r="277" customFormat="false" ht="12.75" hidden="false" customHeight="false" outlineLevel="0" collapsed="false">
      <c r="N277" s="32"/>
    </row>
    <row r="278" customFormat="false" ht="12.75" hidden="false" customHeight="false" outlineLevel="0" collapsed="false">
      <c r="N278" s="32"/>
    </row>
    <row r="279" customFormat="false" ht="12.75" hidden="false" customHeight="false" outlineLevel="0" collapsed="false">
      <c r="N279" s="32"/>
    </row>
    <row r="280" customFormat="false" ht="12.75" hidden="false" customHeight="false" outlineLevel="0" collapsed="false">
      <c r="N280" s="32"/>
    </row>
    <row r="281" customFormat="false" ht="12.75" hidden="false" customHeight="false" outlineLevel="0" collapsed="false">
      <c r="N281" s="32"/>
    </row>
    <row r="282" customFormat="false" ht="12.75" hidden="false" customHeight="false" outlineLevel="0" collapsed="false">
      <c r="N282" s="32"/>
    </row>
    <row r="283" customFormat="false" ht="12.75" hidden="false" customHeight="false" outlineLevel="0" collapsed="false">
      <c r="N283" s="32"/>
    </row>
    <row r="284" customFormat="false" ht="12.75" hidden="false" customHeight="false" outlineLevel="0" collapsed="false">
      <c r="N284" s="32"/>
    </row>
    <row r="285" customFormat="false" ht="12.75" hidden="false" customHeight="false" outlineLevel="0" collapsed="false">
      <c r="N285" s="32"/>
    </row>
    <row r="286" customFormat="false" ht="12.75" hidden="false" customHeight="false" outlineLevel="0" collapsed="false">
      <c r="N286" s="32"/>
    </row>
    <row r="287" customFormat="false" ht="12.75" hidden="false" customHeight="false" outlineLevel="0" collapsed="false">
      <c r="N287" s="32"/>
    </row>
    <row r="288" customFormat="false" ht="12.75" hidden="false" customHeight="false" outlineLevel="0" collapsed="false">
      <c r="N288" s="32"/>
    </row>
    <row r="289" customFormat="false" ht="12.75" hidden="false" customHeight="false" outlineLevel="0" collapsed="false">
      <c r="N289" s="32"/>
    </row>
    <row r="290" customFormat="false" ht="12.75" hidden="false" customHeight="false" outlineLevel="0" collapsed="false">
      <c r="N290" s="32"/>
    </row>
    <row r="291" customFormat="false" ht="12.75" hidden="false" customHeight="false" outlineLevel="0" collapsed="false">
      <c r="N291" s="32"/>
    </row>
    <row r="292" customFormat="false" ht="12.75" hidden="false" customHeight="false" outlineLevel="0" collapsed="false">
      <c r="N292" s="32"/>
    </row>
    <row r="293" customFormat="false" ht="12.75" hidden="false" customHeight="false" outlineLevel="0" collapsed="false">
      <c r="N293" s="32"/>
    </row>
    <row r="294" customFormat="false" ht="12.75" hidden="false" customHeight="false" outlineLevel="0" collapsed="false">
      <c r="N294" s="32"/>
    </row>
    <row r="295" customFormat="false" ht="12.75" hidden="false" customHeight="false" outlineLevel="0" collapsed="false">
      <c r="N295" s="32"/>
    </row>
    <row r="296" customFormat="false" ht="12.75" hidden="false" customHeight="false" outlineLevel="0" collapsed="false">
      <c r="N296" s="32"/>
    </row>
    <row r="297" customFormat="false" ht="12.75" hidden="false" customHeight="false" outlineLevel="0" collapsed="false">
      <c r="N297" s="32"/>
    </row>
    <row r="298" customFormat="false" ht="12.75" hidden="false" customHeight="false" outlineLevel="0" collapsed="false">
      <c r="N298" s="32"/>
    </row>
    <row r="299" customFormat="false" ht="12.75" hidden="false" customHeight="false" outlineLevel="0" collapsed="false">
      <c r="N299" s="32"/>
    </row>
    <row r="300" customFormat="false" ht="12.75" hidden="false" customHeight="false" outlineLevel="0" collapsed="false">
      <c r="N300" s="32"/>
    </row>
    <row r="301" customFormat="false" ht="12.75" hidden="false" customHeight="false" outlineLevel="0" collapsed="false">
      <c r="N301" s="32"/>
    </row>
    <row r="302" customFormat="false" ht="12.75" hidden="false" customHeight="false" outlineLevel="0" collapsed="false">
      <c r="N302" s="32"/>
    </row>
    <row r="303" customFormat="false" ht="12.75" hidden="false" customHeight="false" outlineLevel="0" collapsed="false">
      <c r="N303" s="32"/>
    </row>
    <row r="304" customFormat="false" ht="12.75" hidden="false" customHeight="false" outlineLevel="0" collapsed="false">
      <c r="N304" s="32"/>
    </row>
    <row r="305" customFormat="false" ht="12.75" hidden="false" customHeight="false" outlineLevel="0" collapsed="false">
      <c r="N305" s="32"/>
    </row>
    <row r="306" customFormat="false" ht="12.75" hidden="false" customHeight="false" outlineLevel="0" collapsed="false">
      <c r="N306" s="32"/>
    </row>
    <row r="307" customFormat="false" ht="12.75" hidden="false" customHeight="false" outlineLevel="0" collapsed="false">
      <c r="N307" s="32"/>
    </row>
    <row r="308" customFormat="false" ht="12.75" hidden="false" customHeight="false" outlineLevel="0" collapsed="false">
      <c r="N308" s="32"/>
    </row>
    <row r="309" customFormat="false" ht="12.75" hidden="false" customHeight="false" outlineLevel="0" collapsed="false">
      <c r="N309" s="32"/>
    </row>
    <row r="310" customFormat="false" ht="12.75" hidden="false" customHeight="false" outlineLevel="0" collapsed="false">
      <c r="N310" s="32"/>
    </row>
    <row r="311" customFormat="false" ht="12.75" hidden="false" customHeight="false" outlineLevel="0" collapsed="false">
      <c r="N311" s="32"/>
    </row>
    <row r="312" customFormat="false" ht="12.75" hidden="false" customHeight="false" outlineLevel="0" collapsed="false">
      <c r="N312" s="32"/>
    </row>
    <row r="313" customFormat="false" ht="12.75" hidden="false" customHeight="false" outlineLevel="0" collapsed="false">
      <c r="N313" s="32"/>
    </row>
    <row r="314" customFormat="false" ht="12.75" hidden="false" customHeight="false" outlineLevel="0" collapsed="false">
      <c r="N314" s="32"/>
    </row>
    <row r="315" customFormat="false" ht="12.75" hidden="false" customHeight="false" outlineLevel="0" collapsed="false">
      <c r="N315" s="32"/>
    </row>
    <row r="316" customFormat="false" ht="12.75" hidden="false" customHeight="false" outlineLevel="0" collapsed="false">
      <c r="N316" s="32"/>
    </row>
    <row r="317" customFormat="false" ht="12.75" hidden="false" customHeight="false" outlineLevel="0" collapsed="false">
      <c r="N317" s="32"/>
    </row>
    <row r="318" customFormat="false" ht="12.75" hidden="false" customHeight="false" outlineLevel="0" collapsed="false">
      <c r="N318" s="32"/>
    </row>
    <row r="319" customFormat="false" ht="12.75" hidden="false" customHeight="false" outlineLevel="0" collapsed="false">
      <c r="N319" s="32"/>
    </row>
    <row r="320" customFormat="false" ht="12.75" hidden="false" customHeight="false" outlineLevel="0" collapsed="false">
      <c r="N320" s="32"/>
    </row>
    <row r="321" customFormat="false" ht="12.75" hidden="false" customHeight="false" outlineLevel="0" collapsed="false">
      <c r="N321" s="32"/>
    </row>
    <row r="322" customFormat="false" ht="12.75" hidden="false" customHeight="false" outlineLevel="0" collapsed="false">
      <c r="N322" s="32"/>
    </row>
    <row r="323" customFormat="false" ht="12.75" hidden="false" customHeight="false" outlineLevel="0" collapsed="false">
      <c r="N323" s="32"/>
    </row>
    <row r="324" customFormat="false" ht="12.75" hidden="false" customHeight="false" outlineLevel="0" collapsed="false">
      <c r="N324" s="32"/>
    </row>
    <row r="325" customFormat="false" ht="12.75" hidden="false" customHeight="false" outlineLevel="0" collapsed="false">
      <c r="N325" s="32"/>
    </row>
    <row r="326" customFormat="false" ht="12.75" hidden="false" customHeight="false" outlineLevel="0" collapsed="false">
      <c r="N326" s="32"/>
    </row>
    <row r="327" customFormat="false" ht="12.75" hidden="false" customHeight="false" outlineLevel="0" collapsed="false">
      <c r="N327" s="32"/>
    </row>
    <row r="328" customFormat="false" ht="12.75" hidden="false" customHeight="false" outlineLevel="0" collapsed="false">
      <c r="N328" s="32"/>
    </row>
    <row r="329" customFormat="false" ht="12.75" hidden="false" customHeight="false" outlineLevel="0" collapsed="false">
      <c r="N329" s="32"/>
    </row>
    <row r="330" customFormat="false" ht="12.75" hidden="false" customHeight="false" outlineLevel="0" collapsed="false">
      <c r="N330" s="32"/>
    </row>
    <row r="331" customFormat="false" ht="12.75" hidden="false" customHeight="false" outlineLevel="0" collapsed="false">
      <c r="N331" s="32"/>
    </row>
    <row r="332" customFormat="false" ht="12.75" hidden="false" customHeight="false" outlineLevel="0" collapsed="false">
      <c r="N332" s="32"/>
    </row>
    <row r="333" customFormat="false" ht="12.75" hidden="false" customHeight="false" outlineLevel="0" collapsed="false">
      <c r="N333" s="32"/>
    </row>
    <row r="334" customFormat="false" ht="12.75" hidden="false" customHeight="false" outlineLevel="0" collapsed="false">
      <c r="N334" s="32"/>
    </row>
    <row r="335" customFormat="false" ht="12.75" hidden="false" customHeight="false" outlineLevel="0" collapsed="false">
      <c r="N335" s="32"/>
    </row>
    <row r="336" customFormat="false" ht="12.75" hidden="false" customHeight="false" outlineLevel="0" collapsed="false">
      <c r="N336" s="32"/>
    </row>
    <row r="337" customFormat="false" ht="12.75" hidden="false" customHeight="false" outlineLevel="0" collapsed="false">
      <c r="N337" s="32"/>
    </row>
    <row r="338" customFormat="false" ht="12.75" hidden="false" customHeight="false" outlineLevel="0" collapsed="false">
      <c r="N338" s="32"/>
    </row>
    <row r="339" customFormat="false" ht="12.75" hidden="false" customHeight="false" outlineLevel="0" collapsed="false">
      <c r="N339" s="32"/>
    </row>
    <row r="340" customFormat="false" ht="12.75" hidden="false" customHeight="false" outlineLevel="0" collapsed="false">
      <c r="N340" s="32"/>
    </row>
    <row r="341" customFormat="false" ht="12.75" hidden="false" customHeight="false" outlineLevel="0" collapsed="false">
      <c r="N341" s="32"/>
    </row>
    <row r="342" customFormat="false" ht="12.75" hidden="false" customHeight="false" outlineLevel="0" collapsed="false">
      <c r="N342" s="32"/>
    </row>
    <row r="343" customFormat="false" ht="12.75" hidden="false" customHeight="false" outlineLevel="0" collapsed="false">
      <c r="N343" s="32"/>
    </row>
    <row r="344" customFormat="false" ht="12.75" hidden="false" customHeight="false" outlineLevel="0" collapsed="false">
      <c r="N344" s="32"/>
    </row>
    <row r="345" customFormat="false" ht="12.75" hidden="false" customHeight="false" outlineLevel="0" collapsed="false">
      <c r="N345" s="32"/>
    </row>
    <row r="346" customFormat="false" ht="12.75" hidden="false" customHeight="false" outlineLevel="0" collapsed="false">
      <c r="N346" s="32"/>
    </row>
    <row r="347" customFormat="false" ht="12.75" hidden="false" customHeight="false" outlineLevel="0" collapsed="false">
      <c r="N347" s="32"/>
    </row>
    <row r="348" customFormat="false" ht="12.75" hidden="false" customHeight="false" outlineLevel="0" collapsed="false">
      <c r="N348" s="32"/>
    </row>
    <row r="349" customFormat="false" ht="12.75" hidden="false" customHeight="false" outlineLevel="0" collapsed="false">
      <c r="N349" s="32"/>
    </row>
    <row r="350" customFormat="false" ht="12.75" hidden="false" customHeight="false" outlineLevel="0" collapsed="false">
      <c r="N350" s="32"/>
    </row>
    <row r="351" customFormat="false" ht="12.75" hidden="false" customHeight="false" outlineLevel="0" collapsed="false">
      <c r="N351" s="32"/>
    </row>
    <row r="352" customFormat="false" ht="12.75" hidden="false" customHeight="false" outlineLevel="0" collapsed="false">
      <c r="N352" s="32"/>
    </row>
    <row r="353" customFormat="false" ht="12.75" hidden="false" customHeight="false" outlineLevel="0" collapsed="false">
      <c r="N353" s="32"/>
    </row>
    <row r="354" customFormat="false" ht="12.75" hidden="false" customHeight="false" outlineLevel="0" collapsed="false">
      <c r="N354" s="32"/>
    </row>
    <row r="355" customFormat="false" ht="12.75" hidden="false" customHeight="false" outlineLevel="0" collapsed="false">
      <c r="N355" s="32"/>
    </row>
    <row r="356" customFormat="false" ht="12.75" hidden="false" customHeight="false" outlineLevel="0" collapsed="false">
      <c r="N356" s="32"/>
    </row>
    <row r="357" customFormat="false" ht="12.75" hidden="false" customHeight="false" outlineLevel="0" collapsed="false">
      <c r="N357" s="32"/>
    </row>
    <row r="358" customFormat="false" ht="12.75" hidden="false" customHeight="false" outlineLevel="0" collapsed="false">
      <c r="N358" s="32"/>
    </row>
    <row r="359" customFormat="false" ht="12.75" hidden="false" customHeight="false" outlineLevel="0" collapsed="false">
      <c r="N359" s="32"/>
    </row>
    <row r="360" customFormat="false" ht="12.75" hidden="false" customHeight="false" outlineLevel="0" collapsed="false">
      <c r="N360" s="32"/>
    </row>
    <row r="361" customFormat="false" ht="12.75" hidden="false" customHeight="false" outlineLevel="0" collapsed="false">
      <c r="N361" s="32"/>
    </row>
    <row r="362" customFormat="false" ht="12.75" hidden="false" customHeight="false" outlineLevel="0" collapsed="false">
      <c r="N362" s="32"/>
    </row>
    <row r="363" customFormat="false" ht="12.75" hidden="false" customHeight="false" outlineLevel="0" collapsed="false">
      <c r="N363" s="32"/>
    </row>
    <row r="364" customFormat="false" ht="12.75" hidden="false" customHeight="false" outlineLevel="0" collapsed="false">
      <c r="N364" s="32"/>
    </row>
    <row r="365" customFormat="false" ht="12.75" hidden="false" customHeight="false" outlineLevel="0" collapsed="false">
      <c r="N365" s="32"/>
    </row>
    <row r="366" customFormat="false" ht="12.75" hidden="false" customHeight="false" outlineLevel="0" collapsed="false">
      <c r="N366" s="32"/>
    </row>
    <row r="367" customFormat="false" ht="12.75" hidden="false" customHeight="false" outlineLevel="0" collapsed="false">
      <c r="N367" s="32"/>
    </row>
    <row r="368" customFormat="false" ht="12.75" hidden="false" customHeight="false" outlineLevel="0" collapsed="false">
      <c r="N368" s="32"/>
    </row>
    <row r="369" customFormat="false" ht="12.75" hidden="false" customHeight="false" outlineLevel="0" collapsed="false">
      <c r="N369" s="32"/>
    </row>
    <row r="370" customFormat="false" ht="12.75" hidden="false" customHeight="false" outlineLevel="0" collapsed="false">
      <c r="N370" s="32"/>
    </row>
    <row r="371" customFormat="false" ht="12.75" hidden="false" customHeight="false" outlineLevel="0" collapsed="false">
      <c r="N371" s="32"/>
    </row>
    <row r="372" customFormat="false" ht="12.75" hidden="false" customHeight="false" outlineLevel="0" collapsed="false">
      <c r="N372" s="32"/>
    </row>
    <row r="373" customFormat="false" ht="12.75" hidden="false" customHeight="false" outlineLevel="0" collapsed="false">
      <c r="N373" s="32"/>
    </row>
    <row r="374" customFormat="false" ht="12.75" hidden="false" customHeight="false" outlineLevel="0" collapsed="false">
      <c r="N374" s="32"/>
    </row>
    <row r="375" customFormat="false" ht="12.75" hidden="false" customHeight="false" outlineLevel="0" collapsed="false">
      <c r="N375" s="32"/>
    </row>
    <row r="376" customFormat="false" ht="12.75" hidden="false" customHeight="false" outlineLevel="0" collapsed="false">
      <c r="N376" s="32"/>
    </row>
    <row r="377" customFormat="false" ht="12.75" hidden="false" customHeight="false" outlineLevel="0" collapsed="false">
      <c r="N377" s="32"/>
    </row>
    <row r="378" customFormat="false" ht="12.75" hidden="false" customHeight="false" outlineLevel="0" collapsed="false">
      <c r="N378" s="32"/>
    </row>
    <row r="379" customFormat="false" ht="12.75" hidden="false" customHeight="false" outlineLevel="0" collapsed="false">
      <c r="N379" s="32"/>
    </row>
    <row r="380" customFormat="false" ht="12.75" hidden="false" customHeight="false" outlineLevel="0" collapsed="false">
      <c r="N380" s="32"/>
    </row>
    <row r="381" customFormat="false" ht="12.75" hidden="false" customHeight="false" outlineLevel="0" collapsed="false">
      <c r="N381" s="32"/>
    </row>
    <row r="382" customFormat="false" ht="12.75" hidden="false" customHeight="false" outlineLevel="0" collapsed="false">
      <c r="N382" s="32"/>
    </row>
    <row r="383" customFormat="false" ht="12.75" hidden="false" customHeight="false" outlineLevel="0" collapsed="false">
      <c r="N383" s="32"/>
    </row>
    <row r="384" customFormat="false" ht="12.75" hidden="false" customHeight="false" outlineLevel="0" collapsed="false">
      <c r="N384" s="32"/>
    </row>
    <row r="385" customFormat="false" ht="12.75" hidden="false" customHeight="false" outlineLevel="0" collapsed="false">
      <c r="N385" s="32"/>
    </row>
    <row r="386" customFormat="false" ht="12.75" hidden="false" customHeight="false" outlineLevel="0" collapsed="false">
      <c r="N386" s="32"/>
    </row>
    <row r="387" customFormat="false" ht="12.75" hidden="false" customHeight="false" outlineLevel="0" collapsed="false">
      <c r="N387" s="32"/>
    </row>
    <row r="388" customFormat="false" ht="12.75" hidden="false" customHeight="false" outlineLevel="0" collapsed="false">
      <c r="N388" s="32"/>
    </row>
    <row r="389" customFormat="false" ht="12.75" hidden="false" customHeight="false" outlineLevel="0" collapsed="false">
      <c r="N389" s="32"/>
    </row>
    <row r="390" customFormat="false" ht="12.75" hidden="false" customHeight="false" outlineLevel="0" collapsed="false">
      <c r="N390" s="32"/>
    </row>
    <row r="391" customFormat="false" ht="12.75" hidden="false" customHeight="false" outlineLevel="0" collapsed="false">
      <c r="N391" s="32"/>
    </row>
    <row r="392" customFormat="false" ht="12.75" hidden="false" customHeight="false" outlineLevel="0" collapsed="false">
      <c r="N392" s="32"/>
    </row>
    <row r="393" customFormat="false" ht="12.75" hidden="false" customHeight="false" outlineLevel="0" collapsed="false">
      <c r="N393" s="32"/>
    </row>
    <row r="394" customFormat="false" ht="12.75" hidden="false" customHeight="false" outlineLevel="0" collapsed="false">
      <c r="N394" s="32"/>
    </row>
    <row r="395" customFormat="false" ht="12.75" hidden="false" customHeight="false" outlineLevel="0" collapsed="false">
      <c r="N395" s="32"/>
    </row>
    <row r="396" customFormat="false" ht="12.75" hidden="false" customHeight="false" outlineLevel="0" collapsed="false">
      <c r="N396" s="32"/>
    </row>
    <row r="397" customFormat="false" ht="12.75" hidden="false" customHeight="false" outlineLevel="0" collapsed="false">
      <c r="N397" s="32"/>
    </row>
    <row r="398" customFormat="false" ht="12.75" hidden="false" customHeight="false" outlineLevel="0" collapsed="false">
      <c r="N398" s="32"/>
    </row>
    <row r="399" customFormat="false" ht="12.75" hidden="false" customHeight="false" outlineLevel="0" collapsed="false">
      <c r="N399" s="32"/>
    </row>
    <row r="400" customFormat="false" ht="12.75" hidden="false" customHeight="false" outlineLevel="0" collapsed="false">
      <c r="N400" s="32"/>
    </row>
    <row r="401" customFormat="false" ht="12.75" hidden="false" customHeight="false" outlineLevel="0" collapsed="false">
      <c r="N401" s="32"/>
    </row>
    <row r="402" customFormat="false" ht="12.75" hidden="false" customHeight="false" outlineLevel="0" collapsed="false">
      <c r="N402" s="32"/>
    </row>
    <row r="403" customFormat="false" ht="12.75" hidden="false" customHeight="false" outlineLevel="0" collapsed="false">
      <c r="N403" s="32"/>
    </row>
    <row r="404" customFormat="false" ht="12.75" hidden="false" customHeight="false" outlineLevel="0" collapsed="false">
      <c r="N404" s="32"/>
    </row>
    <row r="405" customFormat="false" ht="12.75" hidden="false" customHeight="false" outlineLevel="0" collapsed="false">
      <c r="N405" s="32"/>
    </row>
    <row r="406" customFormat="false" ht="12.75" hidden="false" customHeight="false" outlineLevel="0" collapsed="false">
      <c r="N406" s="32"/>
    </row>
    <row r="407" customFormat="false" ht="12.75" hidden="false" customHeight="false" outlineLevel="0" collapsed="false">
      <c r="N407" s="32"/>
    </row>
    <row r="408" customFormat="false" ht="12.75" hidden="false" customHeight="false" outlineLevel="0" collapsed="false">
      <c r="N408" s="32"/>
    </row>
    <row r="409" customFormat="false" ht="12.75" hidden="false" customHeight="false" outlineLevel="0" collapsed="false">
      <c r="N409" s="32"/>
    </row>
    <row r="410" customFormat="false" ht="12.75" hidden="false" customHeight="false" outlineLevel="0" collapsed="false">
      <c r="N410" s="32"/>
    </row>
    <row r="411" customFormat="false" ht="12.75" hidden="false" customHeight="false" outlineLevel="0" collapsed="false">
      <c r="N411" s="32"/>
    </row>
    <row r="412" customFormat="false" ht="12.75" hidden="false" customHeight="false" outlineLevel="0" collapsed="false">
      <c r="N412" s="32"/>
    </row>
    <row r="413" customFormat="false" ht="12.75" hidden="false" customHeight="false" outlineLevel="0" collapsed="false">
      <c r="N413" s="32"/>
    </row>
    <row r="414" customFormat="false" ht="12.75" hidden="false" customHeight="false" outlineLevel="0" collapsed="false">
      <c r="N414" s="32"/>
    </row>
    <row r="415" customFormat="false" ht="12.75" hidden="false" customHeight="false" outlineLevel="0" collapsed="false">
      <c r="N415" s="32"/>
    </row>
    <row r="416" customFormat="false" ht="12.75" hidden="false" customHeight="false" outlineLevel="0" collapsed="false">
      <c r="N416" s="32"/>
    </row>
    <row r="417" customFormat="false" ht="12.75" hidden="false" customHeight="false" outlineLevel="0" collapsed="false">
      <c r="N417" s="32"/>
    </row>
    <row r="418" customFormat="false" ht="12.75" hidden="false" customHeight="false" outlineLevel="0" collapsed="false">
      <c r="N418" s="32"/>
    </row>
    <row r="419" customFormat="false" ht="12.75" hidden="false" customHeight="false" outlineLevel="0" collapsed="false">
      <c r="N419" s="32"/>
    </row>
    <row r="420" customFormat="false" ht="12.75" hidden="false" customHeight="false" outlineLevel="0" collapsed="false">
      <c r="N420" s="32"/>
    </row>
    <row r="421" customFormat="false" ht="12.75" hidden="false" customHeight="false" outlineLevel="0" collapsed="false">
      <c r="N421" s="32"/>
    </row>
    <row r="422" customFormat="false" ht="12.75" hidden="false" customHeight="false" outlineLevel="0" collapsed="false">
      <c r="N422" s="32"/>
    </row>
    <row r="423" customFormat="false" ht="12.75" hidden="false" customHeight="false" outlineLevel="0" collapsed="false">
      <c r="N423" s="32"/>
    </row>
    <row r="424" customFormat="false" ht="12.75" hidden="false" customHeight="false" outlineLevel="0" collapsed="false">
      <c r="N424" s="32"/>
    </row>
    <row r="425" customFormat="false" ht="12.75" hidden="false" customHeight="false" outlineLevel="0" collapsed="false">
      <c r="N425" s="32"/>
    </row>
    <row r="426" customFormat="false" ht="12.75" hidden="false" customHeight="false" outlineLevel="0" collapsed="false">
      <c r="N426" s="32"/>
    </row>
    <row r="427" customFormat="false" ht="12.75" hidden="false" customHeight="false" outlineLevel="0" collapsed="false">
      <c r="N427" s="32"/>
    </row>
    <row r="428" customFormat="false" ht="12.75" hidden="false" customHeight="false" outlineLevel="0" collapsed="false">
      <c r="N428" s="32"/>
    </row>
    <row r="429" customFormat="false" ht="12.75" hidden="false" customHeight="false" outlineLevel="0" collapsed="false">
      <c r="N429" s="32"/>
    </row>
    <row r="430" customFormat="false" ht="12.75" hidden="false" customHeight="false" outlineLevel="0" collapsed="false">
      <c r="N430" s="32"/>
    </row>
    <row r="431" customFormat="false" ht="12.75" hidden="false" customHeight="false" outlineLevel="0" collapsed="false">
      <c r="N431" s="32"/>
    </row>
    <row r="432" customFormat="false" ht="12.75" hidden="false" customHeight="false" outlineLevel="0" collapsed="false">
      <c r="N432" s="32"/>
    </row>
    <row r="433" customFormat="false" ht="12.75" hidden="false" customHeight="false" outlineLevel="0" collapsed="false">
      <c r="N433" s="32"/>
    </row>
    <row r="434" customFormat="false" ht="12.75" hidden="false" customHeight="false" outlineLevel="0" collapsed="false">
      <c r="N434" s="32"/>
    </row>
    <row r="435" customFormat="false" ht="12.75" hidden="false" customHeight="false" outlineLevel="0" collapsed="false">
      <c r="N435" s="32"/>
    </row>
    <row r="436" customFormat="false" ht="12.75" hidden="false" customHeight="false" outlineLevel="0" collapsed="false">
      <c r="N436" s="32"/>
    </row>
    <row r="437" customFormat="false" ht="12.75" hidden="false" customHeight="false" outlineLevel="0" collapsed="false">
      <c r="N437" s="32"/>
    </row>
    <row r="438" customFormat="false" ht="12.75" hidden="false" customHeight="false" outlineLevel="0" collapsed="false">
      <c r="N438" s="32"/>
    </row>
    <row r="439" customFormat="false" ht="12.75" hidden="false" customHeight="false" outlineLevel="0" collapsed="false">
      <c r="N439" s="32"/>
    </row>
    <row r="440" customFormat="false" ht="12.75" hidden="false" customHeight="false" outlineLevel="0" collapsed="false">
      <c r="N440" s="32"/>
    </row>
    <row r="441" customFormat="false" ht="12.75" hidden="false" customHeight="false" outlineLevel="0" collapsed="false">
      <c r="N441" s="32"/>
    </row>
    <row r="442" customFormat="false" ht="12.75" hidden="false" customHeight="false" outlineLevel="0" collapsed="false">
      <c r="N442" s="32"/>
    </row>
    <row r="443" customFormat="false" ht="12.75" hidden="false" customHeight="false" outlineLevel="0" collapsed="false">
      <c r="N443" s="32"/>
    </row>
    <row r="444" customFormat="false" ht="12.75" hidden="false" customHeight="false" outlineLevel="0" collapsed="false">
      <c r="N444" s="32"/>
    </row>
    <row r="445" customFormat="false" ht="12.75" hidden="false" customHeight="false" outlineLevel="0" collapsed="false">
      <c r="N445" s="32"/>
    </row>
    <row r="446" customFormat="false" ht="12.75" hidden="false" customHeight="false" outlineLevel="0" collapsed="false">
      <c r="N446" s="32"/>
    </row>
    <row r="447" customFormat="false" ht="12.75" hidden="false" customHeight="false" outlineLevel="0" collapsed="false">
      <c r="N447" s="32"/>
    </row>
    <row r="448" customFormat="false" ht="12.75" hidden="false" customHeight="false" outlineLevel="0" collapsed="false">
      <c r="N448" s="32"/>
    </row>
    <row r="449" customFormat="false" ht="12.75" hidden="false" customHeight="false" outlineLevel="0" collapsed="false">
      <c r="N449" s="32"/>
    </row>
    <row r="450" customFormat="false" ht="12.75" hidden="false" customHeight="false" outlineLevel="0" collapsed="false">
      <c r="N450" s="32"/>
    </row>
    <row r="451" customFormat="false" ht="12.75" hidden="false" customHeight="false" outlineLevel="0" collapsed="false">
      <c r="N451" s="32"/>
    </row>
    <row r="452" customFormat="false" ht="12.75" hidden="false" customHeight="false" outlineLevel="0" collapsed="false">
      <c r="N452" s="32"/>
    </row>
    <row r="453" customFormat="false" ht="12.75" hidden="false" customHeight="false" outlineLevel="0" collapsed="false">
      <c r="N453" s="32"/>
    </row>
    <row r="454" customFormat="false" ht="12.75" hidden="false" customHeight="false" outlineLevel="0" collapsed="false">
      <c r="N454" s="32"/>
    </row>
    <row r="455" customFormat="false" ht="12.75" hidden="false" customHeight="false" outlineLevel="0" collapsed="false">
      <c r="N455" s="32"/>
    </row>
    <row r="456" customFormat="false" ht="12.75" hidden="false" customHeight="false" outlineLevel="0" collapsed="false">
      <c r="N456" s="32"/>
    </row>
    <row r="457" customFormat="false" ht="12.75" hidden="false" customHeight="false" outlineLevel="0" collapsed="false">
      <c r="N457" s="32"/>
    </row>
    <row r="458" customFormat="false" ht="12.75" hidden="false" customHeight="false" outlineLevel="0" collapsed="false">
      <c r="N458" s="32"/>
    </row>
    <row r="459" customFormat="false" ht="12.75" hidden="false" customHeight="false" outlineLevel="0" collapsed="false">
      <c r="N459" s="32"/>
    </row>
    <row r="460" customFormat="false" ht="12.75" hidden="false" customHeight="false" outlineLevel="0" collapsed="false">
      <c r="N460" s="32"/>
    </row>
    <row r="461" customFormat="false" ht="12.75" hidden="false" customHeight="false" outlineLevel="0" collapsed="false">
      <c r="N461" s="32"/>
    </row>
    <row r="462" customFormat="false" ht="12.75" hidden="false" customHeight="false" outlineLevel="0" collapsed="false">
      <c r="N462" s="32"/>
    </row>
    <row r="463" customFormat="false" ht="12.75" hidden="false" customHeight="false" outlineLevel="0" collapsed="false">
      <c r="N463" s="32"/>
    </row>
    <row r="464" customFormat="false" ht="12.75" hidden="false" customHeight="false" outlineLevel="0" collapsed="false">
      <c r="N464" s="32"/>
    </row>
    <row r="465" customFormat="false" ht="12.75" hidden="false" customHeight="false" outlineLevel="0" collapsed="false">
      <c r="N465" s="32"/>
    </row>
    <row r="466" customFormat="false" ht="12.75" hidden="false" customHeight="false" outlineLevel="0" collapsed="false">
      <c r="N466" s="32"/>
    </row>
    <row r="467" customFormat="false" ht="12.75" hidden="false" customHeight="false" outlineLevel="0" collapsed="false">
      <c r="N467" s="32"/>
    </row>
    <row r="468" customFormat="false" ht="12.75" hidden="false" customHeight="false" outlineLevel="0" collapsed="false">
      <c r="N468" s="32"/>
    </row>
    <row r="469" customFormat="false" ht="12.75" hidden="false" customHeight="false" outlineLevel="0" collapsed="false">
      <c r="N469" s="32"/>
    </row>
    <row r="470" customFormat="false" ht="12.75" hidden="false" customHeight="false" outlineLevel="0" collapsed="false">
      <c r="N470" s="32"/>
    </row>
    <row r="471" customFormat="false" ht="12.75" hidden="false" customHeight="false" outlineLevel="0" collapsed="false">
      <c r="N471" s="32"/>
    </row>
    <row r="472" customFormat="false" ht="12.75" hidden="false" customHeight="false" outlineLevel="0" collapsed="false">
      <c r="N472" s="32"/>
    </row>
    <row r="473" customFormat="false" ht="12.75" hidden="false" customHeight="false" outlineLevel="0" collapsed="false">
      <c r="N473" s="32"/>
    </row>
    <row r="474" customFormat="false" ht="12.75" hidden="false" customHeight="false" outlineLevel="0" collapsed="false">
      <c r="N474" s="32"/>
    </row>
    <row r="475" customFormat="false" ht="12.75" hidden="false" customHeight="false" outlineLevel="0" collapsed="false">
      <c r="N475" s="32"/>
    </row>
    <row r="476" customFormat="false" ht="12.75" hidden="false" customHeight="false" outlineLevel="0" collapsed="false">
      <c r="N476" s="32"/>
    </row>
    <row r="477" customFormat="false" ht="12.75" hidden="false" customHeight="false" outlineLevel="0" collapsed="false">
      <c r="N477" s="32"/>
    </row>
    <row r="478" customFormat="false" ht="12.75" hidden="false" customHeight="false" outlineLevel="0" collapsed="false">
      <c r="N478" s="32"/>
    </row>
    <row r="479" customFormat="false" ht="12.75" hidden="false" customHeight="false" outlineLevel="0" collapsed="false">
      <c r="N479" s="32"/>
    </row>
    <row r="480" customFormat="false" ht="12.75" hidden="false" customHeight="false" outlineLevel="0" collapsed="false">
      <c r="N480" s="32"/>
    </row>
    <row r="481" customFormat="false" ht="12.75" hidden="false" customHeight="false" outlineLevel="0" collapsed="false">
      <c r="N481" s="32"/>
    </row>
    <row r="482" customFormat="false" ht="12.75" hidden="false" customHeight="false" outlineLevel="0" collapsed="false">
      <c r="N482" s="32"/>
    </row>
    <row r="483" customFormat="false" ht="12.75" hidden="false" customHeight="false" outlineLevel="0" collapsed="false">
      <c r="N483" s="32"/>
    </row>
    <row r="484" customFormat="false" ht="12.75" hidden="false" customHeight="false" outlineLevel="0" collapsed="false">
      <c r="N484" s="32"/>
    </row>
    <row r="485" customFormat="false" ht="12.75" hidden="false" customHeight="false" outlineLevel="0" collapsed="false">
      <c r="N485" s="32"/>
    </row>
    <row r="486" customFormat="false" ht="12.75" hidden="false" customHeight="false" outlineLevel="0" collapsed="false">
      <c r="N486" s="32"/>
    </row>
    <row r="487" customFormat="false" ht="12.75" hidden="false" customHeight="false" outlineLevel="0" collapsed="false">
      <c r="N487" s="32"/>
    </row>
    <row r="488" customFormat="false" ht="12.75" hidden="false" customHeight="false" outlineLevel="0" collapsed="false">
      <c r="N488" s="32"/>
    </row>
    <row r="489" customFormat="false" ht="12.75" hidden="false" customHeight="false" outlineLevel="0" collapsed="false">
      <c r="N489" s="32"/>
    </row>
    <row r="490" customFormat="false" ht="12.75" hidden="false" customHeight="false" outlineLevel="0" collapsed="false">
      <c r="N490" s="32"/>
    </row>
    <row r="491" customFormat="false" ht="12.75" hidden="false" customHeight="false" outlineLevel="0" collapsed="false">
      <c r="N491" s="32"/>
    </row>
    <row r="492" customFormat="false" ht="12.75" hidden="false" customHeight="false" outlineLevel="0" collapsed="false">
      <c r="N492" s="32"/>
    </row>
    <row r="493" customFormat="false" ht="12.75" hidden="false" customHeight="false" outlineLevel="0" collapsed="false">
      <c r="N493" s="32"/>
    </row>
    <row r="494" customFormat="false" ht="12.75" hidden="false" customHeight="false" outlineLevel="0" collapsed="false">
      <c r="N494" s="32"/>
    </row>
    <row r="495" customFormat="false" ht="12.75" hidden="false" customHeight="false" outlineLevel="0" collapsed="false">
      <c r="N495" s="32"/>
    </row>
    <row r="496" customFormat="false" ht="12.75" hidden="false" customHeight="false" outlineLevel="0" collapsed="false">
      <c r="N496" s="32"/>
    </row>
    <row r="497" customFormat="false" ht="12.75" hidden="false" customHeight="false" outlineLevel="0" collapsed="false">
      <c r="N497" s="32"/>
    </row>
    <row r="498" customFormat="false" ht="12.75" hidden="false" customHeight="false" outlineLevel="0" collapsed="false">
      <c r="N498" s="32"/>
    </row>
    <row r="499" customFormat="false" ht="12.75" hidden="false" customHeight="false" outlineLevel="0" collapsed="false">
      <c r="N499" s="32"/>
    </row>
    <row r="500" customFormat="false" ht="12.75" hidden="false" customHeight="false" outlineLevel="0" collapsed="false">
      <c r="N500" s="32"/>
    </row>
    <row r="501" customFormat="false" ht="12.75" hidden="false" customHeight="false" outlineLevel="0" collapsed="false">
      <c r="N501" s="32"/>
    </row>
    <row r="502" customFormat="false" ht="12.75" hidden="false" customHeight="false" outlineLevel="0" collapsed="false">
      <c r="N502" s="32"/>
    </row>
    <row r="503" customFormat="false" ht="12.75" hidden="false" customHeight="false" outlineLevel="0" collapsed="false">
      <c r="N503" s="32"/>
    </row>
    <row r="504" customFormat="false" ht="12.75" hidden="false" customHeight="false" outlineLevel="0" collapsed="false">
      <c r="N504" s="32"/>
    </row>
    <row r="505" customFormat="false" ht="12.75" hidden="false" customHeight="false" outlineLevel="0" collapsed="false">
      <c r="N505" s="32"/>
    </row>
    <row r="506" customFormat="false" ht="12.75" hidden="false" customHeight="false" outlineLevel="0" collapsed="false">
      <c r="N506" s="32"/>
    </row>
    <row r="507" customFormat="false" ht="12.75" hidden="false" customHeight="false" outlineLevel="0" collapsed="false">
      <c r="N507" s="32"/>
    </row>
    <row r="508" customFormat="false" ht="12.75" hidden="false" customHeight="false" outlineLevel="0" collapsed="false">
      <c r="N508" s="32"/>
    </row>
    <row r="509" customFormat="false" ht="12.75" hidden="false" customHeight="false" outlineLevel="0" collapsed="false">
      <c r="N509" s="32"/>
    </row>
    <row r="510" customFormat="false" ht="12.75" hidden="false" customHeight="false" outlineLevel="0" collapsed="false">
      <c r="N510" s="32"/>
    </row>
    <row r="511" customFormat="false" ht="12.75" hidden="false" customHeight="false" outlineLevel="0" collapsed="false">
      <c r="N511" s="32"/>
    </row>
    <row r="512" customFormat="false" ht="12.75" hidden="false" customHeight="false" outlineLevel="0" collapsed="false">
      <c r="N512" s="32"/>
    </row>
    <row r="513" customFormat="false" ht="12.75" hidden="false" customHeight="false" outlineLevel="0" collapsed="false">
      <c r="N513" s="32"/>
    </row>
    <row r="514" customFormat="false" ht="12.75" hidden="false" customHeight="false" outlineLevel="0" collapsed="false">
      <c r="N514" s="32"/>
    </row>
    <row r="515" customFormat="false" ht="12.75" hidden="false" customHeight="false" outlineLevel="0" collapsed="false">
      <c r="N515" s="32"/>
    </row>
    <row r="516" customFormat="false" ht="12.75" hidden="false" customHeight="false" outlineLevel="0" collapsed="false">
      <c r="N516" s="32"/>
    </row>
    <row r="517" customFormat="false" ht="12.75" hidden="false" customHeight="false" outlineLevel="0" collapsed="false">
      <c r="N517" s="32"/>
    </row>
    <row r="518" customFormat="false" ht="12.75" hidden="false" customHeight="false" outlineLevel="0" collapsed="false">
      <c r="N518" s="32"/>
    </row>
    <row r="519" customFormat="false" ht="12.75" hidden="false" customHeight="false" outlineLevel="0" collapsed="false">
      <c r="N519" s="32"/>
    </row>
    <row r="520" customFormat="false" ht="12.75" hidden="false" customHeight="false" outlineLevel="0" collapsed="false">
      <c r="N520" s="32"/>
    </row>
    <row r="521" customFormat="false" ht="12.75" hidden="false" customHeight="false" outlineLevel="0" collapsed="false">
      <c r="N521" s="32"/>
    </row>
    <row r="522" customFormat="false" ht="12.75" hidden="false" customHeight="false" outlineLevel="0" collapsed="false">
      <c r="N522" s="32"/>
    </row>
    <row r="523" customFormat="false" ht="12.75" hidden="false" customHeight="false" outlineLevel="0" collapsed="false">
      <c r="N523" s="32"/>
    </row>
    <row r="524" customFormat="false" ht="12.75" hidden="false" customHeight="false" outlineLevel="0" collapsed="false">
      <c r="N524" s="32"/>
    </row>
    <row r="525" customFormat="false" ht="12.75" hidden="false" customHeight="false" outlineLevel="0" collapsed="false">
      <c r="N525" s="32"/>
    </row>
    <row r="526" customFormat="false" ht="12.75" hidden="false" customHeight="false" outlineLevel="0" collapsed="false">
      <c r="N526" s="32"/>
    </row>
    <row r="527" customFormat="false" ht="12.75" hidden="false" customHeight="false" outlineLevel="0" collapsed="false">
      <c r="N527" s="32"/>
    </row>
    <row r="528" customFormat="false" ht="12.75" hidden="false" customHeight="false" outlineLevel="0" collapsed="false">
      <c r="N528" s="32"/>
    </row>
    <row r="529" customFormat="false" ht="12.75" hidden="false" customHeight="false" outlineLevel="0" collapsed="false">
      <c r="N529" s="32"/>
    </row>
    <row r="530" customFormat="false" ht="12.75" hidden="false" customHeight="false" outlineLevel="0" collapsed="false">
      <c r="N530" s="32"/>
    </row>
    <row r="531" customFormat="false" ht="12.75" hidden="false" customHeight="false" outlineLevel="0" collapsed="false">
      <c r="N531" s="32"/>
    </row>
    <row r="532" customFormat="false" ht="12.75" hidden="false" customHeight="false" outlineLevel="0" collapsed="false">
      <c r="N532" s="32"/>
    </row>
    <row r="533" customFormat="false" ht="12.75" hidden="false" customHeight="false" outlineLevel="0" collapsed="false">
      <c r="N533" s="32"/>
    </row>
    <row r="534" customFormat="false" ht="12.75" hidden="false" customHeight="false" outlineLevel="0" collapsed="false">
      <c r="N534" s="32"/>
    </row>
    <row r="535" customFormat="false" ht="12.75" hidden="false" customHeight="false" outlineLevel="0" collapsed="false">
      <c r="N535" s="32"/>
    </row>
    <row r="536" customFormat="false" ht="12.75" hidden="false" customHeight="false" outlineLevel="0" collapsed="false">
      <c r="N536" s="32"/>
    </row>
    <row r="537" customFormat="false" ht="12.75" hidden="false" customHeight="false" outlineLevel="0" collapsed="false">
      <c r="N537" s="32"/>
    </row>
    <row r="538" customFormat="false" ht="12.75" hidden="false" customHeight="false" outlineLevel="0" collapsed="false">
      <c r="N538" s="32"/>
    </row>
    <row r="539" customFormat="false" ht="12.75" hidden="false" customHeight="false" outlineLevel="0" collapsed="false">
      <c r="N539" s="32"/>
    </row>
    <row r="540" customFormat="false" ht="12.75" hidden="false" customHeight="false" outlineLevel="0" collapsed="false">
      <c r="N540" s="32"/>
    </row>
    <row r="541" customFormat="false" ht="12.75" hidden="false" customHeight="false" outlineLevel="0" collapsed="false">
      <c r="N541" s="32"/>
    </row>
    <row r="542" customFormat="false" ht="12.75" hidden="false" customHeight="false" outlineLevel="0" collapsed="false">
      <c r="N542" s="32"/>
    </row>
    <row r="543" customFormat="false" ht="12.75" hidden="false" customHeight="false" outlineLevel="0" collapsed="false">
      <c r="N543" s="32"/>
    </row>
    <row r="544" customFormat="false" ht="12.75" hidden="false" customHeight="false" outlineLevel="0" collapsed="false">
      <c r="N544" s="32"/>
    </row>
    <row r="545" customFormat="false" ht="12.75" hidden="false" customHeight="false" outlineLevel="0" collapsed="false">
      <c r="N545" s="32"/>
    </row>
    <row r="546" customFormat="false" ht="12.75" hidden="false" customHeight="false" outlineLevel="0" collapsed="false">
      <c r="N546" s="32"/>
    </row>
    <row r="547" customFormat="false" ht="12.75" hidden="false" customHeight="false" outlineLevel="0" collapsed="false">
      <c r="N547" s="32"/>
    </row>
    <row r="548" customFormat="false" ht="12.75" hidden="false" customHeight="false" outlineLevel="0" collapsed="false">
      <c r="N548" s="32"/>
    </row>
    <row r="549" customFormat="false" ht="12.75" hidden="false" customHeight="false" outlineLevel="0" collapsed="false">
      <c r="N549" s="32"/>
    </row>
    <row r="550" customFormat="false" ht="12.75" hidden="false" customHeight="false" outlineLevel="0" collapsed="false">
      <c r="N550" s="32"/>
    </row>
    <row r="551" customFormat="false" ht="12.75" hidden="false" customHeight="false" outlineLevel="0" collapsed="false">
      <c r="N551" s="32"/>
    </row>
    <row r="552" customFormat="false" ht="12.75" hidden="false" customHeight="false" outlineLevel="0" collapsed="false">
      <c r="N552" s="32"/>
    </row>
    <row r="553" customFormat="false" ht="12.75" hidden="false" customHeight="false" outlineLevel="0" collapsed="false">
      <c r="N553" s="32"/>
    </row>
    <row r="554" customFormat="false" ht="12.75" hidden="false" customHeight="false" outlineLevel="0" collapsed="false">
      <c r="N554" s="32"/>
    </row>
    <row r="555" customFormat="false" ht="12.75" hidden="false" customHeight="false" outlineLevel="0" collapsed="false">
      <c r="N555" s="32"/>
    </row>
    <row r="556" customFormat="false" ht="12.75" hidden="false" customHeight="false" outlineLevel="0" collapsed="false">
      <c r="N556" s="32"/>
    </row>
    <row r="557" customFormat="false" ht="12.75" hidden="false" customHeight="false" outlineLevel="0" collapsed="false">
      <c r="N557" s="32"/>
    </row>
    <row r="558" customFormat="false" ht="12.75" hidden="false" customHeight="false" outlineLevel="0" collapsed="false">
      <c r="N558" s="32"/>
    </row>
    <row r="559" customFormat="false" ht="12.75" hidden="false" customHeight="false" outlineLevel="0" collapsed="false">
      <c r="N559" s="32"/>
    </row>
    <row r="560" customFormat="false" ht="12.75" hidden="false" customHeight="false" outlineLevel="0" collapsed="false">
      <c r="N560" s="32"/>
    </row>
    <row r="561" customFormat="false" ht="12.75" hidden="false" customHeight="false" outlineLevel="0" collapsed="false">
      <c r="N561" s="32"/>
    </row>
    <row r="562" customFormat="false" ht="12.75" hidden="false" customHeight="false" outlineLevel="0" collapsed="false">
      <c r="N562" s="32"/>
    </row>
    <row r="563" customFormat="false" ht="12.75" hidden="false" customHeight="false" outlineLevel="0" collapsed="false">
      <c r="N563" s="32"/>
    </row>
    <row r="564" customFormat="false" ht="12.75" hidden="false" customHeight="false" outlineLevel="0" collapsed="false">
      <c r="N564" s="32"/>
    </row>
    <row r="565" customFormat="false" ht="12.75" hidden="false" customHeight="false" outlineLevel="0" collapsed="false">
      <c r="N565" s="32"/>
    </row>
    <row r="566" customFormat="false" ht="12.75" hidden="false" customHeight="false" outlineLevel="0" collapsed="false">
      <c r="N566" s="32"/>
    </row>
    <row r="567" customFormat="false" ht="12.75" hidden="false" customHeight="false" outlineLevel="0" collapsed="false">
      <c r="N567" s="32"/>
    </row>
    <row r="568" customFormat="false" ht="12.75" hidden="false" customHeight="false" outlineLevel="0" collapsed="false">
      <c r="N568" s="32"/>
    </row>
    <row r="569" customFormat="false" ht="12.75" hidden="false" customHeight="false" outlineLevel="0" collapsed="false">
      <c r="N569" s="32"/>
    </row>
    <row r="570" customFormat="false" ht="12.75" hidden="false" customHeight="false" outlineLevel="0" collapsed="false">
      <c r="N570" s="32"/>
    </row>
    <row r="571" customFormat="false" ht="12.75" hidden="false" customHeight="false" outlineLevel="0" collapsed="false">
      <c r="N571" s="32"/>
    </row>
    <row r="572" customFormat="false" ht="12.75" hidden="false" customHeight="false" outlineLevel="0" collapsed="false">
      <c r="N572" s="32"/>
    </row>
    <row r="573" customFormat="false" ht="12.75" hidden="false" customHeight="false" outlineLevel="0" collapsed="false">
      <c r="N573" s="32"/>
    </row>
    <row r="574" customFormat="false" ht="12.75" hidden="false" customHeight="false" outlineLevel="0" collapsed="false">
      <c r="N574" s="32"/>
    </row>
    <row r="575" customFormat="false" ht="12.75" hidden="false" customHeight="false" outlineLevel="0" collapsed="false">
      <c r="N575" s="32"/>
    </row>
    <row r="576" customFormat="false" ht="12.75" hidden="false" customHeight="false" outlineLevel="0" collapsed="false">
      <c r="N576" s="32"/>
    </row>
    <row r="577" customFormat="false" ht="12.75" hidden="false" customHeight="false" outlineLevel="0" collapsed="false">
      <c r="N577" s="32"/>
    </row>
    <row r="578" customFormat="false" ht="12.75" hidden="false" customHeight="false" outlineLevel="0" collapsed="false">
      <c r="N578" s="32"/>
    </row>
    <row r="579" customFormat="false" ht="12.75" hidden="false" customHeight="false" outlineLevel="0" collapsed="false">
      <c r="N579" s="32"/>
    </row>
    <row r="580" customFormat="false" ht="12.75" hidden="false" customHeight="false" outlineLevel="0" collapsed="false">
      <c r="N580" s="32"/>
    </row>
    <row r="581" customFormat="false" ht="12.75" hidden="false" customHeight="false" outlineLevel="0" collapsed="false">
      <c r="N581" s="32"/>
    </row>
    <row r="582" customFormat="false" ht="12.75" hidden="false" customHeight="false" outlineLevel="0" collapsed="false">
      <c r="N582" s="32"/>
    </row>
    <row r="583" customFormat="false" ht="12.75" hidden="false" customHeight="false" outlineLevel="0" collapsed="false">
      <c r="N583" s="32"/>
    </row>
    <row r="584" customFormat="false" ht="12.75" hidden="false" customHeight="false" outlineLevel="0" collapsed="false">
      <c r="N584" s="32"/>
    </row>
    <row r="585" customFormat="false" ht="12.75" hidden="false" customHeight="false" outlineLevel="0" collapsed="false">
      <c r="N585" s="32"/>
    </row>
    <row r="586" customFormat="false" ht="12.75" hidden="false" customHeight="false" outlineLevel="0" collapsed="false">
      <c r="N586" s="32"/>
    </row>
    <row r="587" customFormat="false" ht="12.75" hidden="false" customHeight="false" outlineLevel="0" collapsed="false">
      <c r="N587" s="32"/>
    </row>
    <row r="588" customFormat="false" ht="12.75" hidden="false" customHeight="false" outlineLevel="0" collapsed="false">
      <c r="N588" s="32"/>
    </row>
    <row r="589" customFormat="false" ht="12.75" hidden="false" customHeight="false" outlineLevel="0" collapsed="false">
      <c r="N589" s="32"/>
    </row>
    <row r="590" customFormat="false" ht="12.75" hidden="false" customHeight="false" outlineLevel="0" collapsed="false">
      <c r="N590" s="32"/>
    </row>
    <row r="591" customFormat="false" ht="12.75" hidden="false" customHeight="false" outlineLevel="0" collapsed="false">
      <c r="N591" s="32"/>
    </row>
    <row r="592" customFormat="false" ht="12.75" hidden="false" customHeight="false" outlineLevel="0" collapsed="false">
      <c r="N592" s="32"/>
    </row>
    <row r="593" customFormat="false" ht="12.75" hidden="false" customHeight="false" outlineLevel="0" collapsed="false">
      <c r="N593" s="32"/>
    </row>
    <row r="594" customFormat="false" ht="12.75" hidden="false" customHeight="false" outlineLevel="0" collapsed="false">
      <c r="N594" s="32"/>
    </row>
    <row r="595" customFormat="false" ht="12.75" hidden="false" customHeight="false" outlineLevel="0" collapsed="false">
      <c r="N595" s="32"/>
    </row>
    <row r="596" customFormat="false" ht="12.75" hidden="false" customHeight="false" outlineLevel="0" collapsed="false">
      <c r="N596" s="32"/>
    </row>
    <row r="597" customFormat="false" ht="12.75" hidden="false" customHeight="false" outlineLevel="0" collapsed="false">
      <c r="N597" s="32"/>
    </row>
    <row r="598" customFormat="false" ht="12.75" hidden="false" customHeight="false" outlineLevel="0" collapsed="false">
      <c r="N598" s="32"/>
    </row>
    <row r="599" customFormat="false" ht="12.75" hidden="false" customHeight="false" outlineLevel="0" collapsed="false">
      <c r="N599" s="32"/>
    </row>
    <row r="600" customFormat="false" ht="12.75" hidden="false" customHeight="false" outlineLevel="0" collapsed="false">
      <c r="N600" s="32"/>
    </row>
    <row r="601" customFormat="false" ht="12.75" hidden="false" customHeight="false" outlineLevel="0" collapsed="false">
      <c r="N601" s="32"/>
    </row>
    <row r="602" customFormat="false" ht="12.75" hidden="false" customHeight="false" outlineLevel="0" collapsed="false">
      <c r="N602" s="32"/>
    </row>
    <row r="603" customFormat="false" ht="12.75" hidden="false" customHeight="false" outlineLevel="0" collapsed="false">
      <c r="N603" s="32"/>
    </row>
    <row r="604" customFormat="false" ht="12.75" hidden="false" customHeight="false" outlineLevel="0" collapsed="false">
      <c r="N604" s="32"/>
    </row>
    <row r="605" customFormat="false" ht="12.75" hidden="false" customHeight="false" outlineLevel="0" collapsed="false">
      <c r="N605" s="32"/>
    </row>
    <row r="606" customFormat="false" ht="12.75" hidden="false" customHeight="false" outlineLevel="0" collapsed="false">
      <c r="N606" s="32"/>
    </row>
    <row r="607" customFormat="false" ht="12.75" hidden="false" customHeight="false" outlineLevel="0" collapsed="false">
      <c r="N607" s="32"/>
    </row>
    <row r="608" customFormat="false" ht="12.75" hidden="false" customHeight="false" outlineLevel="0" collapsed="false">
      <c r="N608" s="32"/>
    </row>
    <row r="609" customFormat="false" ht="12.75" hidden="false" customHeight="false" outlineLevel="0" collapsed="false">
      <c r="N609" s="32"/>
    </row>
    <row r="610" customFormat="false" ht="12.75" hidden="false" customHeight="false" outlineLevel="0" collapsed="false">
      <c r="N610" s="32"/>
    </row>
    <row r="611" customFormat="false" ht="12.75" hidden="false" customHeight="false" outlineLevel="0" collapsed="false">
      <c r="N611" s="32"/>
    </row>
    <row r="612" customFormat="false" ht="12.75" hidden="false" customHeight="false" outlineLevel="0" collapsed="false">
      <c r="N612" s="32"/>
    </row>
    <row r="613" customFormat="false" ht="12.75" hidden="false" customHeight="false" outlineLevel="0" collapsed="false">
      <c r="N613" s="32"/>
    </row>
    <row r="614" customFormat="false" ht="12.75" hidden="false" customHeight="false" outlineLevel="0" collapsed="false">
      <c r="N614" s="32"/>
    </row>
    <row r="615" customFormat="false" ht="12.75" hidden="false" customHeight="false" outlineLevel="0" collapsed="false">
      <c r="N615" s="32"/>
    </row>
    <row r="616" customFormat="false" ht="12.75" hidden="false" customHeight="false" outlineLevel="0" collapsed="false">
      <c r="N616" s="32"/>
    </row>
    <row r="617" customFormat="false" ht="12.75" hidden="false" customHeight="false" outlineLevel="0" collapsed="false">
      <c r="N617" s="32"/>
    </row>
    <row r="618" customFormat="false" ht="12.75" hidden="false" customHeight="false" outlineLevel="0" collapsed="false">
      <c r="N618" s="32"/>
    </row>
    <row r="619" customFormat="false" ht="12.75" hidden="false" customHeight="false" outlineLevel="0" collapsed="false">
      <c r="N619" s="32"/>
    </row>
    <row r="620" customFormat="false" ht="12.75" hidden="false" customHeight="false" outlineLevel="0" collapsed="false">
      <c r="N620" s="32"/>
    </row>
    <row r="621" customFormat="false" ht="12.75" hidden="false" customHeight="false" outlineLevel="0" collapsed="false">
      <c r="N621" s="32"/>
    </row>
    <row r="622" customFormat="false" ht="12.75" hidden="false" customHeight="false" outlineLevel="0" collapsed="false">
      <c r="N622" s="32"/>
    </row>
    <row r="623" customFormat="false" ht="12.75" hidden="false" customHeight="false" outlineLevel="0" collapsed="false">
      <c r="N623" s="32"/>
    </row>
    <row r="624" customFormat="false" ht="12.75" hidden="false" customHeight="false" outlineLevel="0" collapsed="false">
      <c r="N624" s="32"/>
    </row>
    <row r="625" customFormat="false" ht="12.75" hidden="false" customHeight="false" outlineLevel="0" collapsed="false">
      <c r="N625" s="32"/>
    </row>
    <row r="626" customFormat="false" ht="12.75" hidden="false" customHeight="false" outlineLevel="0" collapsed="false">
      <c r="N626" s="32"/>
    </row>
    <row r="627" customFormat="false" ht="12.75" hidden="false" customHeight="false" outlineLevel="0" collapsed="false">
      <c r="N627" s="32"/>
    </row>
    <row r="628" customFormat="false" ht="12.75" hidden="false" customHeight="false" outlineLevel="0" collapsed="false">
      <c r="N628" s="32"/>
    </row>
    <row r="629" customFormat="false" ht="12.75" hidden="false" customHeight="false" outlineLevel="0" collapsed="false">
      <c r="N629" s="32"/>
    </row>
    <row r="630" customFormat="false" ht="12.75" hidden="false" customHeight="false" outlineLevel="0" collapsed="false">
      <c r="N630" s="32"/>
    </row>
    <row r="631" customFormat="false" ht="12.75" hidden="false" customHeight="false" outlineLevel="0" collapsed="false">
      <c r="N631" s="32"/>
    </row>
    <row r="632" customFormat="false" ht="12.75" hidden="false" customHeight="false" outlineLevel="0" collapsed="false">
      <c r="N632" s="32"/>
    </row>
    <row r="633" customFormat="false" ht="12.75" hidden="false" customHeight="false" outlineLevel="0" collapsed="false">
      <c r="N633" s="32"/>
    </row>
    <row r="634" customFormat="false" ht="12.75" hidden="false" customHeight="false" outlineLevel="0" collapsed="false">
      <c r="N634" s="32"/>
    </row>
    <row r="635" customFormat="false" ht="12.75" hidden="false" customHeight="false" outlineLevel="0" collapsed="false">
      <c r="N635" s="32"/>
    </row>
    <row r="636" customFormat="false" ht="12.75" hidden="false" customHeight="false" outlineLevel="0" collapsed="false">
      <c r="N636" s="32"/>
    </row>
    <row r="637" customFormat="false" ht="12.75" hidden="false" customHeight="false" outlineLevel="0" collapsed="false">
      <c r="N637" s="32"/>
    </row>
    <row r="638" customFormat="false" ht="12.75" hidden="false" customHeight="false" outlineLevel="0" collapsed="false">
      <c r="N638" s="32"/>
    </row>
    <row r="639" customFormat="false" ht="12.75" hidden="false" customHeight="false" outlineLevel="0" collapsed="false">
      <c r="N639" s="32"/>
    </row>
    <row r="640" customFormat="false" ht="12.75" hidden="false" customHeight="false" outlineLevel="0" collapsed="false">
      <c r="N640" s="32"/>
    </row>
    <row r="641" customFormat="false" ht="12.75" hidden="false" customHeight="false" outlineLevel="0" collapsed="false">
      <c r="N641" s="32"/>
    </row>
    <row r="642" customFormat="false" ht="12.75" hidden="false" customHeight="false" outlineLevel="0" collapsed="false">
      <c r="N642" s="32"/>
    </row>
    <row r="643" customFormat="false" ht="12.75" hidden="false" customHeight="false" outlineLevel="0" collapsed="false">
      <c r="N643" s="32"/>
    </row>
    <row r="644" customFormat="false" ht="12.75" hidden="false" customHeight="false" outlineLevel="0" collapsed="false">
      <c r="N644" s="32"/>
    </row>
    <row r="645" customFormat="false" ht="12.75" hidden="false" customHeight="false" outlineLevel="0" collapsed="false">
      <c r="N645" s="32"/>
    </row>
    <row r="646" customFormat="false" ht="12.75" hidden="false" customHeight="false" outlineLevel="0" collapsed="false">
      <c r="N646" s="32"/>
    </row>
    <row r="647" customFormat="false" ht="12.75" hidden="false" customHeight="false" outlineLevel="0" collapsed="false">
      <c r="N647" s="32"/>
    </row>
    <row r="648" customFormat="false" ht="12.75" hidden="false" customHeight="false" outlineLevel="0" collapsed="false">
      <c r="N648" s="32"/>
    </row>
    <row r="649" customFormat="false" ht="12.75" hidden="false" customHeight="false" outlineLevel="0" collapsed="false">
      <c r="N649" s="32"/>
    </row>
    <row r="650" customFormat="false" ht="12.75" hidden="false" customHeight="false" outlineLevel="0" collapsed="false">
      <c r="N650" s="32"/>
    </row>
    <row r="651" customFormat="false" ht="12.75" hidden="false" customHeight="false" outlineLevel="0" collapsed="false">
      <c r="N651" s="32"/>
    </row>
    <row r="652" customFormat="false" ht="12.75" hidden="false" customHeight="false" outlineLevel="0" collapsed="false">
      <c r="N652" s="32"/>
    </row>
    <row r="653" customFormat="false" ht="12.75" hidden="false" customHeight="false" outlineLevel="0" collapsed="false">
      <c r="N653" s="32"/>
    </row>
    <row r="654" customFormat="false" ht="12.75" hidden="false" customHeight="false" outlineLevel="0" collapsed="false">
      <c r="N654" s="32"/>
    </row>
    <row r="655" customFormat="false" ht="12.75" hidden="false" customHeight="false" outlineLevel="0" collapsed="false">
      <c r="N655" s="32"/>
    </row>
    <row r="656" customFormat="false" ht="12.75" hidden="false" customHeight="false" outlineLevel="0" collapsed="false">
      <c r="N656" s="32"/>
    </row>
    <row r="657" customFormat="false" ht="12.75" hidden="false" customHeight="false" outlineLevel="0" collapsed="false">
      <c r="N657" s="32"/>
    </row>
    <row r="658" customFormat="false" ht="12.75" hidden="false" customHeight="false" outlineLevel="0" collapsed="false">
      <c r="N658" s="32"/>
    </row>
    <row r="659" customFormat="false" ht="12.75" hidden="false" customHeight="false" outlineLevel="0" collapsed="false">
      <c r="N659" s="32"/>
    </row>
    <row r="660" customFormat="false" ht="12.75" hidden="false" customHeight="false" outlineLevel="0" collapsed="false">
      <c r="N660" s="32"/>
    </row>
    <row r="661" customFormat="false" ht="12.75" hidden="false" customHeight="false" outlineLevel="0" collapsed="false">
      <c r="N661" s="32"/>
    </row>
    <row r="662" customFormat="false" ht="12.75" hidden="false" customHeight="false" outlineLevel="0" collapsed="false">
      <c r="N662" s="32"/>
    </row>
    <row r="663" customFormat="false" ht="12.75" hidden="false" customHeight="false" outlineLevel="0" collapsed="false">
      <c r="N663" s="32"/>
    </row>
    <row r="664" customFormat="false" ht="12.75" hidden="false" customHeight="false" outlineLevel="0" collapsed="false">
      <c r="N664" s="32"/>
    </row>
    <row r="665" customFormat="false" ht="12.75" hidden="false" customHeight="false" outlineLevel="0" collapsed="false">
      <c r="N665" s="32"/>
    </row>
    <row r="666" customFormat="false" ht="12.75" hidden="false" customHeight="false" outlineLevel="0" collapsed="false">
      <c r="N666" s="32"/>
    </row>
    <row r="667" customFormat="false" ht="12.75" hidden="false" customHeight="false" outlineLevel="0" collapsed="false">
      <c r="N667" s="32"/>
    </row>
    <row r="668" customFormat="false" ht="12.75" hidden="false" customHeight="false" outlineLevel="0" collapsed="false">
      <c r="N668" s="32"/>
    </row>
    <row r="669" customFormat="false" ht="12.75" hidden="false" customHeight="false" outlineLevel="0" collapsed="false">
      <c r="N669" s="32"/>
    </row>
    <row r="670" customFormat="false" ht="12.75" hidden="false" customHeight="false" outlineLevel="0" collapsed="false">
      <c r="N670" s="32"/>
    </row>
    <row r="671" customFormat="false" ht="12.75" hidden="false" customHeight="false" outlineLevel="0" collapsed="false">
      <c r="N671" s="32"/>
    </row>
    <row r="672" customFormat="false" ht="12.75" hidden="false" customHeight="false" outlineLevel="0" collapsed="false">
      <c r="N672" s="32"/>
    </row>
    <row r="673" customFormat="false" ht="12.75" hidden="false" customHeight="false" outlineLevel="0" collapsed="false">
      <c r="N673" s="32"/>
    </row>
    <row r="674" customFormat="false" ht="12.75" hidden="false" customHeight="false" outlineLevel="0" collapsed="false">
      <c r="N674" s="32"/>
    </row>
    <row r="675" customFormat="false" ht="12.75" hidden="false" customHeight="false" outlineLevel="0" collapsed="false">
      <c r="N675" s="32"/>
    </row>
    <row r="676" customFormat="false" ht="12.75" hidden="false" customHeight="false" outlineLevel="0" collapsed="false">
      <c r="N676" s="32"/>
    </row>
    <row r="677" customFormat="false" ht="12.75" hidden="false" customHeight="false" outlineLevel="0" collapsed="false">
      <c r="N677" s="32"/>
    </row>
    <row r="678" customFormat="false" ht="12.75" hidden="false" customHeight="false" outlineLevel="0" collapsed="false">
      <c r="N678" s="32"/>
    </row>
    <row r="679" customFormat="false" ht="12.75" hidden="false" customHeight="false" outlineLevel="0" collapsed="false">
      <c r="N679" s="32"/>
    </row>
    <row r="680" customFormat="false" ht="12.75" hidden="false" customHeight="false" outlineLevel="0" collapsed="false">
      <c r="N680" s="32"/>
    </row>
    <row r="681" customFormat="false" ht="12.75" hidden="false" customHeight="false" outlineLevel="0" collapsed="false">
      <c r="N681" s="32"/>
    </row>
    <row r="682" customFormat="false" ht="12.75" hidden="false" customHeight="false" outlineLevel="0" collapsed="false">
      <c r="N682" s="32"/>
    </row>
    <row r="683" customFormat="false" ht="12.75" hidden="false" customHeight="false" outlineLevel="0" collapsed="false">
      <c r="N683" s="32"/>
    </row>
    <row r="684" customFormat="false" ht="12.75" hidden="false" customHeight="false" outlineLevel="0" collapsed="false">
      <c r="N684" s="32"/>
    </row>
    <row r="685" customFormat="false" ht="12.75" hidden="false" customHeight="false" outlineLevel="0" collapsed="false">
      <c r="N685" s="32"/>
    </row>
    <row r="686" customFormat="false" ht="12.75" hidden="false" customHeight="false" outlineLevel="0" collapsed="false">
      <c r="N686" s="32"/>
    </row>
    <row r="687" customFormat="false" ht="12.75" hidden="false" customHeight="false" outlineLevel="0" collapsed="false">
      <c r="N687" s="32"/>
    </row>
    <row r="688" customFormat="false" ht="12.75" hidden="false" customHeight="false" outlineLevel="0" collapsed="false">
      <c r="N688" s="32"/>
    </row>
    <row r="689" customFormat="false" ht="12.75" hidden="false" customHeight="false" outlineLevel="0" collapsed="false">
      <c r="N689" s="32"/>
    </row>
    <row r="690" customFormat="false" ht="12.75" hidden="false" customHeight="false" outlineLevel="0" collapsed="false">
      <c r="N690" s="32"/>
    </row>
    <row r="691" customFormat="false" ht="12.75" hidden="false" customHeight="false" outlineLevel="0" collapsed="false">
      <c r="N691" s="32"/>
    </row>
    <row r="692" customFormat="false" ht="12.75" hidden="false" customHeight="false" outlineLevel="0" collapsed="false">
      <c r="N692" s="32"/>
    </row>
    <row r="693" customFormat="false" ht="12.75" hidden="false" customHeight="false" outlineLevel="0" collapsed="false">
      <c r="N693" s="32"/>
    </row>
    <row r="694" customFormat="false" ht="12.75" hidden="false" customHeight="false" outlineLevel="0" collapsed="false">
      <c r="N694" s="32"/>
    </row>
    <row r="695" customFormat="false" ht="12.75" hidden="false" customHeight="false" outlineLevel="0" collapsed="false">
      <c r="N695" s="32"/>
    </row>
    <row r="696" customFormat="false" ht="12.75" hidden="false" customHeight="false" outlineLevel="0" collapsed="false">
      <c r="N696" s="32"/>
    </row>
    <row r="697" customFormat="false" ht="12.75" hidden="false" customHeight="false" outlineLevel="0" collapsed="false">
      <c r="N697" s="32"/>
    </row>
    <row r="698" customFormat="false" ht="12.75" hidden="false" customHeight="false" outlineLevel="0" collapsed="false">
      <c r="N698" s="32"/>
    </row>
    <row r="699" customFormat="false" ht="12.75" hidden="false" customHeight="false" outlineLevel="0" collapsed="false">
      <c r="N699" s="32"/>
    </row>
    <row r="700" customFormat="false" ht="12.75" hidden="false" customHeight="false" outlineLevel="0" collapsed="false">
      <c r="N700" s="32"/>
    </row>
    <row r="701" customFormat="false" ht="12.75" hidden="false" customHeight="false" outlineLevel="0" collapsed="false">
      <c r="N701" s="32"/>
    </row>
    <row r="702" customFormat="false" ht="12.75" hidden="false" customHeight="false" outlineLevel="0" collapsed="false">
      <c r="N702" s="32"/>
    </row>
    <row r="703" customFormat="false" ht="12.75" hidden="false" customHeight="false" outlineLevel="0" collapsed="false">
      <c r="N703" s="32"/>
    </row>
    <row r="704" customFormat="false" ht="12.75" hidden="false" customHeight="false" outlineLevel="0" collapsed="false">
      <c r="N704" s="32"/>
    </row>
    <row r="705" customFormat="false" ht="12.75" hidden="false" customHeight="false" outlineLevel="0" collapsed="false">
      <c r="N705" s="32"/>
    </row>
    <row r="706" customFormat="false" ht="12.75" hidden="false" customHeight="false" outlineLevel="0" collapsed="false">
      <c r="N706" s="32"/>
    </row>
    <row r="707" customFormat="false" ht="12.75" hidden="false" customHeight="false" outlineLevel="0" collapsed="false">
      <c r="N707" s="32"/>
    </row>
    <row r="708" customFormat="false" ht="12.75" hidden="false" customHeight="false" outlineLevel="0" collapsed="false">
      <c r="N708" s="32"/>
    </row>
    <row r="709" customFormat="false" ht="12.75" hidden="false" customHeight="false" outlineLevel="0" collapsed="false">
      <c r="N709" s="32"/>
    </row>
    <row r="710" customFormat="false" ht="12.75" hidden="false" customHeight="false" outlineLevel="0" collapsed="false">
      <c r="N710" s="32"/>
    </row>
    <row r="711" customFormat="false" ht="12.75" hidden="false" customHeight="false" outlineLevel="0" collapsed="false">
      <c r="N711" s="32"/>
    </row>
    <row r="712" customFormat="false" ht="12.75" hidden="false" customHeight="false" outlineLevel="0" collapsed="false">
      <c r="N712" s="32"/>
    </row>
    <row r="713" customFormat="false" ht="12.75" hidden="false" customHeight="false" outlineLevel="0" collapsed="false">
      <c r="N713" s="32"/>
    </row>
    <row r="714" customFormat="false" ht="12.75" hidden="false" customHeight="false" outlineLevel="0" collapsed="false">
      <c r="N714" s="32"/>
    </row>
    <row r="715" customFormat="false" ht="12.75" hidden="false" customHeight="false" outlineLevel="0" collapsed="false">
      <c r="N715" s="32"/>
    </row>
    <row r="716" customFormat="false" ht="12.75" hidden="false" customHeight="false" outlineLevel="0" collapsed="false">
      <c r="N716" s="32"/>
    </row>
    <row r="717" customFormat="false" ht="12.75" hidden="false" customHeight="false" outlineLevel="0" collapsed="false">
      <c r="N717" s="32"/>
    </row>
    <row r="718" customFormat="false" ht="12.75" hidden="false" customHeight="false" outlineLevel="0" collapsed="false">
      <c r="N718" s="32"/>
    </row>
    <row r="719" customFormat="false" ht="12.75" hidden="false" customHeight="false" outlineLevel="0" collapsed="false">
      <c r="N719" s="32"/>
    </row>
    <row r="720" customFormat="false" ht="12.75" hidden="false" customHeight="false" outlineLevel="0" collapsed="false">
      <c r="N720" s="32"/>
    </row>
    <row r="721" customFormat="false" ht="12.75" hidden="false" customHeight="false" outlineLevel="0" collapsed="false">
      <c r="N721" s="32"/>
    </row>
    <row r="722" customFormat="false" ht="12.75" hidden="false" customHeight="false" outlineLevel="0" collapsed="false">
      <c r="N722" s="32"/>
    </row>
    <row r="723" customFormat="false" ht="12.75" hidden="false" customHeight="false" outlineLevel="0" collapsed="false">
      <c r="N723" s="32"/>
    </row>
    <row r="724" customFormat="false" ht="12.75" hidden="false" customHeight="false" outlineLevel="0" collapsed="false">
      <c r="N724" s="32"/>
    </row>
    <row r="725" customFormat="false" ht="12.75" hidden="false" customHeight="false" outlineLevel="0" collapsed="false">
      <c r="N725" s="32"/>
    </row>
    <row r="726" customFormat="false" ht="12.75" hidden="false" customHeight="false" outlineLevel="0" collapsed="false">
      <c r="N726" s="32"/>
    </row>
    <row r="727" customFormat="false" ht="12.75" hidden="false" customHeight="false" outlineLevel="0" collapsed="false">
      <c r="N727" s="32"/>
    </row>
    <row r="728" customFormat="false" ht="12.75" hidden="false" customHeight="false" outlineLevel="0" collapsed="false">
      <c r="N728" s="32"/>
    </row>
    <row r="729" customFormat="false" ht="12.75" hidden="false" customHeight="false" outlineLevel="0" collapsed="false">
      <c r="N729" s="32"/>
    </row>
    <row r="730" customFormat="false" ht="12.75" hidden="false" customHeight="false" outlineLevel="0" collapsed="false">
      <c r="N730" s="32"/>
    </row>
    <row r="731" customFormat="false" ht="12.75" hidden="false" customHeight="false" outlineLevel="0" collapsed="false">
      <c r="N731" s="32"/>
    </row>
    <row r="732" customFormat="false" ht="12.75" hidden="false" customHeight="false" outlineLevel="0" collapsed="false">
      <c r="N732" s="32"/>
    </row>
    <row r="733" customFormat="false" ht="12.75" hidden="false" customHeight="false" outlineLevel="0" collapsed="false">
      <c r="N733" s="32"/>
    </row>
    <row r="734" customFormat="false" ht="12.75" hidden="false" customHeight="false" outlineLevel="0" collapsed="false">
      <c r="N734" s="32"/>
    </row>
    <row r="735" customFormat="false" ht="12.75" hidden="false" customHeight="false" outlineLevel="0" collapsed="false">
      <c r="N735" s="32"/>
    </row>
    <row r="736" customFormat="false" ht="12.75" hidden="false" customHeight="false" outlineLevel="0" collapsed="false">
      <c r="N736" s="32"/>
    </row>
    <row r="737" customFormat="false" ht="12.75" hidden="false" customHeight="false" outlineLevel="0" collapsed="false">
      <c r="N737" s="32"/>
    </row>
    <row r="738" customFormat="false" ht="12.75" hidden="false" customHeight="false" outlineLevel="0" collapsed="false">
      <c r="N738" s="32"/>
    </row>
    <row r="739" customFormat="false" ht="12.75" hidden="false" customHeight="false" outlineLevel="0" collapsed="false">
      <c r="N739" s="32"/>
    </row>
    <row r="740" customFormat="false" ht="12.75" hidden="false" customHeight="false" outlineLevel="0" collapsed="false">
      <c r="N740" s="32"/>
    </row>
    <row r="741" customFormat="false" ht="12.75" hidden="false" customHeight="false" outlineLevel="0" collapsed="false">
      <c r="N741" s="32"/>
    </row>
    <row r="742" customFormat="false" ht="12.75" hidden="false" customHeight="false" outlineLevel="0" collapsed="false">
      <c r="N742" s="32"/>
    </row>
    <row r="743" customFormat="false" ht="12.75" hidden="false" customHeight="false" outlineLevel="0" collapsed="false">
      <c r="N743" s="32"/>
    </row>
    <row r="744" customFormat="false" ht="12.75" hidden="false" customHeight="false" outlineLevel="0" collapsed="false">
      <c r="N744" s="32"/>
    </row>
    <row r="745" customFormat="false" ht="12.75" hidden="false" customHeight="false" outlineLevel="0" collapsed="false">
      <c r="N745" s="32"/>
    </row>
    <row r="746" customFormat="false" ht="12.75" hidden="false" customHeight="false" outlineLevel="0" collapsed="false">
      <c r="N746" s="32"/>
    </row>
    <row r="747" customFormat="false" ht="12.75" hidden="false" customHeight="false" outlineLevel="0" collapsed="false">
      <c r="N747" s="32"/>
    </row>
    <row r="748" customFormat="false" ht="12.75" hidden="false" customHeight="false" outlineLevel="0" collapsed="false">
      <c r="N748" s="32"/>
    </row>
    <row r="749" customFormat="false" ht="12.75" hidden="false" customHeight="false" outlineLevel="0" collapsed="false">
      <c r="N749" s="32"/>
    </row>
    <row r="750" customFormat="false" ht="12.75" hidden="false" customHeight="false" outlineLevel="0" collapsed="false">
      <c r="N750" s="32"/>
    </row>
    <row r="751" customFormat="false" ht="12.75" hidden="false" customHeight="false" outlineLevel="0" collapsed="false">
      <c r="N751" s="32"/>
    </row>
    <row r="752" customFormat="false" ht="12.75" hidden="false" customHeight="false" outlineLevel="0" collapsed="false">
      <c r="N752" s="32"/>
    </row>
    <row r="753" customFormat="false" ht="12.75" hidden="false" customHeight="false" outlineLevel="0" collapsed="false">
      <c r="N753" s="32"/>
    </row>
    <row r="754" customFormat="false" ht="12.75" hidden="false" customHeight="false" outlineLevel="0" collapsed="false">
      <c r="N754" s="32"/>
    </row>
    <row r="755" customFormat="false" ht="12.75" hidden="false" customHeight="false" outlineLevel="0" collapsed="false">
      <c r="N755" s="32"/>
    </row>
    <row r="756" customFormat="false" ht="12.75" hidden="false" customHeight="false" outlineLevel="0" collapsed="false">
      <c r="N756" s="32"/>
    </row>
    <row r="757" customFormat="false" ht="12.75" hidden="false" customHeight="false" outlineLevel="0" collapsed="false">
      <c r="N757" s="32"/>
    </row>
    <row r="758" customFormat="false" ht="12.75" hidden="false" customHeight="false" outlineLevel="0" collapsed="false">
      <c r="N758" s="32"/>
    </row>
    <row r="759" customFormat="false" ht="12.75" hidden="false" customHeight="false" outlineLevel="0" collapsed="false">
      <c r="N759" s="32"/>
    </row>
    <row r="760" customFormat="false" ht="12.75" hidden="false" customHeight="false" outlineLevel="0" collapsed="false">
      <c r="N760" s="32"/>
    </row>
    <row r="761" customFormat="false" ht="12.75" hidden="false" customHeight="false" outlineLevel="0" collapsed="false">
      <c r="N761" s="32"/>
    </row>
    <row r="762" customFormat="false" ht="12.75" hidden="false" customHeight="false" outlineLevel="0" collapsed="false">
      <c r="N762" s="32"/>
    </row>
    <row r="763" customFormat="false" ht="12.75" hidden="false" customHeight="false" outlineLevel="0" collapsed="false">
      <c r="N763" s="32"/>
    </row>
    <row r="764" customFormat="false" ht="12.75" hidden="false" customHeight="false" outlineLevel="0" collapsed="false">
      <c r="N764" s="32"/>
    </row>
    <row r="765" customFormat="false" ht="12.75" hidden="false" customHeight="false" outlineLevel="0" collapsed="false">
      <c r="N765" s="32"/>
    </row>
    <row r="766" customFormat="false" ht="12.75" hidden="false" customHeight="false" outlineLevel="0" collapsed="false">
      <c r="N766" s="32"/>
    </row>
    <row r="767" customFormat="false" ht="12.75" hidden="false" customHeight="false" outlineLevel="0" collapsed="false">
      <c r="N767" s="32"/>
    </row>
    <row r="768" customFormat="false" ht="12.75" hidden="false" customHeight="false" outlineLevel="0" collapsed="false">
      <c r="N768" s="32"/>
    </row>
    <row r="769" customFormat="false" ht="12.75" hidden="false" customHeight="false" outlineLevel="0" collapsed="false">
      <c r="N769" s="32"/>
    </row>
    <row r="770" customFormat="false" ht="12.75" hidden="false" customHeight="false" outlineLevel="0" collapsed="false">
      <c r="N770" s="32"/>
    </row>
    <row r="771" customFormat="false" ht="12.75" hidden="false" customHeight="false" outlineLevel="0" collapsed="false">
      <c r="N771" s="32"/>
    </row>
    <row r="772" customFormat="false" ht="12.75" hidden="false" customHeight="false" outlineLevel="0" collapsed="false">
      <c r="N772" s="32"/>
    </row>
    <row r="773" customFormat="false" ht="12.75" hidden="false" customHeight="false" outlineLevel="0" collapsed="false">
      <c r="N773" s="32"/>
    </row>
    <row r="774" customFormat="false" ht="12.75" hidden="false" customHeight="false" outlineLevel="0" collapsed="false">
      <c r="N774" s="32"/>
    </row>
    <row r="775" customFormat="false" ht="12.75" hidden="false" customHeight="false" outlineLevel="0" collapsed="false">
      <c r="N775" s="32"/>
    </row>
    <row r="776" customFormat="false" ht="12.75" hidden="false" customHeight="false" outlineLevel="0" collapsed="false">
      <c r="N776" s="32"/>
    </row>
    <row r="777" customFormat="false" ht="12.75" hidden="false" customHeight="false" outlineLevel="0" collapsed="false">
      <c r="N777" s="32"/>
    </row>
    <row r="778" customFormat="false" ht="12.75" hidden="false" customHeight="false" outlineLevel="0" collapsed="false">
      <c r="N778" s="32"/>
    </row>
    <row r="779" customFormat="false" ht="12.75" hidden="false" customHeight="false" outlineLevel="0" collapsed="false">
      <c r="N779" s="32"/>
    </row>
    <row r="780" customFormat="false" ht="12.75" hidden="false" customHeight="false" outlineLevel="0" collapsed="false">
      <c r="N780" s="32"/>
    </row>
    <row r="781" customFormat="false" ht="12.75" hidden="false" customHeight="false" outlineLevel="0" collapsed="false">
      <c r="N781" s="32"/>
    </row>
    <row r="782" customFormat="false" ht="12.75" hidden="false" customHeight="false" outlineLevel="0" collapsed="false">
      <c r="N782" s="32"/>
    </row>
    <row r="783" customFormat="false" ht="12.75" hidden="false" customHeight="false" outlineLevel="0" collapsed="false">
      <c r="N783" s="32"/>
    </row>
    <row r="784" customFormat="false" ht="12.75" hidden="false" customHeight="false" outlineLevel="0" collapsed="false">
      <c r="N784" s="32"/>
    </row>
    <row r="785" customFormat="false" ht="12.75" hidden="false" customHeight="false" outlineLevel="0" collapsed="false">
      <c r="N785" s="32"/>
    </row>
    <row r="786" customFormat="false" ht="12.75" hidden="false" customHeight="false" outlineLevel="0" collapsed="false">
      <c r="N786" s="32"/>
    </row>
    <row r="787" customFormat="false" ht="12.75" hidden="false" customHeight="false" outlineLevel="0" collapsed="false">
      <c r="N787" s="32"/>
    </row>
    <row r="788" customFormat="false" ht="12.75" hidden="false" customHeight="false" outlineLevel="0" collapsed="false">
      <c r="N788" s="32"/>
    </row>
    <row r="789" customFormat="false" ht="12.75" hidden="false" customHeight="false" outlineLevel="0" collapsed="false">
      <c r="N789" s="32"/>
    </row>
    <row r="790" customFormat="false" ht="12.75" hidden="false" customHeight="false" outlineLevel="0" collapsed="false">
      <c r="N790" s="32"/>
    </row>
    <row r="791" customFormat="false" ht="12.75" hidden="false" customHeight="false" outlineLevel="0" collapsed="false">
      <c r="N791" s="32"/>
    </row>
    <row r="792" customFormat="false" ht="12.75" hidden="false" customHeight="false" outlineLevel="0" collapsed="false">
      <c r="N792" s="32"/>
    </row>
    <row r="793" customFormat="false" ht="12.75" hidden="false" customHeight="false" outlineLevel="0" collapsed="false">
      <c r="N793" s="32"/>
    </row>
    <row r="794" customFormat="false" ht="12.75" hidden="false" customHeight="false" outlineLevel="0" collapsed="false">
      <c r="N794" s="32"/>
    </row>
    <row r="795" customFormat="false" ht="12.75" hidden="false" customHeight="false" outlineLevel="0" collapsed="false">
      <c r="N795" s="32"/>
    </row>
    <row r="796" customFormat="false" ht="12.75" hidden="false" customHeight="false" outlineLevel="0" collapsed="false">
      <c r="N796" s="32"/>
    </row>
    <row r="797" customFormat="false" ht="12.75" hidden="false" customHeight="false" outlineLevel="0" collapsed="false">
      <c r="N797" s="32"/>
    </row>
    <row r="798" customFormat="false" ht="12.75" hidden="false" customHeight="false" outlineLevel="0" collapsed="false">
      <c r="N798" s="32"/>
    </row>
    <row r="799" customFormat="false" ht="12.75" hidden="false" customHeight="false" outlineLevel="0" collapsed="false">
      <c r="N799" s="32"/>
    </row>
    <row r="800" customFormat="false" ht="12.75" hidden="false" customHeight="false" outlineLevel="0" collapsed="false">
      <c r="N800" s="32"/>
    </row>
    <row r="801" customFormat="false" ht="12.75" hidden="false" customHeight="false" outlineLevel="0" collapsed="false">
      <c r="N801" s="32"/>
    </row>
    <row r="802" customFormat="false" ht="12.75" hidden="false" customHeight="false" outlineLevel="0" collapsed="false">
      <c r="N802" s="32"/>
    </row>
    <row r="803" customFormat="false" ht="12.75" hidden="false" customHeight="false" outlineLevel="0" collapsed="false">
      <c r="N803" s="32"/>
    </row>
    <row r="804" customFormat="false" ht="12.75" hidden="false" customHeight="false" outlineLevel="0" collapsed="false">
      <c r="N804" s="32"/>
    </row>
    <row r="805" customFormat="false" ht="12.75" hidden="false" customHeight="false" outlineLevel="0" collapsed="false">
      <c r="N805" s="32"/>
    </row>
    <row r="806" customFormat="false" ht="12.75" hidden="false" customHeight="false" outlineLevel="0" collapsed="false">
      <c r="N806" s="32"/>
    </row>
    <row r="807" customFormat="false" ht="12.75" hidden="false" customHeight="false" outlineLevel="0" collapsed="false">
      <c r="N807" s="32"/>
    </row>
    <row r="808" customFormat="false" ht="12.75" hidden="false" customHeight="false" outlineLevel="0" collapsed="false">
      <c r="N808" s="32"/>
    </row>
    <row r="809" customFormat="false" ht="12.75" hidden="false" customHeight="false" outlineLevel="0" collapsed="false">
      <c r="N809" s="32"/>
    </row>
    <row r="810" customFormat="false" ht="12.75" hidden="false" customHeight="false" outlineLevel="0" collapsed="false">
      <c r="N810" s="32"/>
    </row>
    <row r="811" customFormat="false" ht="12.75" hidden="false" customHeight="false" outlineLevel="0" collapsed="false">
      <c r="N811" s="32"/>
    </row>
    <row r="812" customFormat="false" ht="12.75" hidden="false" customHeight="false" outlineLevel="0" collapsed="false">
      <c r="N812" s="32"/>
    </row>
    <row r="813" customFormat="false" ht="12.75" hidden="false" customHeight="false" outlineLevel="0" collapsed="false">
      <c r="N813" s="32"/>
    </row>
    <row r="814" customFormat="false" ht="12.75" hidden="false" customHeight="false" outlineLevel="0" collapsed="false">
      <c r="N814" s="32"/>
    </row>
    <row r="815" customFormat="false" ht="12.75" hidden="false" customHeight="false" outlineLevel="0" collapsed="false">
      <c r="N815" s="32"/>
    </row>
    <row r="816" customFormat="false" ht="12.75" hidden="false" customHeight="false" outlineLevel="0" collapsed="false">
      <c r="N816" s="32"/>
    </row>
    <row r="817" customFormat="false" ht="12.75" hidden="false" customHeight="false" outlineLevel="0" collapsed="false">
      <c r="N817" s="32"/>
    </row>
    <row r="818" customFormat="false" ht="12.75" hidden="false" customHeight="false" outlineLevel="0" collapsed="false">
      <c r="N818" s="32"/>
    </row>
    <row r="819" customFormat="false" ht="12.75" hidden="false" customHeight="false" outlineLevel="0" collapsed="false">
      <c r="N819" s="32"/>
    </row>
    <row r="820" customFormat="false" ht="12.75" hidden="false" customHeight="false" outlineLevel="0" collapsed="false">
      <c r="N820" s="32"/>
    </row>
    <row r="821" customFormat="false" ht="12.75" hidden="false" customHeight="false" outlineLevel="0" collapsed="false">
      <c r="N821" s="32"/>
    </row>
    <row r="822" customFormat="false" ht="12.75" hidden="false" customHeight="false" outlineLevel="0" collapsed="false">
      <c r="N822" s="32"/>
    </row>
    <row r="823" customFormat="false" ht="12.75" hidden="false" customHeight="false" outlineLevel="0" collapsed="false">
      <c r="N823" s="32"/>
    </row>
    <row r="824" customFormat="false" ht="12.75" hidden="false" customHeight="false" outlineLevel="0" collapsed="false">
      <c r="N824" s="32"/>
    </row>
    <row r="825" customFormat="false" ht="12.75" hidden="false" customHeight="false" outlineLevel="0" collapsed="false">
      <c r="N825" s="32"/>
    </row>
    <row r="826" customFormat="false" ht="12.75" hidden="false" customHeight="false" outlineLevel="0" collapsed="false">
      <c r="N826" s="32"/>
    </row>
    <row r="827" customFormat="false" ht="12.75" hidden="false" customHeight="false" outlineLevel="0" collapsed="false">
      <c r="N827" s="32"/>
    </row>
    <row r="828" customFormat="false" ht="12.75" hidden="false" customHeight="false" outlineLevel="0" collapsed="false">
      <c r="N828" s="32"/>
    </row>
    <row r="829" customFormat="false" ht="12.75" hidden="false" customHeight="false" outlineLevel="0" collapsed="false">
      <c r="N829" s="32"/>
    </row>
    <row r="830" customFormat="false" ht="12.75" hidden="false" customHeight="false" outlineLevel="0" collapsed="false">
      <c r="N830" s="32"/>
    </row>
    <row r="831" customFormat="false" ht="12.75" hidden="false" customHeight="false" outlineLevel="0" collapsed="false">
      <c r="N831" s="32"/>
    </row>
    <row r="832" customFormat="false" ht="12.75" hidden="false" customHeight="false" outlineLevel="0" collapsed="false">
      <c r="N832" s="32"/>
    </row>
    <row r="833" customFormat="false" ht="12.75" hidden="false" customHeight="false" outlineLevel="0" collapsed="false">
      <c r="N833" s="32"/>
    </row>
    <row r="834" customFormat="false" ht="12.75" hidden="false" customHeight="false" outlineLevel="0" collapsed="false">
      <c r="N834" s="32"/>
    </row>
    <row r="835" customFormat="false" ht="12.75" hidden="false" customHeight="false" outlineLevel="0" collapsed="false">
      <c r="N835" s="32"/>
    </row>
    <row r="836" customFormat="false" ht="12.75" hidden="false" customHeight="false" outlineLevel="0" collapsed="false">
      <c r="N836" s="32"/>
    </row>
    <row r="837" customFormat="false" ht="12.75" hidden="false" customHeight="false" outlineLevel="0" collapsed="false">
      <c r="N837" s="32"/>
    </row>
    <row r="838" customFormat="false" ht="12.75" hidden="false" customHeight="false" outlineLevel="0" collapsed="false">
      <c r="N838" s="32"/>
    </row>
    <row r="839" customFormat="false" ht="12.75" hidden="false" customHeight="false" outlineLevel="0" collapsed="false">
      <c r="N839" s="32"/>
    </row>
    <row r="840" customFormat="false" ht="12.75" hidden="false" customHeight="false" outlineLevel="0" collapsed="false">
      <c r="N840" s="32"/>
    </row>
    <row r="841" customFormat="false" ht="12.75" hidden="false" customHeight="false" outlineLevel="0" collapsed="false">
      <c r="N841" s="32"/>
    </row>
    <row r="842" customFormat="false" ht="12.75" hidden="false" customHeight="false" outlineLevel="0" collapsed="false">
      <c r="N842" s="32"/>
    </row>
    <row r="843" customFormat="false" ht="12.75" hidden="false" customHeight="false" outlineLevel="0" collapsed="false">
      <c r="N843" s="32"/>
    </row>
    <row r="844" customFormat="false" ht="12.75" hidden="false" customHeight="false" outlineLevel="0" collapsed="false">
      <c r="N844" s="32"/>
    </row>
    <row r="845" customFormat="false" ht="12.75" hidden="false" customHeight="false" outlineLevel="0" collapsed="false">
      <c r="N845" s="32"/>
    </row>
    <row r="846" customFormat="false" ht="12.75" hidden="false" customHeight="false" outlineLevel="0" collapsed="false">
      <c r="N846" s="32"/>
    </row>
    <row r="847" customFormat="false" ht="12.75" hidden="false" customHeight="false" outlineLevel="0" collapsed="false">
      <c r="N847" s="32"/>
    </row>
    <row r="848" customFormat="false" ht="12.75" hidden="false" customHeight="false" outlineLevel="0" collapsed="false">
      <c r="N848" s="32"/>
    </row>
    <row r="849" customFormat="false" ht="12.75" hidden="false" customHeight="false" outlineLevel="0" collapsed="false">
      <c r="N849" s="32"/>
    </row>
    <row r="850" customFormat="false" ht="12.75" hidden="false" customHeight="false" outlineLevel="0" collapsed="false">
      <c r="N850" s="32"/>
    </row>
    <row r="851" customFormat="false" ht="12.75" hidden="false" customHeight="false" outlineLevel="0" collapsed="false">
      <c r="N851" s="32"/>
    </row>
    <row r="852" customFormat="false" ht="12.75" hidden="false" customHeight="false" outlineLevel="0" collapsed="false">
      <c r="N852" s="32"/>
    </row>
    <row r="853" customFormat="false" ht="12.75" hidden="false" customHeight="false" outlineLevel="0" collapsed="false">
      <c r="N853" s="32"/>
    </row>
    <row r="854" customFormat="false" ht="12.75" hidden="false" customHeight="false" outlineLevel="0" collapsed="false">
      <c r="N854" s="32"/>
    </row>
    <row r="855" customFormat="false" ht="12.75" hidden="false" customHeight="false" outlineLevel="0" collapsed="false">
      <c r="N855" s="32"/>
    </row>
    <row r="856" customFormat="false" ht="12.75" hidden="false" customHeight="false" outlineLevel="0" collapsed="false">
      <c r="N856" s="32"/>
    </row>
    <row r="857" customFormat="false" ht="12.75" hidden="false" customHeight="false" outlineLevel="0" collapsed="false">
      <c r="N857" s="32"/>
    </row>
    <row r="858" customFormat="false" ht="12.75" hidden="false" customHeight="false" outlineLevel="0" collapsed="false">
      <c r="N858" s="32"/>
    </row>
    <row r="859" customFormat="false" ht="12.75" hidden="false" customHeight="false" outlineLevel="0" collapsed="false">
      <c r="N859" s="32"/>
    </row>
    <row r="860" customFormat="false" ht="12.75" hidden="false" customHeight="false" outlineLevel="0" collapsed="false">
      <c r="N860" s="32"/>
    </row>
    <row r="861" customFormat="false" ht="12.75" hidden="false" customHeight="false" outlineLevel="0" collapsed="false">
      <c r="N861" s="32"/>
    </row>
    <row r="862" customFormat="false" ht="12.75" hidden="false" customHeight="false" outlineLevel="0" collapsed="false">
      <c r="N862" s="32"/>
    </row>
    <row r="863" customFormat="false" ht="12.75" hidden="false" customHeight="false" outlineLevel="0" collapsed="false">
      <c r="N863" s="32"/>
    </row>
    <row r="864" customFormat="false" ht="12.75" hidden="false" customHeight="false" outlineLevel="0" collapsed="false">
      <c r="N864" s="32"/>
    </row>
    <row r="865" customFormat="false" ht="12.75" hidden="false" customHeight="false" outlineLevel="0" collapsed="false">
      <c r="N865" s="32"/>
    </row>
    <row r="866" customFormat="false" ht="12.75" hidden="false" customHeight="false" outlineLevel="0" collapsed="false">
      <c r="N866" s="32"/>
    </row>
    <row r="867" customFormat="false" ht="12.75" hidden="false" customHeight="false" outlineLevel="0" collapsed="false">
      <c r="N867" s="32"/>
    </row>
    <row r="868" customFormat="false" ht="12.75" hidden="false" customHeight="false" outlineLevel="0" collapsed="false">
      <c r="N868" s="32"/>
    </row>
    <row r="869" customFormat="false" ht="12.75" hidden="false" customHeight="false" outlineLevel="0" collapsed="false">
      <c r="N869" s="32"/>
    </row>
    <row r="870" customFormat="false" ht="12.75" hidden="false" customHeight="false" outlineLevel="0" collapsed="false">
      <c r="N870" s="32"/>
    </row>
    <row r="871" customFormat="false" ht="12.75" hidden="false" customHeight="false" outlineLevel="0" collapsed="false">
      <c r="N871" s="32"/>
    </row>
    <row r="872" customFormat="false" ht="12.75" hidden="false" customHeight="false" outlineLevel="0" collapsed="false">
      <c r="N872" s="32"/>
    </row>
    <row r="873" customFormat="false" ht="12.75" hidden="false" customHeight="false" outlineLevel="0" collapsed="false">
      <c r="N873" s="32"/>
    </row>
    <row r="874" customFormat="false" ht="12.75" hidden="false" customHeight="false" outlineLevel="0" collapsed="false">
      <c r="N874" s="32"/>
    </row>
    <row r="875" customFormat="false" ht="12.75" hidden="false" customHeight="false" outlineLevel="0" collapsed="false">
      <c r="N875" s="32"/>
    </row>
    <row r="876" customFormat="false" ht="12.75" hidden="false" customHeight="false" outlineLevel="0" collapsed="false">
      <c r="N876" s="32"/>
    </row>
    <row r="877" customFormat="false" ht="12.75" hidden="false" customHeight="false" outlineLevel="0" collapsed="false">
      <c r="N877" s="32"/>
    </row>
    <row r="878" customFormat="false" ht="12.75" hidden="false" customHeight="false" outlineLevel="0" collapsed="false">
      <c r="N878" s="32"/>
    </row>
    <row r="879" customFormat="false" ht="12.75" hidden="false" customHeight="false" outlineLevel="0" collapsed="false">
      <c r="N879" s="32"/>
    </row>
    <row r="880" customFormat="false" ht="12.75" hidden="false" customHeight="false" outlineLevel="0" collapsed="false">
      <c r="N880" s="32"/>
    </row>
    <row r="881" customFormat="false" ht="12.75" hidden="false" customHeight="false" outlineLevel="0" collapsed="false">
      <c r="N881" s="32"/>
    </row>
    <row r="882" customFormat="false" ht="12.75" hidden="false" customHeight="false" outlineLevel="0" collapsed="false">
      <c r="N882" s="32"/>
    </row>
    <row r="883" customFormat="false" ht="12.75" hidden="false" customHeight="false" outlineLevel="0" collapsed="false">
      <c r="N883" s="32"/>
    </row>
    <row r="884" customFormat="false" ht="12.75" hidden="false" customHeight="false" outlineLevel="0" collapsed="false">
      <c r="N884" s="32"/>
    </row>
    <row r="885" customFormat="false" ht="12.75" hidden="false" customHeight="false" outlineLevel="0" collapsed="false">
      <c r="N885" s="32"/>
    </row>
    <row r="886" customFormat="false" ht="12.75" hidden="false" customHeight="false" outlineLevel="0" collapsed="false">
      <c r="N886" s="32"/>
    </row>
    <row r="887" customFormat="false" ht="12.75" hidden="false" customHeight="false" outlineLevel="0" collapsed="false">
      <c r="N887" s="32"/>
    </row>
    <row r="888" customFormat="false" ht="12.75" hidden="false" customHeight="false" outlineLevel="0" collapsed="false">
      <c r="N888" s="32"/>
    </row>
    <row r="889" customFormat="false" ht="12.75" hidden="false" customHeight="false" outlineLevel="0" collapsed="false">
      <c r="N889" s="32"/>
    </row>
    <row r="890" customFormat="false" ht="12.75" hidden="false" customHeight="false" outlineLevel="0" collapsed="false">
      <c r="N890" s="32"/>
    </row>
    <row r="891" customFormat="false" ht="12.75" hidden="false" customHeight="false" outlineLevel="0" collapsed="false">
      <c r="N891" s="32"/>
    </row>
    <row r="892" customFormat="false" ht="12.75" hidden="false" customHeight="false" outlineLevel="0" collapsed="false">
      <c r="N892" s="32"/>
    </row>
    <row r="893" customFormat="false" ht="12.75" hidden="false" customHeight="false" outlineLevel="0" collapsed="false">
      <c r="N893" s="32"/>
    </row>
    <row r="894" customFormat="false" ht="12.75" hidden="false" customHeight="false" outlineLevel="0" collapsed="false">
      <c r="N894" s="32"/>
    </row>
    <row r="895" customFormat="false" ht="12.75" hidden="false" customHeight="false" outlineLevel="0" collapsed="false">
      <c r="N895" s="32"/>
    </row>
    <row r="896" customFormat="false" ht="12.75" hidden="false" customHeight="false" outlineLevel="0" collapsed="false">
      <c r="N896" s="32"/>
    </row>
    <row r="897" customFormat="false" ht="12.75" hidden="false" customHeight="false" outlineLevel="0" collapsed="false">
      <c r="N897" s="32"/>
    </row>
    <row r="898" customFormat="false" ht="12.75" hidden="false" customHeight="false" outlineLevel="0" collapsed="false">
      <c r="N898" s="32"/>
    </row>
    <row r="899" customFormat="false" ht="12.75" hidden="false" customHeight="false" outlineLevel="0" collapsed="false">
      <c r="N899" s="32"/>
    </row>
    <row r="900" customFormat="false" ht="12.75" hidden="false" customHeight="false" outlineLevel="0" collapsed="false">
      <c r="N900" s="32"/>
    </row>
    <row r="901" customFormat="false" ht="12.75" hidden="false" customHeight="false" outlineLevel="0" collapsed="false">
      <c r="N901" s="32"/>
    </row>
    <row r="902" customFormat="false" ht="12.75" hidden="false" customHeight="false" outlineLevel="0" collapsed="false">
      <c r="N902" s="32"/>
    </row>
    <row r="903" customFormat="false" ht="12.75" hidden="false" customHeight="false" outlineLevel="0" collapsed="false">
      <c r="N903" s="32"/>
    </row>
    <row r="904" customFormat="false" ht="12.75" hidden="false" customHeight="false" outlineLevel="0" collapsed="false">
      <c r="N904" s="32"/>
    </row>
    <row r="905" customFormat="false" ht="12.75" hidden="false" customHeight="false" outlineLevel="0" collapsed="false">
      <c r="N905" s="32"/>
    </row>
    <row r="906" customFormat="false" ht="12.75" hidden="false" customHeight="false" outlineLevel="0" collapsed="false">
      <c r="N906" s="32"/>
    </row>
    <row r="907" customFormat="false" ht="12.75" hidden="false" customHeight="false" outlineLevel="0" collapsed="false">
      <c r="N907" s="32"/>
    </row>
    <row r="908" customFormat="false" ht="12.75" hidden="false" customHeight="false" outlineLevel="0" collapsed="false">
      <c r="N908" s="32"/>
    </row>
    <row r="909" customFormat="false" ht="12.75" hidden="false" customHeight="false" outlineLevel="0" collapsed="false">
      <c r="N909" s="32"/>
    </row>
    <row r="910" customFormat="false" ht="12.75" hidden="false" customHeight="false" outlineLevel="0" collapsed="false">
      <c r="N910" s="32"/>
    </row>
    <row r="911" customFormat="false" ht="12.75" hidden="false" customHeight="false" outlineLevel="0" collapsed="false">
      <c r="N911" s="32"/>
    </row>
    <row r="912" customFormat="false" ht="12.75" hidden="false" customHeight="false" outlineLevel="0" collapsed="false">
      <c r="N912" s="32"/>
    </row>
    <row r="913" customFormat="false" ht="12.75" hidden="false" customHeight="false" outlineLevel="0" collapsed="false">
      <c r="N913" s="32"/>
    </row>
    <row r="914" customFormat="false" ht="12.75" hidden="false" customHeight="false" outlineLevel="0" collapsed="false">
      <c r="N914" s="32"/>
    </row>
    <row r="915" customFormat="false" ht="12.75" hidden="false" customHeight="false" outlineLevel="0" collapsed="false">
      <c r="N915" s="32"/>
    </row>
    <row r="916" customFormat="false" ht="12.75" hidden="false" customHeight="false" outlineLevel="0" collapsed="false">
      <c r="N916" s="32"/>
    </row>
    <row r="917" customFormat="false" ht="12.75" hidden="false" customHeight="false" outlineLevel="0" collapsed="false">
      <c r="N917" s="32"/>
    </row>
    <row r="918" customFormat="false" ht="12.75" hidden="false" customHeight="false" outlineLevel="0" collapsed="false">
      <c r="N918" s="32"/>
    </row>
    <row r="919" customFormat="false" ht="12.75" hidden="false" customHeight="false" outlineLevel="0" collapsed="false">
      <c r="N919" s="32"/>
    </row>
    <row r="920" customFormat="false" ht="12.75" hidden="false" customHeight="false" outlineLevel="0" collapsed="false">
      <c r="N920" s="32"/>
    </row>
    <row r="921" customFormat="false" ht="12.75" hidden="false" customHeight="false" outlineLevel="0" collapsed="false">
      <c r="N921" s="32"/>
    </row>
    <row r="922" customFormat="false" ht="12.75" hidden="false" customHeight="false" outlineLevel="0" collapsed="false">
      <c r="N922" s="32"/>
    </row>
    <row r="923" customFormat="false" ht="12.75" hidden="false" customHeight="false" outlineLevel="0" collapsed="false">
      <c r="N923" s="32"/>
    </row>
    <row r="924" customFormat="false" ht="12.75" hidden="false" customHeight="false" outlineLevel="0" collapsed="false">
      <c r="N924" s="32"/>
    </row>
    <row r="925" customFormat="false" ht="12.75" hidden="false" customHeight="false" outlineLevel="0" collapsed="false">
      <c r="N925" s="32"/>
    </row>
    <row r="926" customFormat="false" ht="12.75" hidden="false" customHeight="false" outlineLevel="0" collapsed="false">
      <c r="N926" s="32"/>
    </row>
    <row r="927" customFormat="false" ht="12.75" hidden="false" customHeight="false" outlineLevel="0" collapsed="false">
      <c r="N927" s="32"/>
    </row>
    <row r="928" customFormat="false" ht="12.75" hidden="false" customHeight="false" outlineLevel="0" collapsed="false">
      <c r="N928" s="32"/>
    </row>
    <row r="929" customFormat="false" ht="12.75" hidden="false" customHeight="false" outlineLevel="0" collapsed="false">
      <c r="N929" s="32"/>
    </row>
    <row r="930" customFormat="false" ht="12.75" hidden="false" customHeight="false" outlineLevel="0" collapsed="false">
      <c r="N930" s="32"/>
    </row>
    <row r="931" customFormat="false" ht="12.75" hidden="false" customHeight="false" outlineLevel="0" collapsed="false">
      <c r="N931" s="32"/>
    </row>
    <row r="932" customFormat="false" ht="12.75" hidden="false" customHeight="false" outlineLevel="0" collapsed="false">
      <c r="N932" s="32"/>
    </row>
    <row r="933" customFormat="false" ht="12.75" hidden="false" customHeight="false" outlineLevel="0" collapsed="false">
      <c r="N933" s="32"/>
    </row>
    <row r="934" customFormat="false" ht="12.75" hidden="false" customHeight="false" outlineLevel="0" collapsed="false">
      <c r="N934" s="32"/>
    </row>
    <row r="935" customFormat="false" ht="12.75" hidden="false" customHeight="false" outlineLevel="0" collapsed="false">
      <c r="N935" s="32"/>
    </row>
    <row r="936" customFormat="false" ht="12.75" hidden="false" customHeight="false" outlineLevel="0" collapsed="false">
      <c r="N936" s="32"/>
    </row>
    <row r="937" customFormat="false" ht="12.75" hidden="false" customHeight="false" outlineLevel="0" collapsed="false">
      <c r="N937" s="32"/>
    </row>
    <row r="938" customFormat="false" ht="12.75" hidden="false" customHeight="false" outlineLevel="0" collapsed="false">
      <c r="N938" s="32"/>
    </row>
    <row r="939" customFormat="false" ht="12.75" hidden="false" customHeight="false" outlineLevel="0" collapsed="false">
      <c r="N939" s="32"/>
    </row>
    <row r="940" customFormat="false" ht="12.75" hidden="false" customHeight="false" outlineLevel="0" collapsed="false">
      <c r="N940" s="32"/>
    </row>
    <row r="941" customFormat="false" ht="12.75" hidden="false" customHeight="false" outlineLevel="0" collapsed="false">
      <c r="N941" s="32"/>
    </row>
    <row r="942" customFormat="false" ht="12.75" hidden="false" customHeight="false" outlineLevel="0" collapsed="false">
      <c r="N942" s="32"/>
    </row>
    <row r="943" customFormat="false" ht="12.75" hidden="false" customHeight="false" outlineLevel="0" collapsed="false">
      <c r="N943" s="32"/>
    </row>
    <row r="944" customFormat="false" ht="12.75" hidden="false" customHeight="false" outlineLevel="0" collapsed="false">
      <c r="N944" s="32"/>
    </row>
    <row r="945" customFormat="false" ht="12.75" hidden="false" customHeight="false" outlineLevel="0" collapsed="false">
      <c r="N945" s="32"/>
    </row>
    <row r="946" customFormat="false" ht="12.75" hidden="false" customHeight="false" outlineLevel="0" collapsed="false">
      <c r="N946" s="32"/>
    </row>
    <row r="947" customFormat="false" ht="12.75" hidden="false" customHeight="false" outlineLevel="0" collapsed="false">
      <c r="N947" s="32"/>
    </row>
    <row r="948" customFormat="false" ht="12.75" hidden="false" customHeight="false" outlineLevel="0" collapsed="false">
      <c r="N948" s="32"/>
    </row>
    <row r="949" customFormat="false" ht="12.75" hidden="false" customHeight="false" outlineLevel="0" collapsed="false">
      <c r="N949" s="32"/>
    </row>
    <row r="950" customFormat="false" ht="12.75" hidden="false" customHeight="false" outlineLevel="0" collapsed="false">
      <c r="N950" s="32"/>
    </row>
    <row r="951" customFormat="false" ht="12.75" hidden="false" customHeight="false" outlineLevel="0" collapsed="false">
      <c r="N951" s="32"/>
    </row>
    <row r="952" customFormat="false" ht="12.75" hidden="false" customHeight="false" outlineLevel="0" collapsed="false">
      <c r="N952" s="32"/>
    </row>
    <row r="953" customFormat="false" ht="12.75" hidden="false" customHeight="false" outlineLevel="0" collapsed="false">
      <c r="N953" s="32"/>
    </row>
    <row r="954" customFormat="false" ht="12.75" hidden="false" customHeight="false" outlineLevel="0" collapsed="false">
      <c r="N954" s="32"/>
    </row>
    <row r="955" customFormat="false" ht="12.75" hidden="false" customHeight="false" outlineLevel="0" collapsed="false">
      <c r="N955" s="32"/>
    </row>
    <row r="956" customFormat="false" ht="12.75" hidden="false" customHeight="false" outlineLevel="0" collapsed="false">
      <c r="N956" s="32"/>
    </row>
    <row r="957" customFormat="false" ht="12.75" hidden="false" customHeight="false" outlineLevel="0" collapsed="false">
      <c r="N957" s="32"/>
    </row>
    <row r="958" customFormat="false" ht="12.75" hidden="false" customHeight="false" outlineLevel="0" collapsed="false">
      <c r="N958" s="32"/>
    </row>
    <row r="959" customFormat="false" ht="12.75" hidden="false" customHeight="false" outlineLevel="0" collapsed="false">
      <c r="N959" s="32"/>
    </row>
    <row r="960" customFormat="false" ht="12.75" hidden="false" customHeight="false" outlineLevel="0" collapsed="false">
      <c r="N960" s="32"/>
    </row>
    <row r="961" customFormat="false" ht="12.75" hidden="false" customHeight="false" outlineLevel="0" collapsed="false">
      <c r="N961" s="32"/>
    </row>
    <row r="962" customFormat="false" ht="12.75" hidden="false" customHeight="false" outlineLevel="0" collapsed="false">
      <c r="N962" s="32"/>
    </row>
    <row r="963" customFormat="false" ht="12.75" hidden="false" customHeight="false" outlineLevel="0" collapsed="false">
      <c r="N963" s="32"/>
    </row>
    <row r="964" customFormat="false" ht="12.75" hidden="false" customHeight="false" outlineLevel="0" collapsed="false">
      <c r="N964" s="32"/>
    </row>
    <row r="965" customFormat="false" ht="12.75" hidden="false" customHeight="false" outlineLevel="0" collapsed="false">
      <c r="N965" s="32"/>
    </row>
    <row r="966" customFormat="false" ht="12.75" hidden="false" customHeight="false" outlineLevel="0" collapsed="false">
      <c r="N966" s="32"/>
    </row>
    <row r="967" customFormat="false" ht="12.75" hidden="false" customHeight="false" outlineLevel="0" collapsed="false">
      <c r="N967" s="32"/>
    </row>
    <row r="968" customFormat="false" ht="12.75" hidden="false" customHeight="false" outlineLevel="0" collapsed="false">
      <c r="N968" s="32"/>
    </row>
    <row r="969" customFormat="false" ht="12.75" hidden="false" customHeight="false" outlineLevel="0" collapsed="false">
      <c r="N969" s="32"/>
    </row>
    <row r="970" customFormat="false" ht="12.75" hidden="false" customHeight="false" outlineLevel="0" collapsed="false">
      <c r="N970" s="32"/>
    </row>
    <row r="971" customFormat="false" ht="12.75" hidden="false" customHeight="false" outlineLevel="0" collapsed="false">
      <c r="N971" s="32"/>
    </row>
    <row r="972" customFormat="false" ht="12.75" hidden="false" customHeight="false" outlineLevel="0" collapsed="false">
      <c r="N972" s="32"/>
    </row>
    <row r="973" customFormat="false" ht="12.75" hidden="false" customHeight="false" outlineLevel="0" collapsed="false">
      <c r="N973" s="32"/>
    </row>
    <row r="974" customFormat="false" ht="12.75" hidden="false" customHeight="false" outlineLevel="0" collapsed="false">
      <c r="N974" s="32"/>
    </row>
    <row r="975" customFormat="false" ht="12.75" hidden="false" customHeight="false" outlineLevel="0" collapsed="false">
      <c r="N975" s="32"/>
    </row>
    <row r="976" customFormat="false" ht="12.75" hidden="false" customHeight="false" outlineLevel="0" collapsed="false">
      <c r="N976" s="32"/>
    </row>
    <row r="977" customFormat="false" ht="12.75" hidden="false" customHeight="false" outlineLevel="0" collapsed="false">
      <c r="N977" s="32"/>
    </row>
    <row r="978" customFormat="false" ht="12.75" hidden="false" customHeight="false" outlineLevel="0" collapsed="false">
      <c r="N978" s="32"/>
    </row>
    <row r="979" customFormat="false" ht="12.75" hidden="false" customHeight="false" outlineLevel="0" collapsed="false">
      <c r="N979" s="32"/>
    </row>
    <row r="980" customFormat="false" ht="12.75" hidden="false" customHeight="false" outlineLevel="0" collapsed="false">
      <c r="N980" s="32"/>
    </row>
    <row r="981" customFormat="false" ht="12.75" hidden="false" customHeight="false" outlineLevel="0" collapsed="false">
      <c r="N981" s="32"/>
    </row>
    <row r="982" customFormat="false" ht="12.75" hidden="false" customHeight="false" outlineLevel="0" collapsed="false">
      <c r="N982" s="32"/>
    </row>
    <row r="983" customFormat="false" ht="12.75" hidden="false" customHeight="false" outlineLevel="0" collapsed="false">
      <c r="N983" s="32"/>
    </row>
    <row r="984" customFormat="false" ht="12.75" hidden="false" customHeight="false" outlineLevel="0" collapsed="false">
      <c r="N984" s="32"/>
    </row>
    <row r="985" customFormat="false" ht="12.75" hidden="false" customHeight="false" outlineLevel="0" collapsed="false">
      <c r="N985" s="32"/>
    </row>
    <row r="986" customFormat="false" ht="12.75" hidden="false" customHeight="false" outlineLevel="0" collapsed="false">
      <c r="N986" s="32"/>
    </row>
    <row r="987" customFormat="false" ht="12.75" hidden="false" customHeight="false" outlineLevel="0" collapsed="false">
      <c r="N987" s="32"/>
    </row>
    <row r="988" customFormat="false" ht="12.75" hidden="false" customHeight="false" outlineLevel="0" collapsed="false">
      <c r="N988" s="32"/>
    </row>
    <row r="989" customFormat="false" ht="12.75" hidden="false" customHeight="false" outlineLevel="0" collapsed="false">
      <c r="N989" s="32"/>
    </row>
    <row r="990" customFormat="false" ht="12.75" hidden="false" customHeight="false" outlineLevel="0" collapsed="false">
      <c r="N990" s="32"/>
    </row>
    <row r="991" customFormat="false" ht="12.75" hidden="false" customHeight="false" outlineLevel="0" collapsed="false">
      <c r="N991" s="32"/>
    </row>
    <row r="992" customFormat="false" ht="12.75" hidden="false" customHeight="false" outlineLevel="0" collapsed="false">
      <c r="N992" s="32"/>
    </row>
    <row r="993" customFormat="false" ht="12.75" hidden="false" customHeight="false" outlineLevel="0" collapsed="false">
      <c r="N993" s="32"/>
    </row>
    <row r="994" customFormat="false" ht="12.75" hidden="false" customHeight="false" outlineLevel="0" collapsed="false">
      <c r="N994" s="32"/>
    </row>
    <row r="995" customFormat="false" ht="12.75" hidden="false" customHeight="false" outlineLevel="0" collapsed="false">
      <c r="N995" s="32"/>
    </row>
    <row r="996" customFormat="false" ht="12.75" hidden="false" customHeight="false" outlineLevel="0" collapsed="false">
      <c r="N996" s="32"/>
    </row>
    <row r="997" customFormat="false" ht="12.75" hidden="false" customHeight="false" outlineLevel="0" collapsed="false">
      <c r="N997" s="32"/>
    </row>
    <row r="998" customFormat="false" ht="12.75" hidden="false" customHeight="false" outlineLevel="0" collapsed="false">
      <c r="N998" s="32"/>
    </row>
    <row r="999" customFormat="false" ht="12.75" hidden="false" customHeight="false" outlineLevel="0" collapsed="false">
      <c r="N999" s="32"/>
    </row>
    <row r="1000" customFormat="false" ht="12.75" hidden="false" customHeight="false" outlineLevel="0" collapsed="false">
      <c r="N1000" s="32"/>
    </row>
    <row r="1001" customFormat="false" ht="12.75" hidden="false" customHeight="false" outlineLevel="0" collapsed="false">
      <c r="N1001" s="32"/>
    </row>
    <row r="1002" customFormat="false" ht="12.75" hidden="false" customHeight="false" outlineLevel="0" collapsed="false">
      <c r="N1002" s="32"/>
    </row>
    <row r="1003" customFormat="false" ht="12.75" hidden="false" customHeight="false" outlineLevel="0" collapsed="false">
      <c r="N1003" s="32"/>
    </row>
    <row r="1004" customFormat="false" ht="12.75" hidden="false" customHeight="false" outlineLevel="0" collapsed="false">
      <c r="N1004" s="32"/>
    </row>
    <row r="1005" customFormat="false" ht="12.75" hidden="false" customHeight="false" outlineLevel="0" collapsed="false">
      <c r="N1005" s="32"/>
    </row>
    <row r="1006" customFormat="false" ht="12.75" hidden="false" customHeight="false" outlineLevel="0" collapsed="false">
      <c r="N1006" s="32"/>
    </row>
    <row r="1007" customFormat="false" ht="12.75" hidden="false" customHeight="false" outlineLevel="0" collapsed="false">
      <c r="N1007" s="32"/>
    </row>
    <row r="1008" customFormat="false" ht="12.75" hidden="false" customHeight="false" outlineLevel="0" collapsed="false">
      <c r="N1008" s="32"/>
    </row>
    <row r="1009" customFormat="false" ht="12.75" hidden="false" customHeight="false" outlineLevel="0" collapsed="false">
      <c r="N1009" s="32"/>
    </row>
    <row r="1010" customFormat="false" ht="12.75" hidden="false" customHeight="false" outlineLevel="0" collapsed="false">
      <c r="N1010" s="32"/>
    </row>
    <row r="1011" customFormat="false" ht="12.75" hidden="false" customHeight="false" outlineLevel="0" collapsed="false">
      <c r="N1011" s="32"/>
    </row>
    <row r="1012" customFormat="false" ht="12.75" hidden="false" customHeight="false" outlineLevel="0" collapsed="false">
      <c r="N1012" s="32"/>
    </row>
    <row r="1013" customFormat="false" ht="12.75" hidden="false" customHeight="false" outlineLevel="0" collapsed="false">
      <c r="N1013" s="32"/>
    </row>
    <row r="1014" customFormat="false" ht="12.75" hidden="false" customHeight="false" outlineLevel="0" collapsed="false">
      <c r="N1014" s="32"/>
    </row>
    <row r="1015" customFormat="false" ht="12.75" hidden="false" customHeight="false" outlineLevel="0" collapsed="false">
      <c r="N1015" s="32"/>
    </row>
    <row r="1016" customFormat="false" ht="12.75" hidden="false" customHeight="false" outlineLevel="0" collapsed="false">
      <c r="N1016" s="32"/>
    </row>
    <row r="1017" customFormat="false" ht="12.75" hidden="false" customHeight="false" outlineLevel="0" collapsed="false">
      <c r="N1017" s="32"/>
    </row>
    <row r="1018" customFormat="false" ht="12.75" hidden="false" customHeight="false" outlineLevel="0" collapsed="false">
      <c r="N1018" s="32"/>
    </row>
    <row r="1019" customFormat="false" ht="12.75" hidden="false" customHeight="false" outlineLevel="0" collapsed="false">
      <c r="N1019" s="32"/>
    </row>
    <row r="1020" customFormat="false" ht="12.75" hidden="false" customHeight="false" outlineLevel="0" collapsed="false">
      <c r="N1020" s="32"/>
    </row>
    <row r="1021" customFormat="false" ht="12.75" hidden="false" customHeight="false" outlineLevel="0" collapsed="false">
      <c r="N1021" s="32"/>
    </row>
    <row r="1022" customFormat="false" ht="12.75" hidden="false" customHeight="false" outlineLevel="0" collapsed="false">
      <c r="N1022" s="32"/>
    </row>
    <row r="1023" customFormat="false" ht="12.75" hidden="false" customHeight="false" outlineLevel="0" collapsed="false">
      <c r="N1023" s="32"/>
    </row>
    <row r="1024" customFormat="false" ht="12.75" hidden="false" customHeight="false" outlineLevel="0" collapsed="false">
      <c r="N1024" s="32"/>
    </row>
    <row r="1025" customFormat="false" ht="12.75" hidden="false" customHeight="false" outlineLevel="0" collapsed="false">
      <c r="N1025" s="32"/>
    </row>
    <row r="1026" customFormat="false" ht="12.75" hidden="false" customHeight="false" outlineLevel="0" collapsed="false">
      <c r="N1026" s="32"/>
    </row>
    <row r="1027" customFormat="false" ht="12.75" hidden="false" customHeight="false" outlineLevel="0" collapsed="false">
      <c r="N1027" s="32"/>
    </row>
    <row r="1028" customFormat="false" ht="12.75" hidden="false" customHeight="false" outlineLevel="0" collapsed="false">
      <c r="N1028" s="32"/>
    </row>
    <row r="1029" customFormat="false" ht="12.75" hidden="false" customHeight="false" outlineLevel="0" collapsed="false">
      <c r="N1029" s="32"/>
    </row>
    <row r="1030" customFormat="false" ht="12.75" hidden="false" customHeight="false" outlineLevel="0" collapsed="false">
      <c r="N1030" s="32"/>
    </row>
    <row r="1031" customFormat="false" ht="12.75" hidden="false" customHeight="false" outlineLevel="0" collapsed="false">
      <c r="N1031" s="32"/>
    </row>
    <row r="1032" customFormat="false" ht="12.75" hidden="false" customHeight="false" outlineLevel="0" collapsed="false">
      <c r="N1032" s="32"/>
    </row>
    <row r="1033" customFormat="false" ht="12.75" hidden="false" customHeight="false" outlineLevel="0" collapsed="false">
      <c r="N1033" s="32"/>
    </row>
    <row r="1034" customFormat="false" ht="12.75" hidden="false" customHeight="false" outlineLevel="0" collapsed="false">
      <c r="N1034" s="32"/>
    </row>
    <row r="1035" customFormat="false" ht="12.75" hidden="false" customHeight="false" outlineLevel="0" collapsed="false">
      <c r="N1035" s="32"/>
    </row>
    <row r="1036" customFormat="false" ht="12.75" hidden="false" customHeight="false" outlineLevel="0" collapsed="false">
      <c r="N1036" s="32"/>
    </row>
    <row r="1037" customFormat="false" ht="12.75" hidden="false" customHeight="false" outlineLevel="0" collapsed="false">
      <c r="N1037" s="32"/>
    </row>
    <row r="1038" customFormat="false" ht="12.75" hidden="false" customHeight="false" outlineLevel="0" collapsed="false">
      <c r="N1038" s="32"/>
    </row>
    <row r="1039" customFormat="false" ht="12.75" hidden="false" customHeight="false" outlineLevel="0" collapsed="false">
      <c r="N1039" s="32"/>
    </row>
    <row r="1040" customFormat="false" ht="12.75" hidden="false" customHeight="false" outlineLevel="0" collapsed="false">
      <c r="N1040" s="32"/>
    </row>
    <row r="1041" customFormat="false" ht="12.75" hidden="false" customHeight="false" outlineLevel="0" collapsed="false">
      <c r="N1041" s="32"/>
    </row>
    <row r="1042" customFormat="false" ht="12.75" hidden="false" customHeight="false" outlineLevel="0" collapsed="false">
      <c r="N1042" s="32"/>
    </row>
    <row r="1043" customFormat="false" ht="12.75" hidden="false" customHeight="false" outlineLevel="0" collapsed="false">
      <c r="N1043" s="32"/>
    </row>
    <row r="1044" customFormat="false" ht="12.75" hidden="false" customHeight="false" outlineLevel="0" collapsed="false">
      <c r="N1044" s="32"/>
    </row>
    <row r="1045" customFormat="false" ht="12.75" hidden="false" customHeight="false" outlineLevel="0" collapsed="false">
      <c r="N1045" s="32"/>
    </row>
    <row r="1046" customFormat="false" ht="12.75" hidden="false" customHeight="false" outlineLevel="0" collapsed="false">
      <c r="N1046" s="32"/>
    </row>
    <row r="1047" customFormat="false" ht="12.75" hidden="false" customHeight="false" outlineLevel="0" collapsed="false">
      <c r="N1047" s="32"/>
    </row>
    <row r="1048" customFormat="false" ht="12.75" hidden="false" customHeight="false" outlineLevel="0" collapsed="false">
      <c r="N1048" s="32"/>
    </row>
    <row r="1049" customFormat="false" ht="12.75" hidden="false" customHeight="false" outlineLevel="0" collapsed="false">
      <c r="N1049" s="32"/>
    </row>
    <row r="1050" customFormat="false" ht="12.75" hidden="false" customHeight="false" outlineLevel="0" collapsed="false">
      <c r="N1050" s="32"/>
    </row>
    <row r="1051" customFormat="false" ht="12.75" hidden="false" customHeight="false" outlineLevel="0" collapsed="false">
      <c r="N1051" s="32"/>
    </row>
    <row r="1052" customFormat="false" ht="12.75" hidden="false" customHeight="false" outlineLevel="0" collapsed="false">
      <c r="N1052" s="32"/>
    </row>
    <row r="1053" customFormat="false" ht="12.75" hidden="false" customHeight="false" outlineLevel="0" collapsed="false">
      <c r="N1053" s="32"/>
    </row>
    <row r="1054" customFormat="false" ht="12.75" hidden="false" customHeight="false" outlineLevel="0" collapsed="false">
      <c r="N1054" s="32"/>
    </row>
    <row r="1055" customFormat="false" ht="12.75" hidden="false" customHeight="false" outlineLevel="0" collapsed="false">
      <c r="N1055" s="32"/>
    </row>
    <row r="1056" customFormat="false" ht="12.75" hidden="false" customHeight="false" outlineLevel="0" collapsed="false">
      <c r="N1056" s="32"/>
    </row>
    <row r="1057" customFormat="false" ht="12.75" hidden="false" customHeight="false" outlineLevel="0" collapsed="false">
      <c r="N1057" s="32"/>
    </row>
    <row r="1058" customFormat="false" ht="12.75" hidden="false" customHeight="false" outlineLevel="0" collapsed="false">
      <c r="N1058" s="32"/>
    </row>
    <row r="1059" customFormat="false" ht="12.75" hidden="false" customHeight="false" outlineLevel="0" collapsed="false">
      <c r="N1059" s="32"/>
    </row>
    <row r="1060" customFormat="false" ht="12.75" hidden="false" customHeight="false" outlineLevel="0" collapsed="false">
      <c r="N1060" s="32"/>
    </row>
    <row r="1061" customFormat="false" ht="12.75" hidden="false" customHeight="false" outlineLevel="0" collapsed="false">
      <c r="N1061" s="32"/>
    </row>
    <row r="1062" customFormat="false" ht="12.75" hidden="false" customHeight="false" outlineLevel="0" collapsed="false">
      <c r="N1062" s="32"/>
    </row>
    <row r="1063" customFormat="false" ht="12.75" hidden="false" customHeight="false" outlineLevel="0" collapsed="false">
      <c r="N1063" s="32"/>
    </row>
    <row r="1064" customFormat="false" ht="12.75" hidden="false" customHeight="false" outlineLevel="0" collapsed="false">
      <c r="N1064" s="32"/>
    </row>
    <row r="1065" customFormat="false" ht="12.75" hidden="false" customHeight="false" outlineLevel="0" collapsed="false">
      <c r="N1065" s="32"/>
    </row>
    <row r="1066" customFormat="false" ht="12.75" hidden="false" customHeight="false" outlineLevel="0" collapsed="false">
      <c r="N1066" s="32"/>
    </row>
    <row r="1067" customFormat="false" ht="12.75" hidden="false" customHeight="false" outlineLevel="0" collapsed="false">
      <c r="N1067" s="32"/>
    </row>
    <row r="1068" customFormat="false" ht="12.75" hidden="false" customHeight="false" outlineLevel="0" collapsed="false">
      <c r="N1068" s="32"/>
    </row>
    <row r="1069" customFormat="false" ht="12.75" hidden="false" customHeight="false" outlineLevel="0" collapsed="false">
      <c r="N1069" s="32"/>
    </row>
    <row r="1070" customFormat="false" ht="12.75" hidden="false" customHeight="false" outlineLevel="0" collapsed="false">
      <c r="N1070" s="32"/>
    </row>
    <row r="1071" customFormat="false" ht="12.75" hidden="false" customHeight="false" outlineLevel="0" collapsed="false">
      <c r="N1071" s="32"/>
    </row>
    <row r="1072" customFormat="false" ht="12.75" hidden="false" customHeight="false" outlineLevel="0" collapsed="false">
      <c r="N1072" s="32"/>
    </row>
    <row r="1073" customFormat="false" ht="12.75" hidden="false" customHeight="false" outlineLevel="0" collapsed="false">
      <c r="N1073" s="32"/>
    </row>
    <row r="1074" customFormat="false" ht="12.75" hidden="false" customHeight="false" outlineLevel="0" collapsed="false">
      <c r="N1074" s="32"/>
    </row>
    <row r="1075" customFormat="false" ht="12.75" hidden="false" customHeight="false" outlineLevel="0" collapsed="false">
      <c r="N1075" s="32"/>
    </row>
    <row r="1076" customFormat="false" ht="12.75" hidden="false" customHeight="false" outlineLevel="0" collapsed="false">
      <c r="N1076" s="32"/>
    </row>
    <row r="1077" customFormat="false" ht="12.75" hidden="false" customHeight="false" outlineLevel="0" collapsed="false">
      <c r="N1077" s="32"/>
    </row>
    <row r="1078" customFormat="false" ht="12.75" hidden="false" customHeight="false" outlineLevel="0" collapsed="false">
      <c r="N1078" s="32"/>
    </row>
    <row r="1079" customFormat="false" ht="12.75" hidden="false" customHeight="false" outlineLevel="0" collapsed="false">
      <c r="N1079" s="32"/>
    </row>
    <row r="1080" customFormat="false" ht="12.75" hidden="false" customHeight="false" outlineLevel="0" collapsed="false">
      <c r="N1080" s="32"/>
    </row>
    <row r="1081" customFormat="false" ht="12.75" hidden="false" customHeight="false" outlineLevel="0" collapsed="false">
      <c r="N1081" s="32"/>
    </row>
    <row r="1082" customFormat="false" ht="12.75" hidden="false" customHeight="false" outlineLevel="0" collapsed="false">
      <c r="N1082" s="32"/>
    </row>
    <row r="1083" customFormat="false" ht="12.75" hidden="false" customHeight="false" outlineLevel="0" collapsed="false">
      <c r="N1083" s="32"/>
    </row>
    <row r="1084" customFormat="false" ht="12.75" hidden="false" customHeight="false" outlineLevel="0" collapsed="false">
      <c r="N1084" s="32"/>
    </row>
    <row r="1085" customFormat="false" ht="12.75" hidden="false" customHeight="false" outlineLevel="0" collapsed="false">
      <c r="N1085" s="32"/>
    </row>
    <row r="1086" customFormat="false" ht="12.75" hidden="false" customHeight="false" outlineLevel="0" collapsed="false">
      <c r="N1086" s="32"/>
    </row>
    <row r="1087" customFormat="false" ht="12.75" hidden="false" customHeight="false" outlineLevel="0" collapsed="false">
      <c r="N1087" s="32"/>
    </row>
    <row r="1088" customFormat="false" ht="12.75" hidden="false" customHeight="false" outlineLevel="0" collapsed="false">
      <c r="N1088" s="32"/>
    </row>
    <row r="1089" customFormat="false" ht="12.75" hidden="false" customHeight="false" outlineLevel="0" collapsed="false">
      <c r="N1089" s="32"/>
    </row>
    <row r="1090" customFormat="false" ht="12.75" hidden="false" customHeight="false" outlineLevel="0" collapsed="false">
      <c r="N1090" s="32"/>
    </row>
    <row r="1091" customFormat="false" ht="12.75" hidden="false" customHeight="false" outlineLevel="0" collapsed="false">
      <c r="N1091" s="32"/>
    </row>
    <row r="1092" customFormat="false" ht="12.75" hidden="false" customHeight="false" outlineLevel="0" collapsed="false">
      <c r="N1092" s="32"/>
    </row>
    <row r="1093" customFormat="false" ht="12.75" hidden="false" customHeight="false" outlineLevel="0" collapsed="false">
      <c r="N1093" s="32"/>
    </row>
    <row r="1094" customFormat="false" ht="12.75" hidden="false" customHeight="false" outlineLevel="0" collapsed="false">
      <c r="N1094" s="32"/>
    </row>
    <row r="1095" customFormat="false" ht="12.75" hidden="false" customHeight="false" outlineLevel="0" collapsed="false">
      <c r="N1095" s="32"/>
    </row>
    <row r="1096" customFormat="false" ht="12.75" hidden="false" customHeight="false" outlineLevel="0" collapsed="false">
      <c r="N1096" s="32"/>
    </row>
    <row r="1097" customFormat="false" ht="12.75" hidden="false" customHeight="false" outlineLevel="0" collapsed="false">
      <c r="N1097" s="32"/>
    </row>
    <row r="1098" customFormat="false" ht="12.75" hidden="false" customHeight="false" outlineLevel="0" collapsed="false">
      <c r="N1098" s="32"/>
    </row>
    <row r="1099" customFormat="false" ht="12.75" hidden="false" customHeight="false" outlineLevel="0" collapsed="false">
      <c r="N1099" s="32"/>
    </row>
    <row r="1100" customFormat="false" ht="12.75" hidden="false" customHeight="false" outlineLevel="0" collapsed="false">
      <c r="N1100" s="32"/>
    </row>
    <row r="1101" customFormat="false" ht="12.75" hidden="false" customHeight="false" outlineLevel="0" collapsed="false">
      <c r="N1101" s="32"/>
    </row>
    <row r="1102" customFormat="false" ht="12.75" hidden="false" customHeight="false" outlineLevel="0" collapsed="false">
      <c r="N1102" s="32"/>
    </row>
    <row r="1103" customFormat="false" ht="12.75" hidden="false" customHeight="false" outlineLevel="0" collapsed="false">
      <c r="N1103" s="32"/>
    </row>
    <row r="1104" customFormat="false" ht="12.75" hidden="false" customHeight="false" outlineLevel="0" collapsed="false">
      <c r="N1104" s="32"/>
    </row>
    <row r="1105" customFormat="false" ht="12.75" hidden="false" customHeight="false" outlineLevel="0" collapsed="false">
      <c r="N1105" s="32"/>
    </row>
    <row r="1106" customFormat="false" ht="12.75" hidden="false" customHeight="false" outlineLevel="0" collapsed="false">
      <c r="N1106" s="32"/>
    </row>
    <row r="1107" customFormat="false" ht="12.75" hidden="false" customHeight="false" outlineLevel="0" collapsed="false">
      <c r="N1107" s="32"/>
    </row>
    <row r="1108" customFormat="false" ht="12.75" hidden="false" customHeight="false" outlineLevel="0" collapsed="false">
      <c r="N1108" s="32"/>
    </row>
    <row r="1109" customFormat="false" ht="12.75" hidden="false" customHeight="false" outlineLevel="0" collapsed="false">
      <c r="N1109" s="32"/>
    </row>
    <row r="1110" customFormat="false" ht="12.75" hidden="false" customHeight="false" outlineLevel="0" collapsed="false">
      <c r="N1110" s="32"/>
    </row>
    <row r="1111" customFormat="false" ht="12.75" hidden="false" customHeight="false" outlineLevel="0" collapsed="false">
      <c r="N1111" s="32"/>
    </row>
    <row r="1112" customFormat="false" ht="12.75" hidden="false" customHeight="false" outlineLevel="0" collapsed="false">
      <c r="N1112" s="32"/>
    </row>
    <row r="1113" customFormat="false" ht="12.75" hidden="false" customHeight="false" outlineLevel="0" collapsed="false">
      <c r="N1113" s="32"/>
    </row>
    <row r="1114" customFormat="false" ht="12.75" hidden="false" customHeight="false" outlineLevel="0" collapsed="false">
      <c r="N1114" s="32"/>
    </row>
    <row r="1115" customFormat="false" ht="12.75" hidden="false" customHeight="false" outlineLevel="0" collapsed="false">
      <c r="N1115" s="32"/>
    </row>
    <row r="1116" customFormat="false" ht="12.75" hidden="false" customHeight="false" outlineLevel="0" collapsed="false">
      <c r="N1116" s="32"/>
    </row>
    <row r="1117" customFormat="false" ht="12.75" hidden="false" customHeight="false" outlineLevel="0" collapsed="false">
      <c r="N1117" s="32"/>
    </row>
    <row r="1118" customFormat="false" ht="12.75" hidden="false" customHeight="false" outlineLevel="0" collapsed="false">
      <c r="N1118" s="32"/>
    </row>
    <row r="1119" customFormat="false" ht="12.75" hidden="false" customHeight="false" outlineLevel="0" collapsed="false">
      <c r="N1119" s="32"/>
    </row>
    <row r="1120" customFormat="false" ht="12.75" hidden="false" customHeight="false" outlineLevel="0" collapsed="false">
      <c r="N1120" s="32"/>
    </row>
    <row r="1121" customFormat="false" ht="12.75" hidden="false" customHeight="false" outlineLevel="0" collapsed="false">
      <c r="N1121" s="32"/>
    </row>
    <row r="1122" customFormat="false" ht="12.75" hidden="false" customHeight="false" outlineLevel="0" collapsed="false">
      <c r="N1122" s="32"/>
    </row>
    <row r="1123" customFormat="false" ht="12.75" hidden="false" customHeight="false" outlineLevel="0" collapsed="false">
      <c r="N1123" s="32"/>
    </row>
    <row r="1124" customFormat="false" ht="12.75" hidden="false" customHeight="false" outlineLevel="0" collapsed="false">
      <c r="N1124" s="32"/>
    </row>
    <row r="1125" customFormat="false" ht="12.75" hidden="false" customHeight="false" outlineLevel="0" collapsed="false">
      <c r="N1125" s="32"/>
    </row>
    <row r="1126" customFormat="false" ht="12.75" hidden="false" customHeight="false" outlineLevel="0" collapsed="false">
      <c r="N1126" s="32"/>
    </row>
    <row r="1127" customFormat="false" ht="12.75" hidden="false" customHeight="false" outlineLevel="0" collapsed="false">
      <c r="N1127" s="32"/>
    </row>
    <row r="1128" customFormat="false" ht="12.75" hidden="false" customHeight="false" outlineLevel="0" collapsed="false">
      <c r="N1128" s="32"/>
    </row>
    <row r="1129" customFormat="false" ht="12.75" hidden="false" customHeight="false" outlineLevel="0" collapsed="false">
      <c r="N1129" s="32"/>
    </row>
    <row r="1130" customFormat="false" ht="12.75" hidden="false" customHeight="false" outlineLevel="0" collapsed="false">
      <c r="N1130" s="32"/>
    </row>
    <row r="1131" customFormat="false" ht="12.75" hidden="false" customHeight="false" outlineLevel="0" collapsed="false">
      <c r="N1131" s="32"/>
    </row>
    <row r="1132" customFormat="false" ht="12.75" hidden="false" customHeight="false" outlineLevel="0" collapsed="false">
      <c r="N1132" s="32"/>
    </row>
    <row r="1133" customFormat="false" ht="12.75" hidden="false" customHeight="false" outlineLevel="0" collapsed="false">
      <c r="N1133" s="32"/>
    </row>
    <row r="1134" customFormat="false" ht="12.75" hidden="false" customHeight="false" outlineLevel="0" collapsed="false">
      <c r="N1134" s="32"/>
    </row>
    <row r="1135" customFormat="false" ht="12.75" hidden="false" customHeight="false" outlineLevel="0" collapsed="false">
      <c r="N1135" s="32"/>
    </row>
    <row r="1136" customFormat="false" ht="12.75" hidden="false" customHeight="false" outlineLevel="0" collapsed="false">
      <c r="N1136" s="32"/>
    </row>
    <row r="1137" customFormat="false" ht="12.75" hidden="false" customHeight="false" outlineLevel="0" collapsed="false">
      <c r="N1137" s="32"/>
    </row>
    <row r="1138" customFormat="false" ht="12.75" hidden="false" customHeight="false" outlineLevel="0" collapsed="false">
      <c r="N1138" s="32"/>
    </row>
    <row r="1139" customFormat="false" ht="12.75" hidden="false" customHeight="false" outlineLevel="0" collapsed="false">
      <c r="N1139" s="32"/>
    </row>
    <row r="1140" customFormat="false" ht="12.75" hidden="false" customHeight="false" outlineLevel="0" collapsed="false">
      <c r="N1140" s="32"/>
    </row>
    <row r="1141" customFormat="false" ht="12.75" hidden="false" customHeight="false" outlineLevel="0" collapsed="false">
      <c r="N1141" s="32"/>
    </row>
    <row r="1142" customFormat="false" ht="12.75" hidden="false" customHeight="false" outlineLevel="0" collapsed="false">
      <c r="N1142" s="32"/>
    </row>
    <row r="1143" customFormat="false" ht="12.75" hidden="false" customHeight="false" outlineLevel="0" collapsed="false">
      <c r="N1143" s="32"/>
    </row>
    <row r="1144" customFormat="false" ht="12.75" hidden="false" customHeight="false" outlineLevel="0" collapsed="false">
      <c r="N1144" s="32"/>
    </row>
    <row r="1145" customFormat="false" ht="12.75" hidden="false" customHeight="false" outlineLevel="0" collapsed="false">
      <c r="N1145" s="32"/>
    </row>
    <row r="1146" customFormat="false" ht="12.75" hidden="false" customHeight="false" outlineLevel="0" collapsed="false">
      <c r="N1146" s="32"/>
    </row>
    <row r="1147" customFormat="false" ht="12.75" hidden="false" customHeight="false" outlineLevel="0" collapsed="false">
      <c r="N1147" s="32"/>
    </row>
    <row r="1148" customFormat="false" ht="12.75" hidden="false" customHeight="false" outlineLevel="0" collapsed="false">
      <c r="N1148" s="32"/>
    </row>
    <row r="1149" customFormat="false" ht="12.75" hidden="false" customHeight="false" outlineLevel="0" collapsed="false">
      <c r="N1149" s="32"/>
    </row>
    <row r="1150" customFormat="false" ht="12.75" hidden="false" customHeight="false" outlineLevel="0" collapsed="false">
      <c r="N1150" s="32"/>
    </row>
    <row r="1151" customFormat="false" ht="12.75" hidden="false" customHeight="false" outlineLevel="0" collapsed="false">
      <c r="N1151" s="32"/>
    </row>
    <row r="1152" customFormat="false" ht="12.75" hidden="false" customHeight="false" outlineLevel="0" collapsed="false">
      <c r="N1152" s="32"/>
    </row>
    <row r="1153" customFormat="false" ht="12.75" hidden="false" customHeight="false" outlineLevel="0" collapsed="false">
      <c r="N1153" s="32"/>
    </row>
    <row r="1154" customFormat="false" ht="12.75" hidden="false" customHeight="false" outlineLevel="0" collapsed="false">
      <c r="N1154" s="32"/>
    </row>
    <row r="1155" customFormat="false" ht="12.75" hidden="false" customHeight="false" outlineLevel="0" collapsed="false">
      <c r="N1155" s="32"/>
    </row>
    <row r="1156" customFormat="false" ht="12.75" hidden="false" customHeight="false" outlineLevel="0" collapsed="false">
      <c r="N1156" s="32"/>
    </row>
    <row r="1157" customFormat="false" ht="12.75" hidden="false" customHeight="false" outlineLevel="0" collapsed="false">
      <c r="N1157" s="32"/>
    </row>
    <row r="1158" customFormat="false" ht="12.75" hidden="false" customHeight="false" outlineLevel="0" collapsed="false">
      <c r="N1158" s="32"/>
    </row>
    <row r="1159" customFormat="false" ht="12.75" hidden="false" customHeight="false" outlineLevel="0" collapsed="false">
      <c r="N1159" s="32"/>
    </row>
    <row r="1160" customFormat="false" ht="12.75" hidden="false" customHeight="false" outlineLevel="0" collapsed="false">
      <c r="N1160" s="32"/>
    </row>
    <row r="1161" customFormat="false" ht="12.75" hidden="false" customHeight="false" outlineLevel="0" collapsed="false">
      <c r="N1161" s="32"/>
    </row>
    <row r="1162" customFormat="false" ht="12.75" hidden="false" customHeight="false" outlineLevel="0" collapsed="false">
      <c r="N1162" s="32"/>
    </row>
    <row r="1163" customFormat="false" ht="12.75" hidden="false" customHeight="false" outlineLevel="0" collapsed="false">
      <c r="N1163" s="32"/>
    </row>
    <row r="1164" customFormat="false" ht="12.75" hidden="false" customHeight="false" outlineLevel="0" collapsed="false">
      <c r="N1164" s="32"/>
    </row>
    <row r="1165" customFormat="false" ht="12.75" hidden="false" customHeight="false" outlineLevel="0" collapsed="false">
      <c r="N1165" s="32"/>
    </row>
    <row r="1166" customFormat="false" ht="12.75" hidden="false" customHeight="false" outlineLevel="0" collapsed="false">
      <c r="N1166" s="32"/>
    </row>
    <row r="1167" customFormat="false" ht="12.75" hidden="false" customHeight="false" outlineLevel="0" collapsed="false">
      <c r="N1167" s="32"/>
    </row>
    <row r="1168" customFormat="false" ht="12.75" hidden="false" customHeight="false" outlineLevel="0" collapsed="false">
      <c r="N1168" s="32"/>
    </row>
    <row r="1169" customFormat="false" ht="12.75" hidden="false" customHeight="false" outlineLevel="0" collapsed="false">
      <c r="N1169" s="32"/>
    </row>
    <row r="1170" customFormat="false" ht="12.75" hidden="false" customHeight="false" outlineLevel="0" collapsed="false">
      <c r="N1170" s="32"/>
    </row>
    <row r="1171" customFormat="false" ht="12.75" hidden="false" customHeight="false" outlineLevel="0" collapsed="false">
      <c r="N1171" s="32"/>
    </row>
    <row r="1172" customFormat="false" ht="12.75" hidden="false" customHeight="false" outlineLevel="0" collapsed="false">
      <c r="N1172" s="32"/>
    </row>
    <row r="1173" customFormat="false" ht="12.75" hidden="false" customHeight="false" outlineLevel="0" collapsed="false">
      <c r="N1173" s="32"/>
    </row>
    <row r="1174" customFormat="false" ht="12.75" hidden="false" customHeight="false" outlineLevel="0" collapsed="false">
      <c r="N1174" s="32"/>
    </row>
    <row r="1175" customFormat="false" ht="12.75" hidden="false" customHeight="false" outlineLevel="0" collapsed="false">
      <c r="N1175" s="32"/>
    </row>
    <row r="1176" customFormat="false" ht="12.75" hidden="false" customHeight="false" outlineLevel="0" collapsed="false">
      <c r="N1176" s="32"/>
    </row>
    <row r="1177" customFormat="false" ht="12.75" hidden="false" customHeight="false" outlineLevel="0" collapsed="false">
      <c r="N1177" s="32"/>
    </row>
    <row r="1178" customFormat="false" ht="12.75" hidden="false" customHeight="false" outlineLevel="0" collapsed="false">
      <c r="N1178" s="32"/>
    </row>
    <row r="1179" customFormat="false" ht="12.75" hidden="false" customHeight="false" outlineLevel="0" collapsed="false">
      <c r="N1179" s="32"/>
    </row>
    <row r="1180" customFormat="false" ht="12.75" hidden="false" customHeight="false" outlineLevel="0" collapsed="false">
      <c r="N1180" s="32"/>
    </row>
    <row r="1181" customFormat="false" ht="12.75" hidden="false" customHeight="false" outlineLevel="0" collapsed="false">
      <c r="N1181" s="32"/>
    </row>
    <row r="1182" customFormat="false" ht="12.75" hidden="false" customHeight="false" outlineLevel="0" collapsed="false">
      <c r="N1182" s="32"/>
    </row>
    <row r="1183" customFormat="false" ht="12.75" hidden="false" customHeight="false" outlineLevel="0" collapsed="false">
      <c r="N1183" s="32"/>
    </row>
    <row r="1184" customFormat="false" ht="12.75" hidden="false" customHeight="false" outlineLevel="0" collapsed="false">
      <c r="N1184" s="32"/>
    </row>
    <row r="1185" customFormat="false" ht="12.75" hidden="false" customHeight="false" outlineLevel="0" collapsed="false">
      <c r="N1185" s="32"/>
    </row>
    <row r="1186" customFormat="false" ht="12.75" hidden="false" customHeight="false" outlineLevel="0" collapsed="false">
      <c r="N1186" s="32"/>
    </row>
    <row r="1187" customFormat="false" ht="12.75" hidden="false" customHeight="false" outlineLevel="0" collapsed="false">
      <c r="N1187" s="32"/>
    </row>
    <row r="1188" customFormat="false" ht="12.75" hidden="false" customHeight="false" outlineLevel="0" collapsed="false">
      <c r="N1188" s="32"/>
    </row>
    <row r="1189" customFormat="false" ht="12.75" hidden="false" customHeight="false" outlineLevel="0" collapsed="false">
      <c r="N1189" s="32"/>
    </row>
    <row r="1190" customFormat="false" ht="12.75" hidden="false" customHeight="false" outlineLevel="0" collapsed="false">
      <c r="N1190" s="32"/>
    </row>
    <row r="1191" customFormat="false" ht="12.75" hidden="false" customHeight="false" outlineLevel="0" collapsed="false">
      <c r="N1191" s="32"/>
    </row>
    <row r="1192" customFormat="false" ht="12.75" hidden="false" customHeight="false" outlineLevel="0" collapsed="false">
      <c r="N1192" s="32"/>
    </row>
    <row r="1193" customFormat="false" ht="12.75" hidden="false" customHeight="false" outlineLevel="0" collapsed="false">
      <c r="N1193" s="32"/>
    </row>
    <row r="1194" customFormat="false" ht="12.75" hidden="false" customHeight="false" outlineLevel="0" collapsed="false">
      <c r="N1194" s="32"/>
    </row>
    <row r="1195" customFormat="false" ht="12.75" hidden="false" customHeight="false" outlineLevel="0" collapsed="false">
      <c r="N1195" s="32"/>
    </row>
    <row r="1196" customFormat="false" ht="12.75" hidden="false" customHeight="false" outlineLevel="0" collapsed="false">
      <c r="N1196" s="32"/>
    </row>
    <row r="1197" customFormat="false" ht="12.75" hidden="false" customHeight="false" outlineLevel="0" collapsed="false">
      <c r="N1197" s="32"/>
    </row>
    <row r="1198" customFormat="false" ht="12.75" hidden="false" customHeight="false" outlineLevel="0" collapsed="false">
      <c r="N1198" s="32"/>
    </row>
    <row r="1199" customFormat="false" ht="12.75" hidden="false" customHeight="false" outlineLevel="0" collapsed="false">
      <c r="N1199" s="32"/>
    </row>
    <row r="1200" customFormat="false" ht="12.75" hidden="false" customHeight="false" outlineLevel="0" collapsed="false">
      <c r="N1200" s="32"/>
    </row>
    <row r="1201" customFormat="false" ht="12.75" hidden="false" customHeight="false" outlineLevel="0" collapsed="false">
      <c r="N1201" s="32"/>
    </row>
    <row r="1202" customFormat="false" ht="12.75" hidden="false" customHeight="false" outlineLevel="0" collapsed="false">
      <c r="N1202" s="32"/>
    </row>
    <row r="1203" customFormat="false" ht="12.75" hidden="false" customHeight="false" outlineLevel="0" collapsed="false">
      <c r="N1203" s="32"/>
    </row>
    <row r="1204" customFormat="false" ht="12.75" hidden="false" customHeight="false" outlineLevel="0" collapsed="false">
      <c r="N1204" s="32"/>
    </row>
    <row r="1205" customFormat="false" ht="12.75" hidden="false" customHeight="false" outlineLevel="0" collapsed="false">
      <c r="N1205" s="32"/>
    </row>
    <row r="1206" customFormat="false" ht="12.75" hidden="false" customHeight="false" outlineLevel="0" collapsed="false">
      <c r="N1206" s="32"/>
    </row>
    <row r="1207" customFormat="false" ht="12.75" hidden="false" customHeight="false" outlineLevel="0" collapsed="false">
      <c r="N1207" s="32"/>
    </row>
    <row r="1208" customFormat="false" ht="12.75" hidden="false" customHeight="false" outlineLevel="0" collapsed="false">
      <c r="N1208" s="32"/>
    </row>
    <row r="1209" customFormat="false" ht="12.75" hidden="false" customHeight="false" outlineLevel="0" collapsed="false">
      <c r="N1209" s="32"/>
    </row>
    <row r="1210" customFormat="false" ht="12.75" hidden="false" customHeight="false" outlineLevel="0" collapsed="false">
      <c r="N1210" s="32"/>
    </row>
    <row r="1211" customFormat="false" ht="12.75" hidden="false" customHeight="false" outlineLevel="0" collapsed="false">
      <c r="N1211" s="32"/>
    </row>
    <row r="1212" customFormat="false" ht="12.75" hidden="false" customHeight="false" outlineLevel="0" collapsed="false">
      <c r="N1212" s="32"/>
    </row>
    <row r="1213" customFormat="false" ht="12.75" hidden="false" customHeight="false" outlineLevel="0" collapsed="false">
      <c r="N1213" s="32"/>
    </row>
    <row r="1214" customFormat="false" ht="12.75" hidden="false" customHeight="false" outlineLevel="0" collapsed="false">
      <c r="N1214" s="32"/>
    </row>
    <row r="1215" customFormat="false" ht="12.75" hidden="false" customHeight="false" outlineLevel="0" collapsed="false">
      <c r="N1215" s="32"/>
    </row>
    <row r="1216" customFormat="false" ht="12.75" hidden="false" customHeight="false" outlineLevel="0" collapsed="false">
      <c r="N1216" s="32"/>
    </row>
    <row r="1217" customFormat="false" ht="12.75" hidden="false" customHeight="false" outlineLevel="0" collapsed="false">
      <c r="N1217" s="32"/>
    </row>
    <row r="1218" customFormat="false" ht="12.75" hidden="false" customHeight="false" outlineLevel="0" collapsed="false">
      <c r="N1218" s="32"/>
    </row>
    <row r="1219" customFormat="false" ht="12.75" hidden="false" customHeight="false" outlineLevel="0" collapsed="false">
      <c r="N1219" s="32"/>
    </row>
    <row r="1220" customFormat="false" ht="12.75" hidden="false" customHeight="false" outlineLevel="0" collapsed="false">
      <c r="N1220" s="32"/>
    </row>
    <row r="1221" customFormat="false" ht="12.75" hidden="false" customHeight="false" outlineLevel="0" collapsed="false">
      <c r="N1221" s="32"/>
    </row>
    <row r="1222" customFormat="false" ht="12.75" hidden="false" customHeight="false" outlineLevel="0" collapsed="false">
      <c r="N1222" s="32"/>
    </row>
    <row r="1223" customFormat="false" ht="12.75" hidden="false" customHeight="false" outlineLevel="0" collapsed="false">
      <c r="N1223" s="32"/>
    </row>
    <row r="1224" customFormat="false" ht="12.75" hidden="false" customHeight="false" outlineLevel="0" collapsed="false">
      <c r="N1224" s="32"/>
    </row>
    <row r="1225" customFormat="false" ht="12.75" hidden="false" customHeight="false" outlineLevel="0" collapsed="false">
      <c r="N1225" s="32"/>
    </row>
    <row r="1226" customFormat="false" ht="12.75" hidden="false" customHeight="false" outlineLevel="0" collapsed="false">
      <c r="N1226" s="32"/>
    </row>
    <row r="1227" customFormat="false" ht="12.75" hidden="false" customHeight="false" outlineLevel="0" collapsed="false">
      <c r="N1227" s="32"/>
    </row>
    <row r="1228" customFormat="false" ht="12.75" hidden="false" customHeight="false" outlineLevel="0" collapsed="false">
      <c r="N1228" s="32"/>
    </row>
    <row r="1229" customFormat="false" ht="12.75" hidden="false" customHeight="false" outlineLevel="0" collapsed="false">
      <c r="N1229" s="32"/>
    </row>
    <row r="1230" customFormat="false" ht="12.75" hidden="false" customHeight="false" outlineLevel="0" collapsed="false">
      <c r="N1230" s="32"/>
    </row>
    <row r="1231" customFormat="false" ht="12.75" hidden="false" customHeight="false" outlineLevel="0" collapsed="false">
      <c r="N1231" s="32"/>
    </row>
    <row r="1232" customFormat="false" ht="12.75" hidden="false" customHeight="false" outlineLevel="0" collapsed="false">
      <c r="N1232" s="32"/>
    </row>
    <row r="1233" customFormat="false" ht="12.75" hidden="false" customHeight="false" outlineLevel="0" collapsed="false">
      <c r="N1233" s="32"/>
    </row>
    <row r="1234" customFormat="false" ht="12.75" hidden="false" customHeight="false" outlineLevel="0" collapsed="false">
      <c r="N1234" s="32"/>
    </row>
    <row r="1235" customFormat="false" ht="12.75" hidden="false" customHeight="false" outlineLevel="0" collapsed="false">
      <c r="N1235" s="32"/>
    </row>
    <row r="1236" customFormat="false" ht="12.75" hidden="false" customHeight="false" outlineLevel="0" collapsed="false">
      <c r="N1236" s="32"/>
    </row>
    <row r="1237" customFormat="false" ht="12.75" hidden="false" customHeight="false" outlineLevel="0" collapsed="false">
      <c r="N1237" s="32"/>
    </row>
    <row r="1238" customFormat="false" ht="12.75" hidden="false" customHeight="false" outlineLevel="0" collapsed="false">
      <c r="N1238" s="32"/>
    </row>
    <row r="1239" customFormat="false" ht="12.75" hidden="false" customHeight="false" outlineLevel="0" collapsed="false">
      <c r="N1239" s="32"/>
    </row>
    <row r="1240" customFormat="false" ht="12.75" hidden="false" customHeight="false" outlineLevel="0" collapsed="false">
      <c r="N1240" s="32"/>
    </row>
    <row r="1241" customFormat="false" ht="12.75" hidden="false" customHeight="false" outlineLevel="0" collapsed="false">
      <c r="N1241" s="32"/>
    </row>
    <row r="1242" customFormat="false" ht="12.75" hidden="false" customHeight="false" outlineLevel="0" collapsed="false">
      <c r="N1242" s="32"/>
    </row>
    <row r="1243" customFormat="false" ht="12.75" hidden="false" customHeight="false" outlineLevel="0" collapsed="false">
      <c r="N1243" s="32"/>
    </row>
    <row r="1244" customFormat="false" ht="12.75" hidden="false" customHeight="false" outlineLevel="0" collapsed="false">
      <c r="N1244" s="32"/>
    </row>
    <row r="1245" customFormat="false" ht="12.75" hidden="false" customHeight="false" outlineLevel="0" collapsed="false">
      <c r="N1245" s="32"/>
    </row>
    <row r="1246" customFormat="false" ht="12.75" hidden="false" customHeight="false" outlineLevel="0" collapsed="false">
      <c r="N1246" s="32"/>
    </row>
    <row r="1247" customFormat="false" ht="12.75" hidden="false" customHeight="false" outlineLevel="0" collapsed="false">
      <c r="N1247" s="32"/>
    </row>
    <row r="1248" customFormat="false" ht="12.75" hidden="false" customHeight="false" outlineLevel="0" collapsed="false">
      <c r="N1248" s="32"/>
    </row>
    <row r="1249" customFormat="false" ht="12.75" hidden="false" customHeight="false" outlineLevel="0" collapsed="false">
      <c r="N1249" s="32"/>
    </row>
    <row r="1250" customFormat="false" ht="12.75" hidden="false" customHeight="false" outlineLevel="0" collapsed="false">
      <c r="N1250" s="32"/>
    </row>
    <row r="1251" customFormat="false" ht="12.75" hidden="false" customHeight="false" outlineLevel="0" collapsed="false">
      <c r="N1251" s="32"/>
    </row>
    <row r="1252" customFormat="false" ht="12.75" hidden="false" customHeight="false" outlineLevel="0" collapsed="false">
      <c r="N1252" s="32"/>
    </row>
    <row r="1253" customFormat="false" ht="12.75" hidden="false" customHeight="false" outlineLevel="0" collapsed="false">
      <c r="N1253" s="32"/>
    </row>
    <row r="1254" customFormat="false" ht="12.75" hidden="false" customHeight="false" outlineLevel="0" collapsed="false">
      <c r="N1254" s="32"/>
    </row>
    <row r="1255" customFormat="false" ht="12.75" hidden="false" customHeight="false" outlineLevel="0" collapsed="false">
      <c r="N1255" s="32"/>
    </row>
    <row r="1256" customFormat="false" ht="12.75" hidden="false" customHeight="false" outlineLevel="0" collapsed="false">
      <c r="N1256" s="32"/>
    </row>
  </sheetData>
  <mergeCells count="1">
    <mergeCell ref="N1:R1"/>
  </mergeCells>
  <printOptions headings="false" gridLines="false" gridLinesSet="true" horizontalCentered="false" verticalCentered="false"/>
  <pageMargins left="0.25" right="0.340277777777778" top="0.984027777777778" bottom="0.984027777777778" header="0.511811023622047" footer="0.511811023622047"/>
  <pageSetup paperSize="5" scale="6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4" activeCellId="0" sqref="E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9.56"/>
  </cols>
  <sheetData>
    <row r="1" customFormat="false" ht="12.75" hidden="false" customHeight="false" outlineLevel="0" collapsed="false">
      <c r="A1" s="9" t="s">
        <v>46</v>
      </c>
      <c r="D1" s="31" t="s">
        <v>1</v>
      </c>
      <c r="I1" s="0" t="s">
        <v>47</v>
      </c>
      <c r="K1" s="89" t="n">
        <v>0</v>
      </c>
    </row>
    <row r="2" customFormat="false" ht="25.5" hidden="false" customHeight="false" outlineLevel="0" collapsed="false">
      <c r="C2" s="0" t="s">
        <v>48</v>
      </c>
      <c r="G2" s="90" t="s">
        <v>49</v>
      </c>
    </row>
    <row r="3" customFormat="false" ht="12.75" hidden="false" customHeight="false" outlineLevel="0" collapsed="false">
      <c r="A3" s="21"/>
      <c r="B3" s="91"/>
      <c r="C3" s="31" t="n">
        <v>0</v>
      </c>
      <c r="F3" s="0" t="n">
        <v>2000</v>
      </c>
      <c r="G3" s="92" t="n">
        <f aca="false">(SUMIF(B:B,F3,C:C)/COUNTIF(B:B,F3))+$K$1</f>
        <v>1.44841975689983</v>
      </c>
    </row>
    <row r="4" customFormat="false" ht="12.75" hidden="false" customHeight="false" outlineLevel="0" collapsed="false">
      <c r="A4" s="21"/>
      <c r="B4" s="91"/>
      <c r="C4" s="93"/>
      <c r="F4" s="0" t="n">
        <v>2001</v>
      </c>
      <c r="G4" s="92" t="n">
        <f aca="false">(SUMIF(B:B,F4,C:C)/COUNTIF(B:B,F4))+$K$1</f>
        <v>1.43711123864166</v>
      </c>
    </row>
    <row r="5" customFormat="false" ht="12.75" hidden="false" customHeight="false" outlineLevel="0" collapsed="false">
      <c r="A5" s="21"/>
      <c r="B5" s="91"/>
      <c r="C5" s="93"/>
      <c r="F5" s="0" t="n">
        <v>2002</v>
      </c>
      <c r="G5" s="92" t="n">
        <f aca="false">(SUMIF(B:B,F5,C:C)/COUNTIF(B:B,F5))+$K$1</f>
        <v>1.42625625574583</v>
      </c>
    </row>
    <row r="6" customFormat="false" ht="12.75" hidden="false" customHeight="false" outlineLevel="0" collapsed="false">
      <c r="A6" s="21" t="n">
        <v>36617</v>
      </c>
      <c r="B6" s="91" t="n">
        <f aca="false">YEAR(A6)</f>
        <v>2000</v>
      </c>
      <c r="C6" s="94" t="n">
        <v>1.4526</v>
      </c>
      <c r="F6" s="0" t="n">
        <v>2003</v>
      </c>
      <c r="G6" s="92" t="n">
        <f aca="false">(SUMIF(B:B,F6,C:C)/COUNTIF(B:B,F6))+$K$1</f>
        <v>1.41407427747014</v>
      </c>
    </row>
    <row r="7" customFormat="false" ht="12.75" hidden="false" customHeight="false" outlineLevel="0" collapsed="false">
      <c r="A7" s="21" t="n">
        <v>36647</v>
      </c>
      <c r="B7" s="91" t="n">
        <f aca="false">YEAR(A7)</f>
        <v>2000</v>
      </c>
      <c r="C7" s="94" t="n">
        <v>1.45165263226579</v>
      </c>
      <c r="F7" s="0" t="n">
        <v>2004</v>
      </c>
      <c r="G7" s="92" t="n">
        <f aca="false">(SUMIF(B:B,F7,C:C)/COUNTIF(B:B,F7))+$K$1</f>
        <v>1.40018628512148</v>
      </c>
    </row>
    <row r="8" customFormat="false" ht="12.75" hidden="false" customHeight="false" outlineLevel="0" collapsed="false">
      <c r="A8" s="21" t="n">
        <v>36678</v>
      </c>
      <c r="B8" s="91" t="n">
        <f aca="false">YEAR(A8)</f>
        <v>2000</v>
      </c>
      <c r="C8" s="94" t="n">
        <v>1.45028114065149</v>
      </c>
      <c r="F8" s="0" t="n">
        <v>2005</v>
      </c>
      <c r="G8" s="92" t="n">
        <f aca="false">(SUMIF(B:B,F8,C:C)/COUNTIF(B:B,F8))+$K$1</f>
        <v>1.3825442094226</v>
      </c>
    </row>
    <row r="9" customFormat="false" ht="12.75" hidden="false" customHeight="false" outlineLevel="0" collapsed="false">
      <c r="A9" s="21" t="n">
        <v>36708</v>
      </c>
      <c r="B9" s="91" t="n">
        <f aca="false">YEAR(A9)</f>
        <v>2000</v>
      </c>
      <c r="C9" s="94" t="n">
        <v>1.44973210666355</v>
      </c>
      <c r="F9" s="0" t="n">
        <v>2006</v>
      </c>
      <c r="G9" s="92" t="n">
        <f aca="false">(SUMIF(B:B,F9,C:C)/COUNTIF(B:B,F9))+$K$1</f>
        <v>1.36919339352631</v>
      </c>
    </row>
    <row r="10" customFormat="false" ht="12.75" hidden="false" customHeight="false" outlineLevel="0" collapsed="false">
      <c r="A10" s="21" t="n">
        <v>36739</v>
      </c>
      <c r="B10" s="91" t="n">
        <f aca="false">YEAR(A10)</f>
        <v>2000</v>
      </c>
      <c r="C10" s="94" t="n">
        <v>1.44863949884251</v>
      </c>
      <c r="F10" s="0" t="n">
        <v>2007</v>
      </c>
      <c r="G10" s="92" t="n">
        <f aca="false">(SUMIF(B:B,F10,C:C)/COUNTIF(B:B,F10))+$K$1</f>
        <v>1.35672433416726</v>
      </c>
    </row>
    <row r="11" customFormat="false" ht="12.75" hidden="false" customHeight="false" outlineLevel="0" collapsed="false">
      <c r="A11" s="21" t="n">
        <v>36770</v>
      </c>
      <c r="B11" s="91" t="n">
        <f aca="false">YEAR(A11)</f>
        <v>2000</v>
      </c>
      <c r="C11" s="94" t="n">
        <v>1.44742203887858</v>
      </c>
      <c r="F11" s="0" t="n">
        <v>2008</v>
      </c>
      <c r="G11" s="92" t="n">
        <f aca="false">(SUMIF(B:B,F11,C:C)/COUNTIF(B:B,F11))+$K$1</f>
        <v>1.34581191169358</v>
      </c>
    </row>
    <row r="12" customFormat="false" ht="12.75" hidden="false" customHeight="false" outlineLevel="0" collapsed="false">
      <c r="A12" s="21" t="n">
        <v>36800</v>
      </c>
      <c r="B12" s="91" t="n">
        <f aca="false">YEAR(A12)</f>
        <v>2000</v>
      </c>
      <c r="C12" s="94" t="n">
        <v>1.44624575588287</v>
      </c>
      <c r="F12" s="0" t="n">
        <v>2009</v>
      </c>
      <c r="G12" s="92" t="n">
        <f aca="false">(SUMIF(B:B,F12,C:C)/COUNTIF(B:B,F12))+$K$1</f>
        <v>1.33556764320821</v>
      </c>
    </row>
    <row r="13" customFormat="false" ht="12.75" hidden="false" customHeight="false" outlineLevel="0" collapsed="false">
      <c r="A13" s="21" t="n">
        <v>36831</v>
      </c>
      <c r="B13" s="91" t="n">
        <f aca="false">YEAR(A13)</f>
        <v>2000</v>
      </c>
      <c r="C13" s="94" t="n">
        <v>1.44513934995348</v>
      </c>
      <c r="F13" s="0" t="n">
        <v>2010</v>
      </c>
      <c r="G13" s="92" t="n">
        <f aca="false">(SUMIF(B:B,F13,C:C)/COUNTIF(B:B,F13))+$K$1</f>
        <v>1.32561446530123</v>
      </c>
    </row>
    <row r="14" customFormat="false" ht="12.75" hidden="false" customHeight="false" outlineLevel="0" collapsed="false">
      <c r="A14" s="21" t="n">
        <v>36861</v>
      </c>
      <c r="B14" s="91" t="n">
        <f aca="false">YEAR(A14)</f>
        <v>2000</v>
      </c>
      <c r="C14" s="94" t="n">
        <v>1.44406528896018</v>
      </c>
      <c r="F14" s="0" t="n">
        <v>2011</v>
      </c>
      <c r="G14" s="92" t="n">
        <f aca="false">(SUMIF(B:B,F14,C:C)/COUNTIF(B:B,F14))+$K$1</f>
        <v>1.31531097724534</v>
      </c>
    </row>
    <row r="15" customFormat="false" ht="12.75" hidden="false" customHeight="false" outlineLevel="0" collapsed="false">
      <c r="A15" s="21" t="n">
        <v>36892</v>
      </c>
      <c r="B15" s="91" t="n">
        <f aca="false">YEAR(A15)</f>
        <v>2001</v>
      </c>
      <c r="C15" s="94" t="n">
        <v>1.44293783666563</v>
      </c>
      <c r="F15" s="0" t="n">
        <v>2012</v>
      </c>
      <c r="G15" s="92" t="n">
        <f aca="false">(SUMIF(B:B,F15,C:C)/COUNTIF(B:B,F15))+$K$1</f>
        <v>1.30527842366359</v>
      </c>
    </row>
    <row r="16" customFormat="false" ht="12.75" hidden="false" customHeight="false" outlineLevel="0" collapsed="false">
      <c r="A16" s="21" t="n">
        <v>36923</v>
      </c>
      <c r="B16" s="91" t="n">
        <f aca="false">YEAR(A16)</f>
        <v>2001</v>
      </c>
      <c r="C16" s="94" t="n">
        <v>1.44179861399005</v>
      </c>
      <c r="F16" s="0" t="n">
        <v>2013</v>
      </c>
      <c r="G16" s="92" t="n">
        <f aca="false">(SUMIF(B:B,F16,C:C)/COUNTIF(B:B,F16))+$K$1</f>
        <v>1.29559980538011</v>
      </c>
    </row>
    <row r="17" customFormat="false" ht="12.75" hidden="false" customHeight="false" outlineLevel="0" collapsed="false">
      <c r="A17" s="21" t="n">
        <v>36951</v>
      </c>
      <c r="B17" s="91" t="n">
        <f aca="false">YEAR(A17)</f>
        <v>2001</v>
      </c>
      <c r="C17" s="94" t="n">
        <v>1.44076302366238</v>
      </c>
      <c r="F17" s="0" t="n">
        <v>2014</v>
      </c>
      <c r="G17" s="92" t="n">
        <f aca="false">(SUMIF(B:B,F17,C:C)/COUNTIF(B:B,F17))+$K$1</f>
        <v>1.28625454928102</v>
      </c>
    </row>
    <row r="18" customFormat="false" ht="12.75" hidden="false" customHeight="false" outlineLevel="0" collapsed="false">
      <c r="A18" s="21" t="n">
        <v>36982</v>
      </c>
      <c r="B18" s="91" t="n">
        <f aca="false">YEAR(A18)</f>
        <v>2001</v>
      </c>
      <c r="C18" s="94" t="n">
        <v>1.43961860543668</v>
      </c>
      <c r="F18" s="0" t="n">
        <v>2015</v>
      </c>
      <c r="G18" s="92" t="n">
        <f aca="false">(SUMIF(B:B,F18,C:C)/COUNTIF(B:B,F18))+$K$1</f>
        <v>1.27749962551242</v>
      </c>
    </row>
    <row r="19" customFormat="false" ht="12.75" hidden="false" customHeight="false" outlineLevel="0" collapsed="false">
      <c r="A19" s="21" t="n">
        <v>37012</v>
      </c>
      <c r="B19" s="91" t="n">
        <f aca="false">YEAR(A19)</f>
        <v>2001</v>
      </c>
      <c r="C19" s="94" t="n">
        <v>1.43854335370451</v>
      </c>
      <c r="F19" s="0" t="n">
        <v>2016</v>
      </c>
      <c r="G19" s="92" t="n">
        <f aca="false">(SUMIF(B:B,F19,C:C)/COUNTIF(B:B,F19))+$K$1</f>
        <v>1.26990342899257</v>
      </c>
    </row>
    <row r="20" customFormat="false" ht="12.75" hidden="false" customHeight="false" outlineLevel="0" collapsed="false">
      <c r="A20" s="21" t="n">
        <v>37043</v>
      </c>
      <c r="B20" s="91" t="n">
        <f aca="false">YEAR(A20)</f>
        <v>2001</v>
      </c>
      <c r="C20" s="94" t="n">
        <v>1.43743235552266</v>
      </c>
      <c r="F20" s="0" t="n">
        <v>2017</v>
      </c>
      <c r="G20" s="92" t="n">
        <f aca="false">(SUMIF(B:B,F20,C:C)/COUNTIF(B:B,F20))+$K$1</f>
        <v>1.26281103438461</v>
      </c>
    </row>
    <row r="21" customFormat="false" ht="12.75" hidden="false" customHeight="false" outlineLevel="0" collapsed="false">
      <c r="A21" s="21" t="n">
        <v>37073</v>
      </c>
      <c r="B21" s="91" t="n">
        <f aca="false">YEAR(A21)</f>
        <v>2001</v>
      </c>
      <c r="C21" s="94" t="n">
        <v>1.43639367790867</v>
      </c>
      <c r="F21" s="0" t="n">
        <v>2018</v>
      </c>
      <c r="G21" s="92" t="n">
        <f aca="false">(SUMIF(B:B,F21,C:C)/COUNTIF(B:B,F21))+$K$1</f>
        <v>1.25615455254258</v>
      </c>
    </row>
    <row r="22" customFormat="false" ht="12.75" hidden="false" customHeight="false" outlineLevel="0" collapsed="false">
      <c r="A22" s="21" t="n">
        <v>37104</v>
      </c>
      <c r="B22" s="91" t="n">
        <f aca="false">YEAR(A22)</f>
        <v>2001</v>
      </c>
      <c r="C22" s="94" t="n">
        <v>1.43539608888184</v>
      </c>
      <c r="F22" s="0" t="n">
        <v>2019</v>
      </c>
      <c r="G22" s="92" t="n">
        <f aca="false">(SUMIF(B:B,F22,C:C)/COUNTIF(B:B,F22))+$K$1</f>
        <v>1.24992408625793</v>
      </c>
    </row>
    <row r="23" customFormat="false" ht="12.75" hidden="false" customHeight="false" outlineLevel="0" collapsed="false">
      <c r="A23" s="21" t="n">
        <v>37135</v>
      </c>
      <c r="B23" s="91" t="n">
        <f aca="false">YEAR(A23)</f>
        <v>2001</v>
      </c>
      <c r="C23" s="94" t="n">
        <v>1.43441258785536</v>
      </c>
      <c r="F23" s="0" t="n">
        <v>2020</v>
      </c>
      <c r="G23" s="92" t="n">
        <f aca="false">(SUMIF(B:B,F23,C:C)/COUNTIF(B:B,F23))+$K$1</f>
        <v>1.24228396737324</v>
      </c>
    </row>
    <row r="24" customFormat="false" ht="12.75" hidden="false" customHeight="false" outlineLevel="0" collapsed="false">
      <c r="A24" s="21" t="n">
        <v>37165</v>
      </c>
      <c r="B24" s="91" t="n">
        <f aca="false">YEAR(A24)</f>
        <v>2001</v>
      </c>
      <c r="C24" s="94" t="n">
        <v>1.43351132548441</v>
      </c>
      <c r="F24" s="0" t="n">
        <v>2021</v>
      </c>
      <c r="G24" s="92" t="n">
        <f aca="false">(SUMIF(B:B,F24,C:C)/COUNTIF(B:B,F24))+$K$1</f>
        <v>1.22941245089316</v>
      </c>
    </row>
    <row r="25" customFormat="false" ht="12.75" hidden="false" customHeight="false" outlineLevel="0" collapsed="false">
      <c r="A25" s="21" t="n">
        <v>37196</v>
      </c>
      <c r="B25" s="91" t="n">
        <f aca="false">YEAR(A25)</f>
        <v>2001</v>
      </c>
      <c r="C25" s="94" t="n">
        <v>1.43266246931427</v>
      </c>
      <c r="F25" s="0" t="n">
        <v>2022</v>
      </c>
      <c r="G25" s="92" t="n">
        <f aca="false">(SUMIF(B:B,F25,C:C)/COUNTIF(B:B,F25))+$K$1</f>
        <v>1.21601039129423</v>
      </c>
    </row>
    <row r="26" customFormat="false" ht="12.75" hidden="false" customHeight="false" outlineLevel="0" collapsed="false">
      <c r="A26" s="21" t="n">
        <v>37226</v>
      </c>
      <c r="B26" s="91" t="n">
        <f aca="false">YEAR(A26)</f>
        <v>2001</v>
      </c>
      <c r="C26" s="94" t="n">
        <v>1.43186492527345</v>
      </c>
      <c r="F26" s="0" t="n">
        <v>2023</v>
      </c>
      <c r="G26" s="92" t="n">
        <f aca="false">(SUMIF(B:B,F26,C:C)/COUNTIF(B:B,F26))+$K$1</f>
        <v>1.20241875843818</v>
      </c>
    </row>
    <row r="27" customFormat="false" ht="12.75" hidden="false" customHeight="false" outlineLevel="0" collapsed="false">
      <c r="A27" s="21" t="n">
        <v>37257</v>
      </c>
      <c r="B27" s="91" t="n">
        <f aca="false">YEAR(A27)</f>
        <v>2002</v>
      </c>
      <c r="C27" s="94" t="n">
        <v>1.43108656847082</v>
      </c>
      <c r="F27" s="0" t="n">
        <v>2024</v>
      </c>
      <c r="G27" s="92" t="n">
        <f aca="false">(SUMIF(B:B,F27,C:C)/COUNTIF(B:B,F27))+$K$1</f>
        <v>1.18861551383675</v>
      </c>
    </row>
    <row r="28" customFormat="false" ht="12.75" hidden="false" customHeight="false" outlineLevel="0" collapsed="false">
      <c r="A28" s="21" t="n">
        <v>37288</v>
      </c>
      <c r="B28" s="91" t="n">
        <f aca="false">YEAR(A28)</f>
        <v>2002</v>
      </c>
      <c r="C28" s="94" t="n">
        <v>1.43036588367405</v>
      </c>
      <c r="F28" s="0" t="n">
        <v>2025</v>
      </c>
      <c r="G28" s="92" t="n">
        <f aca="false">(SUMIF(B:B,F28,C:C)/COUNTIF(B:B,F28))+$K$1</f>
        <v>1.17466693055468</v>
      </c>
    </row>
    <row r="29" customFormat="false" ht="12.75" hidden="false" customHeight="false" outlineLevel="0" collapsed="false">
      <c r="A29" s="21" t="n">
        <v>37316</v>
      </c>
      <c r="B29" s="91" t="n">
        <f aca="false">YEAR(A29)</f>
        <v>2002</v>
      </c>
      <c r="C29" s="94" t="n">
        <v>1.42974057335624</v>
      </c>
    </row>
    <row r="30" customFormat="false" ht="12.75" hidden="false" customHeight="false" outlineLevel="0" collapsed="false">
      <c r="A30" s="21" t="n">
        <v>37347</v>
      </c>
      <c r="B30" s="91" t="n">
        <f aca="false">YEAR(A30)</f>
        <v>2002</v>
      </c>
      <c r="C30" s="94" t="n">
        <v>1.42913461091857</v>
      </c>
    </row>
    <row r="31" customFormat="false" ht="12.75" hidden="false" customHeight="false" outlineLevel="0" collapsed="false">
      <c r="A31" s="21" t="n">
        <v>37377</v>
      </c>
      <c r="B31" s="91" t="n">
        <f aca="false">YEAR(A31)</f>
        <v>2002</v>
      </c>
      <c r="C31" s="94" t="n">
        <v>1.4281177975516</v>
      </c>
    </row>
    <row r="32" customFormat="false" ht="12.75" hidden="false" customHeight="false" outlineLevel="0" collapsed="false">
      <c r="A32" s="21" t="n">
        <v>37408</v>
      </c>
      <c r="B32" s="91" t="n">
        <f aca="false">YEAR(A32)</f>
        <v>2002</v>
      </c>
      <c r="C32" s="94" t="n">
        <v>1.42699723806337</v>
      </c>
    </row>
    <row r="33" customFormat="false" ht="12.75" hidden="false" customHeight="false" outlineLevel="0" collapsed="false">
      <c r="A33" s="21" t="n">
        <v>37438</v>
      </c>
      <c r="B33" s="91" t="n">
        <f aca="false">YEAR(A33)</f>
        <v>2002</v>
      </c>
      <c r="C33" s="94" t="n">
        <v>1.42592560623504</v>
      </c>
    </row>
    <row r="34" customFormat="false" ht="12.75" hidden="false" customHeight="false" outlineLevel="0" collapsed="false">
      <c r="A34" s="21" t="n">
        <v>37469</v>
      </c>
      <c r="B34" s="91" t="n">
        <f aca="false">YEAR(A34)</f>
        <v>2002</v>
      </c>
      <c r="C34" s="94" t="n">
        <v>1.42484759188735</v>
      </c>
    </row>
    <row r="35" customFormat="false" ht="12.75" hidden="false" customHeight="false" outlineLevel="0" collapsed="false">
      <c r="A35" s="21" t="n">
        <v>37500</v>
      </c>
      <c r="B35" s="91" t="n">
        <f aca="false">YEAR(A35)</f>
        <v>2002</v>
      </c>
      <c r="C35" s="94" t="n">
        <v>1.42376478997839</v>
      </c>
    </row>
    <row r="36" customFormat="false" ht="12.75" hidden="false" customHeight="false" outlineLevel="0" collapsed="false">
      <c r="A36" s="21" t="n">
        <v>37530</v>
      </c>
      <c r="B36" s="91" t="n">
        <f aca="false">YEAR(A36)</f>
        <v>2002</v>
      </c>
      <c r="C36" s="94" t="n">
        <v>1.42273112965184</v>
      </c>
    </row>
    <row r="37" customFormat="false" ht="12.75" hidden="false" customHeight="false" outlineLevel="0" collapsed="false">
      <c r="A37" s="21" t="n">
        <v>37561</v>
      </c>
      <c r="B37" s="91" t="n">
        <f aca="false">YEAR(A37)</f>
        <v>2002</v>
      </c>
      <c r="C37" s="94" t="n">
        <v>1.42168744500062</v>
      </c>
    </row>
    <row r="38" customFormat="false" ht="12.75" hidden="false" customHeight="false" outlineLevel="0" collapsed="false">
      <c r="A38" s="21" t="n">
        <v>37591</v>
      </c>
      <c r="B38" s="91" t="n">
        <f aca="false">YEAR(A38)</f>
        <v>2002</v>
      </c>
      <c r="C38" s="94" t="n">
        <v>1.42067583416208</v>
      </c>
    </row>
    <row r="39" customFormat="false" ht="12.75" hidden="false" customHeight="false" outlineLevel="0" collapsed="false">
      <c r="A39" s="21" t="n">
        <v>37622</v>
      </c>
      <c r="B39" s="91" t="n">
        <f aca="false">YEAR(A39)</f>
        <v>2003</v>
      </c>
      <c r="C39" s="94" t="n">
        <v>1.41962115947708</v>
      </c>
    </row>
    <row r="40" customFormat="false" ht="12.75" hidden="false" customHeight="false" outlineLevel="0" collapsed="false">
      <c r="A40" s="21" t="n">
        <v>37653</v>
      </c>
      <c r="B40" s="91" t="n">
        <f aca="false">YEAR(A40)</f>
        <v>2003</v>
      </c>
      <c r="C40" s="94" t="n">
        <v>1.41855472247256</v>
      </c>
    </row>
    <row r="41" customFormat="false" ht="12.75" hidden="false" customHeight="false" outlineLevel="0" collapsed="false">
      <c r="A41" s="21" t="n">
        <v>37681</v>
      </c>
      <c r="B41" s="91" t="n">
        <f aca="false">YEAR(A41)</f>
        <v>2003</v>
      </c>
      <c r="C41" s="94" t="n">
        <v>1.4175891808282</v>
      </c>
    </row>
    <row r="42" customFormat="false" ht="12.75" hidden="false" customHeight="false" outlineLevel="0" collapsed="false">
      <c r="A42" s="21" t="n">
        <v>37712</v>
      </c>
      <c r="B42" s="91" t="n">
        <f aca="false">YEAR(A42)</f>
        <v>2003</v>
      </c>
      <c r="C42" s="94" t="n">
        <v>1.41655996235969</v>
      </c>
    </row>
    <row r="43" customFormat="false" ht="12.75" hidden="false" customHeight="false" outlineLevel="0" collapsed="false">
      <c r="A43" s="21" t="n">
        <v>37742</v>
      </c>
      <c r="B43" s="91" t="n">
        <f aca="false">YEAR(A43)</f>
        <v>2003</v>
      </c>
      <c r="C43" s="94" t="n">
        <v>1.41557762905474</v>
      </c>
    </row>
    <row r="44" customFormat="false" ht="12.75" hidden="false" customHeight="false" outlineLevel="0" collapsed="false">
      <c r="A44" s="21" t="n">
        <v>37773</v>
      </c>
      <c r="B44" s="91" t="n">
        <f aca="false">YEAR(A44)</f>
        <v>2003</v>
      </c>
      <c r="C44" s="94" t="n">
        <v>1.41455797049791</v>
      </c>
    </row>
    <row r="45" customFormat="false" ht="12.75" hidden="false" customHeight="false" outlineLevel="0" collapsed="false">
      <c r="A45" s="21" t="n">
        <v>37803</v>
      </c>
      <c r="B45" s="91" t="n">
        <f aca="false">YEAR(A45)</f>
        <v>2003</v>
      </c>
      <c r="C45" s="94" t="n">
        <v>1.41357433649335</v>
      </c>
    </row>
    <row r="46" customFormat="false" ht="12.75" hidden="false" customHeight="false" outlineLevel="0" collapsed="false">
      <c r="A46" s="21" t="n">
        <v>37834</v>
      </c>
      <c r="B46" s="91" t="n">
        <f aca="false">YEAR(A46)</f>
        <v>2003</v>
      </c>
      <c r="C46" s="94" t="n">
        <v>1.41256261240089</v>
      </c>
    </row>
    <row r="47" customFormat="false" ht="12.75" hidden="false" customHeight="false" outlineLevel="0" collapsed="false">
      <c r="A47" s="21" t="n">
        <v>37865</v>
      </c>
      <c r="B47" s="91" t="n">
        <f aca="false">YEAR(A47)</f>
        <v>2003</v>
      </c>
      <c r="C47" s="94" t="n">
        <v>1.41155144428146</v>
      </c>
    </row>
    <row r="48" customFormat="false" ht="12.75" hidden="false" customHeight="false" outlineLevel="0" collapsed="false">
      <c r="A48" s="21" t="n">
        <v>37895</v>
      </c>
      <c r="B48" s="91" t="n">
        <f aca="false">YEAR(A48)</f>
        <v>2003</v>
      </c>
      <c r="C48" s="94" t="n">
        <v>1.41057531443698</v>
      </c>
    </row>
    <row r="49" customFormat="false" ht="12.75" hidden="false" customHeight="false" outlineLevel="0" collapsed="false">
      <c r="A49" s="21" t="n">
        <v>37926</v>
      </c>
      <c r="B49" s="91" t="n">
        <f aca="false">YEAR(A49)</f>
        <v>2003</v>
      </c>
      <c r="C49" s="94" t="n">
        <v>1.40956971671875</v>
      </c>
    </row>
    <row r="50" customFormat="false" ht="12.75" hidden="false" customHeight="false" outlineLevel="0" collapsed="false">
      <c r="A50" s="21" t="n">
        <v>37956</v>
      </c>
      <c r="B50" s="91" t="n">
        <f aca="false">YEAR(A50)</f>
        <v>2003</v>
      </c>
      <c r="C50" s="94" t="n">
        <v>1.40859728062009</v>
      </c>
    </row>
    <row r="51" customFormat="false" ht="12.75" hidden="false" customHeight="false" outlineLevel="0" collapsed="false">
      <c r="A51" s="21" t="n">
        <v>37987</v>
      </c>
      <c r="B51" s="91" t="n">
        <f aca="false">YEAR(A51)</f>
        <v>2004</v>
      </c>
      <c r="C51" s="94" t="n">
        <v>1.40756860158374</v>
      </c>
    </row>
    <row r="52" customFormat="false" ht="12.75" hidden="false" customHeight="false" outlineLevel="0" collapsed="false">
      <c r="A52" s="21" t="n">
        <v>38018</v>
      </c>
      <c r="B52" s="91" t="n">
        <f aca="false">YEAR(A52)</f>
        <v>2004</v>
      </c>
      <c r="C52" s="94" t="n">
        <v>1.40651281544275</v>
      </c>
    </row>
    <row r="53" customFormat="false" ht="12.75" hidden="false" customHeight="false" outlineLevel="0" collapsed="false">
      <c r="A53" s="21" t="n">
        <v>38047</v>
      </c>
      <c r="B53" s="91" t="n">
        <f aca="false">YEAR(A53)</f>
        <v>2004</v>
      </c>
      <c r="C53" s="94" t="n">
        <v>1.40552381832433</v>
      </c>
    </row>
    <row r="54" customFormat="false" ht="12.75" hidden="false" customHeight="false" outlineLevel="0" collapsed="false">
      <c r="A54" s="21" t="n">
        <v>38078</v>
      </c>
      <c r="B54" s="91" t="n">
        <f aca="false">YEAR(A54)</f>
        <v>2004</v>
      </c>
      <c r="C54" s="94" t="n">
        <v>1.4042469732018</v>
      </c>
    </row>
    <row r="55" customFormat="false" ht="12.75" hidden="false" customHeight="false" outlineLevel="0" collapsed="false">
      <c r="A55" s="21" t="n">
        <v>38108</v>
      </c>
      <c r="B55" s="91" t="n">
        <f aca="false">YEAR(A55)</f>
        <v>2004</v>
      </c>
      <c r="C55" s="94" t="n">
        <v>1.4027718067594</v>
      </c>
    </row>
    <row r="56" customFormat="false" ht="12.75" hidden="false" customHeight="false" outlineLevel="0" collapsed="false">
      <c r="A56" s="21" t="n">
        <v>38139</v>
      </c>
      <c r="B56" s="91" t="n">
        <f aca="false">YEAR(A56)</f>
        <v>2004</v>
      </c>
      <c r="C56" s="94" t="n">
        <v>1.40122808458822</v>
      </c>
    </row>
    <row r="57" customFormat="false" ht="12.75" hidden="false" customHeight="false" outlineLevel="0" collapsed="false">
      <c r="A57" s="21" t="n">
        <v>38169</v>
      </c>
      <c r="B57" s="91" t="n">
        <f aca="false">YEAR(A57)</f>
        <v>2004</v>
      </c>
      <c r="C57" s="94" t="n">
        <v>1.39971546738061</v>
      </c>
    </row>
    <row r="58" customFormat="false" ht="12.75" hidden="false" customHeight="false" outlineLevel="0" collapsed="false">
      <c r="A58" s="21" t="n">
        <v>38200</v>
      </c>
      <c r="B58" s="91" t="n">
        <f aca="false">YEAR(A58)</f>
        <v>2004</v>
      </c>
      <c r="C58" s="94" t="n">
        <v>1.39813318341772</v>
      </c>
    </row>
    <row r="59" customFormat="false" ht="12.75" hidden="false" customHeight="false" outlineLevel="0" collapsed="false">
      <c r="A59" s="21" t="n">
        <v>38231</v>
      </c>
      <c r="B59" s="91" t="n">
        <f aca="false">YEAR(A59)</f>
        <v>2004</v>
      </c>
      <c r="C59" s="94" t="n">
        <v>1.39653140912054</v>
      </c>
    </row>
    <row r="60" customFormat="false" ht="12.75" hidden="false" customHeight="false" outlineLevel="0" collapsed="false">
      <c r="A60" s="21" t="n">
        <v>38261</v>
      </c>
      <c r="B60" s="91" t="n">
        <f aca="false">YEAR(A60)</f>
        <v>2004</v>
      </c>
      <c r="C60" s="94" t="n">
        <v>1.39496281625372</v>
      </c>
    </row>
    <row r="61" customFormat="false" ht="12.75" hidden="false" customHeight="false" outlineLevel="0" collapsed="false">
      <c r="A61" s="21" t="n">
        <v>38292</v>
      </c>
      <c r="B61" s="91" t="n">
        <f aca="false">YEAR(A61)</f>
        <v>2004</v>
      </c>
      <c r="C61" s="94" t="n">
        <v>1.39332290370387</v>
      </c>
    </row>
    <row r="62" customFormat="false" ht="12.75" hidden="false" customHeight="false" outlineLevel="0" collapsed="false">
      <c r="A62" s="21" t="n">
        <v>38322</v>
      </c>
      <c r="B62" s="91" t="n">
        <f aca="false">YEAR(A62)</f>
        <v>2004</v>
      </c>
      <c r="C62" s="94" t="n">
        <v>1.39171754168102</v>
      </c>
    </row>
    <row r="63" customFormat="false" ht="12.75" hidden="false" customHeight="false" outlineLevel="0" collapsed="false">
      <c r="A63" s="21" t="n">
        <v>38353</v>
      </c>
      <c r="B63" s="91" t="n">
        <f aca="false">YEAR(A63)</f>
        <v>2005</v>
      </c>
      <c r="C63" s="94" t="n">
        <v>1.39003977930415</v>
      </c>
    </row>
    <row r="64" customFormat="false" ht="12.75" hidden="false" customHeight="false" outlineLevel="0" collapsed="false">
      <c r="A64" s="21" t="n">
        <v>38384</v>
      </c>
      <c r="B64" s="91" t="n">
        <f aca="false">YEAR(A64)</f>
        <v>2005</v>
      </c>
      <c r="C64" s="94" t="n">
        <v>1.38834289421658</v>
      </c>
    </row>
    <row r="65" customFormat="false" ht="12.75" hidden="false" customHeight="false" outlineLevel="0" collapsed="false">
      <c r="A65" s="21" t="n">
        <v>38412</v>
      </c>
      <c r="B65" s="91" t="n">
        <f aca="false">YEAR(A65)</f>
        <v>2005</v>
      </c>
      <c r="C65" s="94" t="n">
        <v>1.38679385130795</v>
      </c>
    </row>
    <row r="66" customFormat="false" ht="12.75" hidden="false" customHeight="false" outlineLevel="0" collapsed="false">
      <c r="A66" s="21" t="n">
        <v>38443</v>
      </c>
      <c r="B66" s="91" t="n">
        <f aca="false">YEAR(A66)</f>
        <v>2005</v>
      </c>
      <c r="C66" s="94" t="n">
        <v>1.38506078421694</v>
      </c>
    </row>
    <row r="67" customFormat="false" ht="12.75" hidden="false" customHeight="false" outlineLevel="0" collapsed="false">
      <c r="A67" s="21" t="n">
        <v>38473</v>
      </c>
      <c r="B67" s="91" t="n">
        <f aca="false">YEAR(A67)</f>
        <v>2005</v>
      </c>
      <c r="C67" s="94" t="n">
        <v>1.38388335471907</v>
      </c>
    </row>
    <row r="68" customFormat="false" ht="12.75" hidden="false" customHeight="false" outlineLevel="0" collapsed="false">
      <c r="A68" s="21" t="n">
        <v>38504</v>
      </c>
      <c r="B68" s="91" t="n">
        <f aca="false">YEAR(A68)</f>
        <v>2005</v>
      </c>
      <c r="C68" s="94" t="n">
        <v>1.38276924468592</v>
      </c>
    </row>
    <row r="69" customFormat="false" ht="12.75" hidden="false" customHeight="false" outlineLevel="0" collapsed="false">
      <c r="A69" s="21" t="n">
        <v>38534</v>
      </c>
      <c r="B69" s="91" t="n">
        <f aca="false">YEAR(A69)</f>
        <v>2005</v>
      </c>
      <c r="C69" s="94" t="n">
        <v>1.38169215950328</v>
      </c>
    </row>
    <row r="70" customFormat="false" ht="12.75" hidden="false" customHeight="false" outlineLevel="0" collapsed="false">
      <c r="A70" s="21" t="n">
        <v>38565</v>
      </c>
      <c r="B70" s="91" t="n">
        <f aca="false">YEAR(A70)</f>
        <v>2005</v>
      </c>
      <c r="C70" s="94" t="n">
        <v>1.38058029221068</v>
      </c>
    </row>
    <row r="71" customFormat="false" ht="12.75" hidden="false" customHeight="false" outlineLevel="0" collapsed="false">
      <c r="A71" s="21" t="n">
        <v>38596</v>
      </c>
      <c r="B71" s="91" t="n">
        <f aca="false">YEAR(A71)</f>
        <v>2005</v>
      </c>
      <c r="C71" s="94" t="n">
        <v>1.37946956271916</v>
      </c>
    </row>
    <row r="72" customFormat="false" ht="12.75" hidden="false" customHeight="false" outlineLevel="0" collapsed="false">
      <c r="A72" s="21" t="n">
        <v>38626</v>
      </c>
      <c r="B72" s="91" t="n">
        <f aca="false">YEAR(A72)</f>
        <v>2005</v>
      </c>
      <c r="C72" s="94" t="n">
        <v>1.37839574531224</v>
      </c>
    </row>
    <row r="73" customFormat="false" ht="12.75" hidden="false" customHeight="false" outlineLevel="0" collapsed="false">
      <c r="A73" s="21" t="n">
        <v>38657</v>
      </c>
      <c r="B73" s="91" t="n">
        <f aca="false">YEAR(A73)</f>
        <v>2005</v>
      </c>
      <c r="C73" s="94" t="n">
        <v>1.37728725088601</v>
      </c>
    </row>
    <row r="74" customFormat="false" ht="12.75" hidden="false" customHeight="false" outlineLevel="0" collapsed="false">
      <c r="A74" s="21" t="n">
        <v>38687</v>
      </c>
      <c r="B74" s="91" t="n">
        <f aca="false">YEAR(A74)</f>
        <v>2005</v>
      </c>
      <c r="C74" s="94" t="n">
        <v>1.37621559398927</v>
      </c>
    </row>
    <row r="75" customFormat="false" ht="12.75" hidden="false" customHeight="false" outlineLevel="0" collapsed="false">
      <c r="A75" s="21" t="n">
        <v>38718</v>
      </c>
      <c r="B75" s="91" t="n">
        <f aca="false">YEAR(A75)</f>
        <v>2006</v>
      </c>
      <c r="C75" s="94" t="n">
        <v>1.3751093295553</v>
      </c>
    </row>
    <row r="76" customFormat="false" ht="12.75" hidden="false" customHeight="false" outlineLevel="0" collapsed="false">
      <c r="A76" s="21" t="n">
        <v>38749</v>
      </c>
      <c r="B76" s="91" t="n">
        <f aca="false">YEAR(A76)</f>
        <v>2006</v>
      </c>
      <c r="C76" s="94" t="n">
        <v>1.37400419645603</v>
      </c>
    </row>
    <row r="77" customFormat="false" ht="12.75" hidden="false" customHeight="false" outlineLevel="0" collapsed="false">
      <c r="A77" s="21" t="n">
        <v>38777</v>
      </c>
      <c r="B77" s="91" t="n">
        <f aca="false">YEAR(A77)</f>
        <v>2006</v>
      </c>
      <c r="C77" s="94" t="n">
        <v>1.37300698304178</v>
      </c>
    </row>
    <row r="78" customFormat="false" ht="12.75" hidden="false" customHeight="false" outlineLevel="0" collapsed="false">
      <c r="A78" s="21" t="n">
        <v>38808</v>
      </c>
      <c r="B78" s="91" t="n">
        <f aca="false">YEAR(A78)</f>
        <v>2006</v>
      </c>
      <c r="C78" s="94" t="n">
        <v>1.37190399952323</v>
      </c>
    </row>
    <row r="79" customFormat="false" ht="12.75" hidden="false" customHeight="false" outlineLevel="0" collapsed="false">
      <c r="A79" s="21" t="n">
        <v>38838</v>
      </c>
      <c r="B79" s="91" t="n">
        <f aca="false">YEAR(A79)</f>
        <v>2006</v>
      </c>
      <c r="C79" s="94" t="n">
        <v>1.37083766970919</v>
      </c>
    </row>
    <row r="80" customFormat="false" ht="12.75" hidden="false" customHeight="false" outlineLevel="0" collapsed="false">
      <c r="A80" s="21" t="n">
        <v>38869</v>
      </c>
      <c r="B80" s="91" t="n">
        <f aca="false">YEAR(A80)</f>
        <v>2006</v>
      </c>
      <c r="C80" s="94" t="n">
        <v>1.36973690367967</v>
      </c>
    </row>
    <row r="81" customFormat="false" ht="12.75" hidden="false" customHeight="false" outlineLevel="0" collapsed="false">
      <c r="A81" s="21" t="n">
        <v>38899</v>
      </c>
      <c r="B81" s="91" t="n">
        <f aca="false">YEAR(A81)</f>
        <v>2006</v>
      </c>
      <c r="C81" s="94" t="n">
        <v>1.36867271738782</v>
      </c>
    </row>
    <row r="82" customFormat="false" ht="12.75" hidden="false" customHeight="false" outlineLevel="0" collapsed="false">
      <c r="A82" s="21" t="n">
        <v>38930</v>
      </c>
      <c r="B82" s="91" t="n">
        <f aca="false">YEAR(A82)</f>
        <v>2006</v>
      </c>
      <c r="C82" s="94" t="n">
        <v>1.36757416381831</v>
      </c>
    </row>
    <row r="83" customFormat="false" ht="12.75" hidden="false" customHeight="false" outlineLevel="0" collapsed="false">
      <c r="A83" s="21" t="n">
        <v>38961</v>
      </c>
      <c r="B83" s="91" t="n">
        <f aca="false">YEAR(A83)</f>
        <v>2006</v>
      </c>
      <c r="C83" s="94" t="n">
        <v>1.3664767326905</v>
      </c>
    </row>
    <row r="84" customFormat="false" ht="12.75" hidden="false" customHeight="false" outlineLevel="0" collapsed="false">
      <c r="A84" s="21" t="n">
        <v>38991</v>
      </c>
      <c r="B84" s="91" t="n">
        <f aca="false">YEAR(A84)</f>
        <v>2006</v>
      </c>
      <c r="C84" s="94" t="n">
        <v>1.36541577006207</v>
      </c>
    </row>
    <row r="85" customFormat="false" ht="12.75" hidden="false" customHeight="false" outlineLevel="0" collapsed="false">
      <c r="A85" s="21" t="n">
        <v>39022</v>
      </c>
      <c r="B85" s="91" t="n">
        <f aca="false">YEAR(A85)</f>
        <v>2006</v>
      </c>
      <c r="C85" s="94" t="n">
        <v>1.36432054383333</v>
      </c>
    </row>
    <row r="86" customFormat="false" ht="12.75" hidden="false" customHeight="false" outlineLevel="0" collapsed="false">
      <c r="A86" s="21" t="n">
        <v>39052</v>
      </c>
      <c r="B86" s="91" t="n">
        <f aca="false">YEAR(A86)</f>
        <v>2006</v>
      </c>
      <c r="C86" s="94" t="n">
        <v>1.36326171255853</v>
      </c>
    </row>
    <row r="87" customFormat="false" ht="12.75" hidden="false" customHeight="false" outlineLevel="0" collapsed="false">
      <c r="A87" s="21" t="n">
        <v>39083</v>
      </c>
      <c r="B87" s="91" t="n">
        <f aca="false">YEAR(A87)</f>
        <v>2007</v>
      </c>
      <c r="C87" s="94" t="n">
        <v>1.36216868623139</v>
      </c>
    </row>
    <row r="88" customFormat="false" ht="12.75" hidden="false" customHeight="false" outlineLevel="0" collapsed="false">
      <c r="A88" s="21" t="n">
        <v>39114</v>
      </c>
      <c r="B88" s="91" t="n">
        <f aca="false">YEAR(A88)</f>
        <v>2007</v>
      </c>
      <c r="C88" s="94" t="n">
        <v>1.36107677597584</v>
      </c>
    </row>
    <row r="89" customFormat="false" ht="12.75" hidden="false" customHeight="false" outlineLevel="0" collapsed="false">
      <c r="A89" s="21" t="n">
        <v>39142</v>
      </c>
      <c r="B89" s="91" t="n">
        <f aca="false">YEAR(A89)</f>
        <v>2007</v>
      </c>
      <c r="C89" s="94" t="n">
        <v>1.36009149267248</v>
      </c>
    </row>
    <row r="90" customFormat="false" ht="12.75" hidden="false" customHeight="false" outlineLevel="0" collapsed="false">
      <c r="A90" s="21" t="n">
        <v>39173</v>
      </c>
      <c r="B90" s="91" t="n">
        <f aca="false">YEAR(A90)</f>
        <v>2007</v>
      </c>
      <c r="C90" s="94" t="n">
        <v>1.3590017030022</v>
      </c>
    </row>
    <row r="91" customFormat="false" ht="12.75" hidden="false" customHeight="false" outlineLevel="0" collapsed="false">
      <c r="A91" s="21" t="n">
        <v>39203</v>
      </c>
      <c r="B91" s="91" t="n">
        <f aca="false">YEAR(A91)</f>
        <v>2007</v>
      </c>
      <c r="C91" s="94" t="n">
        <v>1.3580416565023</v>
      </c>
    </row>
    <row r="92" customFormat="false" ht="12.75" hidden="false" customHeight="false" outlineLevel="0" collapsed="false">
      <c r="A92" s="21" t="n">
        <v>39234</v>
      </c>
      <c r="B92" s="91" t="n">
        <f aca="false">YEAR(A92)</f>
        <v>2007</v>
      </c>
      <c r="C92" s="94" t="n">
        <v>1.35709472452038</v>
      </c>
    </row>
    <row r="93" customFormat="false" ht="12.75" hidden="false" customHeight="false" outlineLevel="0" collapsed="false">
      <c r="A93" s="21" t="n">
        <v>39264</v>
      </c>
      <c r="B93" s="91" t="n">
        <f aca="false">YEAR(A93)</f>
        <v>2007</v>
      </c>
      <c r="C93" s="94" t="n">
        <v>1.35618234448799</v>
      </c>
    </row>
    <row r="94" customFormat="false" ht="12.75" hidden="false" customHeight="false" outlineLevel="0" collapsed="false">
      <c r="A94" s="21" t="n">
        <v>39295</v>
      </c>
      <c r="B94" s="91" t="n">
        <f aca="false">YEAR(A94)</f>
        <v>2007</v>
      </c>
      <c r="C94" s="94" t="n">
        <v>1.35524368336752</v>
      </c>
    </row>
    <row r="95" customFormat="false" ht="12.75" hidden="false" customHeight="false" outlineLevel="0" collapsed="false">
      <c r="A95" s="21" t="n">
        <v>39326</v>
      </c>
      <c r="B95" s="91" t="n">
        <f aca="false">YEAR(A95)</f>
        <v>2007</v>
      </c>
      <c r="C95" s="94" t="n">
        <v>1.35430921376697</v>
      </c>
    </row>
    <row r="96" customFormat="false" ht="12.75" hidden="false" customHeight="false" outlineLevel="0" collapsed="false">
      <c r="A96" s="21" t="n">
        <v>39356</v>
      </c>
      <c r="B96" s="91" t="n">
        <f aca="false">YEAR(A96)</f>
        <v>2007</v>
      </c>
      <c r="C96" s="94" t="n">
        <v>1.35340887185028</v>
      </c>
    </row>
    <row r="97" customFormat="false" ht="12.75" hidden="false" customHeight="false" outlineLevel="0" collapsed="false">
      <c r="A97" s="21" t="n">
        <v>39387</v>
      </c>
      <c r="B97" s="91" t="n">
        <f aca="false">YEAR(A97)</f>
        <v>2007</v>
      </c>
      <c r="C97" s="94" t="n">
        <v>1.35248262723193</v>
      </c>
    </row>
    <row r="98" customFormat="false" ht="12.75" hidden="false" customHeight="false" outlineLevel="0" collapsed="false">
      <c r="A98" s="21" t="n">
        <v>39417</v>
      </c>
      <c r="B98" s="91" t="n">
        <f aca="false">YEAR(A98)</f>
        <v>2007</v>
      </c>
      <c r="C98" s="94" t="n">
        <v>1.35159023039789</v>
      </c>
    </row>
    <row r="99" customFormat="false" ht="12.75" hidden="false" customHeight="false" outlineLevel="0" collapsed="false">
      <c r="A99" s="21" t="n">
        <v>39448</v>
      </c>
      <c r="B99" s="91" t="n">
        <f aca="false">YEAR(A99)</f>
        <v>2008</v>
      </c>
      <c r="C99" s="94" t="n">
        <v>1.35067218070793</v>
      </c>
    </row>
    <row r="100" customFormat="false" ht="12.75" hidden="false" customHeight="false" outlineLevel="0" collapsed="false">
      <c r="A100" s="21" t="n">
        <v>39479</v>
      </c>
      <c r="B100" s="91" t="n">
        <f aca="false">YEAR(A100)</f>
        <v>2008</v>
      </c>
      <c r="C100" s="94" t="n">
        <v>1.34975828422918</v>
      </c>
    </row>
    <row r="101" customFormat="false" ht="12.75" hidden="false" customHeight="false" outlineLevel="0" collapsed="false">
      <c r="A101" s="21" t="n">
        <v>39508</v>
      </c>
      <c r="B101" s="91" t="n">
        <f aca="false">YEAR(A101)</f>
        <v>2008</v>
      </c>
      <c r="C101" s="94" t="n">
        <v>1.34890710196832</v>
      </c>
    </row>
    <row r="102" customFormat="false" ht="12.75" hidden="false" customHeight="false" outlineLevel="0" collapsed="false">
      <c r="A102" s="21" t="n">
        <v>39539</v>
      </c>
      <c r="B102" s="91" t="n">
        <f aca="false">YEAR(A102)</f>
        <v>2008</v>
      </c>
      <c r="C102" s="94" t="n">
        <v>1.3480012222672</v>
      </c>
    </row>
    <row r="103" customFormat="false" ht="12.75" hidden="false" customHeight="false" outlineLevel="0" collapsed="false">
      <c r="A103" s="21" t="n">
        <v>39569</v>
      </c>
      <c r="B103" s="91" t="n">
        <f aca="false">YEAR(A103)</f>
        <v>2008</v>
      </c>
      <c r="C103" s="94" t="n">
        <v>1.34712849770293</v>
      </c>
    </row>
    <row r="104" customFormat="false" ht="12.75" hidden="false" customHeight="false" outlineLevel="0" collapsed="false">
      <c r="A104" s="21" t="n">
        <v>39600</v>
      </c>
      <c r="B104" s="91" t="n">
        <f aca="false">YEAR(A104)</f>
        <v>2008</v>
      </c>
      <c r="C104" s="94" t="n">
        <v>1.34623073930033</v>
      </c>
    </row>
    <row r="105" customFormat="false" ht="12.75" hidden="false" customHeight="false" outlineLevel="0" collapsed="false">
      <c r="A105" s="21" t="n">
        <v>39630</v>
      </c>
      <c r="B105" s="91" t="n">
        <f aca="false">YEAR(A105)</f>
        <v>2008</v>
      </c>
      <c r="C105" s="94" t="n">
        <v>1.34536585996701</v>
      </c>
    </row>
    <row r="106" customFormat="false" ht="12.75" hidden="false" customHeight="false" outlineLevel="0" collapsed="false">
      <c r="A106" s="21" t="n">
        <v>39661</v>
      </c>
      <c r="B106" s="91" t="n">
        <f aca="false">YEAR(A106)</f>
        <v>2008</v>
      </c>
      <c r="C106" s="94" t="n">
        <v>1.34447619381491</v>
      </c>
    </row>
    <row r="107" customFormat="false" ht="12.75" hidden="false" customHeight="false" outlineLevel="0" collapsed="false">
      <c r="A107" s="21" t="n">
        <v>39692</v>
      </c>
      <c r="B107" s="91" t="n">
        <f aca="false">YEAR(A107)</f>
        <v>2008</v>
      </c>
      <c r="C107" s="94" t="n">
        <v>1.34359062907711</v>
      </c>
    </row>
    <row r="108" customFormat="false" ht="12.75" hidden="false" customHeight="false" outlineLevel="0" collapsed="false">
      <c r="A108" s="21" t="n">
        <v>39722</v>
      </c>
      <c r="B108" s="91" t="n">
        <f aca="false">YEAR(A108)</f>
        <v>2008</v>
      </c>
      <c r="C108" s="94" t="n">
        <v>1.34273752907428</v>
      </c>
    </row>
    <row r="109" customFormat="false" ht="12.75" hidden="false" customHeight="false" outlineLevel="0" collapsed="false">
      <c r="A109" s="21" t="n">
        <v>39753</v>
      </c>
      <c r="B109" s="91" t="n">
        <f aca="false">YEAR(A109)</f>
        <v>2008</v>
      </c>
      <c r="C109" s="94" t="n">
        <v>1.34186001331446</v>
      </c>
    </row>
    <row r="110" customFormat="false" ht="12.75" hidden="false" customHeight="false" outlineLevel="0" collapsed="false">
      <c r="A110" s="21" t="n">
        <v>39783</v>
      </c>
      <c r="B110" s="91" t="n">
        <f aca="false">YEAR(A110)</f>
        <v>2008</v>
      </c>
      <c r="C110" s="94" t="n">
        <v>1.34101468889929</v>
      </c>
    </row>
    <row r="111" customFormat="false" ht="12.75" hidden="false" customHeight="false" outlineLevel="0" collapsed="false">
      <c r="A111" s="21" t="n">
        <v>39814</v>
      </c>
      <c r="B111" s="91" t="n">
        <f aca="false">YEAR(A111)</f>
        <v>2009</v>
      </c>
      <c r="C111" s="94" t="n">
        <v>1.34014519378005</v>
      </c>
    </row>
    <row r="112" customFormat="false" ht="12.75" hidden="false" customHeight="false" outlineLevel="0" collapsed="false">
      <c r="A112" s="21" t="n">
        <v>39845</v>
      </c>
      <c r="B112" s="91" t="n">
        <f aca="false">YEAR(A112)</f>
        <v>2009</v>
      </c>
      <c r="C112" s="94" t="n">
        <v>1.33927976395429</v>
      </c>
    </row>
    <row r="113" customFormat="false" ht="12.75" hidden="false" customHeight="false" outlineLevel="0" collapsed="false">
      <c r="A113" s="21" t="n">
        <v>39873</v>
      </c>
      <c r="B113" s="91" t="n">
        <f aca="false">YEAR(A113)</f>
        <v>2009</v>
      </c>
      <c r="C113" s="94" t="n">
        <v>1.33850157361104</v>
      </c>
    </row>
    <row r="114" customFormat="false" ht="12.75" hidden="false" customHeight="false" outlineLevel="0" collapsed="false">
      <c r="A114" s="21" t="n">
        <v>39904</v>
      </c>
      <c r="B114" s="91" t="n">
        <f aca="false">YEAR(A114)</f>
        <v>2009</v>
      </c>
      <c r="C114" s="94" t="n">
        <v>1.33764386106961</v>
      </c>
    </row>
    <row r="115" customFormat="false" ht="12.75" hidden="false" customHeight="false" outlineLevel="0" collapsed="false">
      <c r="A115" s="21" t="n">
        <v>39934</v>
      </c>
      <c r="B115" s="91" t="n">
        <f aca="false">YEAR(A115)</f>
        <v>2009</v>
      </c>
      <c r="C115" s="94" t="n">
        <v>1.33681766761604</v>
      </c>
    </row>
    <row r="116" customFormat="false" ht="12.75" hidden="false" customHeight="false" outlineLevel="0" collapsed="false">
      <c r="A116" s="21" t="n">
        <v>39965</v>
      </c>
      <c r="B116" s="91" t="n">
        <f aca="false">YEAR(A116)</f>
        <v>2009</v>
      </c>
      <c r="C116" s="94" t="n">
        <v>1.33596790677252</v>
      </c>
    </row>
    <row r="117" customFormat="false" ht="12.75" hidden="false" customHeight="false" outlineLevel="0" collapsed="false">
      <c r="A117" s="21" t="n">
        <v>39995</v>
      </c>
      <c r="B117" s="91" t="n">
        <f aca="false">YEAR(A117)</f>
        <v>2009</v>
      </c>
      <c r="C117" s="94" t="n">
        <v>1.33514939523407</v>
      </c>
    </row>
    <row r="118" customFormat="false" ht="12.75" hidden="false" customHeight="false" outlineLevel="0" collapsed="false">
      <c r="A118" s="21" t="n">
        <v>40026</v>
      </c>
      <c r="B118" s="91" t="n">
        <f aca="false">YEAR(A118)</f>
        <v>2009</v>
      </c>
      <c r="C118" s="94" t="n">
        <v>1.33430755871995</v>
      </c>
    </row>
    <row r="119" customFormat="false" ht="12.75" hidden="false" customHeight="false" outlineLevel="0" collapsed="false">
      <c r="A119" s="21" t="n">
        <v>40057</v>
      </c>
      <c r="B119" s="91" t="n">
        <f aca="false">YEAR(A119)</f>
        <v>2009</v>
      </c>
      <c r="C119" s="94" t="n">
        <v>1.33346973892391</v>
      </c>
    </row>
    <row r="120" customFormat="false" ht="12.75" hidden="false" customHeight="false" outlineLevel="0" collapsed="false">
      <c r="A120" s="21" t="n">
        <v>40087</v>
      </c>
      <c r="B120" s="91" t="n">
        <f aca="false">YEAR(A120)</f>
        <v>2009</v>
      </c>
      <c r="C120" s="94" t="n">
        <v>1.3326627634666</v>
      </c>
    </row>
    <row r="121" customFormat="false" ht="12.75" hidden="false" customHeight="false" outlineLevel="0" collapsed="false">
      <c r="A121" s="21" t="n">
        <v>40118</v>
      </c>
      <c r="B121" s="91" t="n">
        <f aca="false">YEAR(A121)</f>
        <v>2009</v>
      </c>
      <c r="C121" s="94" t="n">
        <v>1.33183282724338</v>
      </c>
    </row>
    <row r="122" customFormat="false" ht="12.75" hidden="false" customHeight="false" outlineLevel="0" collapsed="false">
      <c r="A122" s="21" t="n">
        <v>40148</v>
      </c>
      <c r="B122" s="91" t="n">
        <f aca="false">YEAR(A122)</f>
        <v>2009</v>
      </c>
      <c r="C122" s="94" t="n">
        <v>1.33103346810708</v>
      </c>
    </row>
    <row r="123" customFormat="false" ht="12.75" hidden="false" customHeight="false" outlineLevel="0" collapsed="false">
      <c r="A123" s="21" t="n">
        <v>40179</v>
      </c>
      <c r="B123" s="91" t="n">
        <f aca="false">YEAR(A123)</f>
        <v>2010</v>
      </c>
      <c r="C123" s="94" t="n">
        <v>1.3302113887763</v>
      </c>
    </row>
    <row r="124" customFormat="false" ht="12.75" hidden="false" customHeight="false" outlineLevel="0" collapsed="false">
      <c r="A124" s="21" t="n">
        <v>40210</v>
      </c>
      <c r="B124" s="91" t="n">
        <f aca="false">YEAR(A124)</f>
        <v>2010</v>
      </c>
      <c r="C124" s="94" t="n">
        <v>1.32939329215494</v>
      </c>
    </row>
    <row r="125" customFormat="false" ht="12.75" hidden="false" customHeight="false" outlineLevel="0" collapsed="false">
      <c r="A125" s="21" t="n">
        <v>40238</v>
      </c>
      <c r="B125" s="91" t="n">
        <f aca="false">YEAR(A125)</f>
        <v>2010</v>
      </c>
      <c r="C125" s="94" t="n">
        <v>1.32865778375375</v>
      </c>
    </row>
    <row r="126" customFormat="false" ht="12.75" hidden="false" customHeight="false" outlineLevel="0" collapsed="false">
      <c r="A126" s="21" t="n">
        <v>40269</v>
      </c>
      <c r="B126" s="91" t="n">
        <f aca="false">YEAR(A126)</f>
        <v>2010</v>
      </c>
      <c r="C126" s="94" t="n">
        <v>1.32784724841248</v>
      </c>
    </row>
    <row r="127" customFormat="false" ht="12.75" hidden="false" customHeight="false" outlineLevel="0" collapsed="false">
      <c r="A127" s="21" t="n">
        <v>40299</v>
      </c>
      <c r="B127" s="91" t="n">
        <f aca="false">YEAR(A127)</f>
        <v>2010</v>
      </c>
      <c r="C127" s="94" t="n">
        <v>1.32699214528549</v>
      </c>
    </row>
    <row r="128" customFormat="false" ht="12.75" hidden="false" customHeight="false" outlineLevel="0" collapsed="false">
      <c r="A128" s="21" t="n">
        <v>40330</v>
      </c>
      <c r="B128" s="91" t="n">
        <f aca="false">YEAR(A128)</f>
        <v>2010</v>
      </c>
      <c r="C128" s="94" t="n">
        <v>1.32609574092875</v>
      </c>
    </row>
    <row r="129" customFormat="false" ht="12.75" hidden="false" customHeight="false" outlineLevel="0" collapsed="false">
      <c r="A129" s="21" t="n">
        <v>40360</v>
      </c>
      <c r="B129" s="91" t="n">
        <f aca="false">YEAR(A129)</f>
        <v>2010</v>
      </c>
      <c r="C129" s="94" t="n">
        <v>1.32523064924762</v>
      </c>
    </row>
    <row r="130" customFormat="false" ht="12.75" hidden="false" customHeight="false" outlineLevel="0" collapsed="false">
      <c r="A130" s="21" t="n">
        <v>40391</v>
      </c>
      <c r="B130" s="91" t="n">
        <f aca="false">YEAR(A130)</f>
        <v>2010</v>
      </c>
      <c r="C130" s="94" t="n">
        <v>1.3243391932926</v>
      </c>
    </row>
    <row r="131" customFormat="false" ht="12.75" hidden="false" customHeight="false" outlineLevel="0" collapsed="false">
      <c r="A131" s="21" t="n">
        <v>40422</v>
      </c>
      <c r="B131" s="91" t="n">
        <f aca="false">YEAR(A131)</f>
        <v>2010</v>
      </c>
      <c r="C131" s="94" t="n">
        <v>1.32345024575395</v>
      </c>
    </row>
    <row r="132" customFormat="false" ht="12.75" hidden="false" customHeight="false" outlineLevel="0" collapsed="false">
      <c r="A132" s="21" t="n">
        <v>40452</v>
      </c>
      <c r="B132" s="91" t="n">
        <f aca="false">YEAR(A132)</f>
        <v>2010</v>
      </c>
      <c r="C132" s="94" t="n">
        <v>1.32259235827823</v>
      </c>
    </row>
    <row r="133" customFormat="false" ht="12.75" hidden="false" customHeight="false" outlineLevel="0" collapsed="false">
      <c r="A133" s="21" t="n">
        <v>40483</v>
      </c>
      <c r="B133" s="91" t="n">
        <f aca="false">YEAR(A133)</f>
        <v>2010</v>
      </c>
      <c r="C133" s="94" t="n">
        <v>1.321708334236</v>
      </c>
    </row>
    <row r="134" customFormat="false" ht="12.75" hidden="false" customHeight="false" outlineLevel="0" collapsed="false">
      <c r="A134" s="21" t="n">
        <v>40513</v>
      </c>
      <c r="B134" s="91" t="n">
        <f aca="false">YEAR(A134)</f>
        <v>2010</v>
      </c>
      <c r="C134" s="94" t="n">
        <v>1.32085520349463</v>
      </c>
    </row>
    <row r="135" customFormat="false" ht="12.75" hidden="false" customHeight="false" outlineLevel="0" collapsed="false">
      <c r="A135" s="21" t="n">
        <v>40544</v>
      </c>
      <c r="B135" s="91" t="n">
        <f aca="false">YEAR(A135)</f>
        <v>2011</v>
      </c>
      <c r="C135" s="94" t="n">
        <v>1.31997608656645</v>
      </c>
    </row>
    <row r="136" customFormat="false" ht="12.75" hidden="false" customHeight="false" outlineLevel="0" collapsed="false">
      <c r="A136" s="21" t="n">
        <v>40575</v>
      </c>
      <c r="B136" s="91" t="n">
        <f aca="false">YEAR(A136)</f>
        <v>2011</v>
      </c>
      <c r="C136" s="94" t="n">
        <v>1.31909945717263</v>
      </c>
    </row>
    <row r="137" customFormat="false" ht="12.75" hidden="false" customHeight="false" outlineLevel="0" collapsed="false">
      <c r="A137" s="21" t="n">
        <v>40603</v>
      </c>
      <c r="B137" s="91" t="n">
        <f aca="false">YEAR(A137)</f>
        <v>2011</v>
      </c>
      <c r="C137" s="94" t="n">
        <v>1.31830979748429</v>
      </c>
    </row>
    <row r="138" customFormat="false" ht="12.75" hidden="false" customHeight="false" outlineLevel="0" collapsed="false">
      <c r="A138" s="21" t="n">
        <v>40634</v>
      </c>
      <c r="B138" s="91" t="n">
        <f aca="false">YEAR(A138)</f>
        <v>2011</v>
      </c>
      <c r="C138" s="94" t="n">
        <v>1.31743789086378</v>
      </c>
    </row>
    <row r="139" customFormat="false" ht="12.75" hidden="false" customHeight="false" outlineLevel="0" collapsed="false">
      <c r="A139" s="21" t="n">
        <v>40664</v>
      </c>
      <c r="B139" s="91" t="n">
        <f aca="false">YEAR(A139)</f>
        <v>2011</v>
      </c>
      <c r="C139" s="94" t="n">
        <v>1.31659646722161</v>
      </c>
    </row>
    <row r="140" customFormat="false" ht="12.75" hidden="false" customHeight="false" outlineLevel="0" collapsed="false">
      <c r="A140" s="21" t="n">
        <v>40695</v>
      </c>
      <c r="B140" s="91" t="n">
        <f aca="false">YEAR(A140)</f>
        <v>2011</v>
      </c>
      <c r="C140" s="94" t="n">
        <v>1.31572942760761</v>
      </c>
    </row>
    <row r="141" customFormat="false" ht="12.75" hidden="false" customHeight="false" outlineLevel="0" collapsed="false">
      <c r="A141" s="21" t="n">
        <v>40725</v>
      </c>
      <c r="B141" s="91" t="n">
        <f aca="false">YEAR(A141)</f>
        <v>2011</v>
      </c>
      <c r="C141" s="94" t="n">
        <v>1.31489270620588</v>
      </c>
    </row>
    <row r="142" customFormat="false" ht="12.75" hidden="false" customHeight="false" outlineLevel="0" collapsed="false">
      <c r="A142" s="21" t="n">
        <v>40756</v>
      </c>
      <c r="B142" s="91" t="n">
        <f aca="false">YEAR(A142)</f>
        <v>2011</v>
      </c>
      <c r="C142" s="94" t="n">
        <v>1.31403051757469</v>
      </c>
    </row>
    <row r="143" customFormat="false" ht="12.75" hidden="false" customHeight="false" outlineLevel="0" collapsed="false">
      <c r="A143" s="21" t="n">
        <v>40787</v>
      </c>
      <c r="B143" s="91" t="n">
        <f aca="false">YEAR(A143)</f>
        <v>2011</v>
      </c>
      <c r="C143" s="94" t="n">
        <v>1.31317078808901</v>
      </c>
    </row>
    <row r="144" customFormat="false" ht="12.75" hidden="false" customHeight="false" outlineLevel="0" collapsed="false">
      <c r="A144" s="21" t="n">
        <v>40817</v>
      </c>
      <c r="B144" s="91" t="n">
        <f aca="false">YEAR(A144)</f>
        <v>2011</v>
      </c>
      <c r="C144" s="94" t="n">
        <v>1.31234112938605</v>
      </c>
    </row>
    <row r="145" customFormat="false" ht="12.75" hidden="false" customHeight="false" outlineLevel="0" collapsed="false">
      <c r="A145" s="21" t="n">
        <v>40848</v>
      </c>
      <c r="B145" s="91" t="n">
        <f aca="false">YEAR(A145)</f>
        <v>2011</v>
      </c>
      <c r="C145" s="94" t="n">
        <v>1.31148622690921</v>
      </c>
    </row>
    <row r="146" customFormat="false" ht="12.75" hidden="false" customHeight="false" outlineLevel="0" collapsed="false">
      <c r="A146" s="21" t="n">
        <v>40878</v>
      </c>
      <c r="B146" s="91" t="n">
        <f aca="false">YEAR(A146)</f>
        <v>2011</v>
      </c>
      <c r="C146" s="94" t="n">
        <v>1.31066123186286</v>
      </c>
    </row>
    <row r="147" customFormat="false" ht="12.75" hidden="false" customHeight="false" outlineLevel="0" collapsed="false">
      <c r="A147" s="21" t="n">
        <v>40909</v>
      </c>
      <c r="B147" s="91" t="n">
        <f aca="false">YEAR(A147)</f>
        <v>2012</v>
      </c>
      <c r="C147" s="94" t="n">
        <v>1.30981114062628</v>
      </c>
    </row>
    <row r="148" customFormat="false" ht="12.75" hidden="false" customHeight="false" outlineLevel="0" collapsed="false">
      <c r="A148" s="21" t="n">
        <v>40940</v>
      </c>
      <c r="B148" s="91" t="n">
        <f aca="false">YEAR(A148)</f>
        <v>2012</v>
      </c>
      <c r="C148" s="94" t="n">
        <v>1.30896348843557</v>
      </c>
    </row>
    <row r="149" customFormat="false" ht="12.75" hidden="false" customHeight="false" outlineLevel="0" collapsed="false">
      <c r="A149" s="21" t="n">
        <v>40969</v>
      </c>
      <c r="B149" s="91" t="n">
        <f aca="false">YEAR(A149)</f>
        <v>2012</v>
      </c>
      <c r="C149" s="94" t="n">
        <v>1.30817272799524</v>
      </c>
    </row>
    <row r="150" customFormat="false" ht="12.75" hidden="false" customHeight="false" outlineLevel="0" collapsed="false">
      <c r="A150" s="21" t="n">
        <v>41000</v>
      </c>
      <c r="B150" s="91" t="n">
        <f aca="false">YEAR(A150)</f>
        <v>2012</v>
      </c>
      <c r="C150" s="94" t="n">
        <v>1.30732978509263</v>
      </c>
    </row>
    <row r="151" customFormat="false" ht="12.75" hidden="false" customHeight="false" outlineLevel="0" collapsed="false">
      <c r="A151" s="21" t="n">
        <v>41030</v>
      </c>
      <c r="B151" s="91" t="n">
        <f aca="false">YEAR(A151)</f>
        <v>2012</v>
      </c>
      <c r="C151" s="94" t="n">
        <v>1.30651634499691</v>
      </c>
    </row>
    <row r="152" customFormat="false" ht="12.75" hidden="false" customHeight="false" outlineLevel="0" collapsed="false">
      <c r="A152" s="21" t="n">
        <v>41061</v>
      </c>
      <c r="B152" s="91" t="n">
        <f aca="false">YEAR(A152)</f>
        <v>2012</v>
      </c>
      <c r="C152" s="94" t="n">
        <v>1.30567817448017</v>
      </c>
    </row>
    <row r="153" customFormat="false" ht="12.75" hidden="false" customHeight="false" outlineLevel="0" collapsed="false">
      <c r="A153" s="21" t="n">
        <v>41091</v>
      </c>
      <c r="B153" s="91" t="n">
        <f aca="false">YEAR(A153)</f>
        <v>2012</v>
      </c>
      <c r="C153" s="94" t="n">
        <v>1.30486934534974</v>
      </c>
    </row>
    <row r="154" customFormat="false" ht="12.75" hidden="false" customHeight="false" outlineLevel="0" collapsed="false">
      <c r="A154" s="21" t="n">
        <v>41122</v>
      </c>
      <c r="B154" s="91" t="n">
        <f aca="false">YEAR(A154)</f>
        <v>2012</v>
      </c>
      <c r="C154" s="94" t="n">
        <v>1.30403593180042</v>
      </c>
    </row>
    <row r="155" customFormat="false" ht="12.75" hidden="false" customHeight="false" outlineLevel="0" collapsed="false">
      <c r="A155" s="21" t="n">
        <v>41153</v>
      </c>
      <c r="B155" s="91" t="n">
        <f aca="false">YEAR(A155)</f>
        <v>2012</v>
      </c>
      <c r="C155" s="94" t="n">
        <v>1.30320492984935</v>
      </c>
    </row>
    <row r="156" customFormat="false" ht="12.75" hidden="false" customHeight="false" outlineLevel="0" collapsed="false">
      <c r="A156" s="21" t="n">
        <v>41183</v>
      </c>
      <c r="B156" s="91" t="n">
        <f aca="false">YEAR(A156)</f>
        <v>2012</v>
      </c>
      <c r="C156" s="94" t="n">
        <v>1.30240302686116</v>
      </c>
    </row>
    <row r="157" customFormat="false" ht="12.75" hidden="false" customHeight="false" outlineLevel="0" collapsed="false">
      <c r="A157" s="21" t="n">
        <v>41214</v>
      </c>
      <c r="B157" s="91" t="n">
        <f aca="false">YEAR(A157)</f>
        <v>2012</v>
      </c>
      <c r="C157" s="94" t="n">
        <v>1.30157675881096</v>
      </c>
    </row>
    <row r="158" customFormat="false" ht="12.75" hidden="false" customHeight="false" outlineLevel="0" collapsed="false">
      <c r="A158" s="21" t="n">
        <v>41244</v>
      </c>
      <c r="B158" s="91" t="n">
        <f aca="false">YEAR(A158)</f>
        <v>2012</v>
      </c>
      <c r="C158" s="94" t="n">
        <v>1.30077942966465</v>
      </c>
    </row>
    <row r="159" customFormat="false" ht="12.75" hidden="false" customHeight="false" outlineLevel="0" collapsed="false">
      <c r="A159" s="21" t="n">
        <v>41275</v>
      </c>
      <c r="B159" s="91" t="n">
        <f aca="false">YEAR(A159)</f>
        <v>2013</v>
      </c>
      <c r="C159" s="94" t="n">
        <v>1.29995788034482</v>
      </c>
    </row>
    <row r="160" customFormat="false" ht="12.75" hidden="false" customHeight="false" outlineLevel="0" collapsed="false">
      <c r="A160" s="21" t="n">
        <v>41306</v>
      </c>
      <c r="B160" s="91" t="n">
        <f aca="false">YEAR(A160)</f>
        <v>2013</v>
      </c>
      <c r="C160" s="94" t="n">
        <v>1.29913872328593</v>
      </c>
    </row>
    <row r="161" customFormat="false" ht="12.75" hidden="false" customHeight="false" outlineLevel="0" collapsed="false">
      <c r="A161" s="21" t="n">
        <v>41334</v>
      </c>
      <c r="B161" s="91" t="n">
        <f aca="false">YEAR(A161)</f>
        <v>2013</v>
      </c>
      <c r="C161" s="94" t="n">
        <v>1.29840089246263</v>
      </c>
    </row>
    <row r="162" customFormat="false" ht="12.75" hidden="false" customHeight="false" outlineLevel="0" collapsed="false">
      <c r="A162" s="21" t="n">
        <v>41365</v>
      </c>
      <c r="B162" s="91" t="n">
        <f aca="false">YEAR(A162)</f>
        <v>2013</v>
      </c>
      <c r="C162" s="94" t="n">
        <v>1.29758627770811</v>
      </c>
    </row>
    <row r="163" customFormat="false" ht="12.75" hidden="false" customHeight="false" outlineLevel="0" collapsed="false">
      <c r="A163" s="21" t="n">
        <v>41395</v>
      </c>
      <c r="B163" s="91" t="n">
        <f aca="false">YEAR(A163)</f>
        <v>2013</v>
      </c>
      <c r="C163" s="94" t="n">
        <v>1.29680020794808</v>
      </c>
    </row>
    <row r="164" customFormat="false" ht="12.75" hidden="false" customHeight="false" outlineLevel="0" collapsed="false">
      <c r="A164" s="21" t="n">
        <v>41426</v>
      </c>
      <c r="B164" s="91" t="n">
        <f aca="false">YEAR(A164)</f>
        <v>2013</v>
      </c>
      <c r="C164" s="94" t="n">
        <v>1.2959902747915</v>
      </c>
    </row>
    <row r="165" customFormat="false" ht="12.75" hidden="false" customHeight="false" outlineLevel="0" collapsed="false">
      <c r="A165" s="21" t="n">
        <v>41456</v>
      </c>
      <c r="B165" s="91" t="n">
        <f aca="false">YEAR(A165)</f>
        <v>2013</v>
      </c>
      <c r="C165" s="94" t="n">
        <v>1.29520872842168</v>
      </c>
    </row>
    <row r="166" customFormat="false" ht="12.75" hidden="false" customHeight="false" outlineLevel="0" collapsed="false">
      <c r="A166" s="21" t="n">
        <v>41487</v>
      </c>
      <c r="B166" s="91" t="n">
        <f aca="false">YEAR(A166)</f>
        <v>2013</v>
      </c>
      <c r="C166" s="94" t="n">
        <v>1.29440346203129</v>
      </c>
    </row>
    <row r="167" customFormat="false" ht="12.75" hidden="false" customHeight="false" outlineLevel="0" collapsed="false">
      <c r="A167" s="21" t="n">
        <v>41518</v>
      </c>
      <c r="B167" s="91" t="n">
        <f aca="false">YEAR(A167)</f>
        <v>2013</v>
      </c>
      <c r="C167" s="94" t="n">
        <v>1.2936005616231</v>
      </c>
    </row>
    <row r="168" customFormat="false" ht="12.75" hidden="false" customHeight="false" outlineLevel="0" collapsed="false">
      <c r="A168" s="21" t="n">
        <v>41548</v>
      </c>
      <c r="B168" s="91" t="n">
        <f aca="false">YEAR(A168)</f>
        <v>2013</v>
      </c>
      <c r="C168" s="94" t="n">
        <v>1.29282581038563</v>
      </c>
    </row>
    <row r="169" customFormat="false" ht="12.75" hidden="false" customHeight="false" outlineLevel="0" collapsed="false">
      <c r="A169" s="21" t="n">
        <v>41579</v>
      </c>
      <c r="B169" s="91" t="n">
        <f aca="false">YEAR(A169)</f>
        <v>2013</v>
      </c>
      <c r="C169" s="94" t="n">
        <v>1.29202755455673</v>
      </c>
    </row>
    <row r="170" customFormat="false" ht="12.75" hidden="false" customHeight="false" outlineLevel="0" collapsed="false">
      <c r="A170" s="21" t="n">
        <v>41609</v>
      </c>
      <c r="B170" s="91" t="n">
        <f aca="false">YEAR(A170)</f>
        <v>2013</v>
      </c>
      <c r="C170" s="94" t="n">
        <v>1.29125729100178</v>
      </c>
    </row>
    <row r="171" customFormat="false" ht="12.75" hidden="false" customHeight="false" outlineLevel="0" collapsed="false">
      <c r="A171" s="21" t="n">
        <v>41640</v>
      </c>
      <c r="B171" s="91" t="n">
        <f aca="false">YEAR(A171)</f>
        <v>2014</v>
      </c>
      <c r="C171" s="94" t="n">
        <v>1.29046366516151</v>
      </c>
    </row>
    <row r="172" customFormat="false" ht="12.75" hidden="false" customHeight="false" outlineLevel="0" collapsed="false">
      <c r="A172" s="21" t="n">
        <v>41671</v>
      </c>
      <c r="B172" s="91" t="n">
        <f aca="false">YEAR(A172)</f>
        <v>2014</v>
      </c>
      <c r="C172" s="94" t="n">
        <v>1.28967238670525</v>
      </c>
    </row>
    <row r="173" customFormat="false" ht="12.75" hidden="false" customHeight="false" outlineLevel="0" collapsed="false">
      <c r="A173" s="21" t="n">
        <v>41699</v>
      </c>
      <c r="B173" s="91" t="n">
        <f aca="false">YEAR(A173)</f>
        <v>2014</v>
      </c>
      <c r="C173" s="94" t="n">
        <v>1.2889596981063</v>
      </c>
    </row>
    <row r="174" customFormat="false" ht="12.75" hidden="false" customHeight="false" outlineLevel="0" collapsed="false">
      <c r="A174" s="21" t="n">
        <v>41730</v>
      </c>
      <c r="B174" s="91" t="n">
        <f aca="false">YEAR(A174)</f>
        <v>2014</v>
      </c>
      <c r="C174" s="94" t="n">
        <v>1.28817287695402</v>
      </c>
    </row>
    <row r="175" customFormat="false" ht="12.75" hidden="false" customHeight="false" outlineLevel="0" collapsed="false">
      <c r="A175" s="21" t="n">
        <v>41760</v>
      </c>
      <c r="B175" s="91" t="n">
        <f aca="false">YEAR(A175)</f>
        <v>2014</v>
      </c>
      <c r="C175" s="94" t="n">
        <v>1.28741366190819</v>
      </c>
    </row>
    <row r="176" customFormat="false" ht="12.75" hidden="false" customHeight="false" outlineLevel="0" collapsed="false">
      <c r="A176" s="21" t="n">
        <v>41791</v>
      </c>
      <c r="B176" s="91" t="n">
        <f aca="false">YEAR(A176)</f>
        <v>2014</v>
      </c>
      <c r="C176" s="94" t="n">
        <v>1.28663143503581</v>
      </c>
    </row>
    <row r="177" customFormat="false" ht="12.75" hidden="false" customHeight="false" outlineLevel="0" collapsed="false">
      <c r="A177" s="21" t="n">
        <v>41821</v>
      </c>
      <c r="B177" s="91" t="n">
        <f aca="false">YEAR(A177)</f>
        <v>2014</v>
      </c>
      <c r="C177" s="94" t="n">
        <v>1.28587665915526</v>
      </c>
    </row>
    <row r="178" customFormat="false" ht="12.75" hidden="false" customHeight="false" outlineLevel="0" collapsed="false">
      <c r="A178" s="21" t="n">
        <v>41852</v>
      </c>
      <c r="B178" s="91" t="n">
        <f aca="false">YEAR(A178)</f>
        <v>2014</v>
      </c>
      <c r="C178" s="94" t="n">
        <v>1.28509901230155</v>
      </c>
    </row>
    <row r="179" customFormat="false" ht="12.75" hidden="false" customHeight="false" outlineLevel="0" collapsed="false">
      <c r="A179" s="21" t="n">
        <v>41883</v>
      </c>
      <c r="B179" s="91" t="n">
        <f aca="false">YEAR(A179)</f>
        <v>2014</v>
      </c>
      <c r="C179" s="94" t="n">
        <v>1.28432368756305</v>
      </c>
    </row>
    <row r="180" customFormat="false" ht="12.75" hidden="false" customHeight="false" outlineLevel="0" collapsed="false">
      <c r="A180" s="21" t="n">
        <v>41913</v>
      </c>
      <c r="B180" s="91" t="n">
        <f aca="false">YEAR(A180)</f>
        <v>2014</v>
      </c>
      <c r="C180" s="94" t="n">
        <v>1.2835755808281</v>
      </c>
    </row>
    <row r="181" customFormat="false" ht="12.75" hidden="false" customHeight="false" outlineLevel="0" collapsed="false">
      <c r="A181" s="21" t="n">
        <v>41944</v>
      </c>
      <c r="B181" s="91" t="n">
        <f aca="false">YEAR(A181)</f>
        <v>2014</v>
      </c>
      <c r="C181" s="94" t="n">
        <v>1.28280481477686</v>
      </c>
    </row>
    <row r="182" customFormat="false" ht="12.75" hidden="false" customHeight="false" outlineLevel="0" collapsed="false">
      <c r="A182" s="21" t="n">
        <v>41974</v>
      </c>
      <c r="B182" s="91" t="n">
        <f aca="false">YEAR(A182)</f>
        <v>2014</v>
      </c>
      <c r="C182" s="94" t="n">
        <v>1.28206111287631</v>
      </c>
    </row>
    <row r="183" customFormat="false" ht="12.75" hidden="false" customHeight="false" outlineLevel="0" collapsed="false">
      <c r="A183" s="21" t="n">
        <v>42005</v>
      </c>
      <c r="B183" s="91" t="n">
        <f aca="false">YEAR(A183)</f>
        <v>2015</v>
      </c>
      <c r="C183" s="94" t="n">
        <v>1.2812948914856</v>
      </c>
    </row>
    <row r="184" customFormat="false" ht="12.75" hidden="false" customHeight="false" outlineLevel="0" collapsed="false">
      <c r="A184" s="21" t="n">
        <v>42036</v>
      </c>
      <c r="B184" s="91" t="n">
        <f aca="false">YEAR(A184)</f>
        <v>2015</v>
      </c>
      <c r="C184" s="94" t="n">
        <v>1.28053097433072</v>
      </c>
    </row>
    <row r="185" customFormat="false" ht="12.75" hidden="false" customHeight="false" outlineLevel="0" collapsed="false">
      <c r="A185" s="21" t="n">
        <v>42064</v>
      </c>
      <c r="B185" s="91" t="n">
        <f aca="false">YEAR(A185)</f>
        <v>2015</v>
      </c>
      <c r="C185" s="94" t="n">
        <v>1.27984296219883</v>
      </c>
    </row>
    <row r="186" customFormat="false" ht="12.75" hidden="false" customHeight="false" outlineLevel="0" collapsed="false">
      <c r="A186" s="21" t="n">
        <v>42095</v>
      </c>
      <c r="B186" s="91" t="n">
        <f aca="false">YEAR(A186)</f>
        <v>2015</v>
      </c>
      <c r="C186" s="94" t="n">
        <v>1.27908342062653</v>
      </c>
    </row>
    <row r="187" customFormat="false" ht="12.75" hidden="false" customHeight="false" outlineLevel="0" collapsed="false">
      <c r="A187" s="21" t="n">
        <v>42125</v>
      </c>
      <c r="B187" s="91" t="n">
        <f aca="false">YEAR(A187)</f>
        <v>2015</v>
      </c>
      <c r="C187" s="94" t="n">
        <v>1.27842228042321</v>
      </c>
    </row>
    <row r="188" customFormat="false" ht="12.75" hidden="false" customHeight="false" outlineLevel="0" collapsed="false">
      <c r="A188" s="21" t="n">
        <v>42156</v>
      </c>
      <c r="B188" s="91" t="n">
        <f aca="false">YEAR(A188)</f>
        <v>2015</v>
      </c>
      <c r="C188" s="94" t="n">
        <v>1.27776071532541</v>
      </c>
    </row>
    <row r="189" customFormat="false" ht="12.75" hidden="false" customHeight="false" outlineLevel="0" collapsed="false">
      <c r="A189" s="21" t="n">
        <v>42186</v>
      </c>
      <c r="B189" s="91" t="n">
        <f aca="false">YEAR(A189)</f>
        <v>2015</v>
      </c>
      <c r="C189" s="94" t="n">
        <v>1.27712356162318</v>
      </c>
    </row>
    <row r="190" customFormat="false" ht="12.75" hidden="false" customHeight="false" outlineLevel="0" collapsed="false">
      <c r="A190" s="21" t="n">
        <v>42217</v>
      </c>
      <c r="B190" s="91" t="n">
        <f aca="false">YEAR(A190)</f>
        <v>2015</v>
      </c>
      <c r="C190" s="94" t="n">
        <v>1.27646833786765</v>
      </c>
    </row>
    <row r="191" customFormat="false" ht="12.75" hidden="false" customHeight="false" outlineLevel="0" collapsed="false">
      <c r="A191" s="21" t="n">
        <v>42248</v>
      </c>
      <c r="B191" s="91" t="n">
        <f aca="false">YEAR(A191)</f>
        <v>2015</v>
      </c>
      <c r="C191" s="94" t="n">
        <v>1.27581632987067</v>
      </c>
    </row>
    <row r="192" customFormat="false" ht="12.75" hidden="false" customHeight="false" outlineLevel="0" collapsed="false">
      <c r="A192" s="21" t="n">
        <v>42278</v>
      </c>
      <c r="B192" s="91" t="n">
        <f aca="false">YEAR(A192)</f>
        <v>2015</v>
      </c>
      <c r="C192" s="94" t="n">
        <v>1.27518841187618</v>
      </c>
    </row>
    <row r="193" customFormat="false" ht="12.75" hidden="false" customHeight="false" outlineLevel="0" collapsed="false">
      <c r="A193" s="21" t="n">
        <v>42309</v>
      </c>
      <c r="B193" s="91" t="n">
        <f aca="false">YEAR(A193)</f>
        <v>2015</v>
      </c>
      <c r="C193" s="94" t="n">
        <v>1.27454271821901</v>
      </c>
    </row>
    <row r="194" customFormat="false" ht="12.75" hidden="false" customHeight="false" outlineLevel="0" collapsed="false">
      <c r="A194" s="21" t="n">
        <v>42339</v>
      </c>
      <c r="B194" s="91" t="n">
        <f aca="false">YEAR(A194)</f>
        <v>2015</v>
      </c>
      <c r="C194" s="94" t="n">
        <v>1.27392090230204</v>
      </c>
    </row>
    <row r="195" customFormat="false" ht="12.75" hidden="false" customHeight="false" outlineLevel="0" collapsed="false">
      <c r="A195" s="21" t="n">
        <v>42370</v>
      </c>
      <c r="B195" s="91" t="n">
        <f aca="false">YEAR(A195)</f>
        <v>2016</v>
      </c>
      <c r="C195" s="94" t="n">
        <v>1.27328150531135</v>
      </c>
    </row>
    <row r="196" customFormat="false" ht="12.75" hidden="false" customHeight="false" outlineLevel="0" collapsed="false">
      <c r="A196" s="21" t="n">
        <v>42401</v>
      </c>
      <c r="B196" s="91" t="n">
        <f aca="false">YEAR(A196)</f>
        <v>2016</v>
      </c>
      <c r="C196" s="94" t="n">
        <v>1.27264530155158</v>
      </c>
    </row>
    <row r="197" customFormat="false" ht="12.75" hidden="false" customHeight="false" outlineLevel="0" collapsed="false">
      <c r="A197" s="21" t="n">
        <v>42430</v>
      </c>
      <c r="B197" s="91" t="n">
        <f aca="false">YEAR(A197)</f>
        <v>2016</v>
      </c>
      <c r="C197" s="94" t="n">
        <v>1.27205303006924</v>
      </c>
    </row>
    <row r="198" customFormat="false" ht="12.75" hidden="false" customHeight="false" outlineLevel="0" collapsed="false">
      <c r="A198" s="21" t="n">
        <v>42461</v>
      </c>
      <c r="B198" s="91" t="n">
        <f aca="false">YEAR(A198)</f>
        <v>2016</v>
      </c>
      <c r="C198" s="94" t="n">
        <v>1.27142299401321</v>
      </c>
    </row>
    <row r="199" customFormat="false" ht="12.75" hidden="false" customHeight="false" outlineLevel="0" collapsed="false">
      <c r="A199" s="21" t="n">
        <v>42491</v>
      </c>
      <c r="B199" s="91" t="n">
        <f aca="false">YEAR(A199)</f>
        <v>2016</v>
      </c>
      <c r="C199" s="94" t="n">
        <v>1.27081630963347</v>
      </c>
    </row>
    <row r="200" customFormat="false" ht="12.75" hidden="false" customHeight="false" outlineLevel="0" collapsed="false">
      <c r="A200" s="21" t="n">
        <v>42522</v>
      </c>
      <c r="B200" s="91" t="n">
        <f aca="false">YEAR(A200)</f>
        <v>2016</v>
      </c>
      <c r="C200" s="94" t="n">
        <v>1.27019252699916</v>
      </c>
    </row>
    <row r="201" customFormat="false" ht="12.75" hidden="false" customHeight="false" outlineLevel="0" collapsed="false">
      <c r="A201" s="21" t="n">
        <v>42552</v>
      </c>
      <c r="B201" s="91" t="n">
        <f aca="false">YEAR(A201)</f>
        <v>2016</v>
      </c>
      <c r="C201" s="94" t="n">
        <v>1.26959188605155</v>
      </c>
    </row>
    <row r="202" customFormat="false" ht="12.75" hidden="false" customHeight="false" outlineLevel="0" collapsed="false">
      <c r="A202" s="21" t="n">
        <v>42583</v>
      </c>
      <c r="B202" s="91" t="n">
        <f aca="false">YEAR(A202)</f>
        <v>2016</v>
      </c>
      <c r="C202" s="94" t="n">
        <v>1.26897433980061</v>
      </c>
    </row>
    <row r="203" customFormat="false" ht="12.75" hidden="false" customHeight="false" outlineLevel="0" collapsed="false">
      <c r="A203" s="21" t="n">
        <v>42614</v>
      </c>
      <c r="B203" s="91" t="n">
        <f aca="false">YEAR(A203)</f>
        <v>2016</v>
      </c>
      <c r="C203" s="94" t="n">
        <v>1.26835995638737</v>
      </c>
    </row>
    <row r="204" customFormat="false" ht="12.75" hidden="false" customHeight="false" outlineLevel="0" collapsed="false">
      <c r="A204" s="21" t="n">
        <v>42644</v>
      </c>
      <c r="B204" s="91" t="n">
        <f aca="false">YEAR(A204)</f>
        <v>2016</v>
      </c>
      <c r="C204" s="94" t="n">
        <v>1.26776839915781</v>
      </c>
    </row>
    <row r="205" customFormat="false" ht="12.75" hidden="false" customHeight="false" outlineLevel="0" collapsed="false">
      <c r="A205" s="21" t="n">
        <v>42675</v>
      </c>
      <c r="B205" s="91" t="n">
        <f aca="false">YEAR(A205)</f>
        <v>2016</v>
      </c>
      <c r="C205" s="94" t="n">
        <v>1.26716022677116</v>
      </c>
    </row>
    <row r="206" customFormat="false" ht="12.75" hidden="false" customHeight="false" outlineLevel="0" collapsed="false">
      <c r="A206" s="21" t="n">
        <v>42705</v>
      </c>
      <c r="B206" s="91" t="n">
        <f aca="false">YEAR(A206)</f>
        <v>2016</v>
      </c>
      <c r="C206" s="94" t="n">
        <v>1.26657467216429</v>
      </c>
    </row>
    <row r="207" customFormat="false" ht="12.75" hidden="false" customHeight="false" outlineLevel="0" collapsed="false">
      <c r="A207" s="21" t="n">
        <v>42736</v>
      </c>
      <c r="B207" s="91" t="n">
        <f aca="false">YEAR(A207)</f>
        <v>2017</v>
      </c>
      <c r="C207" s="94" t="n">
        <v>1.26597269421613</v>
      </c>
    </row>
    <row r="208" customFormat="false" ht="12.75" hidden="false" customHeight="false" outlineLevel="0" collapsed="false">
      <c r="A208" s="21" t="n">
        <v>42767</v>
      </c>
      <c r="B208" s="91" t="n">
        <f aca="false">YEAR(A208)</f>
        <v>2017</v>
      </c>
      <c r="C208" s="94" t="n">
        <v>1.26537385796139</v>
      </c>
    </row>
    <row r="209" customFormat="false" ht="12.75" hidden="false" customHeight="false" outlineLevel="0" collapsed="false">
      <c r="A209" s="21" t="n">
        <v>42795</v>
      </c>
      <c r="B209" s="91" t="n">
        <f aca="false">YEAR(A209)</f>
        <v>2017</v>
      </c>
      <c r="C209" s="94" t="n">
        <v>1.26483567044846</v>
      </c>
    </row>
    <row r="210" customFormat="false" ht="12.75" hidden="false" customHeight="false" outlineLevel="0" collapsed="false">
      <c r="A210" s="21" t="n">
        <v>42826</v>
      </c>
      <c r="B210" s="91" t="n">
        <f aca="false">YEAR(A210)</f>
        <v>2017</v>
      </c>
      <c r="C210" s="94" t="n">
        <v>1.26424280192069</v>
      </c>
    </row>
    <row r="211" customFormat="false" ht="12.75" hidden="false" customHeight="false" outlineLevel="0" collapsed="false">
      <c r="A211" s="21" t="n">
        <v>42856</v>
      </c>
      <c r="B211" s="91" t="n">
        <f aca="false">YEAR(A211)</f>
        <v>2017</v>
      </c>
      <c r="C211" s="94" t="n">
        <v>1.26367203794771</v>
      </c>
    </row>
    <row r="212" customFormat="false" ht="12.75" hidden="false" customHeight="false" outlineLevel="0" collapsed="false">
      <c r="A212" s="21" t="n">
        <v>42887</v>
      </c>
      <c r="B212" s="91" t="n">
        <f aca="false">YEAR(A212)</f>
        <v>2017</v>
      </c>
      <c r="C212" s="94" t="n">
        <v>1.26308532356102</v>
      </c>
    </row>
    <row r="213" customFormat="false" ht="12.75" hidden="false" customHeight="false" outlineLevel="0" collapsed="false">
      <c r="A213" s="21" t="n">
        <v>42917</v>
      </c>
      <c r="B213" s="91" t="n">
        <f aca="false">YEAR(A213)</f>
        <v>2017</v>
      </c>
      <c r="C213" s="94" t="n">
        <v>1.26252050745862</v>
      </c>
    </row>
    <row r="214" customFormat="false" ht="12.75" hidden="false" customHeight="false" outlineLevel="0" collapsed="false">
      <c r="A214" s="21" t="n">
        <v>42948</v>
      </c>
      <c r="B214" s="91" t="n">
        <f aca="false">YEAR(A214)</f>
        <v>2017</v>
      </c>
      <c r="C214" s="94" t="n">
        <v>1.26193993124099</v>
      </c>
    </row>
    <row r="215" customFormat="false" ht="12.75" hidden="false" customHeight="false" outlineLevel="0" collapsed="false">
      <c r="A215" s="21" t="n">
        <v>42979</v>
      </c>
      <c r="B215" s="91" t="n">
        <f aca="false">YEAR(A215)</f>
        <v>2017</v>
      </c>
      <c r="C215" s="94" t="n">
        <v>1.26136246835609</v>
      </c>
    </row>
    <row r="216" customFormat="false" ht="12.75" hidden="false" customHeight="false" outlineLevel="0" collapsed="false">
      <c r="A216" s="21" t="n">
        <v>43009</v>
      </c>
      <c r="B216" s="91" t="n">
        <f aca="false">YEAR(A216)</f>
        <v>2017</v>
      </c>
      <c r="C216" s="94" t="n">
        <v>1.26080659379251</v>
      </c>
    </row>
    <row r="217" customFormat="false" ht="12.75" hidden="false" customHeight="false" outlineLevel="0" collapsed="false">
      <c r="A217" s="21" t="n">
        <v>43040</v>
      </c>
      <c r="B217" s="91" t="n">
        <f aca="false">YEAR(A217)</f>
        <v>2017</v>
      </c>
      <c r="C217" s="94" t="n">
        <v>1.26023524531968</v>
      </c>
    </row>
    <row r="218" customFormat="false" ht="12.75" hidden="false" customHeight="false" outlineLevel="0" collapsed="false">
      <c r="A218" s="21" t="n">
        <v>43070</v>
      </c>
      <c r="B218" s="91" t="n">
        <f aca="false">YEAR(A218)</f>
        <v>2017</v>
      </c>
      <c r="C218" s="94" t="n">
        <v>1.25968528039199</v>
      </c>
    </row>
    <row r="219" customFormat="false" ht="12.75" hidden="false" customHeight="false" outlineLevel="0" collapsed="false">
      <c r="A219" s="21" t="n">
        <v>43101</v>
      </c>
      <c r="B219" s="91" t="n">
        <f aca="false">YEAR(A219)</f>
        <v>2018</v>
      </c>
      <c r="C219" s="94" t="n">
        <v>1.25912003079837</v>
      </c>
    </row>
    <row r="220" customFormat="false" ht="12.75" hidden="false" customHeight="false" outlineLevel="0" collapsed="false">
      <c r="A220" s="21" t="n">
        <v>43132</v>
      </c>
      <c r="B220" s="91" t="n">
        <f aca="false">YEAR(A220)</f>
        <v>2018</v>
      </c>
      <c r="C220" s="94" t="n">
        <v>1.25855787473825</v>
      </c>
    </row>
    <row r="221" customFormat="false" ht="12.75" hidden="false" customHeight="false" outlineLevel="0" collapsed="false">
      <c r="A221" s="21" t="n">
        <v>43160</v>
      </c>
      <c r="B221" s="91" t="n">
        <f aca="false">YEAR(A221)</f>
        <v>2018</v>
      </c>
      <c r="C221" s="94" t="n">
        <v>1.25805277655453</v>
      </c>
    </row>
    <row r="222" customFormat="false" ht="12.75" hidden="false" customHeight="false" outlineLevel="0" collapsed="false">
      <c r="A222" s="21" t="n">
        <v>43191</v>
      </c>
      <c r="B222" s="91" t="n">
        <f aca="false">YEAR(A222)</f>
        <v>2018</v>
      </c>
      <c r="C222" s="94" t="n">
        <v>1.25749649731001</v>
      </c>
    </row>
    <row r="223" customFormat="false" ht="12.75" hidden="false" customHeight="false" outlineLevel="0" collapsed="false">
      <c r="A223" s="21" t="n">
        <v>43221</v>
      </c>
      <c r="B223" s="91" t="n">
        <f aca="false">YEAR(A223)</f>
        <v>2018</v>
      </c>
      <c r="C223" s="94" t="n">
        <v>1.25696109721058</v>
      </c>
    </row>
    <row r="224" customFormat="false" ht="12.75" hidden="false" customHeight="false" outlineLevel="0" collapsed="false">
      <c r="A224" s="21" t="n">
        <v>43252</v>
      </c>
      <c r="B224" s="91" t="n">
        <f aca="false">YEAR(A224)</f>
        <v>2018</v>
      </c>
      <c r="C224" s="94" t="n">
        <v>1.25641087914142</v>
      </c>
    </row>
    <row r="225" customFormat="false" ht="12.75" hidden="false" customHeight="false" outlineLevel="0" collapsed="false">
      <c r="A225" s="21" t="n">
        <v>43282</v>
      </c>
      <c r="B225" s="91" t="n">
        <f aca="false">YEAR(A225)</f>
        <v>2018</v>
      </c>
      <c r="C225" s="94" t="n">
        <v>1.25588133744969</v>
      </c>
    </row>
    <row r="226" customFormat="false" ht="12.75" hidden="false" customHeight="false" outlineLevel="0" collapsed="false">
      <c r="A226" s="21" t="n">
        <v>43313</v>
      </c>
      <c r="B226" s="91" t="n">
        <f aca="false">YEAR(A226)</f>
        <v>2018</v>
      </c>
      <c r="C226" s="94" t="n">
        <v>1.25533716562424</v>
      </c>
    </row>
    <row r="227" customFormat="false" ht="12.75" hidden="false" customHeight="false" outlineLevel="0" collapsed="false">
      <c r="A227" s="21" t="n">
        <v>43344</v>
      </c>
      <c r="B227" s="91" t="n">
        <f aca="false">YEAR(A227)</f>
        <v>2018</v>
      </c>
      <c r="C227" s="94" t="n">
        <v>1.25479606081271</v>
      </c>
    </row>
    <row r="228" customFormat="false" ht="12.75" hidden="false" customHeight="false" outlineLevel="0" collapsed="false">
      <c r="A228" s="21" t="n">
        <v>43374</v>
      </c>
      <c r="B228" s="91" t="n">
        <f aca="false">YEAR(A228)</f>
        <v>2018</v>
      </c>
      <c r="C228" s="94" t="n">
        <v>1.25427532763134</v>
      </c>
    </row>
    <row r="229" customFormat="false" ht="12.75" hidden="false" customHeight="false" outlineLevel="0" collapsed="false">
      <c r="A229" s="21" t="n">
        <v>43405</v>
      </c>
      <c r="B229" s="91" t="n">
        <f aca="false">YEAR(A229)</f>
        <v>2018</v>
      </c>
      <c r="C229" s="94" t="n">
        <v>1.25374024686776</v>
      </c>
    </row>
    <row r="230" customFormat="false" ht="12.75" hidden="false" customHeight="false" outlineLevel="0" collapsed="false">
      <c r="A230" s="21" t="n">
        <v>43435</v>
      </c>
      <c r="B230" s="91" t="n">
        <f aca="false">YEAR(A230)</f>
        <v>2018</v>
      </c>
      <c r="C230" s="94" t="n">
        <v>1.253225336372</v>
      </c>
    </row>
    <row r="231" customFormat="false" ht="12.75" hidden="false" customHeight="false" outlineLevel="0" collapsed="false">
      <c r="A231" s="21" t="n">
        <v>43466</v>
      </c>
      <c r="B231" s="91" t="n">
        <f aca="false">YEAR(A231)</f>
        <v>2019</v>
      </c>
      <c r="C231" s="94" t="n">
        <v>1.25269626515353</v>
      </c>
    </row>
    <row r="232" customFormat="false" ht="12.75" hidden="false" customHeight="false" outlineLevel="0" collapsed="false">
      <c r="A232" s="21" t="n">
        <v>43497</v>
      </c>
      <c r="B232" s="91" t="n">
        <f aca="false">YEAR(A232)</f>
        <v>2019</v>
      </c>
      <c r="C232" s="94" t="n">
        <v>1.25217024246266</v>
      </c>
    </row>
    <row r="233" customFormat="false" ht="12.75" hidden="false" customHeight="false" outlineLevel="0" collapsed="false">
      <c r="A233" s="21" t="n">
        <v>43525</v>
      </c>
      <c r="B233" s="91" t="n">
        <f aca="false">YEAR(A233)</f>
        <v>2019</v>
      </c>
      <c r="C233" s="94" t="n">
        <v>1.251697742407</v>
      </c>
    </row>
    <row r="234" customFormat="false" ht="12.75" hidden="false" customHeight="false" outlineLevel="0" collapsed="false">
      <c r="A234" s="21" t="n">
        <v>43556</v>
      </c>
      <c r="B234" s="91" t="n">
        <f aca="false">YEAR(A234)</f>
        <v>2019</v>
      </c>
      <c r="C234" s="94" t="n">
        <v>1.25117751160557</v>
      </c>
    </row>
    <row r="235" customFormat="false" ht="12.75" hidden="false" customHeight="false" outlineLevel="0" collapsed="false">
      <c r="A235" s="21" t="n">
        <v>43586</v>
      </c>
      <c r="B235" s="91" t="n">
        <f aca="false">YEAR(A235)</f>
        <v>2019</v>
      </c>
      <c r="C235" s="94" t="n">
        <v>1.25067695497159</v>
      </c>
    </row>
    <row r="236" customFormat="false" ht="12.75" hidden="false" customHeight="false" outlineLevel="0" collapsed="false">
      <c r="A236" s="21" t="n">
        <v>43617</v>
      </c>
      <c r="B236" s="91" t="n">
        <f aca="false">YEAR(A236)</f>
        <v>2019</v>
      </c>
      <c r="C236" s="94" t="n">
        <v>1.25016269854382</v>
      </c>
    </row>
    <row r="237" customFormat="false" ht="12.75" hidden="false" customHeight="false" outlineLevel="0" collapsed="false">
      <c r="A237" s="21" t="n">
        <v>43647</v>
      </c>
      <c r="B237" s="91" t="n">
        <f aca="false">YEAR(A237)</f>
        <v>2019</v>
      </c>
      <c r="C237" s="94" t="n">
        <v>1.24966791680805</v>
      </c>
    </row>
    <row r="238" customFormat="false" ht="12.75" hidden="false" customHeight="false" outlineLevel="0" collapsed="false">
      <c r="A238" s="21" t="n">
        <v>43678</v>
      </c>
      <c r="B238" s="91" t="n">
        <f aca="false">YEAR(A238)</f>
        <v>2019</v>
      </c>
      <c r="C238" s="94" t="n">
        <v>1.24915962083847</v>
      </c>
    </row>
    <row r="239" customFormat="false" ht="12.75" hidden="false" customHeight="false" outlineLevel="0" collapsed="false">
      <c r="A239" s="21" t="n">
        <v>43709</v>
      </c>
      <c r="B239" s="91" t="n">
        <f aca="false">YEAR(A239)</f>
        <v>2019</v>
      </c>
      <c r="C239" s="94" t="n">
        <v>1.24865434867508</v>
      </c>
    </row>
    <row r="240" customFormat="false" ht="12.75" hidden="false" customHeight="false" outlineLevel="0" collapsed="false">
      <c r="A240" s="21" t="n">
        <v>43739</v>
      </c>
      <c r="B240" s="91" t="n">
        <f aca="false">YEAR(A240)</f>
        <v>2019</v>
      </c>
      <c r="C240" s="94" t="n">
        <v>1.24816825135623</v>
      </c>
    </row>
    <row r="241" customFormat="false" ht="12.75" hidden="false" customHeight="false" outlineLevel="0" collapsed="false">
      <c r="A241" s="21" t="n">
        <v>43770</v>
      </c>
      <c r="B241" s="91" t="n">
        <f aca="false">YEAR(A241)</f>
        <v>2019</v>
      </c>
      <c r="C241" s="94" t="n">
        <v>1.24766891898053</v>
      </c>
    </row>
    <row r="242" customFormat="false" ht="12.75" hidden="false" customHeight="false" outlineLevel="0" collapsed="false">
      <c r="A242" s="21" t="n">
        <v>43800</v>
      </c>
      <c r="B242" s="91" t="n">
        <f aca="false">YEAR(A242)</f>
        <v>2019</v>
      </c>
      <c r="C242" s="94" t="n">
        <v>1.24718856329261</v>
      </c>
    </row>
    <row r="243" customFormat="false" ht="12.75" hidden="false" customHeight="false" outlineLevel="0" collapsed="false">
      <c r="A243" s="21" t="n">
        <v>43831</v>
      </c>
      <c r="B243" s="91" t="n">
        <f aca="false">YEAR(A243)</f>
        <v>2020</v>
      </c>
      <c r="C243" s="94" t="n">
        <v>1.24669515720832</v>
      </c>
    </row>
    <row r="244" customFormat="false" ht="12.75" hidden="false" customHeight="false" outlineLevel="0" collapsed="false">
      <c r="A244" s="21" t="n">
        <v>43862</v>
      </c>
      <c r="B244" s="91" t="n">
        <f aca="false">YEAR(A244)</f>
        <v>2020</v>
      </c>
      <c r="C244" s="94" t="n">
        <v>1.24620475772691</v>
      </c>
    </row>
    <row r="245" customFormat="false" ht="12.75" hidden="false" customHeight="false" outlineLevel="0" collapsed="false">
      <c r="A245" s="21" t="n">
        <v>43891</v>
      </c>
      <c r="B245" s="91" t="n">
        <f aca="false">YEAR(A245)</f>
        <v>2020</v>
      </c>
      <c r="C245" s="94" t="n">
        <v>1.24574871578954</v>
      </c>
    </row>
    <row r="246" customFormat="false" ht="12.75" hidden="false" customHeight="false" outlineLevel="0" collapsed="false">
      <c r="A246" s="21" t="n">
        <v>43922</v>
      </c>
      <c r="B246" s="91" t="n">
        <f aca="false">YEAR(A246)</f>
        <v>2020</v>
      </c>
      <c r="C246" s="94" t="n">
        <v>1.24526412584045</v>
      </c>
    </row>
    <row r="247" customFormat="false" ht="12.75" hidden="false" customHeight="false" outlineLevel="0" collapsed="false">
      <c r="A247" s="21" t="n">
        <v>43952</v>
      </c>
      <c r="B247" s="91" t="n">
        <f aca="false">YEAR(A247)</f>
        <v>2020</v>
      </c>
      <c r="C247" s="94" t="n">
        <v>1.24429126853314</v>
      </c>
    </row>
    <row r="248" customFormat="false" ht="12.75" hidden="false" customHeight="false" outlineLevel="0" collapsed="false">
      <c r="A248" s="21" t="n">
        <v>43983</v>
      </c>
      <c r="B248" s="91" t="n">
        <f aca="false">YEAR(A248)</f>
        <v>2020</v>
      </c>
      <c r="C248" s="94" t="n">
        <v>1.24318012821095</v>
      </c>
    </row>
    <row r="249" customFormat="false" ht="12.75" hidden="false" customHeight="false" outlineLevel="0" collapsed="false">
      <c r="A249" s="21" t="n">
        <v>44013</v>
      </c>
      <c r="B249" s="91" t="n">
        <f aca="false">YEAR(A249)</f>
        <v>2020</v>
      </c>
      <c r="C249" s="94" t="n">
        <v>1.24210339506228</v>
      </c>
    </row>
    <row r="250" customFormat="false" ht="12.75" hidden="false" customHeight="false" outlineLevel="0" collapsed="false">
      <c r="A250" s="21" t="n">
        <v>44044</v>
      </c>
      <c r="B250" s="91" t="n">
        <f aca="false">YEAR(A250)</f>
        <v>2020</v>
      </c>
      <c r="C250" s="94" t="n">
        <v>1.24098929253132</v>
      </c>
    </row>
    <row r="251" customFormat="false" ht="12.75" hidden="false" customHeight="false" outlineLevel="0" collapsed="false">
      <c r="A251" s="21" t="n">
        <v>44075</v>
      </c>
      <c r="B251" s="91" t="n">
        <f aca="false">YEAR(A251)</f>
        <v>2020</v>
      </c>
      <c r="C251" s="94" t="n">
        <v>1.23987369323967</v>
      </c>
    </row>
    <row r="252" customFormat="false" ht="12.75" hidden="false" customHeight="false" outlineLevel="0" collapsed="false">
      <c r="A252" s="21" t="n">
        <v>44105</v>
      </c>
      <c r="B252" s="91" t="n">
        <f aca="false">YEAR(A252)</f>
        <v>2020</v>
      </c>
      <c r="C252" s="94" t="n">
        <v>1.23879266138537</v>
      </c>
    </row>
    <row r="253" customFormat="false" ht="12.75" hidden="false" customHeight="false" outlineLevel="0" collapsed="false">
      <c r="A253" s="21" t="n">
        <v>44136</v>
      </c>
      <c r="B253" s="91" t="n">
        <f aca="false">YEAR(A253)</f>
        <v>2020</v>
      </c>
      <c r="C253" s="94" t="n">
        <v>1.23767413384343</v>
      </c>
    </row>
    <row r="254" customFormat="false" ht="12.75" hidden="false" customHeight="false" outlineLevel="0" collapsed="false">
      <c r="A254" s="21" t="n">
        <v>44166</v>
      </c>
      <c r="B254" s="91" t="n">
        <f aca="false">YEAR(A254)</f>
        <v>2020</v>
      </c>
      <c r="C254" s="94" t="n">
        <v>1.23659027910747</v>
      </c>
    </row>
    <row r="255" customFormat="false" ht="12.75" hidden="false" customHeight="false" outlineLevel="0" collapsed="false">
      <c r="A255" s="21" t="n">
        <v>44197</v>
      </c>
      <c r="B255" s="91" t="n">
        <f aca="false">YEAR(A255)</f>
        <v>2021</v>
      </c>
      <c r="C255" s="94" t="n">
        <v>1.23546884586758</v>
      </c>
    </row>
    <row r="256" customFormat="false" ht="12.75" hidden="false" customHeight="false" outlineLevel="0" collapsed="false">
      <c r="A256" s="21" t="n">
        <v>44228</v>
      </c>
      <c r="B256" s="91" t="n">
        <f aca="false">YEAR(A256)</f>
        <v>2021</v>
      </c>
      <c r="C256" s="94" t="n">
        <v>1.23434594461329</v>
      </c>
    </row>
    <row r="257" customFormat="false" ht="12.75" hidden="false" customHeight="false" outlineLevel="0" collapsed="false">
      <c r="A257" s="21" t="n">
        <v>44256</v>
      </c>
      <c r="B257" s="91" t="n">
        <f aca="false">YEAR(A257)</f>
        <v>2021</v>
      </c>
      <c r="C257" s="94" t="n">
        <v>1.23333045428635</v>
      </c>
    </row>
    <row r="258" customFormat="false" ht="12.75" hidden="false" customHeight="false" outlineLevel="0" collapsed="false">
      <c r="A258" s="21" t="n">
        <v>44287</v>
      </c>
      <c r="B258" s="91" t="n">
        <f aca="false">YEAR(A258)</f>
        <v>2021</v>
      </c>
      <c r="C258" s="94" t="n">
        <v>1.23220477519371</v>
      </c>
    </row>
    <row r="259" customFormat="false" ht="12.75" hidden="false" customHeight="false" outlineLevel="0" collapsed="false">
      <c r="A259" s="21" t="n">
        <v>44317</v>
      </c>
      <c r="B259" s="91" t="n">
        <f aca="false">YEAR(A259)</f>
        <v>2021</v>
      </c>
      <c r="C259" s="94" t="n">
        <v>1.23111402666452</v>
      </c>
    </row>
    <row r="260" customFormat="false" ht="12.75" hidden="false" customHeight="false" outlineLevel="0" collapsed="false">
      <c r="A260" s="21" t="n">
        <v>44348</v>
      </c>
      <c r="B260" s="91" t="n">
        <f aca="false">YEAR(A260)</f>
        <v>2021</v>
      </c>
      <c r="C260" s="94" t="n">
        <v>1.22998549781958</v>
      </c>
    </row>
    <row r="261" customFormat="false" ht="12.75" hidden="false" customHeight="false" outlineLevel="0" collapsed="false">
      <c r="A261" s="21" t="n">
        <v>44378</v>
      </c>
      <c r="B261" s="91" t="n">
        <f aca="false">YEAR(A261)</f>
        <v>2021</v>
      </c>
      <c r="C261" s="94" t="n">
        <v>1.22889200242056</v>
      </c>
    </row>
    <row r="262" customFormat="false" ht="12.75" hidden="false" customHeight="false" outlineLevel="0" collapsed="false">
      <c r="A262" s="21" t="n">
        <v>44409</v>
      </c>
      <c r="B262" s="91" t="n">
        <f aca="false">YEAR(A262)</f>
        <v>2021</v>
      </c>
      <c r="C262" s="94" t="n">
        <v>1.22776064647013</v>
      </c>
    </row>
    <row r="263" customFormat="false" ht="12.75" hidden="false" customHeight="false" outlineLevel="0" collapsed="false">
      <c r="A263" s="21" t="n">
        <v>44440</v>
      </c>
      <c r="B263" s="91" t="n">
        <f aca="false">YEAR(A263)</f>
        <v>2021</v>
      </c>
      <c r="C263" s="94" t="n">
        <v>1.22662786248111</v>
      </c>
    </row>
    <row r="264" customFormat="false" ht="12.75" hidden="false" customHeight="false" outlineLevel="0" collapsed="false">
      <c r="A264" s="21" t="n">
        <v>44470</v>
      </c>
      <c r="B264" s="91" t="n">
        <f aca="false">YEAR(A264)</f>
        <v>2021</v>
      </c>
      <c r="C264" s="94" t="n">
        <v>1.22553026574648</v>
      </c>
    </row>
    <row r="265" customFormat="false" ht="12.75" hidden="false" customHeight="false" outlineLevel="0" collapsed="false">
      <c r="A265" s="21" t="n">
        <v>44501</v>
      </c>
      <c r="B265" s="91" t="n">
        <f aca="false">YEAR(A265)</f>
        <v>2021</v>
      </c>
      <c r="C265" s="94" t="n">
        <v>1.22439468885588</v>
      </c>
    </row>
    <row r="266" customFormat="false" ht="12.75" hidden="false" customHeight="false" outlineLevel="0" collapsed="false">
      <c r="A266" s="21" t="n">
        <v>44531</v>
      </c>
      <c r="B266" s="91" t="n">
        <f aca="false">YEAR(A266)</f>
        <v>2021</v>
      </c>
      <c r="C266" s="94" t="n">
        <v>1.22329440029877</v>
      </c>
    </row>
    <row r="267" customFormat="false" ht="12.75" hidden="false" customHeight="false" outlineLevel="0" collapsed="false">
      <c r="A267" s="21" t="n">
        <v>44562</v>
      </c>
      <c r="B267" s="91" t="n">
        <f aca="false">YEAR(A267)</f>
        <v>2022</v>
      </c>
      <c r="C267" s="94" t="n">
        <v>1.22215605321603</v>
      </c>
    </row>
    <row r="268" customFormat="false" ht="12.75" hidden="false" customHeight="false" outlineLevel="0" collapsed="false">
      <c r="A268" s="21" t="n">
        <v>44593</v>
      </c>
      <c r="B268" s="91" t="n">
        <f aca="false">YEAR(A268)</f>
        <v>2022</v>
      </c>
      <c r="C268" s="94" t="n">
        <v>1.22101630704128</v>
      </c>
    </row>
    <row r="269" customFormat="false" ht="12.75" hidden="false" customHeight="false" outlineLevel="0" collapsed="false">
      <c r="A269" s="21" t="n">
        <v>44621</v>
      </c>
      <c r="B269" s="91" t="n">
        <f aca="false">YEAR(A269)</f>
        <v>2022</v>
      </c>
      <c r="C269" s="94" t="n">
        <v>1.21998566122001</v>
      </c>
    </row>
    <row r="270" customFormat="false" ht="12.75" hidden="false" customHeight="false" outlineLevel="0" collapsed="false">
      <c r="A270" s="21" t="n">
        <v>44652</v>
      </c>
      <c r="B270" s="91" t="n">
        <f aca="false">YEAR(A270)</f>
        <v>2022</v>
      </c>
      <c r="C270" s="94" t="n">
        <v>1.21884326848849</v>
      </c>
    </row>
    <row r="271" customFormat="false" ht="12.75" hidden="false" customHeight="false" outlineLevel="0" collapsed="false">
      <c r="A271" s="21" t="n">
        <v>44682</v>
      </c>
      <c r="B271" s="91" t="n">
        <f aca="false">YEAR(A271)</f>
        <v>2022</v>
      </c>
      <c r="C271" s="94" t="n">
        <v>1.21773641119871</v>
      </c>
    </row>
    <row r="272" customFormat="false" ht="12.75" hidden="false" customHeight="false" outlineLevel="0" collapsed="false">
      <c r="A272" s="21" t="n">
        <v>44713</v>
      </c>
      <c r="B272" s="91" t="n">
        <f aca="false">YEAR(A272)</f>
        <v>2022</v>
      </c>
      <c r="C272" s="94" t="n">
        <v>1.21659130459023</v>
      </c>
    </row>
    <row r="273" customFormat="false" ht="12.75" hidden="false" customHeight="false" outlineLevel="0" collapsed="false">
      <c r="A273" s="21" t="n">
        <v>44743</v>
      </c>
      <c r="B273" s="91" t="n">
        <f aca="false">YEAR(A273)</f>
        <v>2022</v>
      </c>
      <c r="C273" s="94" t="n">
        <v>1.21548183199191</v>
      </c>
    </row>
    <row r="274" customFormat="false" ht="12.75" hidden="false" customHeight="false" outlineLevel="0" collapsed="false">
      <c r="A274" s="21" t="n">
        <v>44774</v>
      </c>
      <c r="B274" s="91" t="n">
        <f aca="false">YEAR(A274)</f>
        <v>2022</v>
      </c>
      <c r="C274" s="94" t="n">
        <v>1.21433403429476</v>
      </c>
    </row>
    <row r="275" customFormat="false" ht="12.75" hidden="false" customHeight="false" outlineLevel="0" collapsed="false">
      <c r="A275" s="21" t="n">
        <v>44805</v>
      </c>
      <c r="B275" s="91" t="n">
        <f aca="false">YEAR(A275)</f>
        <v>2022</v>
      </c>
      <c r="C275" s="94" t="n">
        <v>1.21318487773512</v>
      </c>
    </row>
    <row r="276" customFormat="false" ht="12.75" hidden="false" customHeight="false" outlineLevel="0" collapsed="false">
      <c r="A276" s="21" t="n">
        <v>44835</v>
      </c>
      <c r="B276" s="91" t="n">
        <f aca="false">YEAR(A276)</f>
        <v>2022</v>
      </c>
      <c r="C276" s="94" t="n">
        <v>1.21207150247494</v>
      </c>
    </row>
    <row r="277" customFormat="false" ht="12.75" hidden="false" customHeight="false" outlineLevel="0" collapsed="false">
      <c r="A277" s="21" t="n">
        <v>44866</v>
      </c>
      <c r="B277" s="91" t="n">
        <f aca="false">YEAR(A277)</f>
        <v>2022</v>
      </c>
      <c r="C277" s="94" t="n">
        <v>1.21091968923546</v>
      </c>
    </row>
    <row r="278" customFormat="false" ht="12.75" hidden="false" customHeight="false" outlineLevel="0" collapsed="false">
      <c r="A278" s="21" t="n">
        <v>44896</v>
      </c>
      <c r="B278" s="91" t="n">
        <f aca="false">YEAR(A278)</f>
        <v>2022</v>
      </c>
      <c r="C278" s="94" t="n">
        <v>1.20980375404384</v>
      </c>
    </row>
    <row r="279" customFormat="false" ht="12.75" hidden="false" customHeight="false" outlineLevel="0" collapsed="false">
      <c r="A279" s="21" t="n">
        <v>44927</v>
      </c>
      <c r="B279" s="91" t="n">
        <f aca="false">YEAR(A279)</f>
        <v>2023</v>
      </c>
      <c r="C279" s="94" t="n">
        <v>1.20864930696418</v>
      </c>
    </row>
    <row r="280" customFormat="false" ht="12.75" hidden="false" customHeight="false" outlineLevel="0" collapsed="false">
      <c r="A280" s="21" t="n">
        <v>44958</v>
      </c>
      <c r="B280" s="91" t="n">
        <f aca="false">YEAR(A280)</f>
        <v>2023</v>
      </c>
      <c r="C280" s="94" t="n">
        <v>1.2074935301346</v>
      </c>
    </row>
    <row r="281" customFormat="false" ht="12.75" hidden="false" customHeight="false" outlineLevel="0" collapsed="false">
      <c r="A281" s="21" t="n">
        <v>44986</v>
      </c>
      <c r="B281" s="91" t="n">
        <f aca="false">YEAR(A281)</f>
        <v>2023</v>
      </c>
      <c r="C281" s="94" t="n">
        <v>1.20644846463976</v>
      </c>
    </row>
    <row r="282" customFormat="false" ht="12.75" hidden="false" customHeight="false" outlineLevel="0" collapsed="false">
      <c r="A282" s="21" t="n">
        <v>45017</v>
      </c>
      <c r="B282" s="91" t="n">
        <f aca="false">YEAR(A282)</f>
        <v>2023</v>
      </c>
      <c r="C282" s="94" t="n">
        <v>1.20529017331472</v>
      </c>
    </row>
    <row r="283" customFormat="false" ht="12.75" hidden="false" customHeight="false" outlineLevel="0" collapsed="false">
      <c r="A283" s="21" t="n">
        <v>45047</v>
      </c>
      <c r="B283" s="91" t="n">
        <f aca="false">YEAR(A283)</f>
        <v>2023</v>
      </c>
      <c r="C283" s="94" t="n">
        <v>1.20416799639851</v>
      </c>
    </row>
    <row r="284" customFormat="false" ht="12.75" hidden="false" customHeight="false" outlineLevel="0" collapsed="false">
      <c r="A284" s="21" t="n">
        <v>45078</v>
      </c>
      <c r="B284" s="91" t="n">
        <f aca="false">YEAR(A284)</f>
        <v>2023</v>
      </c>
      <c r="C284" s="94" t="n">
        <v>1.20300712785161</v>
      </c>
    </row>
    <row r="285" customFormat="false" ht="12.75" hidden="false" customHeight="false" outlineLevel="0" collapsed="false">
      <c r="A285" s="21" t="n">
        <v>45108</v>
      </c>
      <c r="B285" s="91" t="n">
        <f aca="false">YEAR(A285)</f>
        <v>2023</v>
      </c>
      <c r="C285" s="94" t="n">
        <v>1.20188246792975</v>
      </c>
    </row>
    <row r="286" customFormat="false" ht="12.75" hidden="false" customHeight="false" outlineLevel="0" collapsed="false">
      <c r="A286" s="21" t="n">
        <v>45139</v>
      </c>
      <c r="B286" s="91" t="n">
        <f aca="false">YEAR(A286)</f>
        <v>2023</v>
      </c>
      <c r="C286" s="94" t="n">
        <v>1.200719045064</v>
      </c>
    </row>
    <row r="287" customFormat="false" ht="12.75" hidden="false" customHeight="false" outlineLevel="0" collapsed="false">
      <c r="A287" s="21" t="n">
        <v>45170</v>
      </c>
      <c r="B287" s="91" t="n">
        <f aca="false">YEAR(A287)</f>
        <v>2023</v>
      </c>
      <c r="C287" s="94" t="n">
        <v>1.19955433288425</v>
      </c>
    </row>
    <row r="288" customFormat="false" ht="12.75" hidden="false" customHeight="false" outlineLevel="0" collapsed="false">
      <c r="A288" s="21" t="n">
        <v>45200</v>
      </c>
      <c r="B288" s="91" t="n">
        <f aca="false">YEAR(A288)</f>
        <v>2023</v>
      </c>
      <c r="C288" s="94" t="n">
        <v>1.19842597004381</v>
      </c>
    </row>
    <row r="289" customFormat="false" ht="12.75" hidden="false" customHeight="false" outlineLevel="0" collapsed="false">
      <c r="A289" s="21" t="n">
        <v>45231</v>
      </c>
      <c r="B289" s="91" t="n">
        <f aca="false">YEAR(A289)</f>
        <v>2023</v>
      </c>
      <c r="C289" s="94" t="n">
        <v>1.19725873811854</v>
      </c>
    </row>
    <row r="290" customFormat="false" ht="12.75" hidden="false" customHeight="false" outlineLevel="0" collapsed="false">
      <c r="A290" s="21" t="n">
        <v>45261</v>
      </c>
      <c r="B290" s="91" t="n">
        <f aca="false">YEAR(A290)</f>
        <v>2023</v>
      </c>
      <c r="C290" s="94" t="n">
        <v>1.19612794791441</v>
      </c>
    </row>
    <row r="291" customFormat="false" ht="12.75" hidden="false" customHeight="false" outlineLevel="0" collapsed="false">
      <c r="A291" s="21" t="n">
        <v>45292</v>
      </c>
      <c r="B291" s="91" t="n">
        <f aca="false">YEAR(A291)</f>
        <v>2024</v>
      </c>
      <c r="C291" s="94" t="n">
        <v>1.19495821918679</v>
      </c>
    </row>
    <row r="292" customFormat="false" ht="12.75" hidden="false" customHeight="false" outlineLevel="0" collapsed="false">
      <c r="A292" s="21" t="n">
        <v>45323</v>
      </c>
      <c r="B292" s="91" t="n">
        <f aca="false">YEAR(A292)</f>
        <v>2024</v>
      </c>
      <c r="C292" s="94" t="n">
        <v>1.19378723038965</v>
      </c>
    </row>
    <row r="293" customFormat="false" ht="12.75" hidden="false" customHeight="false" outlineLevel="0" collapsed="false">
      <c r="A293" s="21" t="n">
        <v>45352</v>
      </c>
      <c r="B293" s="91" t="n">
        <f aca="false">YEAR(A293)</f>
        <v>2024</v>
      </c>
      <c r="C293" s="94" t="n">
        <v>1.19269065376105</v>
      </c>
    </row>
    <row r="294" customFormat="false" ht="12.75" hidden="false" customHeight="false" outlineLevel="0" collapsed="false">
      <c r="A294" s="21" t="n">
        <v>45383</v>
      </c>
      <c r="B294" s="91" t="n">
        <f aca="false">YEAR(A294)</f>
        <v>2024</v>
      </c>
      <c r="C294" s="94" t="n">
        <v>1.19151724297015</v>
      </c>
    </row>
    <row r="295" customFormat="false" ht="12.75" hidden="false" customHeight="false" outlineLevel="0" collapsed="false">
      <c r="A295" s="21" t="n">
        <v>45413</v>
      </c>
      <c r="B295" s="91" t="n">
        <f aca="false">YEAR(A295)</f>
        <v>2024</v>
      </c>
      <c r="C295" s="94" t="n">
        <v>1.19038050090745</v>
      </c>
    </row>
    <row r="296" customFormat="false" ht="12.75" hidden="false" customHeight="false" outlineLevel="0" collapsed="false">
      <c r="A296" s="21" t="n">
        <v>45444</v>
      </c>
      <c r="B296" s="91" t="n">
        <f aca="false">YEAR(A296)</f>
        <v>2024</v>
      </c>
      <c r="C296" s="94" t="n">
        <v>1.18920465054635</v>
      </c>
    </row>
    <row r="297" customFormat="false" ht="12.75" hidden="false" customHeight="false" outlineLevel="0" collapsed="false">
      <c r="A297" s="21" t="n">
        <v>45474</v>
      </c>
      <c r="B297" s="91" t="n">
        <f aca="false">YEAR(A297)</f>
        <v>2024</v>
      </c>
      <c r="C297" s="94" t="n">
        <v>1.18806555873254</v>
      </c>
    </row>
    <row r="298" customFormat="false" ht="12.75" hidden="false" customHeight="false" outlineLevel="0" collapsed="false">
      <c r="A298" s="21" t="n">
        <v>45505</v>
      </c>
      <c r="B298" s="91" t="n">
        <f aca="false">YEAR(A298)</f>
        <v>2024</v>
      </c>
      <c r="C298" s="94" t="n">
        <v>1.18688729179251</v>
      </c>
    </row>
    <row r="299" customFormat="false" ht="12.75" hidden="false" customHeight="false" outlineLevel="0" collapsed="false">
      <c r="A299" s="21" t="n">
        <v>45536</v>
      </c>
      <c r="B299" s="91" t="n">
        <f aca="false">YEAR(A299)</f>
        <v>2024</v>
      </c>
      <c r="C299" s="94" t="n">
        <v>1.18570780556986</v>
      </c>
    </row>
    <row r="300" customFormat="false" ht="12.75" hidden="false" customHeight="false" outlineLevel="0" collapsed="false">
      <c r="A300" s="21" t="n">
        <v>45566</v>
      </c>
      <c r="B300" s="91" t="n">
        <f aca="false">YEAR(A300)</f>
        <v>2024</v>
      </c>
      <c r="C300" s="94" t="n">
        <v>1.18456521196755</v>
      </c>
    </row>
    <row r="301" customFormat="false" ht="12.75" hidden="false" customHeight="false" outlineLevel="0" collapsed="false">
      <c r="A301" s="21" t="n">
        <v>45597</v>
      </c>
      <c r="B301" s="91" t="n">
        <f aca="false">YEAR(A301)</f>
        <v>2024</v>
      </c>
      <c r="C301" s="94" t="n">
        <v>1.18338334386396</v>
      </c>
    </row>
    <row r="302" customFormat="false" ht="12.75" hidden="false" customHeight="false" outlineLevel="0" collapsed="false">
      <c r="A302" s="21" t="n">
        <v>45627</v>
      </c>
      <c r="B302" s="91" t="n">
        <f aca="false">YEAR(A302)</f>
        <v>2024</v>
      </c>
      <c r="C302" s="94" t="n">
        <v>1.18223845635311</v>
      </c>
    </row>
    <row r="303" customFormat="false" ht="12.75" hidden="false" customHeight="false" outlineLevel="0" collapsed="false">
      <c r="A303" s="21" t="n">
        <v>45658</v>
      </c>
      <c r="B303" s="91" t="n">
        <f aca="false">YEAR(A303)</f>
        <v>2025</v>
      </c>
      <c r="C303" s="94" t="n">
        <v>1.18105422938883</v>
      </c>
    </row>
    <row r="304" customFormat="false" ht="12.75" hidden="false" customHeight="false" outlineLevel="0" collapsed="false">
      <c r="A304" s="21" t="n">
        <v>45689</v>
      </c>
      <c r="B304" s="91" t="n">
        <f aca="false">YEAR(A304)</f>
        <v>2025</v>
      </c>
      <c r="C304" s="94" t="n">
        <v>1.17986881248462</v>
      </c>
    </row>
    <row r="305" customFormat="false" ht="12.75" hidden="false" customHeight="false" outlineLevel="0" collapsed="false">
      <c r="A305" s="21" t="n">
        <v>45717</v>
      </c>
      <c r="B305" s="91" t="n">
        <f aca="false">YEAR(A305)</f>
        <v>2025</v>
      </c>
      <c r="C305" s="94" t="n">
        <v>1.17879709551511</v>
      </c>
    </row>
    <row r="306" customFormat="false" ht="12.75" hidden="false" customHeight="false" outlineLevel="0" collapsed="false">
      <c r="A306" s="21" t="n">
        <v>45748</v>
      </c>
      <c r="B306" s="91" t="n">
        <f aca="false">YEAR(A306)</f>
        <v>2025</v>
      </c>
      <c r="C306" s="94" t="n">
        <v>1.17760943032381</v>
      </c>
    </row>
    <row r="307" customFormat="false" ht="12.75" hidden="false" customHeight="false" outlineLevel="0" collapsed="false">
      <c r="A307" s="21" t="n">
        <v>45778</v>
      </c>
      <c r="B307" s="91" t="n">
        <f aca="false">YEAR(A307)</f>
        <v>2025</v>
      </c>
      <c r="C307" s="94" t="n">
        <v>1.17645896031905</v>
      </c>
    </row>
    <row r="308" customFormat="false" ht="12.75" hidden="false" customHeight="false" outlineLevel="0" collapsed="false">
      <c r="A308" s="21" t="n">
        <v>45809</v>
      </c>
      <c r="B308" s="91" t="n">
        <f aca="false">YEAR(A308)</f>
        <v>2025</v>
      </c>
      <c r="C308" s="94" t="n">
        <v>1.17526899329414</v>
      </c>
    </row>
    <row r="309" customFormat="false" ht="12.75" hidden="false" customHeight="false" outlineLevel="0" collapsed="false">
      <c r="A309" s="21" t="n">
        <v>45839</v>
      </c>
      <c r="B309" s="91" t="n">
        <f aca="false">YEAR(A309)</f>
        <v>2025</v>
      </c>
      <c r="C309" s="94" t="n">
        <v>1.17411630686202</v>
      </c>
    </row>
    <row r="310" customFormat="false" ht="12.75" hidden="false" customHeight="false" outlineLevel="0" collapsed="false">
      <c r="A310" s="21" t="n">
        <v>45870</v>
      </c>
      <c r="B310" s="91" t="n">
        <f aca="false">YEAR(A310)</f>
        <v>2025</v>
      </c>
      <c r="C310" s="94" t="n">
        <v>1.17292406105622</v>
      </c>
    </row>
    <row r="311" customFormat="false" ht="12.75" hidden="false" customHeight="false" outlineLevel="0" collapsed="false">
      <c r="A311" s="21" t="n">
        <v>45901</v>
      </c>
      <c r="B311" s="91" t="n">
        <f aca="false">YEAR(A311)</f>
        <v>2025</v>
      </c>
      <c r="C311" s="94" t="n">
        <v>1.17173066601848</v>
      </c>
    </row>
    <row r="312" customFormat="false" ht="12.75" hidden="false" customHeight="false" outlineLevel="0" collapsed="false">
      <c r="A312" s="21" t="n">
        <v>45931</v>
      </c>
      <c r="B312" s="91" t="n">
        <f aca="false">YEAR(A312)</f>
        <v>2025</v>
      </c>
      <c r="C312" s="94" t="n">
        <v>1.17057467898346</v>
      </c>
    </row>
    <row r="313" customFormat="false" ht="12.75" hidden="false" customHeight="false" outlineLevel="0" collapsed="false">
      <c r="A313" s="21" t="n">
        <v>45962</v>
      </c>
      <c r="B313" s="91" t="n">
        <f aca="false">YEAR(A313)</f>
        <v>2025</v>
      </c>
      <c r="C313" s="94" t="n">
        <v>1.16937903994723</v>
      </c>
    </row>
    <row r="314" customFormat="false" ht="12.75" hidden="false" customHeight="false" outlineLevel="0" collapsed="false">
      <c r="A314" s="21" t="n">
        <v>45992</v>
      </c>
      <c r="B314" s="91" t="n">
        <f aca="false">YEAR(A314)</f>
        <v>2025</v>
      </c>
      <c r="C314" s="94" t="n">
        <v>1.16822089246325</v>
      </c>
    </row>
    <row r="315" customFormat="false" ht="12.75" hidden="false" customHeight="false" outlineLevel="0" collapsed="false">
      <c r="A315" s="21" t="n">
        <v>46023</v>
      </c>
      <c r="B315" s="91" t="n">
        <f aca="false">YEAR(A315)</f>
        <v>2026</v>
      </c>
      <c r="C315" s="94" t="n">
        <v>1.16702303249921</v>
      </c>
    </row>
    <row r="316" customFormat="false" ht="12.75" hidden="false" customHeight="false" outlineLevel="0" collapsed="false">
      <c r="A316" s="21" t="n">
        <v>46054</v>
      </c>
      <c r="B316" s="91" t="n">
        <f aca="false">YEAR(A316)</f>
        <v>2026</v>
      </c>
      <c r="C316" s="94" t="n">
        <v>1.16582405271024</v>
      </c>
    </row>
    <row r="317" customFormat="false" ht="12.75" hidden="false" customHeight="false" outlineLevel="0" collapsed="false">
      <c r="A317" s="21" t="n">
        <v>46082</v>
      </c>
      <c r="B317" s="91" t="n">
        <f aca="false">YEAR(A317)</f>
        <v>2026</v>
      </c>
      <c r="C317" s="94" t="n">
        <v>1.16474014566794</v>
      </c>
    </row>
    <row r="318" customFormat="false" ht="12.75" hidden="false" customHeight="false" outlineLevel="0" collapsed="false">
      <c r="A318" s="21" t="n">
        <v>46113</v>
      </c>
      <c r="B318" s="91" t="n">
        <f aca="false">YEAR(A318)</f>
        <v>2026</v>
      </c>
      <c r="C318" s="94" t="n">
        <v>1.16353905106729</v>
      </c>
    </row>
    <row r="319" customFormat="false" ht="12.75" hidden="false" customHeight="false" outlineLevel="0" collapsed="false">
      <c r="A319" s="21" t="n">
        <v>46143</v>
      </c>
      <c r="B319" s="91" t="n">
        <f aca="false">YEAR(A319)</f>
        <v>2026</v>
      </c>
      <c r="C319" s="94" t="n">
        <v>1.16237565164838</v>
      </c>
    </row>
    <row r="320" customFormat="false" ht="12.75" hidden="false" customHeight="false" outlineLevel="0" collapsed="false">
      <c r="A320" s="21" t="n">
        <v>46174</v>
      </c>
      <c r="B320" s="91" t="n">
        <f aca="false">YEAR(A320)</f>
        <v>2026</v>
      </c>
      <c r="C320" s="94" t="n">
        <v>1.161172393253</v>
      </c>
    </row>
    <row r="321" customFormat="false" ht="12.75" hidden="false" customHeight="false" outlineLevel="0" collapsed="false">
      <c r="A321" s="21" t="n">
        <v>46204</v>
      </c>
      <c r="B321" s="91" t="n">
        <f aca="false">YEAR(A321)</f>
        <v>2026</v>
      </c>
      <c r="C321" s="94" t="n">
        <v>1.16000691101034</v>
      </c>
    </row>
    <row r="322" customFormat="false" ht="12.75" hidden="false" customHeight="false" outlineLevel="0" collapsed="false">
      <c r="A322" s="21" t="n">
        <v>46235</v>
      </c>
      <c r="B322" s="91" t="n">
        <f aca="false">YEAR(A322)</f>
        <v>2026</v>
      </c>
      <c r="C322" s="94" t="n">
        <v>1.15880151190821</v>
      </c>
    </row>
    <row r="323" customFormat="false" ht="12.75" hidden="false" customHeight="false" outlineLevel="0" collapsed="false">
      <c r="A323" s="21" t="n">
        <v>46266</v>
      </c>
      <c r="B323" s="91" t="n">
        <f aca="false">YEAR(A323)</f>
        <v>2026</v>
      </c>
      <c r="C323" s="94" t="n">
        <v>1.157595033755</v>
      </c>
    </row>
    <row r="324" customFormat="false" ht="12.75" hidden="false" customHeight="false" outlineLevel="0" collapsed="false">
      <c r="A324" s="21" t="n">
        <v>46296</v>
      </c>
      <c r="B324" s="91" t="n">
        <f aca="false">YEAR(A324)</f>
        <v>2026</v>
      </c>
      <c r="C324" s="94" t="n">
        <v>1.15642645246906</v>
      </c>
    </row>
    <row r="325" customFormat="false" ht="12.75" hidden="false" customHeight="false" outlineLevel="0" collapsed="false">
      <c r="A325" s="21" t="n">
        <v>46327</v>
      </c>
      <c r="B325" s="91" t="n">
        <f aca="false">YEAR(A325)</f>
        <v>2026</v>
      </c>
      <c r="C325" s="94" t="n">
        <v>1.15521786843635</v>
      </c>
    </row>
    <row r="326" customFormat="false" ht="12.75" hidden="false" customHeight="false" outlineLevel="0" collapsed="false">
      <c r="A326" s="21" t="n">
        <v>46357</v>
      </c>
      <c r="B326" s="91" t="n">
        <f aca="false">YEAR(A326)</f>
        <v>2026</v>
      </c>
      <c r="C326" s="94" t="n">
        <v>1.15404726037725</v>
      </c>
    </row>
    <row r="327" customFormat="false" ht="12.75" hidden="false" customHeight="false" outlineLevel="0" collapsed="false">
      <c r="A327" s="21" t="n">
        <v>46388</v>
      </c>
      <c r="B327" s="91" t="n">
        <f aca="false">YEAR(A327)</f>
        <v>2027</v>
      </c>
      <c r="C327" s="94" t="n">
        <v>1.15283659355999</v>
      </c>
    </row>
    <row r="328" customFormat="false" ht="12.75" hidden="false" customHeight="false" outlineLevel="0" collapsed="false">
      <c r="A328" s="21" t="n">
        <v>46419</v>
      </c>
      <c r="B328" s="91" t="n">
        <f aca="false">YEAR(A328)</f>
        <v>2027</v>
      </c>
      <c r="C328" s="94" t="n">
        <v>1.15162487712966</v>
      </c>
    </row>
    <row r="329" customFormat="false" ht="12.75" hidden="false" customHeight="false" outlineLevel="0" collapsed="false">
      <c r="A329" s="21" t="n">
        <v>46447</v>
      </c>
      <c r="B329" s="91" t="n">
        <f aca="false">YEAR(A329)</f>
        <v>2027</v>
      </c>
      <c r="C329" s="94" t="n">
        <v>1.15052952637661</v>
      </c>
    </row>
    <row r="330" customFormat="false" ht="12.75" hidden="false" customHeight="false" outlineLevel="0" collapsed="false">
      <c r="A330" s="21" t="n">
        <v>46478</v>
      </c>
      <c r="B330" s="91" t="n">
        <f aca="false">YEAR(A330)</f>
        <v>2027</v>
      </c>
      <c r="C330" s="94" t="n">
        <v>1.14931582877581</v>
      </c>
    </row>
    <row r="331" customFormat="false" ht="12.75" hidden="false" customHeight="false" outlineLevel="0" collapsed="false">
      <c r="A331" s="21" t="n">
        <v>46508</v>
      </c>
      <c r="B331" s="91" t="n">
        <f aca="false">YEAR(A331)</f>
        <v>2027</v>
      </c>
      <c r="C331" s="94" t="n">
        <v>1.14814029976731</v>
      </c>
    </row>
    <row r="332" customFormat="false" ht="12.75" hidden="false" customHeight="false" outlineLevel="0" collapsed="false">
      <c r="A332" s="21" t="n">
        <v>46539</v>
      </c>
      <c r="B332" s="91" t="n">
        <f aca="false">YEAR(A332)</f>
        <v>2027</v>
      </c>
      <c r="C332" s="94" t="n">
        <v>1.14692457655648</v>
      </c>
    </row>
    <row r="333" customFormat="false" ht="12.75" hidden="false" customHeight="false" outlineLevel="0" collapsed="false">
      <c r="A333" s="21" t="n">
        <v>46569</v>
      </c>
      <c r="B333" s="91" t="n">
        <f aca="false">YEAR(A333)</f>
        <v>2027</v>
      </c>
      <c r="C333" s="94" t="n">
        <v>1.14574709845633</v>
      </c>
    </row>
    <row r="334" customFormat="false" ht="12.75" hidden="false" customHeight="false" outlineLevel="0" collapsed="false">
      <c r="A334" s="21" t="n">
        <v>46600</v>
      </c>
      <c r="B334" s="91" t="n">
        <f aca="false">YEAR(A334)</f>
        <v>2027</v>
      </c>
      <c r="C334" s="94" t="n">
        <v>1.14452937273265</v>
      </c>
    </row>
    <row r="335" customFormat="false" ht="12.75" hidden="false" customHeight="false" outlineLevel="0" collapsed="false">
      <c r="A335" s="21" t="n">
        <v>46631</v>
      </c>
      <c r="B335" s="91" t="n">
        <f aca="false">YEAR(A335)</f>
        <v>2027</v>
      </c>
      <c r="C335" s="94" t="n">
        <v>1.14331063818972</v>
      </c>
    </row>
    <row r="336" customFormat="false" ht="12.75" hidden="false" customHeight="false" outlineLevel="0" collapsed="false">
      <c r="A336" s="21" t="n">
        <v>46661</v>
      </c>
      <c r="B336" s="91" t="n">
        <f aca="false">YEAR(A336)</f>
        <v>2027</v>
      </c>
      <c r="C336" s="94" t="n">
        <v>1.14213026275221</v>
      </c>
    </row>
    <row r="337" customFormat="false" ht="12.75" hidden="false" customHeight="false" outlineLevel="0" collapsed="false">
      <c r="A337" s="21" t="n">
        <v>46692</v>
      </c>
      <c r="B337" s="91" t="n">
        <f aca="false">YEAR(A337)</f>
        <v>2027</v>
      </c>
      <c r="C337" s="94" t="n">
        <v>1.14090956052941</v>
      </c>
    </row>
    <row r="338" customFormat="false" ht="12.75" hidden="false" customHeight="false" outlineLevel="0" collapsed="false">
      <c r="A338" s="21" t="n">
        <v>46722</v>
      </c>
      <c r="B338" s="91" t="n">
        <f aca="false">YEAR(A338)</f>
        <v>2027</v>
      </c>
      <c r="C338" s="94" t="n">
        <v>1.13972729206008</v>
      </c>
    </row>
    <row r="339" customFormat="false" ht="12.75" hidden="false" customHeight="false" outlineLevel="0" collapsed="false">
      <c r="A339" s="21" t="n">
        <v>46753</v>
      </c>
      <c r="B339" s="91" t="n">
        <f aca="false">YEAR(A339)</f>
        <v>2028</v>
      </c>
      <c r="C339" s="94" t="n">
        <v>1.13850464525077</v>
      </c>
    </row>
    <row r="340" customFormat="false" ht="12.75" hidden="false" customHeight="false" outlineLevel="0" collapsed="false">
      <c r="A340" s="21" t="n">
        <v>46784</v>
      </c>
      <c r="B340" s="91" t="n">
        <f aca="false">YEAR(A340)</f>
        <v>2028</v>
      </c>
      <c r="C340" s="94" t="n">
        <v>1.13728101905821</v>
      </c>
    </row>
    <row r="341" customFormat="false" ht="12.75" hidden="false" customHeight="false" outlineLevel="0" collapsed="false">
      <c r="A341" s="21" t="n">
        <v>46813</v>
      </c>
      <c r="B341" s="91" t="n">
        <f aca="false">YEAR(A341)</f>
        <v>2028</v>
      </c>
      <c r="C341" s="94" t="n">
        <v>1.13613545513077</v>
      </c>
    </row>
    <row r="342" customFormat="false" ht="12.75" hidden="false" customHeight="false" outlineLevel="0" collapsed="false">
      <c r="A342" s="21" t="n">
        <v>46844</v>
      </c>
      <c r="B342" s="91" t="n">
        <f aca="false">YEAR(A342)</f>
        <v>2028</v>
      </c>
      <c r="C342" s="94" t="n">
        <v>1.13490995029702</v>
      </c>
    </row>
    <row r="343" customFormat="false" ht="12.75" hidden="false" customHeight="false" outlineLevel="0" collapsed="false">
      <c r="A343" s="21" t="n">
        <v>46874</v>
      </c>
      <c r="B343" s="91" t="n">
        <f aca="false">YEAR(A343)</f>
        <v>2028</v>
      </c>
      <c r="C343" s="94" t="n">
        <v>1.13372306197811</v>
      </c>
    </row>
    <row r="344" customFormat="false" ht="12.75" hidden="false" customHeight="false" outlineLevel="0" collapsed="false">
      <c r="A344" s="21" t="n">
        <v>46905</v>
      </c>
      <c r="B344" s="91" t="n">
        <f aca="false">YEAR(A344)</f>
        <v>2028</v>
      </c>
      <c r="C344" s="94" t="n">
        <v>1.13249567008837</v>
      </c>
    </row>
    <row r="345" customFormat="false" ht="12.75" hidden="false" customHeight="false" outlineLevel="0" collapsed="false">
      <c r="A345" s="21" t="n">
        <v>46935</v>
      </c>
      <c r="B345" s="91" t="n">
        <f aca="false">YEAR(A345)</f>
        <v>2028</v>
      </c>
      <c r="C345" s="94" t="n">
        <v>1.1313069667549</v>
      </c>
    </row>
    <row r="346" customFormat="false" ht="12.75" hidden="false" customHeight="false" outlineLevel="0" collapsed="false">
      <c r="A346" s="21" t="n">
        <v>46966</v>
      </c>
      <c r="B346" s="91" t="n">
        <f aca="false">YEAR(A346)</f>
        <v>2028</v>
      </c>
      <c r="C346" s="94" t="n">
        <v>1.13007771088977</v>
      </c>
    </row>
    <row r="347" customFormat="false" ht="12.75" hidden="false" customHeight="false" outlineLevel="0" collapsed="false">
      <c r="A347" s="21" t="n">
        <v>46997</v>
      </c>
      <c r="B347" s="91" t="n">
        <f aca="false">YEAR(A347)</f>
        <v>2028</v>
      </c>
      <c r="C347" s="94" t="n">
        <v>1.12884751660201</v>
      </c>
    </row>
    <row r="348" customFormat="false" ht="12.75" hidden="false" customHeight="false" outlineLevel="0" collapsed="false">
      <c r="A348" s="21" t="n">
        <v>47027</v>
      </c>
      <c r="B348" s="91" t="n">
        <f aca="false">YEAR(A348)</f>
        <v>2028</v>
      </c>
      <c r="C348" s="94" t="n">
        <v>1.12765611811015</v>
      </c>
    </row>
    <row r="349" customFormat="false" ht="12.75" hidden="false" customHeight="false" outlineLevel="0" collapsed="false">
      <c r="A349" s="21" t="n">
        <v>47058</v>
      </c>
      <c r="B349" s="91" t="n">
        <f aca="false">YEAR(A349)</f>
        <v>2028</v>
      </c>
      <c r="C349" s="94" t="n">
        <v>1.12642409464695</v>
      </c>
    </row>
    <row r="350" customFormat="false" ht="12.75" hidden="false" customHeight="false" outlineLevel="0" collapsed="false">
      <c r="A350" s="21" t="n">
        <v>47088</v>
      </c>
      <c r="B350" s="91" t="n">
        <f aca="false">YEAR(A350)</f>
        <v>2028</v>
      </c>
      <c r="C350" s="94" t="n">
        <v>1.12523093714711</v>
      </c>
    </row>
    <row r="351" customFormat="false" ht="12.75" hidden="false" customHeight="false" outlineLevel="0" collapsed="false">
      <c r="A351" s="21" t="n">
        <v>47119</v>
      </c>
      <c r="B351" s="91" t="n">
        <f aca="false">YEAR(A351)</f>
        <v>2029</v>
      </c>
      <c r="C351" s="94" t="n">
        <v>1.12399710757453</v>
      </c>
    </row>
    <row r="352" customFormat="false" ht="12.75" hidden="false" customHeight="false" outlineLevel="0" collapsed="false">
      <c r="A352" s="21" t="n">
        <v>47150</v>
      </c>
      <c r="B352" s="91" t="n">
        <f aca="false">YEAR(A352)</f>
        <v>2029</v>
      </c>
      <c r="C352" s="94" t="n">
        <v>1.1227623689805</v>
      </c>
    </row>
    <row r="353" customFormat="false" ht="12.75" hidden="false" customHeight="false" outlineLevel="0" collapsed="false">
      <c r="A353" s="21" t="n">
        <v>47178</v>
      </c>
      <c r="B353" s="91" t="n">
        <f aca="false">YEAR(A353)</f>
        <v>2029</v>
      </c>
      <c r="C353" s="94" t="n">
        <v>1.12164634484763</v>
      </c>
    </row>
    <row r="354" customFormat="false" ht="12.75" hidden="false" customHeight="false" outlineLevel="0" collapsed="false">
      <c r="A354" s="21" t="n">
        <v>47209</v>
      </c>
      <c r="B354" s="91" t="n">
        <f aca="false">YEAR(A354)</f>
        <v>2029</v>
      </c>
      <c r="C354" s="94" t="n">
        <v>1.12040989262999</v>
      </c>
    </row>
    <row r="355" customFormat="false" ht="12.75" hidden="false" customHeight="false" outlineLevel="0" collapsed="false">
      <c r="A355" s="21" t="n">
        <v>47239</v>
      </c>
      <c r="B355" s="91" t="n">
        <f aca="false">YEAR(A355)</f>
        <v>2029</v>
      </c>
      <c r="C355" s="94" t="n">
        <v>1.11921247685392</v>
      </c>
    </row>
    <row r="356" customFormat="false" ht="12.75" hidden="false" customHeight="false" outlineLevel="0" collapsed="false">
      <c r="A356" s="21" t="n">
        <v>47270</v>
      </c>
      <c r="B356" s="91" t="n">
        <f aca="false">YEAR(A356)</f>
        <v>2029</v>
      </c>
      <c r="C356" s="94" t="n">
        <v>1.11797427559327</v>
      </c>
    </row>
    <row r="357" customFormat="false" ht="12.75" hidden="false" customHeight="false" outlineLevel="0" collapsed="false">
      <c r="A357" s="21" t="n">
        <v>47300</v>
      </c>
      <c r="B357" s="91" t="n">
        <f aca="false">YEAR(A357)</f>
        <v>2029</v>
      </c>
      <c r="C357" s="94" t="n">
        <v>1.1167751783438</v>
      </c>
    </row>
    <row r="358" customFormat="false" ht="12.75" hidden="false" customHeight="false" outlineLevel="0" collapsed="false">
      <c r="A358" s="21" t="n">
        <v>47331</v>
      </c>
      <c r="B358" s="91" t="n">
        <f aca="false">YEAR(A358)</f>
        <v>2029</v>
      </c>
      <c r="C358" s="94" t="n">
        <v>1.11553525107882</v>
      </c>
    </row>
    <row r="359" customFormat="false" ht="12.75" hidden="false" customHeight="false" outlineLevel="0" collapsed="false">
      <c r="A359" s="21" t="n">
        <v>47362</v>
      </c>
      <c r="B359" s="91" t="n">
        <f aca="false">YEAR(A359)</f>
        <v>2029</v>
      </c>
      <c r="C359" s="94" t="n">
        <v>1.11429445549022</v>
      </c>
    </row>
    <row r="360" customFormat="false" ht="12.75" hidden="false" customHeight="false" outlineLevel="0" collapsed="false">
      <c r="A360" s="21" t="n">
        <v>47392</v>
      </c>
      <c r="B360" s="91" t="n">
        <f aca="false">YEAR(A360)</f>
        <v>2029</v>
      </c>
      <c r="C360" s="94" t="n">
        <v>1.11309286440684</v>
      </c>
    </row>
    <row r="361" customFormat="false" ht="12.75" hidden="false" customHeight="false" outlineLevel="0" collapsed="false">
      <c r="A361" s="21" t="n">
        <v>47423</v>
      </c>
      <c r="B361" s="91" t="n">
        <f aca="false">YEAR(A361)</f>
        <v>2029</v>
      </c>
      <c r="C361" s="94" t="n">
        <v>1.11185037754269</v>
      </c>
    </row>
    <row r="362" customFormat="false" ht="12.75" hidden="false" customHeight="false" outlineLevel="0" collapsed="false">
      <c r="A362" s="21" t="n">
        <v>47453</v>
      </c>
      <c r="B362" s="91" t="n">
        <f aca="false">YEAR(A362)</f>
        <v>2029</v>
      </c>
      <c r="C362" s="94" t="n">
        <v>1.11064716087798</v>
      </c>
    </row>
    <row r="363" customFormat="false" ht="12.75" hidden="false" customHeight="false" outlineLevel="0" collapsed="false">
      <c r="C363" s="94" t="n">
        <v>1.1094030057519</v>
      </c>
    </row>
    <row r="364" customFormat="false" ht="12.75" hidden="false" customHeight="false" outlineLevel="0" collapsed="false">
      <c r="C364" s="94" t="n">
        <v>1.10815801163656</v>
      </c>
    </row>
    <row r="365" customFormat="false" ht="12.75" hidden="false" customHeight="false" outlineLevel="0" collapsed="false">
      <c r="C365" s="31" t="n">
        <v>1.10703278463375</v>
      </c>
    </row>
    <row r="366" customFormat="false" ht="12.75" hidden="false" customHeight="false" outlineLevel="0" collapsed="false">
      <c r="C366" s="0" t="n">
        <v>1.10578621013952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X3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" activeCellId="0" sqref="F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5.13"/>
    <col collapsed="false" customWidth="true" hidden="false" outlineLevel="0" max="8" min="8" style="0" width="4.85"/>
    <col collapsed="false" customWidth="true" hidden="false" outlineLevel="0" max="9" min="9" style="0" width="13.56"/>
    <col collapsed="false" customWidth="true" hidden="false" outlineLevel="0" max="13" min="13" style="0" width="11.13"/>
    <col collapsed="false" customWidth="true" hidden="false" outlineLevel="0" max="14" min="14" style="0" width="12.99"/>
    <col collapsed="false" customWidth="true" hidden="false" outlineLevel="0" max="15" min="15" style="0" width="12.56"/>
  </cols>
  <sheetData>
    <row r="1" customFormat="false" ht="12.75" hidden="false" customHeight="false" outlineLevel="0" collapsed="false">
      <c r="A1" s="0" t="s">
        <v>50</v>
      </c>
    </row>
    <row r="2" customFormat="false" ht="12.75" hidden="false" customHeight="false" outlineLevel="0" collapsed="false">
      <c r="A2" s="31"/>
      <c r="B2" s="0" t="s">
        <v>51</v>
      </c>
      <c r="I2" s="95" t="s">
        <v>52</v>
      </c>
      <c r="J2" s="95"/>
      <c r="K2" s="95"/>
      <c r="L2" s="95"/>
      <c r="M2" s="95"/>
    </row>
    <row r="3" customFormat="false" ht="51" hidden="false" customHeight="true" outlineLevel="0" collapsed="false">
      <c r="F3" s="5" t="s">
        <v>53</v>
      </c>
      <c r="G3" s="9"/>
      <c r="H3" s="5"/>
      <c r="M3" s="5" t="s">
        <v>54</v>
      </c>
      <c r="O3" s="96" t="s">
        <v>55</v>
      </c>
      <c r="P3" s="96"/>
      <c r="Q3" s="96"/>
    </row>
    <row r="4" customFormat="false" ht="12.75" hidden="false" customHeight="false" outlineLevel="0" collapsed="false">
      <c r="A4" s="97" t="n">
        <v>36617</v>
      </c>
      <c r="B4" s="91" t="n">
        <f aca="false">YEAR(A4)</f>
        <v>2000</v>
      </c>
      <c r="C4" s="98" t="n">
        <f aca="false">MONTH(A4)</f>
        <v>4</v>
      </c>
      <c r="D4" s="98" t="str">
        <f aca="false">IF(C4&lt;=6,"Q2","Q4")</f>
        <v>Q2</v>
      </c>
      <c r="E4" s="0" t="str">
        <f aca="false">B4&amp;D4</f>
        <v>2000Q2</v>
      </c>
      <c r="F4" s="99" t="n">
        <v>0.0536235655483024</v>
      </c>
      <c r="O4" s="100" t="s">
        <v>56</v>
      </c>
      <c r="P4" s="101"/>
      <c r="Q4" s="102" t="n">
        <f aca="false">AVERAGE(F4:F7)</f>
        <v>0.0538221874283013</v>
      </c>
      <c r="T4" s="91" t="n">
        <f aca="false">'Debt Amort'!C13</f>
        <v>2000</v>
      </c>
      <c r="U4" s="91" t="n">
        <f aca="false">'Debt Amort'!D13</f>
        <v>2001</v>
      </c>
      <c r="V4" s="91" t="n">
        <f aca="false">'Debt Amort'!E13</f>
        <v>2002</v>
      </c>
      <c r="W4" s="91" t="n">
        <f aca="false">'Debt Amort'!F13</f>
        <v>2003</v>
      </c>
      <c r="X4" s="91" t="n">
        <f aca="false">'Debt Amort'!G13</f>
        <v>2004</v>
      </c>
      <c r="Y4" s="91" t="n">
        <f aca="false">'Debt Amort'!H13</f>
        <v>2005</v>
      </c>
      <c r="Z4" s="91" t="n">
        <f aca="false">'Debt Amort'!I13</f>
        <v>2006</v>
      </c>
      <c r="AA4" s="91" t="n">
        <f aca="false">'Debt Amort'!J13</f>
        <v>2007</v>
      </c>
      <c r="AB4" s="91" t="n">
        <f aca="false">'Debt Amort'!K13</f>
        <v>2008</v>
      </c>
      <c r="AC4" s="91" t="n">
        <f aca="false">'Debt Amort'!L13</f>
        <v>2009</v>
      </c>
      <c r="AD4" s="91" t="n">
        <f aca="false">'Debt Amort'!M13</f>
        <v>2010</v>
      </c>
      <c r="AE4" s="91" t="n">
        <f aca="false">'Debt Amort'!N13</f>
        <v>2011</v>
      </c>
      <c r="AF4" s="91" t="n">
        <f aca="false">'Debt Amort'!O13</f>
        <v>2012</v>
      </c>
      <c r="AG4" s="91" t="n">
        <f aca="false">'Debt Amort'!P13</f>
        <v>2013</v>
      </c>
      <c r="AH4" s="91" t="n">
        <f aca="false">'Debt Amort'!Q13</f>
        <v>2014</v>
      </c>
      <c r="AI4" s="91" t="n">
        <f aca="false">'Debt Amort'!R13</f>
        <v>2015</v>
      </c>
      <c r="AJ4" s="91" t="n">
        <f aca="false">'Debt Amort'!S13</f>
        <v>2016</v>
      </c>
      <c r="AK4" s="91" t="n">
        <f aca="false">'Debt Amort'!T13</f>
        <v>2017</v>
      </c>
      <c r="AL4" s="91" t="n">
        <f aca="false">'Debt Amort'!U13</f>
        <v>2018</v>
      </c>
      <c r="AM4" s="91" t="n">
        <f aca="false">'Debt Amort'!V13</f>
        <v>2019</v>
      </c>
      <c r="AN4" s="91" t="n">
        <f aca="false">'Debt Amort'!W13</f>
        <v>2020</v>
      </c>
      <c r="AO4" s="91" t="n">
        <f aca="false">'Debt Amort'!X13</f>
        <v>2021</v>
      </c>
      <c r="AP4" s="91" t="n">
        <f aca="false">'Debt Amort'!Y13</f>
        <v>2022</v>
      </c>
      <c r="AQ4" s="91" t="n">
        <f aca="false">'Debt Amort'!Z13</f>
        <v>2023</v>
      </c>
      <c r="AR4" s="91" t="n">
        <f aca="false">'Debt Amort'!AA13</f>
        <v>2024</v>
      </c>
      <c r="AS4" s="91" t="n">
        <f aca="false">'Debt Amort'!AB13</f>
        <v>2025</v>
      </c>
    </row>
    <row r="5" customFormat="false" ht="12.75" hidden="false" customHeight="false" outlineLevel="0" collapsed="false">
      <c r="A5" s="97" t="n">
        <v>36647</v>
      </c>
      <c r="B5" s="91" t="n">
        <f aca="false">YEAR(A5)</f>
        <v>2000</v>
      </c>
      <c r="C5" s="98" t="n">
        <f aca="false">MONTH(A5)</f>
        <v>5</v>
      </c>
      <c r="D5" s="98" t="str">
        <f aca="false">IF(C5&lt;=6,"Q2","Q4")</f>
        <v>Q2</v>
      </c>
      <c r="E5" s="0" t="str">
        <f aca="false">B5&amp;D5</f>
        <v>2000Q2</v>
      </c>
      <c r="F5" s="99" t="n">
        <v>0.0535060928755251</v>
      </c>
      <c r="I5" s="103" t="n">
        <v>36707</v>
      </c>
      <c r="J5" s="0" t="n">
        <f aca="false">YEAR(I5)</f>
        <v>2000</v>
      </c>
      <c r="K5" s="0" t="s">
        <v>57</v>
      </c>
      <c r="L5" s="0" t="str">
        <f aca="false">J5&amp;K5</f>
        <v>2000Q2</v>
      </c>
      <c r="M5" s="104" t="n">
        <f aca="false">SUMIF(E:E,L5,F:F)/COUNTIF(E:E,L5)</f>
        <v>0.0533661601707364</v>
      </c>
      <c r="O5" s="105"/>
      <c r="P5" s="49"/>
      <c r="Q5" s="106" t="n">
        <v>0.015</v>
      </c>
      <c r="S5" s="107" t="s">
        <v>57</v>
      </c>
      <c r="T5" s="0" t="str">
        <f aca="false">T$4&amp;$S5</f>
        <v>2000Q2</v>
      </c>
      <c r="U5" s="0" t="str">
        <f aca="false">U$4&amp;$S5</f>
        <v>2001Q2</v>
      </c>
      <c r="V5" s="0" t="str">
        <f aca="false">V$4&amp;$S5</f>
        <v>2002Q2</v>
      </c>
      <c r="W5" s="0" t="str">
        <f aca="false">W$4&amp;$S5</f>
        <v>2003Q2</v>
      </c>
      <c r="X5" s="0" t="str">
        <f aca="false">X$4&amp;$S5</f>
        <v>2004Q2</v>
      </c>
      <c r="Y5" s="0" t="str">
        <f aca="false">Y$4&amp;$S5</f>
        <v>2005Q2</v>
      </c>
      <c r="Z5" s="0" t="str">
        <f aca="false">Z$4&amp;$S5</f>
        <v>2006Q2</v>
      </c>
      <c r="AA5" s="0" t="str">
        <f aca="false">AA$4&amp;$S5</f>
        <v>2007Q2</v>
      </c>
      <c r="AB5" s="0" t="str">
        <f aca="false">AB$4&amp;$S5</f>
        <v>2008Q2</v>
      </c>
      <c r="AC5" s="0" t="str">
        <f aca="false">AC$4&amp;$S5</f>
        <v>2009Q2</v>
      </c>
      <c r="AD5" s="0" t="str">
        <f aca="false">AD$4&amp;$S5</f>
        <v>2010Q2</v>
      </c>
      <c r="AE5" s="0" t="str">
        <f aca="false">AE$4&amp;$S5</f>
        <v>2011Q2</v>
      </c>
      <c r="AF5" s="0" t="str">
        <f aca="false">AF$4&amp;$S5</f>
        <v>2012Q2</v>
      </c>
      <c r="AG5" s="0" t="str">
        <f aca="false">AG$4&amp;$S5</f>
        <v>2013Q2</v>
      </c>
      <c r="AH5" s="0" t="str">
        <f aca="false">AH$4&amp;$S5</f>
        <v>2014Q2</v>
      </c>
      <c r="AI5" s="0" t="str">
        <f aca="false">AI$4&amp;$S5</f>
        <v>2015Q2</v>
      </c>
      <c r="AJ5" s="0" t="str">
        <f aca="false">AJ$4&amp;$S5</f>
        <v>2016Q2</v>
      </c>
      <c r="AK5" s="0" t="str">
        <f aca="false">AK$4&amp;$S5</f>
        <v>2017Q2</v>
      </c>
      <c r="AL5" s="0" t="str">
        <f aca="false">AL$4&amp;$S5</f>
        <v>2018Q2</v>
      </c>
      <c r="AM5" s="0" t="str">
        <f aca="false">AM$4&amp;$S5</f>
        <v>2019Q2</v>
      </c>
      <c r="AN5" s="0" t="str">
        <f aca="false">AN$4&amp;$S5</f>
        <v>2020Q2</v>
      </c>
      <c r="AO5" s="0" t="str">
        <f aca="false">AO$4&amp;$S5</f>
        <v>2021Q2</v>
      </c>
      <c r="AP5" s="0" t="str">
        <f aca="false">AP$4&amp;$S5</f>
        <v>2022Q2</v>
      </c>
      <c r="AQ5" s="0" t="str">
        <f aca="false">AQ$4&amp;$S5</f>
        <v>2023Q2</v>
      </c>
      <c r="AR5" s="0" t="str">
        <f aca="false">AR$4&amp;$S5</f>
        <v>2024Q2</v>
      </c>
      <c r="AS5" s="0" t="str">
        <f aca="false">AS$4&amp;$S5</f>
        <v>2025Q2</v>
      </c>
    </row>
    <row r="6" customFormat="false" ht="13.5" hidden="false" customHeight="false" outlineLevel="0" collapsed="false">
      <c r="A6" s="97" t="n">
        <v>36678</v>
      </c>
      <c r="B6" s="91" t="n">
        <f aca="false">YEAR(A6)</f>
        <v>2000</v>
      </c>
      <c r="C6" s="98" t="n">
        <f aca="false">MONTH(A6)</f>
        <v>6</v>
      </c>
      <c r="D6" s="98" t="str">
        <f aca="false">IF(C6&lt;=6,"Q2","Q4")</f>
        <v>Q2</v>
      </c>
      <c r="E6" s="0" t="str">
        <f aca="false">B6&amp;D6</f>
        <v>2000Q2</v>
      </c>
      <c r="F6" s="99" t="n">
        <v>0.0529688220883817</v>
      </c>
      <c r="I6" s="103" t="n">
        <v>36891</v>
      </c>
      <c r="J6" s="0" t="n">
        <f aca="false">YEAR(I6)</f>
        <v>2000</v>
      </c>
      <c r="K6" s="0" t="s">
        <v>58</v>
      </c>
      <c r="L6" s="0" t="str">
        <f aca="false">J6&amp;K6</f>
        <v>2000Q4</v>
      </c>
      <c r="M6" s="104" t="n">
        <f aca="false">SUMIF(E:E,L6,F:F)/COUNTIF(E:E,L6)</f>
        <v>0.0567260685883425</v>
      </c>
      <c r="O6" s="105"/>
      <c r="P6" s="49"/>
      <c r="Q6" s="108" t="n">
        <f aca="false">SUM(Q4:Q5)</f>
        <v>0.0688221874283014</v>
      </c>
      <c r="S6" s="107" t="s">
        <v>58</v>
      </c>
      <c r="T6" s="0" t="str">
        <f aca="false">T$4&amp;$S6</f>
        <v>2000Q4</v>
      </c>
      <c r="U6" s="0" t="str">
        <f aca="false">U$4&amp;$S6</f>
        <v>2001Q4</v>
      </c>
      <c r="V6" s="0" t="str">
        <f aca="false">V$4&amp;$S6</f>
        <v>2002Q4</v>
      </c>
      <c r="W6" s="0" t="str">
        <f aca="false">W$4&amp;$S6</f>
        <v>2003Q4</v>
      </c>
      <c r="X6" s="0" t="str">
        <f aca="false">X$4&amp;$S6</f>
        <v>2004Q4</v>
      </c>
      <c r="Y6" s="0" t="str">
        <f aca="false">Y$4&amp;$S6</f>
        <v>2005Q4</v>
      </c>
      <c r="Z6" s="0" t="str">
        <f aca="false">Z$4&amp;$S6</f>
        <v>2006Q4</v>
      </c>
      <c r="AA6" s="0" t="str">
        <f aca="false">AA$4&amp;$S6</f>
        <v>2007Q4</v>
      </c>
      <c r="AB6" s="0" t="str">
        <f aca="false">AB$4&amp;$S6</f>
        <v>2008Q4</v>
      </c>
      <c r="AC6" s="0" t="str">
        <f aca="false">AC$4&amp;$S6</f>
        <v>2009Q4</v>
      </c>
      <c r="AD6" s="0" t="str">
        <f aca="false">AD$4&amp;$S6</f>
        <v>2010Q4</v>
      </c>
      <c r="AE6" s="0" t="str">
        <f aca="false">AE$4&amp;$S6</f>
        <v>2011Q4</v>
      </c>
      <c r="AF6" s="0" t="str">
        <f aca="false">AF$4&amp;$S6</f>
        <v>2012Q4</v>
      </c>
      <c r="AG6" s="0" t="str">
        <f aca="false">AG$4&amp;$S6</f>
        <v>2013Q4</v>
      </c>
      <c r="AH6" s="0" t="str">
        <f aca="false">AH$4&amp;$S6</f>
        <v>2014Q4</v>
      </c>
      <c r="AI6" s="0" t="str">
        <f aca="false">AI$4&amp;$S6</f>
        <v>2015Q4</v>
      </c>
      <c r="AJ6" s="0" t="str">
        <f aca="false">AJ$4&amp;$S6</f>
        <v>2016Q4</v>
      </c>
      <c r="AK6" s="0" t="str">
        <f aca="false">AK$4&amp;$S6</f>
        <v>2017Q4</v>
      </c>
      <c r="AL6" s="0" t="str">
        <f aca="false">AL$4&amp;$S6</f>
        <v>2018Q4</v>
      </c>
      <c r="AM6" s="0" t="str">
        <f aca="false">AM$4&amp;$S6</f>
        <v>2019Q4</v>
      </c>
      <c r="AN6" s="0" t="str">
        <f aca="false">AN$4&amp;$S6</f>
        <v>2020Q4</v>
      </c>
      <c r="AO6" s="0" t="str">
        <f aca="false">AO$4&amp;$S6</f>
        <v>2021Q4</v>
      </c>
      <c r="AP6" s="0" t="str">
        <f aca="false">AP$4&amp;$S6</f>
        <v>2022Q4</v>
      </c>
      <c r="AQ6" s="0" t="str">
        <f aca="false">AQ$4&amp;$S6</f>
        <v>2023Q4</v>
      </c>
      <c r="AR6" s="0" t="str">
        <f aca="false">AR$4&amp;$S6</f>
        <v>2024Q4</v>
      </c>
      <c r="AS6" s="0" t="str">
        <f aca="false">AS$4&amp;$S6</f>
        <v>2025Q4</v>
      </c>
    </row>
    <row r="7" customFormat="false" ht="13.5" hidden="false" customHeight="false" outlineLevel="0" collapsed="false">
      <c r="A7" s="97" t="n">
        <v>36708</v>
      </c>
      <c r="B7" s="91" t="n">
        <f aca="false">YEAR(A7)</f>
        <v>2000</v>
      </c>
      <c r="C7" s="98" t="n">
        <f aca="false">MONTH(A7)</f>
        <v>7</v>
      </c>
      <c r="D7" s="98" t="str">
        <f aca="false">IF(C7&lt;=6,"Q2","Q4")</f>
        <v>Q4</v>
      </c>
      <c r="E7" s="0" t="str">
        <f aca="false">B7&amp;D7</f>
        <v>2000Q4</v>
      </c>
      <c r="F7" s="99" t="n">
        <v>0.0551902692009962</v>
      </c>
      <c r="I7" s="103" t="n">
        <v>37072</v>
      </c>
      <c r="J7" s="0" t="n">
        <f aca="false">YEAR(I7)</f>
        <v>2001</v>
      </c>
      <c r="K7" s="0" t="s">
        <v>57</v>
      </c>
      <c r="L7" s="0" t="str">
        <f aca="false">J7&amp;K7</f>
        <v>2001Q2</v>
      </c>
      <c r="M7" s="104" t="n">
        <f aca="false">SUMIF(E:E,L7,F:F)/COUNTIF(E:E,L7)</f>
        <v>0.059734105576137</v>
      </c>
      <c r="O7" s="109"/>
      <c r="P7" s="110"/>
      <c r="Q7" s="111"/>
    </row>
    <row r="8" customFormat="false" ht="12.75" hidden="false" customHeight="false" outlineLevel="0" collapsed="false">
      <c r="A8" s="97" t="n">
        <v>36739</v>
      </c>
      <c r="B8" s="91" t="n">
        <f aca="false">YEAR(A8)</f>
        <v>2000</v>
      </c>
      <c r="C8" s="98" t="n">
        <f aca="false">MONTH(A8)</f>
        <v>8</v>
      </c>
      <c r="D8" s="98" t="str">
        <f aca="false">IF(C8&lt;=6,"Q2","Q4")</f>
        <v>Q4</v>
      </c>
      <c r="E8" s="0" t="str">
        <f aca="false">B8&amp;D8</f>
        <v>2000Q4</v>
      </c>
      <c r="F8" s="99" t="n">
        <v>0.0558189875871289</v>
      </c>
      <c r="I8" s="103" t="n">
        <v>37256</v>
      </c>
      <c r="J8" s="0" t="n">
        <f aca="false">YEAR(I8)</f>
        <v>2001</v>
      </c>
      <c r="K8" s="0" t="s">
        <v>58</v>
      </c>
      <c r="L8" s="0" t="str">
        <f aca="false">J8&amp;K8</f>
        <v>2001Q4</v>
      </c>
      <c r="M8" s="92" t="n">
        <f aca="false">SUMIF(E:E,L8,F:F)/COUNTIF(E:E,L8)</f>
        <v>0.0612272523674611</v>
      </c>
    </row>
    <row r="9" customFormat="false" ht="12.75" hidden="false" customHeight="false" outlineLevel="0" collapsed="false">
      <c r="A9" s="97" t="n">
        <v>36770</v>
      </c>
      <c r="B9" s="91" t="n">
        <f aca="false">YEAR(A9)</f>
        <v>2000</v>
      </c>
      <c r="C9" s="98" t="n">
        <f aca="false">MONTH(A9)</f>
        <v>9</v>
      </c>
      <c r="D9" s="98" t="str">
        <f aca="false">IF(C9&lt;=6,"Q2","Q4")</f>
        <v>Q4</v>
      </c>
      <c r="E9" s="0" t="str">
        <f aca="false">B9&amp;D9</f>
        <v>2000Q4</v>
      </c>
      <c r="F9" s="99" t="n">
        <v>0.0564477061048687</v>
      </c>
      <c r="I9" s="103" t="n">
        <v>37437</v>
      </c>
      <c r="J9" s="0" t="n">
        <f aca="false">YEAR(I9)</f>
        <v>2002</v>
      </c>
      <c r="K9" s="0" t="s">
        <v>57</v>
      </c>
      <c r="L9" s="0" t="str">
        <f aca="false">J9&amp;K9</f>
        <v>2002Q2</v>
      </c>
      <c r="M9" s="92" t="n">
        <f aca="false">SUMIF(E:E,L9,F:F)/COUNTIF(E:E,L9)</f>
        <v>0.0620639234273657</v>
      </c>
    </row>
    <row r="10" customFormat="false" ht="12.75" hidden="false" customHeight="false" outlineLevel="0" collapsed="false">
      <c r="A10" s="97" t="n">
        <v>36800</v>
      </c>
      <c r="B10" s="91" t="n">
        <f aca="false">YEAR(A10)</f>
        <v>2000</v>
      </c>
      <c r="C10" s="98" t="n">
        <f aca="false">MONTH(A10)</f>
        <v>10</v>
      </c>
      <c r="D10" s="98" t="str">
        <f aca="false">IF(C10&lt;=6,"Q2","Q4")</f>
        <v>Q4</v>
      </c>
      <c r="E10" s="0" t="str">
        <f aca="false">B10&amp;D10</f>
        <v>2000Q4</v>
      </c>
      <c r="F10" s="99" t="n">
        <v>0.057043222522756</v>
      </c>
      <c r="I10" s="103" t="n">
        <v>37621</v>
      </c>
      <c r="J10" s="0" t="n">
        <f aca="false">YEAR(I10)</f>
        <v>2002</v>
      </c>
      <c r="K10" s="0" t="s">
        <v>58</v>
      </c>
      <c r="L10" s="0" t="str">
        <f aca="false">J10&amp;K10</f>
        <v>2002Q4</v>
      </c>
      <c r="M10" s="92" t="n">
        <f aca="false">SUMIF(E:E,L10,F:F)/COUNTIF(E:E,L10)</f>
        <v>0.0626949028199917</v>
      </c>
      <c r="AO10" s="91"/>
      <c r="AP10" s="91"/>
      <c r="AQ10" s="91"/>
      <c r="AR10" s="91"/>
      <c r="AS10" s="91"/>
      <c r="AT10" s="91"/>
      <c r="AU10" s="91"/>
      <c r="AV10" s="91"/>
      <c r="AW10" s="91"/>
      <c r="AX10" s="91"/>
    </row>
    <row r="11" customFormat="false" ht="12.75" hidden="false" customHeight="false" outlineLevel="0" collapsed="false">
      <c r="A11" s="97" t="n">
        <v>36831</v>
      </c>
      <c r="B11" s="91" t="n">
        <f aca="false">YEAR(A11)</f>
        <v>2000</v>
      </c>
      <c r="C11" s="98" t="n">
        <f aca="false">MONTH(A11)</f>
        <v>11</v>
      </c>
      <c r="D11" s="98" t="str">
        <f aca="false">IF(C11&lt;=6,"Q2","Q4")</f>
        <v>Q4</v>
      </c>
      <c r="E11" s="0" t="str">
        <f aca="false">B11&amp;D11</f>
        <v>2000Q4</v>
      </c>
      <c r="F11" s="99" t="n">
        <v>0.0576395617579841</v>
      </c>
      <c r="I11" s="103" t="n">
        <v>37802</v>
      </c>
      <c r="J11" s="0" t="n">
        <f aca="false">YEAR(I11)</f>
        <v>2003</v>
      </c>
      <c r="K11" s="0" t="s">
        <v>57</v>
      </c>
      <c r="L11" s="0" t="str">
        <f aca="false">J11&amp;K11</f>
        <v>2003Q2</v>
      </c>
      <c r="M11" s="104" t="n">
        <f aca="false">SUMIF(E:E,L11,F:F)/COUNTIF(E:E,L11)</f>
        <v>0.0632375293197494</v>
      </c>
    </row>
    <row r="12" customFormat="false" ht="12.75" hidden="false" customHeight="false" outlineLevel="0" collapsed="false">
      <c r="A12" s="97" t="n">
        <v>36861</v>
      </c>
      <c r="B12" s="91" t="n">
        <f aca="false">YEAR(A12)</f>
        <v>2000</v>
      </c>
      <c r="C12" s="98" t="n">
        <f aca="false">MONTH(A12)</f>
        <v>12</v>
      </c>
      <c r="D12" s="98" t="str">
        <f aca="false">IF(C12&lt;=6,"Q2","Q4")</f>
        <v>Q4</v>
      </c>
      <c r="E12" s="0" t="str">
        <f aca="false">B12&amp;D12</f>
        <v>2000Q4</v>
      </c>
      <c r="F12" s="99" t="n">
        <v>0.0582166643563213</v>
      </c>
      <c r="I12" s="103" t="n">
        <v>37986</v>
      </c>
      <c r="J12" s="0" t="n">
        <f aca="false">YEAR(I12)</f>
        <v>2003</v>
      </c>
      <c r="K12" s="0" t="s">
        <v>58</v>
      </c>
      <c r="L12" s="112" t="str">
        <f aca="false">J12&amp;K12</f>
        <v>2003Q4</v>
      </c>
      <c r="M12" s="104" t="n">
        <f aca="false">SUMIF(E:E,L12,F:F)/COUNTIF(E:E,L12)</f>
        <v>0.0634245887318758</v>
      </c>
    </row>
    <row r="13" customFormat="false" ht="12.75" hidden="false" customHeight="false" outlineLevel="0" collapsed="false">
      <c r="A13" s="97" t="n">
        <v>36892</v>
      </c>
      <c r="B13" s="91" t="n">
        <f aca="false">YEAR(A13)</f>
        <v>2001</v>
      </c>
      <c r="C13" s="98" t="n">
        <f aca="false">MONTH(A13)</f>
        <v>1</v>
      </c>
      <c r="D13" s="98" t="str">
        <f aca="false">IF(C13&lt;=6,"Q2","Q4")</f>
        <v>Q2</v>
      </c>
      <c r="E13" s="0" t="str">
        <f aca="false">B13&amp;D13</f>
        <v>2001Q2</v>
      </c>
      <c r="F13" s="99" t="n">
        <v>0.0587434906267954</v>
      </c>
      <c r="I13" s="103" t="n">
        <v>38168</v>
      </c>
      <c r="J13" s="0" t="n">
        <f aca="false">YEAR(I13)</f>
        <v>2004</v>
      </c>
      <c r="K13" s="0" t="s">
        <v>57</v>
      </c>
      <c r="L13" s="0" t="str">
        <f aca="false">J13&amp;K13</f>
        <v>2004Q2</v>
      </c>
      <c r="M13" s="92" t="n">
        <f aca="false">SUMIF(E:E,L13,F:F)/COUNTIF(E:E,L13)</f>
        <v>0.0635405307533816</v>
      </c>
    </row>
    <row r="14" customFormat="false" ht="12.75" hidden="false" customHeight="false" outlineLevel="0" collapsed="false">
      <c r="A14" s="97" t="n">
        <v>36923</v>
      </c>
      <c r="B14" s="91" t="n">
        <f aca="false">YEAR(A14)</f>
        <v>2001</v>
      </c>
      <c r="C14" s="98" t="n">
        <f aca="false">MONTH(A14)</f>
        <v>2</v>
      </c>
      <c r="D14" s="98" t="str">
        <f aca="false">IF(C14&lt;=6,"Q2","Q4")</f>
        <v>Q2</v>
      </c>
      <c r="E14" s="0" t="str">
        <f aca="false">B14&amp;D14</f>
        <v>2001Q2</v>
      </c>
      <c r="F14" s="99" t="n">
        <v>0.0591859080942458</v>
      </c>
      <c r="I14" s="103" t="n">
        <v>38352</v>
      </c>
      <c r="J14" s="0" t="n">
        <f aca="false">YEAR(I14)</f>
        <v>2004</v>
      </c>
      <c r="K14" s="0" t="s">
        <v>58</v>
      </c>
      <c r="L14" s="0" t="str">
        <f aca="false">J14&amp;K14</f>
        <v>2004Q4</v>
      </c>
      <c r="M14" s="92" t="n">
        <f aca="false">SUMIF(E:E,L14,F:F)/COUNTIF(E:E,L14)</f>
        <v>0.0636564727793529</v>
      </c>
    </row>
    <row r="15" customFormat="false" ht="12.75" hidden="false" customHeight="false" outlineLevel="0" collapsed="false">
      <c r="A15" s="97" t="n">
        <v>36951</v>
      </c>
      <c r="B15" s="91" t="n">
        <f aca="false">YEAR(A15)</f>
        <v>2001</v>
      </c>
      <c r="C15" s="98" t="n">
        <f aca="false">MONTH(A15)</f>
        <v>3</v>
      </c>
      <c r="D15" s="98" t="str">
        <f aca="false">IF(C15&lt;=6,"Q2","Q4")</f>
        <v>Q2</v>
      </c>
      <c r="E15" s="0" t="str">
        <f aca="false">B15&amp;D15</f>
        <v>2001Q2</v>
      </c>
      <c r="F15" s="99" t="n">
        <v>0.0595855110239936</v>
      </c>
      <c r="I15" s="103" t="n">
        <v>38533</v>
      </c>
      <c r="J15" s="0" t="n">
        <f aca="false">YEAR(I15)</f>
        <v>2005</v>
      </c>
      <c r="K15" s="0" t="s">
        <v>57</v>
      </c>
      <c r="L15" s="0" t="str">
        <f aca="false">J15&amp;K15</f>
        <v>2005Q2</v>
      </c>
      <c r="M15" s="92" t="n">
        <f aca="false">SUMIF(E:E,L15,F:F)/COUNTIF(E:E,L15)</f>
        <v>0.0637652499174573</v>
      </c>
    </row>
    <row r="16" customFormat="false" ht="12.75" hidden="false" customHeight="false" outlineLevel="0" collapsed="false">
      <c r="A16" s="97" t="n">
        <v>36982</v>
      </c>
      <c r="B16" s="91" t="n">
        <f aca="false">YEAR(A16)</f>
        <v>2001</v>
      </c>
      <c r="C16" s="98" t="n">
        <f aca="false">MONTH(A16)</f>
        <v>4</v>
      </c>
      <c r="D16" s="98" t="str">
        <f aca="false">IF(C16&lt;=6,"Q2","Q4")</f>
        <v>Q2</v>
      </c>
      <c r="E16" s="0" t="str">
        <f aca="false">B16&amp;D16</f>
        <v>2001Q2</v>
      </c>
      <c r="F16" s="99" t="n">
        <v>0.0599786514153857</v>
      </c>
      <c r="I16" s="103" t="n">
        <v>38717</v>
      </c>
      <c r="J16" s="0" t="n">
        <f aca="false">YEAR(I16)</f>
        <v>2005</v>
      </c>
      <c r="K16" s="0" t="s">
        <v>58</v>
      </c>
      <c r="L16" s="0" t="str">
        <f aca="false">J16&amp;K16</f>
        <v>2005Q4</v>
      </c>
      <c r="M16" s="92" t="n">
        <f aca="false">SUMIF(E:E,L16,F:F)/COUNTIF(E:E,L16)</f>
        <v>0.0638186124813506</v>
      </c>
    </row>
    <row r="17" customFormat="false" ht="12.75" hidden="false" customHeight="false" outlineLevel="0" collapsed="false">
      <c r="A17" s="97" t="n">
        <v>37012</v>
      </c>
      <c r="B17" s="91" t="n">
        <f aca="false">YEAR(A17)</f>
        <v>2001</v>
      </c>
      <c r="C17" s="98" t="n">
        <f aca="false">MONTH(A17)</f>
        <v>5</v>
      </c>
      <c r="D17" s="98" t="str">
        <f aca="false">IF(C17&lt;=6,"Q2","Q4")</f>
        <v>Q2</v>
      </c>
      <c r="E17" s="0" t="str">
        <f aca="false">B17&amp;D17</f>
        <v>2001Q2</v>
      </c>
      <c r="F17" s="99" t="n">
        <v>0.0602930808981741</v>
      </c>
      <c r="I17" s="103" t="n">
        <v>38898</v>
      </c>
      <c r="J17" s="0" t="n">
        <f aca="false">YEAR(I17)</f>
        <v>2006</v>
      </c>
      <c r="K17" s="0" t="s">
        <v>57</v>
      </c>
      <c r="L17" s="0" t="str">
        <f aca="false">J17&amp;K17</f>
        <v>2006Q2</v>
      </c>
      <c r="M17" s="92" t="n">
        <f aca="false">SUMIF(E:E,L17,F:F)/COUNTIF(E:E,L17)</f>
        <v>0.0638603690046642</v>
      </c>
    </row>
    <row r="18" customFormat="false" ht="12.75" hidden="false" customHeight="false" outlineLevel="0" collapsed="false">
      <c r="A18" s="97" t="n">
        <v>37043</v>
      </c>
      <c r="B18" s="91" t="n">
        <f aca="false">YEAR(A18)</f>
        <v>2001</v>
      </c>
      <c r="C18" s="98" t="n">
        <f aca="false">MONTH(A18)</f>
        <v>6</v>
      </c>
      <c r="D18" s="98" t="str">
        <f aca="false">IF(C18&lt;=6,"Q2","Q4")</f>
        <v>Q2</v>
      </c>
      <c r="E18" s="0" t="str">
        <f aca="false">B18&amp;D18</f>
        <v>2001Q2</v>
      </c>
      <c r="F18" s="99" t="n">
        <v>0.0606179913982277</v>
      </c>
      <c r="I18" s="103" t="n">
        <v>39082</v>
      </c>
      <c r="J18" s="0" t="n">
        <f aca="false">YEAR(I18)</f>
        <v>2006</v>
      </c>
      <c r="K18" s="0" t="s">
        <v>58</v>
      </c>
      <c r="L18" s="0" t="str">
        <f aca="false">J18&amp;K18</f>
        <v>2006Q4</v>
      </c>
      <c r="M18" s="92" t="n">
        <f aca="false">SUMIF(E:E,L18,F:F)/COUNTIF(E:E,L18)</f>
        <v>0.0639022018658963</v>
      </c>
    </row>
    <row r="19" customFormat="false" ht="12.75" hidden="false" customHeight="false" outlineLevel="0" collapsed="false">
      <c r="A19" s="97" t="n">
        <v>37073</v>
      </c>
      <c r="B19" s="91" t="n">
        <f aca="false">YEAR(A19)</f>
        <v>2001</v>
      </c>
      <c r="C19" s="98" t="n">
        <f aca="false">MONTH(A19)</f>
        <v>7</v>
      </c>
      <c r="D19" s="98" t="str">
        <f aca="false">IF(C19&lt;=6,"Q2","Q4")</f>
        <v>Q4</v>
      </c>
      <c r="E19" s="0" t="str">
        <f aca="false">B19&amp;D19</f>
        <v>2001Q4</v>
      </c>
      <c r="F19" s="99" t="n">
        <v>0.060863466067679</v>
      </c>
      <c r="I19" s="103" t="n">
        <v>39263</v>
      </c>
      <c r="J19" s="0" t="n">
        <f aca="false">YEAR(I19)</f>
        <v>2007</v>
      </c>
      <c r="K19" s="0" t="s">
        <v>57</v>
      </c>
      <c r="L19" s="0" t="str">
        <f aca="false">J19&amp;K19</f>
        <v>2007Q2</v>
      </c>
      <c r="M19" s="92" t="n">
        <f aca="false">SUMIF(E:E,L19,F:F)/COUNTIF(E:E,L19)</f>
        <v>0.0639439583903673</v>
      </c>
    </row>
    <row r="20" customFormat="false" ht="12.75" hidden="false" customHeight="false" outlineLevel="0" collapsed="false">
      <c r="A20" s="97" t="n">
        <v>37104</v>
      </c>
      <c r="B20" s="91" t="n">
        <f aca="false">YEAR(A20)</f>
        <v>2001</v>
      </c>
      <c r="C20" s="98" t="n">
        <f aca="false">MONTH(A20)</f>
        <v>8</v>
      </c>
      <c r="D20" s="98" t="str">
        <f aca="false">IF(C20&lt;=6,"Q2","Q4")</f>
        <v>Q4</v>
      </c>
      <c r="E20" s="0" t="str">
        <f aca="false">B20&amp;D20</f>
        <v>2001Q4</v>
      </c>
      <c r="F20" s="99" t="n">
        <v>0.0610102431770723</v>
      </c>
      <c r="I20" s="103" t="n">
        <v>39447</v>
      </c>
      <c r="J20" s="0" t="n">
        <f aca="false">YEAR(I20)</f>
        <v>2007</v>
      </c>
      <c r="K20" s="0" t="s">
        <v>58</v>
      </c>
      <c r="L20" s="0" t="str">
        <f aca="false">J20&amp;K20</f>
        <v>2007Q4</v>
      </c>
      <c r="M20" s="92" t="n">
        <f aca="false">SUMIF(E:E,L20,F:F)/COUNTIF(E:E,L20)</f>
        <v>0.0639857912527591</v>
      </c>
    </row>
    <row r="21" customFormat="false" ht="12.75" hidden="false" customHeight="false" outlineLevel="0" collapsed="false">
      <c r="A21" s="97" t="n">
        <v>37135</v>
      </c>
      <c r="B21" s="91" t="n">
        <f aca="false">YEAR(A21)</f>
        <v>2001</v>
      </c>
      <c r="C21" s="98" t="n">
        <f aca="false">MONTH(A21)</f>
        <v>9</v>
      </c>
      <c r="D21" s="98" t="str">
        <f aca="false">IF(C21&lt;=6,"Q2","Q4")</f>
        <v>Q4</v>
      </c>
      <c r="E21" s="0" t="str">
        <f aca="false">B21&amp;D21</f>
        <v>2001Q4</v>
      </c>
      <c r="F21" s="99" t="n">
        <v>0.0611570202936207</v>
      </c>
      <c r="I21" s="103" t="n">
        <v>39629</v>
      </c>
      <c r="J21" s="0" t="n">
        <f aca="false">YEAR(I21)</f>
        <v>2008</v>
      </c>
      <c r="K21" s="0" t="s">
        <v>57</v>
      </c>
      <c r="L21" s="0" t="str">
        <f aca="false">J21&amp;K21</f>
        <v>2008Q2</v>
      </c>
      <c r="M21" s="92" t="n">
        <f aca="false">SUMIF(E:E,L21,F:F)/COUNTIF(E:E,L21)</f>
        <v>0.0640277004530715</v>
      </c>
    </row>
    <row r="22" customFormat="false" ht="12.75" hidden="false" customHeight="false" outlineLevel="0" collapsed="false">
      <c r="A22" s="97" t="n">
        <v>37165</v>
      </c>
      <c r="B22" s="91" t="n">
        <f aca="false">YEAR(A22)</f>
        <v>2001</v>
      </c>
      <c r="C22" s="98" t="n">
        <f aca="false">MONTH(A22)</f>
        <v>10</v>
      </c>
      <c r="D22" s="98" t="str">
        <f aca="false">IF(C22&lt;=6,"Q2","Q4")</f>
        <v>Q4</v>
      </c>
      <c r="E22" s="0" t="str">
        <f aca="false">B22&amp;D22</f>
        <v>2001Q4</v>
      </c>
      <c r="F22" s="99" t="n">
        <v>0.0612990626712859</v>
      </c>
      <c r="I22" s="103" t="n">
        <v>39813</v>
      </c>
      <c r="J22" s="0" t="n">
        <f aca="false">YEAR(I22)</f>
        <v>2008</v>
      </c>
      <c r="K22" s="0" t="s">
        <v>58</v>
      </c>
      <c r="L22" s="0" t="str">
        <f aca="false">J22&amp;K22</f>
        <v>2008Q4</v>
      </c>
      <c r="M22" s="92" t="n">
        <f aca="false">SUMIF(E:E,L22,F:F)/COUNTIF(E:E,L22)</f>
        <v>0.0640696096539674</v>
      </c>
    </row>
    <row r="23" customFormat="false" ht="12.75" hidden="false" customHeight="false" outlineLevel="0" collapsed="false">
      <c r="A23" s="97" t="n">
        <v>37196</v>
      </c>
      <c r="B23" s="91" t="n">
        <f aca="false">YEAR(A23)</f>
        <v>2001</v>
      </c>
      <c r="C23" s="98" t="n">
        <f aca="false">MONTH(A23)</f>
        <v>11</v>
      </c>
      <c r="D23" s="98" t="str">
        <f aca="false">IF(C23&lt;=6,"Q2","Q4")</f>
        <v>Q4</v>
      </c>
      <c r="E23" s="0" t="str">
        <f aca="false">B23&amp;D23</f>
        <v>2001Q4</v>
      </c>
      <c r="F23" s="99" t="n">
        <v>0.0614458398019107</v>
      </c>
      <c r="I23" s="103" t="n">
        <v>39994</v>
      </c>
      <c r="J23" s="0" t="n">
        <f aca="false">YEAR(I23)</f>
        <v>2009</v>
      </c>
      <c r="K23" s="0" t="s">
        <v>57</v>
      </c>
      <c r="L23" s="0" t="str">
        <f aca="false">J23&amp;K23</f>
        <v>2009Q2</v>
      </c>
      <c r="M23" s="92" t="n">
        <f aca="false">SUMIF(E:E,L23,F:F)/COUNTIF(E:E,L23)</f>
        <v>0.0641113661807567</v>
      </c>
    </row>
    <row r="24" customFormat="false" ht="12.75" hidden="false" customHeight="false" outlineLevel="0" collapsed="false">
      <c r="A24" s="97" t="n">
        <v>37226</v>
      </c>
      <c r="B24" s="91" t="n">
        <f aca="false">YEAR(A24)</f>
        <v>2001</v>
      </c>
      <c r="C24" s="98" t="n">
        <f aca="false">MONTH(A24)</f>
        <v>12</v>
      </c>
      <c r="D24" s="98" t="str">
        <f aca="false">IF(C24&lt;=6,"Q2","Q4")</f>
        <v>Q4</v>
      </c>
      <c r="E24" s="0" t="str">
        <f aca="false">B24&amp;D24</f>
        <v>2001Q4</v>
      </c>
      <c r="F24" s="99" t="n">
        <v>0.0615878821931979</v>
      </c>
      <c r="I24" s="103" t="n">
        <v>40178</v>
      </c>
      <c r="J24" s="0" t="n">
        <f aca="false">YEAR(I24)</f>
        <v>2009</v>
      </c>
      <c r="K24" s="0" t="s">
        <v>58</v>
      </c>
      <c r="L24" s="0" t="str">
        <f aca="false">J24&amp;K24</f>
        <v>2009Q4</v>
      </c>
      <c r="M24" s="92" t="n">
        <f aca="false">SUMIF(E:E,L24,F:F)/COUNTIF(E:E,L24)</f>
        <v>0.0641531990454705</v>
      </c>
    </row>
    <row r="25" customFormat="false" ht="12.75" hidden="false" customHeight="false" outlineLevel="0" collapsed="false">
      <c r="A25" s="97" t="n">
        <v>37257</v>
      </c>
      <c r="B25" s="91" t="n">
        <f aca="false">YEAR(A25)</f>
        <v>2002</v>
      </c>
      <c r="C25" s="98" t="n">
        <f aca="false">MONTH(A25)</f>
        <v>1</v>
      </c>
      <c r="D25" s="98" t="str">
        <f aca="false">IF(C25&lt;=6,"Q2","Q4")</f>
        <v>Q2</v>
      </c>
      <c r="E25" s="0" t="str">
        <f aca="false">B25&amp;D25</f>
        <v>2002Q2</v>
      </c>
      <c r="F25" s="99" t="n">
        <v>0.061734659337898</v>
      </c>
      <c r="I25" s="103" t="n">
        <v>40359</v>
      </c>
      <c r="J25" s="0" t="n">
        <f aca="false">YEAR(I25)</f>
        <v>2010</v>
      </c>
      <c r="K25" s="0" t="s">
        <v>57</v>
      </c>
      <c r="L25" s="0" t="str">
        <f aca="false">J25&amp;K25</f>
        <v>2010Q2</v>
      </c>
      <c r="M25" s="92" t="n">
        <f aca="false">SUMIF(E:E,L25,F:F)/COUNTIF(E:E,L25)</f>
        <v>0.0641973003990201</v>
      </c>
    </row>
    <row r="26" customFormat="false" ht="12.75" hidden="false" customHeight="false" outlineLevel="0" collapsed="false">
      <c r="A26" s="97" t="n">
        <v>37288</v>
      </c>
      <c r="B26" s="91" t="n">
        <f aca="false">YEAR(A26)</f>
        <v>2002</v>
      </c>
      <c r="C26" s="98" t="n">
        <f aca="false">MONTH(A26)</f>
        <v>2</v>
      </c>
      <c r="D26" s="98" t="str">
        <f aca="false">IF(C26&lt;=6,"Q2","Q4")</f>
        <v>Q2</v>
      </c>
      <c r="E26" s="0" t="str">
        <f aca="false">B26&amp;D26</f>
        <v>2002Q2</v>
      </c>
      <c r="F26" s="99" t="n">
        <v>0.0618814364897498</v>
      </c>
      <c r="I26" s="103" t="n">
        <v>40543</v>
      </c>
      <c r="J26" s="0" t="n">
        <f aca="false">YEAR(I26)</f>
        <v>2010</v>
      </c>
      <c r="K26" s="0" t="s">
        <v>58</v>
      </c>
      <c r="L26" s="0" t="str">
        <f aca="false">J26&amp;K26</f>
        <v>2010Q4</v>
      </c>
      <c r="M26" s="92" t="n">
        <f aca="false">SUMIF(E:E,L26,F:F)/COUNTIF(E:E,L26)</f>
        <v>0.0642608229020421</v>
      </c>
    </row>
    <row r="27" customFormat="false" ht="12.75" hidden="false" customHeight="false" outlineLevel="0" collapsed="false">
      <c r="A27" s="97" t="n">
        <v>37316</v>
      </c>
      <c r="B27" s="91" t="n">
        <f aca="false">YEAR(A27)</f>
        <v>2002</v>
      </c>
      <c r="C27" s="98" t="n">
        <f aca="false">MONTH(A27)</f>
        <v>3</v>
      </c>
      <c r="D27" s="98" t="str">
        <f aca="false">IF(C27&lt;=6,"Q2","Q4")</f>
        <v>Q2</v>
      </c>
      <c r="E27" s="0" t="str">
        <f aca="false">B27&amp;D27</f>
        <v>2002Q2</v>
      </c>
      <c r="F27" s="99" t="n">
        <v>0.0620140094072474</v>
      </c>
      <c r="I27" s="103" t="n">
        <v>40724</v>
      </c>
      <c r="J27" s="0" t="n">
        <f aca="false">YEAR(I27)</f>
        <v>2011</v>
      </c>
      <c r="K27" s="0" t="s">
        <v>57</v>
      </c>
      <c r="L27" s="0" t="str">
        <f aca="false">J27&amp;K27</f>
        <v>2011Q2</v>
      </c>
      <c r="M27" s="92" t="n">
        <f aca="false">SUMIF(E:E,L27,F:F)/COUNTIF(E:E,L27)</f>
        <v>0.0643282318244424</v>
      </c>
    </row>
    <row r="28" customFormat="false" ht="12.75" hidden="false" customHeight="false" outlineLevel="0" collapsed="false">
      <c r="A28" s="97" t="n">
        <v>37347</v>
      </c>
      <c r="B28" s="91" t="n">
        <f aca="false">YEAR(A28)</f>
        <v>2002</v>
      </c>
      <c r="C28" s="98" t="n">
        <f aca="false">MONTH(A28)</f>
        <v>4</v>
      </c>
      <c r="D28" s="98" t="str">
        <f aca="false">IF(C28&lt;=6,"Q2","Q4")</f>
        <v>Q2</v>
      </c>
      <c r="E28" s="0" t="str">
        <f aca="false">B28&amp;D28</f>
        <v>2002Q2</v>
      </c>
      <c r="F28" s="99" t="n">
        <v>0.0621532494779817</v>
      </c>
      <c r="I28" s="103" t="n">
        <v>40908</v>
      </c>
      <c r="J28" s="0" t="n">
        <f aca="false">YEAR(I28)</f>
        <v>2011</v>
      </c>
      <c r="K28" s="0" t="s">
        <v>58</v>
      </c>
      <c r="L28" s="0" t="str">
        <f aca="false">J28&amp;K28</f>
        <v>2011Q4</v>
      </c>
      <c r="M28" s="92" t="n">
        <f aca="false">SUMIF(E:E,L28,F:F)/COUNTIF(E:E,L28)</f>
        <v>0.0643957639822193</v>
      </c>
    </row>
    <row r="29" customFormat="false" ht="12.75" hidden="false" customHeight="false" outlineLevel="0" collapsed="false">
      <c r="A29" s="97" t="n">
        <v>37377</v>
      </c>
      <c r="B29" s="91" t="n">
        <f aca="false">YEAR(A29)</f>
        <v>2002</v>
      </c>
      <c r="C29" s="98" t="n">
        <f aca="false">MONTH(A29)</f>
        <v>5</v>
      </c>
      <c r="D29" s="98" t="str">
        <f aca="false">IF(C29&lt;=6,"Q2","Q4")</f>
        <v>Q2</v>
      </c>
      <c r="E29" s="0" t="str">
        <f aca="false">B29&amp;D29</f>
        <v>2002Q2</v>
      </c>
      <c r="F29" s="99" t="n">
        <v>0.0622500693325154</v>
      </c>
      <c r="I29" s="103" t="n">
        <v>41090</v>
      </c>
      <c r="J29" s="0" t="n">
        <f aca="false">YEAR(I29)</f>
        <v>2012</v>
      </c>
      <c r="K29" s="0" t="s">
        <v>57</v>
      </c>
      <c r="L29" s="0" t="str">
        <f aca="false">J29&amp;K29</f>
        <v>2012Q2</v>
      </c>
      <c r="M29" s="92" t="n">
        <f aca="false">SUMIF(E:E,L29,F:F)/COUNTIF(E:E,L29)</f>
        <v>0.0644634193753739</v>
      </c>
    </row>
    <row r="30" customFormat="false" ht="12.75" hidden="false" customHeight="false" outlineLevel="0" collapsed="false">
      <c r="A30" s="97" t="n">
        <v>37408</v>
      </c>
      <c r="B30" s="91" t="n">
        <f aca="false">YEAR(A30)</f>
        <v>2002</v>
      </c>
      <c r="C30" s="98" t="n">
        <f aca="false">MONTH(A30)</f>
        <v>6</v>
      </c>
      <c r="D30" s="98" t="str">
        <f aca="false">IF(C30&lt;=6,"Q2","Q4")</f>
        <v>Q2</v>
      </c>
      <c r="E30" s="0" t="str">
        <f aca="false">B30&amp;D30</f>
        <v>2002Q2</v>
      </c>
      <c r="F30" s="99" t="n">
        <v>0.0623501165188021</v>
      </c>
      <c r="I30" s="103" t="n">
        <v>41274</v>
      </c>
      <c r="J30" s="0" t="n">
        <f aca="false">YEAR(I30)</f>
        <v>2012</v>
      </c>
      <c r="K30" s="0" t="s">
        <v>58</v>
      </c>
      <c r="L30" s="0" t="str">
        <f aca="false">J30&amp;K30</f>
        <v>2012Q4</v>
      </c>
      <c r="M30" s="92" t="n">
        <f aca="false">SUMIF(E:E,L30,F:F)/COUNTIF(E:E,L30)</f>
        <v>0.0645310747700483</v>
      </c>
    </row>
    <row r="31" customFormat="false" ht="12.75" hidden="false" customHeight="false" outlineLevel="0" collapsed="false">
      <c r="A31" s="97" t="n">
        <v>37438</v>
      </c>
      <c r="B31" s="91" t="n">
        <f aca="false">YEAR(A31)</f>
        <v>2002</v>
      </c>
      <c r="C31" s="98" t="n">
        <f aca="false">MONTH(A31)</f>
        <v>7</v>
      </c>
      <c r="D31" s="98" t="str">
        <f aca="false">IF(C31&lt;=6,"Q2","Q4")</f>
        <v>Q4</v>
      </c>
      <c r="E31" s="0" t="str">
        <f aca="false">B31&amp;D31</f>
        <v>2002Q4</v>
      </c>
      <c r="F31" s="99" t="n">
        <v>0.0624469363796618</v>
      </c>
      <c r="I31" s="103" t="n">
        <v>41455</v>
      </c>
      <c r="J31" s="0" t="n">
        <f aca="false">YEAR(I31)</f>
        <v>2013</v>
      </c>
      <c r="K31" s="0" t="s">
        <v>57</v>
      </c>
      <c r="L31" s="0" t="str">
        <f aca="false">J31&amp;K31</f>
        <v>2013Q2</v>
      </c>
      <c r="M31" s="92" t="n">
        <f aca="false">SUMIF(E:E,L31,F:F)/COUNTIF(E:E,L31)</f>
        <v>0.0645984836984888</v>
      </c>
    </row>
    <row r="32" customFormat="false" ht="12.75" hidden="false" customHeight="false" outlineLevel="0" collapsed="false">
      <c r="A32" s="97" t="n">
        <v>37469</v>
      </c>
      <c r="B32" s="91" t="n">
        <f aca="false">YEAR(A32)</f>
        <v>2002</v>
      </c>
      <c r="C32" s="98" t="n">
        <f aca="false">MONTH(A32)</f>
        <v>8</v>
      </c>
      <c r="D32" s="98" t="str">
        <f aca="false">IF(C32&lt;=6,"Q2","Q4")</f>
        <v>Q4</v>
      </c>
      <c r="E32" s="0" t="str">
        <f aca="false">B32&amp;D32</f>
        <v>2002Q4</v>
      </c>
      <c r="F32" s="99" t="n">
        <v>0.062546983572485</v>
      </c>
      <c r="I32" s="103" t="n">
        <v>41639</v>
      </c>
      <c r="J32" s="0" t="n">
        <f aca="false">YEAR(I32)</f>
        <v>2013</v>
      </c>
      <c r="K32" s="0" t="s">
        <v>58</v>
      </c>
      <c r="L32" s="0" t="str">
        <f aca="false">J32&amp;K32</f>
        <v>2013Q4</v>
      </c>
      <c r="M32" s="92" t="n">
        <f aca="false">SUMIF(E:E,L32,F:F)/COUNTIF(E:E,L32)</f>
        <v>0.0646660158623165</v>
      </c>
    </row>
    <row r="33" customFormat="false" ht="12.75" hidden="false" customHeight="false" outlineLevel="0" collapsed="false">
      <c r="A33" s="97" t="n">
        <v>37500</v>
      </c>
      <c r="B33" s="91" t="n">
        <f aca="false">YEAR(A33)</f>
        <v>2002</v>
      </c>
      <c r="C33" s="98" t="n">
        <f aca="false">MONTH(A33)</f>
        <v>9</v>
      </c>
      <c r="D33" s="98" t="str">
        <f aca="false">IF(C33&lt;=6,"Q2","Q4")</f>
        <v>Q4</v>
      </c>
      <c r="E33" s="0" t="str">
        <f aca="false">B33&amp;D33</f>
        <v>2002Q4</v>
      </c>
      <c r="F33" s="99" t="n">
        <v>0.06264703076863</v>
      </c>
      <c r="I33" s="103" t="n">
        <v>41820</v>
      </c>
      <c r="J33" s="0" t="n">
        <f aca="false">YEAR(I33)</f>
        <v>2014</v>
      </c>
      <c r="K33" s="0" t="s">
        <v>57</v>
      </c>
      <c r="L33" s="0" t="str">
        <f aca="false">J33&amp;K33</f>
        <v>2014Q2</v>
      </c>
      <c r="M33" s="92" t="n">
        <f aca="false">SUMIF(E:E,L33,F:F)/COUNTIF(E:E,L33)</f>
        <v>0.0647334247937723</v>
      </c>
    </row>
    <row r="34" customFormat="false" ht="12.75" hidden="false" customHeight="false" outlineLevel="0" collapsed="false">
      <c r="A34" s="97" t="n">
        <v>37530</v>
      </c>
      <c r="B34" s="91" t="n">
        <f aca="false">YEAR(A34)</f>
        <v>2002</v>
      </c>
      <c r="C34" s="98" t="n">
        <f aca="false">MONTH(A34)</f>
        <v>10</v>
      </c>
      <c r="D34" s="98" t="str">
        <f aca="false">IF(C34&lt;=6,"Q2","Q4")</f>
        <v>Q4</v>
      </c>
      <c r="E34" s="0" t="str">
        <f aca="false">B34&amp;D34</f>
        <v>2002Q4</v>
      </c>
      <c r="F34" s="99" t="n">
        <v>0.0627438506390292</v>
      </c>
      <c r="I34" s="103" t="n">
        <v>42004</v>
      </c>
      <c r="J34" s="0" t="n">
        <f aca="false">YEAR(I34)</f>
        <v>2014</v>
      </c>
      <c r="K34" s="0" t="s">
        <v>58</v>
      </c>
      <c r="L34" s="0" t="str">
        <f aca="false">J34&amp;K34</f>
        <v>2014Q4</v>
      </c>
      <c r="M34" s="92" t="n">
        <f aca="false">SUMIF(E:E,L34,F:F)/COUNTIF(E:E,L34)</f>
        <v>0.0648009569606212</v>
      </c>
    </row>
    <row r="35" customFormat="false" ht="12.75" hidden="false" customHeight="false" outlineLevel="0" collapsed="false">
      <c r="A35" s="97" t="n">
        <v>37561</v>
      </c>
      <c r="B35" s="91" t="n">
        <f aca="false">YEAR(A35)</f>
        <v>2002</v>
      </c>
      <c r="C35" s="98" t="n">
        <f aca="false">MONTH(A35)</f>
        <v>11</v>
      </c>
      <c r="D35" s="98" t="str">
        <f aca="false">IF(C35&lt;=6,"Q2","Q4")</f>
        <v>Q4</v>
      </c>
      <c r="E35" s="0" t="str">
        <f aca="false">B35&amp;D35</f>
        <v>2002Q4</v>
      </c>
      <c r="F35" s="99" t="n">
        <v>0.0628438978417099</v>
      </c>
      <c r="I35" s="103" t="n">
        <v>42185</v>
      </c>
      <c r="J35" s="0" t="n">
        <f aca="false">YEAR(I35)</f>
        <v>2015</v>
      </c>
      <c r="K35" s="0" t="s">
        <v>57</v>
      </c>
      <c r="L35" s="0" t="str">
        <f aca="false">J35&amp;K35</f>
        <v>2015Q2</v>
      </c>
      <c r="M35" s="92" t="n">
        <f aca="false">SUMIF(E:E,L35,F:F)/COUNTIF(E:E,L35)</f>
        <v>0.0648576562850886</v>
      </c>
    </row>
    <row r="36" customFormat="false" ht="12.75" hidden="false" customHeight="false" outlineLevel="0" collapsed="false">
      <c r="A36" s="97" t="n">
        <v>37591</v>
      </c>
      <c r="B36" s="91" t="n">
        <f aca="false">YEAR(A36)</f>
        <v>2002</v>
      </c>
      <c r="C36" s="98" t="n">
        <f aca="false">MONTH(A36)</f>
        <v>12</v>
      </c>
      <c r="D36" s="98" t="str">
        <f aca="false">IF(C36&lt;=6,"Q2","Q4")</f>
        <v>Q4</v>
      </c>
      <c r="E36" s="0" t="str">
        <f aca="false">B36&amp;D36</f>
        <v>2002Q4</v>
      </c>
      <c r="F36" s="99" t="n">
        <v>0.0629407177184342</v>
      </c>
      <c r="I36" s="103" t="n">
        <v>42369</v>
      </c>
      <c r="J36" s="0" t="n">
        <f aca="false">YEAR(I36)</f>
        <v>2015</v>
      </c>
      <c r="K36" s="0" t="s">
        <v>58</v>
      </c>
      <c r="L36" s="0" t="str">
        <f aca="false">J36&amp;K36</f>
        <v>2015Q4</v>
      </c>
      <c r="M36" s="92" t="n">
        <f aca="false">SUMIF(E:E,L36,F:F)/COUNTIF(E:E,L36)</f>
        <v>0.0648311257479116</v>
      </c>
    </row>
    <row r="37" customFormat="false" ht="12.75" hidden="false" customHeight="false" outlineLevel="0" collapsed="false">
      <c r="A37" s="97" t="n">
        <v>37622</v>
      </c>
      <c r="B37" s="91" t="n">
        <f aca="false">YEAR(A37)</f>
        <v>2003</v>
      </c>
      <c r="C37" s="98" t="n">
        <f aca="false">MONTH(A37)</f>
        <v>1</v>
      </c>
      <c r="D37" s="98" t="str">
        <f aca="false">IF(C37&lt;=6,"Q2","Q4")</f>
        <v>Q2</v>
      </c>
      <c r="E37" s="0" t="str">
        <f aca="false">B37&amp;D37</f>
        <v>2003Q2</v>
      </c>
      <c r="F37" s="99" t="n">
        <v>0.0630407649276501</v>
      </c>
      <c r="I37" s="103" t="n">
        <v>42551</v>
      </c>
      <c r="J37" s="0" t="n">
        <f aca="false">YEAR(I37)</f>
        <v>2016</v>
      </c>
      <c r="K37" s="0" t="s">
        <v>57</v>
      </c>
      <c r="L37" s="0" t="str">
        <f aca="false">J37&amp;K37</f>
        <v>2016Q2</v>
      </c>
      <c r="M37" s="92" t="n">
        <f aca="false">SUMIF(E:E,L37,F:F)/COUNTIF(E:E,L37)</f>
        <v>0.0647878457578243</v>
      </c>
    </row>
    <row r="38" customFormat="false" ht="12.75" hidden="false" customHeight="false" outlineLevel="0" collapsed="false">
      <c r="A38" s="97" t="n">
        <v>37653</v>
      </c>
      <c r="B38" s="91" t="n">
        <f aca="false">YEAR(A38)</f>
        <v>2003</v>
      </c>
      <c r="C38" s="98" t="n">
        <f aca="false">MONTH(A38)</f>
        <v>2</v>
      </c>
      <c r="D38" s="98" t="str">
        <f aca="false">IF(C38&lt;=6,"Q2","Q4")</f>
        <v>Q2</v>
      </c>
      <c r="E38" s="0" t="str">
        <f aca="false">B38&amp;D38</f>
        <v>2003Q2</v>
      </c>
      <c r="F38" s="99" t="n">
        <v>0.0631408121401864</v>
      </c>
      <c r="I38" s="103" t="n">
        <v>42735</v>
      </c>
      <c r="J38" s="0" t="n">
        <f aca="false">YEAR(I38)</f>
        <v>2016</v>
      </c>
      <c r="K38" s="0" t="s">
        <v>58</v>
      </c>
      <c r="L38" s="0" t="str">
        <f aca="false">J38&amp;K38</f>
        <v>2016Q4</v>
      </c>
      <c r="M38" s="92" t="n">
        <f aca="false">SUMIF(E:E,L38,F:F)/COUNTIF(E:E,L38)</f>
        <v>0.0647445657683591</v>
      </c>
    </row>
    <row r="39" customFormat="false" ht="12.75" hidden="false" customHeight="false" outlineLevel="0" collapsed="false">
      <c r="A39" s="97" t="n">
        <v>37681</v>
      </c>
      <c r="B39" s="91" t="n">
        <f aca="false">YEAR(A39)</f>
        <v>2003</v>
      </c>
      <c r="C39" s="98" t="n">
        <f aca="false">MONTH(A39)</f>
        <v>3</v>
      </c>
      <c r="D39" s="98" t="str">
        <f aca="false">IF(C39&lt;=6,"Q2","Q4")</f>
        <v>Q2</v>
      </c>
      <c r="E39" s="0" t="str">
        <f aca="false">B39&amp;D39</f>
        <v>2003Q2</v>
      </c>
      <c r="F39" s="99" t="n">
        <v>0.0632311773672671</v>
      </c>
      <c r="I39" s="103" t="n">
        <v>42916</v>
      </c>
      <c r="J39" s="0" t="n">
        <f aca="false">YEAR(I39)</f>
        <v>2017</v>
      </c>
      <c r="K39" s="0" t="s">
        <v>57</v>
      </c>
      <c r="L39" s="0" t="str">
        <f aca="false">J39&amp;K39</f>
        <v>2017Q2</v>
      </c>
      <c r="M39" s="92" t="n">
        <f aca="false">SUMIF(E:E,L39,F:F)/COUNTIF(E:E,L39)</f>
        <v>0.0647014434479597</v>
      </c>
    </row>
    <row r="40" customFormat="false" ht="12.75" hidden="false" customHeight="false" outlineLevel="0" collapsed="false">
      <c r="A40" s="97" t="n">
        <v>37712</v>
      </c>
      <c r="B40" s="91" t="n">
        <f aca="false">YEAR(A40)</f>
        <v>2003</v>
      </c>
      <c r="C40" s="98" t="n">
        <f aca="false">MONTH(A40)</f>
        <v>4</v>
      </c>
      <c r="D40" s="98" t="str">
        <f aca="false">IF(C40&lt;=6,"Q2","Q4")</f>
        <v>Q2</v>
      </c>
      <c r="E40" s="0" t="str">
        <f aca="false">B40&amp;D40</f>
        <v>2003Q2</v>
      </c>
      <c r="F40" s="99" t="n">
        <v>0.0633182557523178</v>
      </c>
      <c r="I40" s="103" t="n">
        <v>43100</v>
      </c>
      <c r="J40" s="0" t="n">
        <f aca="false">YEAR(I40)</f>
        <v>2017</v>
      </c>
      <c r="K40" s="0" t="s">
        <v>58</v>
      </c>
      <c r="L40" s="0" t="str">
        <f aca="false">J40&amp;K40</f>
        <v>2017Q4</v>
      </c>
      <c r="M40" s="92" t="n">
        <f aca="false">SUMIF(E:E,L40,F:F)/COUNTIF(E:E,L40)</f>
        <v>0.0646582422939566</v>
      </c>
    </row>
    <row r="41" customFormat="false" ht="12.75" hidden="false" customHeight="false" outlineLevel="0" collapsed="false">
      <c r="A41" s="97" t="n">
        <v>37742</v>
      </c>
      <c r="B41" s="91" t="n">
        <f aca="false">YEAR(A41)</f>
        <v>2003</v>
      </c>
      <c r="C41" s="98" t="n">
        <f aca="false">MONTH(A41)</f>
        <v>5</v>
      </c>
      <c r="D41" s="98" t="str">
        <f aca="false">IF(C41&lt;=6,"Q2","Q4")</f>
        <v>Q2</v>
      </c>
      <c r="E41" s="0" t="str">
        <f aca="false">B41&amp;D41</f>
        <v>2003Q2</v>
      </c>
      <c r="F41" s="99" t="n">
        <v>0.0633372626401134</v>
      </c>
      <c r="I41" s="103" t="n">
        <v>43281</v>
      </c>
      <c r="J41" s="0" t="n">
        <f aca="false">YEAR(I41)</f>
        <v>2018</v>
      </c>
      <c r="K41" s="0" t="s">
        <v>57</v>
      </c>
      <c r="L41" s="0" t="str">
        <f aca="false">J41&amp;K41</f>
        <v>2018Q2</v>
      </c>
      <c r="M41" s="92" t="n">
        <f aca="false">SUMIF(E:E,L41,F:F)/COUNTIF(E:E,L41)</f>
        <v>0.0646151199747913</v>
      </c>
    </row>
    <row r="42" customFormat="false" ht="12.75" hidden="false" customHeight="false" outlineLevel="0" collapsed="false">
      <c r="A42" s="97" t="n">
        <v>37773</v>
      </c>
      <c r="B42" s="91" t="n">
        <f aca="false">YEAR(A42)</f>
        <v>2003</v>
      </c>
      <c r="C42" s="98" t="n">
        <f aca="false">MONTH(A42)</f>
        <v>6</v>
      </c>
      <c r="D42" s="98" t="str">
        <f aca="false">IF(C42&lt;=6,"Q2","Q4")</f>
        <v>Q2</v>
      </c>
      <c r="E42" s="0" t="str">
        <f aca="false">B42&amp;D42</f>
        <v>2003Q2</v>
      </c>
      <c r="F42" s="99" t="n">
        <v>0.0633569030909618</v>
      </c>
      <c r="I42" s="103" t="n">
        <v>43465</v>
      </c>
      <c r="J42" s="0" t="n">
        <f aca="false">YEAR(I42)</f>
        <v>2018</v>
      </c>
      <c r="K42" s="0" t="s">
        <v>58</v>
      </c>
      <c r="L42" s="0" t="str">
        <f aca="false">J42&amp;K42</f>
        <v>2018Q4</v>
      </c>
      <c r="M42" s="92" t="n">
        <f aca="false">SUMIF(E:E,L42,F:F)/COUNTIF(E:E,L42)</f>
        <v>0.0645719188220244</v>
      </c>
    </row>
    <row r="43" customFormat="false" ht="12.75" hidden="false" customHeight="false" outlineLevel="0" collapsed="false">
      <c r="A43" s="97" t="n">
        <v>37803</v>
      </c>
      <c r="B43" s="91" t="n">
        <f aca="false">YEAR(A43)</f>
        <v>2003</v>
      </c>
      <c r="C43" s="98" t="n">
        <f aca="false">MONTH(A43)</f>
        <v>7</v>
      </c>
      <c r="D43" s="98" t="str">
        <f aca="false">IF(C43&lt;=6,"Q2","Q4")</f>
        <v>Q4</v>
      </c>
      <c r="E43" s="0" t="str">
        <f aca="false">B43&amp;D43</f>
        <v>2003Q4</v>
      </c>
      <c r="F43" s="99" t="n">
        <v>0.0633759099790017</v>
      </c>
      <c r="I43" s="103" t="n">
        <v>43646</v>
      </c>
      <c r="J43" s="0" t="n">
        <f aca="false">YEAR(I43)</f>
        <v>2019</v>
      </c>
      <c r="K43" s="0" t="s">
        <v>57</v>
      </c>
      <c r="L43" s="0" t="str">
        <f aca="false">J43&amp;K43</f>
        <v>2019Q2</v>
      </c>
      <c r="M43" s="92" t="n">
        <f aca="false">SUMIF(E:E,L43,F:F)/COUNTIF(E:E,L43)</f>
        <v>0.0645287965040933</v>
      </c>
    </row>
    <row r="44" customFormat="false" ht="12.75" hidden="false" customHeight="false" outlineLevel="0" collapsed="false">
      <c r="A44" s="97" t="n">
        <v>37834</v>
      </c>
      <c r="B44" s="91" t="n">
        <f aca="false">YEAR(A44)</f>
        <v>2003</v>
      </c>
      <c r="C44" s="98" t="n">
        <f aca="false">MONTH(A44)</f>
        <v>8</v>
      </c>
      <c r="D44" s="98" t="str">
        <f aca="false">IF(C44&lt;=6,"Q2","Q4")</f>
        <v>Q4</v>
      </c>
      <c r="E44" s="0" t="str">
        <f aca="false">B44&amp;D44</f>
        <v>2003Q4</v>
      </c>
      <c r="F44" s="99" t="n">
        <v>0.0633955504301018</v>
      </c>
      <c r="I44" s="103" t="n">
        <v>43830</v>
      </c>
      <c r="J44" s="0" t="n">
        <f aca="false">YEAR(I44)</f>
        <v>2019</v>
      </c>
      <c r="K44" s="0" t="s">
        <v>58</v>
      </c>
      <c r="L44" s="0" t="str">
        <f aca="false">J44&amp;K44</f>
        <v>2019Q4</v>
      </c>
      <c r="M44" s="92" t="n">
        <f aca="false">SUMIF(E:E,L44,F:F)/COUNTIF(E:E,L44)</f>
        <v>0.0644855953525627</v>
      </c>
    </row>
    <row r="45" customFormat="false" ht="12.75" hidden="false" customHeight="false" outlineLevel="0" collapsed="false">
      <c r="A45" s="97" t="n">
        <v>37865</v>
      </c>
      <c r="B45" s="91" t="n">
        <f aca="false">YEAR(A45)</f>
        <v>2003</v>
      </c>
      <c r="C45" s="98" t="n">
        <f aca="false">MONTH(A45)</f>
        <v>9</v>
      </c>
      <c r="D45" s="98" t="str">
        <f aca="false">IF(C45&lt;=6,"Q2","Q4")</f>
        <v>Q4</v>
      </c>
      <c r="E45" s="0" t="str">
        <f aca="false">B45&amp;D45</f>
        <v>2003Q4</v>
      </c>
      <c r="F45" s="99" t="n">
        <v>0.0634151908813299</v>
      </c>
      <c r="I45" s="103" t="n">
        <v>44012</v>
      </c>
      <c r="J45" s="0" t="n">
        <f aca="false">YEAR(I45)</f>
        <v>2020</v>
      </c>
      <c r="K45" s="0" t="s">
        <v>57</v>
      </c>
      <c r="L45" s="0" t="str">
        <f aca="false">J45&amp;K45</f>
        <v>2020Q2</v>
      </c>
      <c r="M45" s="92" t="n">
        <f aca="false">SUMIF(E:E,L45,F:F)/COUNTIF(E:E,L45)</f>
        <v>0.0644347957871349</v>
      </c>
    </row>
    <row r="46" customFormat="false" ht="12.75" hidden="false" customHeight="false" outlineLevel="0" collapsed="false">
      <c r="A46" s="97" t="n">
        <v>37895</v>
      </c>
      <c r="B46" s="91" t="n">
        <f aca="false">YEAR(A46)</f>
        <v>2003</v>
      </c>
      <c r="C46" s="98" t="n">
        <f aca="false">MONTH(A46)</f>
        <v>10</v>
      </c>
      <c r="D46" s="98" t="str">
        <f aca="false">IF(C46&lt;=6,"Q2","Q4")</f>
        <v>Q4</v>
      </c>
      <c r="E46" s="0" t="str">
        <f aca="false">B46&amp;D46</f>
        <v>2003Q4</v>
      </c>
      <c r="F46" s="99" t="n">
        <v>0.063434197769737</v>
      </c>
      <c r="I46" s="103" t="n">
        <v>44196</v>
      </c>
      <c r="J46" s="0" t="n">
        <f aca="false">YEAR(I46)</f>
        <v>2020</v>
      </c>
      <c r="K46" s="0" t="s">
        <v>58</v>
      </c>
      <c r="L46" s="0" t="str">
        <f aca="false">J46&amp;K46</f>
        <v>2020Q4</v>
      </c>
      <c r="M46" s="92" t="n">
        <f aca="false">SUMIF(E:E,L46,F:F)/COUNTIF(E:E,L46)</f>
        <v>0.0643254711884753</v>
      </c>
    </row>
    <row r="47" customFormat="false" ht="12.75" hidden="false" customHeight="false" outlineLevel="0" collapsed="false">
      <c r="A47" s="97" t="n">
        <v>37926</v>
      </c>
      <c r="B47" s="91" t="n">
        <f aca="false">YEAR(A47)</f>
        <v>2003</v>
      </c>
      <c r="C47" s="98" t="n">
        <f aca="false">MONTH(A47)</f>
        <v>11</v>
      </c>
      <c r="D47" s="98" t="str">
        <f aca="false">IF(C47&lt;=6,"Q2","Q4")</f>
        <v>Q4</v>
      </c>
      <c r="E47" s="0" t="str">
        <f aca="false">B47&amp;D47</f>
        <v>2003Q4</v>
      </c>
      <c r="F47" s="99" t="n">
        <v>0.0634538382212169</v>
      </c>
      <c r="I47" s="103" t="n">
        <v>44377</v>
      </c>
      <c r="J47" s="0" t="n">
        <f aca="false">YEAR(I47)</f>
        <v>2021</v>
      </c>
      <c r="K47" s="0" t="s">
        <v>57</v>
      </c>
      <c r="L47" s="0" t="str">
        <f aca="false">J47&amp;K47</f>
        <v>2021Q2</v>
      </c>
      <c r="M47" s="92" t="n">
        <f aca="false">SUMIF(E:E,L47,F:F)/COUNTIF(E:E,L47)</f>
        <v>0.0642047411346692</v>
      </c>
    </row>
    <row r="48" customFormat="false" ht="12.75" hidden="false" customHeight="false" outlineLevel="0" collapsed="false">
      <c r="A48" s="97" t="n">
        <v>37956</v>
      </c>
      <c r="B48" s="91" t="n">
        <f aca="false">YEAR(A48)</f>
        <v>2003</v>
      </c>
      <c r="C48" s="98" t="n">
        <f aca="false">MONTH(A48)</f>
        <v>12</v>
      </c>
      <c r="D48" s="98" t="str">
        <f aca="false">IF(C48&lt;=6,"Q2","Q4")</f>
        <v>Q4</v>
      </c>
      <c r="E48" s="0" t="str">
        <f aca="false">B48&amp;D48</f>
        <v>2003Q4</v>
      </c>
      <c r="F48" s="99" t="n">
        <v>0.0634728451098678</v>
      </c>
      <c r="I48" s="103" t="n">
        <v>44561</v>
      </c>
      <c r="J48" s="0" t="n">
        <f aca="false">YEAR(I48)</f>
        <v>2021</v>
      </c>
      <c r="K48" s="0" t="s">
        <v>58</v>
      </c>
      <c r="L48" s="0" t="str">
        <f aca="false">J48&amp;K48</f>
        <v>2021Q4</v>
      </c>
      <c r="M48" s="92" t="n">
        <f aca="false">SUMIF(E:E,L48,F:F)/COUNTIF(E:E,L48)</f>
        <v>0.0640837903726445</v>
      </c>
    </row>
    <row r="49" customFormat="false" ht="12.75" hidden="false" customHeight="false" outlineLevel="0" collapsed="false">
      <c r="A49" s="97" t="n">
        <v>37987</v>
      </c>
      <c r="B49" s="91" t="n">
        <f aca="false">YEAR(A49)</f>
        <v>2004</v>
      </c>
      <c r="C49" s="98" t="n">
        <f aca="false">MONTH(A49)</f>
        <v>1</v>
      </c>
      <c r="D49" s="98" t="str">
        <f aca="false">IF(C49&lt;=6,"Q2","Q4")</f>
        <v>Q2</v>
      </c>
      <c r="E49" s="0" t="str">
        <f aca="false">B49&amp;D49</f>
        <v>2004Q2</v>
      </c>
      <c r="F49" s="99" t="n">
        <v>0.0634924855615995</v>
      </c>
      <c r="I49" s="103" t="n">
        <v>44742</v>
      </c>
      <c r="J49" s="0" t="n">
        <f aca="false">YEAR(I49)</f>
        <v>2022</v>
      </c>
      <c r="K49" s="0" t="s">
        <v>57</v>
      </c>
      <c r="L49" s="0" t="str">
        <f aca="false">J49&amp;K49</f>
        <v>2022Q2</v>
      </c>
      <c r="M49" s="92" t="n">
        <f aca="false">SUMIF(E:E,L49,F:F)/COUNTIF(E:E,L49)</f>
        <v>0.0639630603285137</v>
      </c>
    </row>
    <row r="50" customFormat="false" ht="12.75" hidden="false" customHeight="false" outlineLevel="0" collapsed="false">
      <c r="A50" s="97" t="n">
        <v>38018</v>
      </c>
      <c r="B50" s="91" t="n">
        <f aca="false">YEAR(A50)</f>
        <v>2004</v>
      </c>
      <c r="C50" s="98" t="n">
        <f aca="false">MONTH(A50)</f>
        <v>2</v>
      </c>
      <c r="D50" s="98" t="str">
        <f aca="false">IF(C50&lt;=6,"Q2","Q4")</f>
        <v>Q2</v>
      </c>
      <c r="E50" s="0" t="str">
        <f aca="false">B50&amp;D50</f>
        <v>2004Q2</v>
      </c>
      <c r="F50" s="99" t="n">
        <v>0.0635121260134595</v>
      </c>
      <c r="I50" s="103" t="n">
        <v>44926</v>
      </c>
      <c r="J50" s="0" t="n">
        <f aca="false">YEAR(I50)</f>
        <v>2022</v>
      </c>
      <c r="K50" s="0" t="s">
        <v>58</v>
      </c>
      <c r="L50" s="0" t="str">
        <f aca="false">J50&amp;K50</f>
        <v>2022Q4</v>
      </c>
      <c r="M50" s="92" t="n">
        <f aca="false">SUMIF(E:E,L50,F:F)/COUNTIF(E:E,L50)</f>
        <v>0.0638421095761823</v>
      </c>
    </row>
    <row r="51" customFormat="false" ht="12.75" hidden="false" customHeight="false" outlineLevel="0" collapsed="false">
      <c r="A51" s="97" t="n">
        <v>38047</v>
      </c>
      <c r="B51" s="91" t="n">
        <f aca="false">YEAR(A51)</f>
        <v>2004</v>
      </c>
      <c r="C51" s="98" t="n">
        <f aca="false">MONTH(A51)</f>
        <v>3</v>
      </c>
      <c r="D51" s="98" t="str">
        <f aca="false">IF(C51&lt;=6,"Q2","Q4")</f>
        <v>Q2</v>
      </c>
      <c r="E51" s="0" t="str">
        <f aca="false">B51&amp;D51</f>
        <v>2004Q2</v>
      </c>
      <c r="F51" s="99" t="n">
        <v>0.0635304993395085</v>
      </c>
      <c r="I51" s="103" t="n">
        <v>45107</v>
      </c>
      <c r="J51" s="0" t="n">
        <f aca="false">YEAR(I51)</f>
        <v>2023</v>
      </c>
      <c r="K51" s="0" t="s">
        <v>57</v>
      </c>
      <c r="L51" s="0" t="str">
        <f aca="false">J51&amp;K51</f>
        <v>2023Q2</v>
      </c>
      <c r="M51" s="92" t="n">
        <f aca="false">SUMIF(E:E,L51,F:F)/COUNTIF(E:E,L51)</f>
        <v>0.0637213795417279</v>
      </c>
    </row>
    <row r="52" customFormat="false" ht="12.75" hidden="false" customHeight="false" outlineLevel="0" collapsed="false">
      <c r="A52" s="97" t="n">
        <v>38078</v>
      </c>
      <c r="B52" s="91" t="n">
        <f aca="false">YEAR(A52)</f>
        <v>2004</v>
      </c>
      <c r="C52" s="98" t="n">
        <f aca="false">MONTH(A52)</f>
        <v>4</v>
      </c>
      <c r="D52" s="98" t="str">
        <f aca="false">IF(C52&lt;=6,"Q2","Q4")</f>
        <v>Q2</v>
      </c>
      <c r="E52" s="0" t="str">
        <f aca="false">B52&amp;D52</f>
        <v>2004Q2</v>
      </c>
      <c r="F52" s="99" t="n">
        <v>0.0635501397916154</v>
      </c>
      <c r="I52" s="103" t="n">
        <v>45291</v>
      </c>
      <c r="J52" s="0" t="n">
        <f aca="false">YEAR(I52)</f>
        <v>2023</v>
      </c>
      <c r="K52" s="0" t="s">
        <v>58</v>
      </c>
      <c r="L52" s="0" t="str">
        <f aca="false">J52&amp;K52</f>
        <v>2023Q4</v>
      </c>
      <c r="M52" s="92" t="n">
        <f aca="false">SUMIF(E:E,L52,F:F)/COUNTIF(E:E,L52)</f>
        <v>0.0636004287990913</v>
      </c>
    </row>
    <row r="53" customFormat="false" ht="12.75" hidden="false" customHeight="false" outlineLevel="0" collapsed="false">
      <c r="A53" s="97" t="n">
        <v>38108</v>
      </c>
      <c r="B53" s="91" t="n">
        <f aca="false">YEAR(A53)</f>
        <v>2004</v>
      </c>
      <c r="C53" s="98" t="n">
        <f aca="false">MONTH(A53)</f>
        <v>5</v>
      </c>
      <c r="D53" s="98" t="str">
        <f aca="false">IF(C53&lt;=6,"Q2","Q4")</f>
        <v>Q2</v>
      </c>
      <c r="E53" s="0" t="str">
        <f aca="false">B53&amp;D53</f>
        <v>2004Q2</v>
      </c>
      <c r="F53" s="99" t="n">
        <v>0.0635691466808739</v>
      </c>
      <c r="I53" s="103" t="n">
        <v>45473</v>
      </c>
      <c r="J53" s="0" t="n">
        <f aca="false">YEAR(I53)</f>
        <v>2024</v>
      </c>
      <c r="K53" s="0" t="s">
        <v>57</v>
      </c>
      <c r="L53" s="0" t="str">
        <f aca="false">J53&amp;K53</f>
        <v>2024Q2</v>
      </c>
      <c r="M53" s="92" t="n">
        <f aca="false">SUMIF(E:E,L53,F:F)/COUNTIF(E:E,L53)</f>
        <v>0.0634792573482762</v>
      </c>
    </row>
    <row r="54" customFormat="false" ht="12.75" hidden="false" customHeight="false" outlineLevel="0" collapsed="false">
      <c r="A54" s="97" t="n">
        <v>38139</v>
      </c>
      <c r="B54" s="91" t="n">
        <f aca="false">YEAR(A54)</f>
        <v>2004</v>
      </c>
      <c r="C54" s="98" t="n">
        <f aca="false">MONTH(A54)</f>
        <v>6</v>
      </c>
      <c r="D54" s="98" t="str">
        <f aca="false">IF(C54&lt;=6,"Q2","Q4")</f>
        <v>Q2</v>
      </c>
      <c r="E54" s="0" t="str">
        <f aca="false">B54&amp;D54</f>
        <v>2004Q2</v>
      </c>
      <c r="F54" s="99" t="n">
        <v>0.0635887871332326</v>
      </c>
      <c r="I54" s="103" t="n">
        <v>45657</v>
      </c>
      <c r="J54" s="0" t="n">
        <f aca="false">YEAR(I54)</f>
        <v>2024</v>
      </c>
      <c r="K54" s="0" t="s">
        <v>58</v>
      </c>
      <c r="L54" s="0" t="str">
        <f aca="false">J54&amp;K54</f>
        <v>2024Q4</v>
      </c>
      <c r="M54" s="92" t="n">
        <f aca="false">SUMIF(E:E,L54,F:F)/COUNTIF(E:E,L54)</f>
        <v>0.0633580859023384</v>
      </c>
    </row>
    <row r="55" customFormat="false" ht="12.75" hidden="false" customHeight="false" outlineLevel="0" collapsed="false">
      <c r="A55" s="97" t="n">
        <v>38169</v>
      </c>
      <c r="B55" s="91" t="n">
        <f aca="false">YEAR(A55)</f>
        <v>2004</v>
      </c>
      <c r="C55" s="98" t="n">
        <f aca="false">MONTH(A55)</f>
        <v>7</v>
      </c>
      <c r="D55" s="98" t="str">
        <f aca="false">IF(C55&lt;=6,"Q2","Q4")</f>
        <v>Q4</v>
      </c>
      <c r="E55" s="0" t="str">
        <f aca="false">B55&amp;D55</f>
        <v>2004Q4</v>
      </c>
      <c r="F55" s="99" t="n">
        <v>0.0636077940227344</v>
      </c>
      <c r="I55" s="103" t="n">
        <v>45838</v>
      </c>
      <c r="J55" s="0" t="n">
        <f aca="false">YEAR(I55)</f>
        <v>2025</v>
      </c>
      <c r="K55" s="0" t="s">
        <v>57</v>
      </c>
      <c r="L55" s="0" t="str">
        <f aca="false">J55&amp;K55</f>
        <v>2025Q2</v>
      </c>
      <c r="M55" s="92" t="n">
        <f aca="false">SUMIF(E:E,L55,F:F)/COUNTIF(E:E,L55)</f>
        <v>0.0632373558872669</v>
      </c>
    </row>
    <row r="56" customFormat="false" ht="12.75" hidden="false" customHeight="false" outlineLevel="0" collapsed="false">
      <c r="A56" s="97" t="n">
        <v>38200</v>
      </c>
      <c r="B56" s="91" t="n">
        <f aca="false">YEAR(A56)</f>
        <v>2004</v>
      </c>
      <c r="C56" s="98" t="n">
        <f aca="false">MONTH(A56)</f>
        <v>8</v>
      </c>
      <c r="D56" s="98" t="str">
        <f aca="false">IF(C56&lt;=6,"Q2","Q4")</f>
        <v>Q4</v>
      </c>
      <c r="E56" s="0" t="str">
        <f aca="false">B56&amp;D56</f>
        <v>2004Q4</v>
      </c>
      <c r="F56" s="99" t="n">
        <v>0.0636274344753454</v>
      </c>
      <c r="I56" s="103" t="n">
        <v>46022</v>
      </c>
      <c r="J56" s="0" t="n">
        <f aca="false">YEAR(I56)</f>
        <v>2025</v>
      </c>
      <c r="K56" s="0" t="s">
        <v>58</v>
      </c>
      <c r="L56" s="0" t="str">
        <f aca="false">J56&amp;K56</f>
        <v>2025Q4</v>
      </c>
      <c r="M56" s="92" t="n">
        <f aca="false">SUMIF(E:E,L56,F:F)/COUNTIF(E:E,L56)</f>
        <v>0.0631164051640498</v>
      </c>
    </row>
    <row r="57" customFormat="false" ht="12.75" hidden="false" customHeight="false" outlineLevel="0" collapsed="false">
      <c r="A57" s="97" t="n">
        <v>38231</v>
      </c>
      <c r="B57" s="91" t="n">
        <f aca="false">YEAR(A57)</f>
        <v>2004</v>
      </c>
      <c r="C57" s="98" t="n">
        <f aca="false">MONTH(A57)</f>
        <v>9</v>
      </c>
      <c r="D57" s="98" t="str">
        <f aca="false">IF(C57&lt;=6,"Q2","Q4")</f>
        <v>Q4</v>
      </c>
      <c r="E57" s="0" t="str">
        <f aca="false">B57&amp;D57</f>
        <v>2004Q4</v>
      </c>
      <c r="F57" s="99" t="n">
        <v>0.0636470749280842</v>
      </c>
    </row>
    <row r="58" customFormat="false" ht="12.75" hidden="false" customHeight="false" outlineLevel="0" collapsed="false">
      <c r="A58" s="97" t="n">
        <v>38261</v>
      </c>
      <c r="B58" s="91" t="n">
        <f aca="false">YEAR(A58)</f>
        <v>2004</v>
      </c>
      <c r="C58" s="98" t="n">
        <f aca="false">MONTH(A58)</f>
        <v>10</v>
      </c>
      <c r="D58" s="98" t="str">
        <f aca="false">IF(C58&lt;=6,"Q2","Q4")</f>
        <v>Q4</v>
      </c>
      <c r="E58" s="0" t="str">
        <f aca="false">B58&amp;D58</f>
        <v>2004Q4</v>
      </c>
      <c r="F58" s="99" t="n">
        <v>0.0636660818179533</v>
      </c>
    </row>
    <row r="59" customFormat="false" ht="12.75" hidden="false" customHeight="false" outlineLevel="0" collapsed="false">
      <c r="A59" s="97" t="n">
        <v>38292</v>
      </c>
      <c r="B59" s="91" t="n">
        <f aca="false">YEAR(A59)</f>
        <v>2004</v>
      </c>
      <c r="C59" s="98" t="n">
        <f aca="false">MONTH(A59)</f>
        <v>11</v>
      </c>
      <c r="D59" s="98" t="str">
        <f aca="false">IF(C59&lt;=6,"Q2","Q4")</f>
        <v>Q4</v>
      </c>
      <c r="E59" s="0" t="str">
        <f aca="false">B59&amp;D59</f>
        <v>2004Q4</v>
      </c>
      <c r="F59" s="99" t="n">
        <v>0.0636857222709439</v>
      </c>
    </row>
    <row r="60" customFormat="false" ht="12.75" hidden="false" customHeight="false" outlineLevel="0" collapsed="false">
      <c r="A60" s="97" t="n">
        <v>38322</v>
      </c>
      <c r="B60" s="91" t="n">
        <f aca="false">YEAR(A60)</f>
        <v>2004</v>
      </c>
      <c r="C60" s="98" t="n">
        <f aca="false">MONTH(A60)</f>
        <v>12</v>
      </c>
      <c r="D60" s="98" t="str">
        <f aca="false">IF(C60&lt;=6,"Q2","Q4")</f>
        <v>Q4</v>
      </c>
      <c r="E60" s="0" t="str">
        <f aca="false">B60&amp;D60</f>
        <v>2004Q4</v>
      </c>
      <c r="F60" s="99" t="n">
        <v>0.0637047291610564</v>
      </c>
    </row>
    <row r="61" customFormat="false" ht="12.75" hidden="false" customHeight="false" outlineLevel="0" collapsed="false">
      <c r="A61" s="97" t="n">
        <v>38353</v>
      </c>
      <c r="B61" s="91" t="n">
        <f aca="false">YEAR(A61)</f>
        <v>2005</v>
      </c>
      <c r="C61" s="98" t="n">
        <f aca="false">MONTH(A61)</f>
        <v>1</v>
      </c>
      <c r="D61" s="98" t="str">
        <f aca="false">IF(C61&lt;=6,"Q2","Q4")</f>
        <v>Q2</v>
      </c>
      <c r="E61" s="0" t="str">
        <f aca="false">B61&amp;D61</f>
        <v>2005Q2</v>
      </c>
      <c r="F61" s="99" t="n">
        <v>0.0637243696142988</v>
      </c>
    </row>
    <row r="62" customFormat="false" ht="12.75" hidden="false" customHeight="false" outlineLevel="0" collapsed="false">
      <c r="A62" s="97" t="n">
        <v>38384</v>
      </c>
      <c r="B62" s="91" t="n">
        <f aca="false">YEAR(A62)</f>
        <v>2005</v>
      </c>
      <c r="C62" s="98" t="n">
        <f aca="false">MONTH(A62)</f>
        <v>2</v>
      </c>
      <c r="D62" s="98" t="str">
        <f aca="false">IF(C62&lt;=6,"Q2","Q4")</f>
        <v>Q2</v>
      </c>
      <c r="E62" s="0" t="str">
        <f aca="false">B62&amp;D62</f>
        <v>2005Q2</v>
      </c>
      <c r="F62" s="99" t="n">
        <v>0.0637440100676692</v>
      </c>
    </row>
    <row r="63" customFormat="false" ht="12.75" hidden="false" customHeight="false" outlineLevel="0" collapsed="false">
      <c r="A63" s="97" t="n">
        <v>38412</v>
      </c>
      <c r="B63" s="91" t="n">
        <f aca="false">YEAR(A63)</f>
        <v>2005</v>
      </c>
      <c r="C63" s="98" t="n">
        <f aca="false">MONTH(A63)</f>
        <v>3</v>
      </c>
      <c r="D63" s="98" t="str">
        <f aca="false">IF(C63&lt;=6,"Q2","Q4")</f>
        <v>Q2</v>
      </c>
      <c r="E63" s="0" t="str">
        <f aca="false">B63&amp;D63</f>
        <v>2005Q2</v>
      </c>
      <c r="F63" s="99" t="n">
        <v>0.0637617498321133</v>
      </c>
    </row>
    <row r="64" customFormat="false" ht="12.75" hidden="false" customHeight="false" outlineLevel="0" collapsed="false">
      <c r="A64" s="97" t="n">
        <v>38443</v>
      </c>
      <c r="B64" s="91" t="n">
        <f aca="false">YEAR(A64)</f>
        <v>2005</v>
      </c>
      <c r="C64" s="98" t="n">
        <f aca="false">MONTH(A64)</f>
        <v>4</v>
      </c>
      <c r="D64" s="98" t="str">
        <f aca="false">IF(C64&lt;=6,"Q2","Q4")</f>
        <v>Q2</v>
      </c>
      <c r="E64" s="0" t="str">
        <f aca="false">B64&amp;D64</f>
        <v>2005Q2</v>
      </c>
      <c r="F64" s="99" t="n">
        <v>0.0637801766326809</v>
      </c>
    </row>
    <row r="65" customFormat="false" ht="12.75" hidden="false" customHeight="false" outlineLevel="0" collapsed="false">
      <c r="A65" s="97" t="n">
        <v>38473</v>
      </c>
      <c r="B65" s="91" t="n">
        <f aca="false">YEAR(A65)</f>
        <v>2005</v>
      </c>
      <c r="C65" s="98" t="n">
        <f aca="false">MONTH(A65)</f>
        <v>5</v>
      </c>
      <c r="D65" s="98" t="str">
        <f aca="false">IF(C65&lt;=6,"Q2","Q4")</f>
        <v>Q2</v>
      </c>
      <c r="E65" s="0" t="str">
        <f aca="false">B65&amp;D65</f>
        <v>2005Q2</v>
      </c>
      <c r="F65" s="99" t="n">
        <v>0.0637870469928799</v>
      </c>
    </row>
    <row r="66" customFormat="false" ht="12.75" hidden="false" customHeight="false" outlineLevel="0" collapsed="false">
      <c r="A66" s="97" t="n">
        <v>38504</v>
      </c>
      <c r="B66" s="91" t="n">
        <f aca="false">YEAR(A66)</f>
        <v>2005</v>
      </c>
      <c r="C66" s="98" t="n">
        <f aca="false">MONTH(A66)</f>
        <v>6</v>
      </c>
      <c r="D66" s="98" t="str">
        <f aca="false">IF(C66&lt;=6,"Q2","Q4")</f>
        <v>Q2</v>
      </c>
      <c r="E66" s="0" t="str">
        <f aca="false">B66&amp;D66</f>
        <v>2005Q2</v>
      </c>
      <c r="F66" s="99" t="n">
        <v>0.0637941463651015</v>
      </c>
    </row>
    <row r="67" customFormat="false" ht="12.75" hidden="false" customHeight="false" outlineLevel="0" collapsed="false">
      <c r="A67" s="97" t="n">
        <v>38534</v>
      </c>
      <c r="B67" s="91" t="n">
        <f aca="false">YEAR(A67)</f>
        <v>2005</v>
      </c>
      <c r="C67" s="98" t="n">
        <f aca="false">MONTH(A67)</f>
        <v>7</v>
      </c>
      <c r="D67" s="98" t="str">
        <f aca="false">IF(C67&lt;=6,"Q2","Q4")</f>
        <v>Q4</v>
      </c>
      <c r="E67" s="0" t="str">
        <f aca="false">B67&amp;D67</f>
        <v>2005Q4</v>
      </c>
      <c r="F67" s="99" t="n">
        <v>0.0638010167253316</v>
      </c>
    </row>
    <row r="68" customFormat="false" ht="12.75" hidden="false" customHeight="false" outlineLevel="0" collapsed="false">
      <c r="A68" s="97" t="n">
        <v>38565</v>
      </c>
      <c r="B68" s="91" t="n">
        <f aca="false">YEAR(A68)</f>
        <v>2005</v>
      </c>
      <c r="C68" s="98" t="n">
        <f aca="false">MONTH(A68)</f>
        <v>8</v>
      </c>
      <c r="D68" s="98" t="str">
        <f aca="false">IF(C68&lt;=6,"Q2","Q4")</f>
        <v>Q4</v>
      </c>
      <c r="E68" s="0" t="str">
        <f aca="false">B68&amp;D68</f>
        <v>2005Q4</v>
      </c>
      <c r="F68" s="99" t="n">
        <v>0.0638081160975865</v>
      </c>
    </row>
    <row r="69" customFormat="false" ht="12.75" hidden="false" customHeight="false" outlineLevel="0" collapsed="false">
      <c r="A69" s="97" t="n">
        <v>38596</v>
      </c>
      <c r="B69" s="91" t="n">
        <f aca="false">YEAR(A69)</f>
        <v>2005</v>
      </c>
      <c r="C69" s="98" t="n">
        <f aca="false">MONTH(A69)</f>
        <v>9</v>
      </c>
      <c r="D69" s="98" t="str">
        <f aca="false">IF(C69&lt;=6,"Q2","Q4")</f>
        <v>Q4</v>
      </c>
      <c r="E69" s="0" t="str">
        <f aca="false">B69&amp;D69</f>
        <v>2005Q4</v>
      </c>
      <c r="F69" s="99" t="n">
        <v>0.0638152154698579</v>
      </c>
    </row>
    <row r="70" customFormat="false" ht="12.75" hidden="false" customHeight="false" outlineLevel="0" collapsed="false">
      <c r="A70" s="97" t="n">
        <v>38626</v>
      </c>
      <c r="B70" s="91" t="n">
        <f aca="false">YEAR(A70)</f>
        <v>2005</v>
      </c>
      <c r="C70" s="98" t="n">
        <f aca="false">MONTH(A70)</f>
        <v>10</v>
      </c>
      <c r="D70" s="98" t="str">
        <f aca="false">IF(C70&lt;=6,"Q2","Q4")</f>
        <v>Q4</v>
      </c>
      <c r="E70" s="0" t="str">
        <f aca="false">B70&amp;D70</f>
        <v>2005Q4</v>
      </c>
      <c r="F70" s="99" t="n">
        <v>0.0638220858301364</v>
      </c>
    </row>
    <row r="71" customFormat="false" ht="12.75" hidden="false" customHeight="false" outlineLevel="0" collapsed="false">
      <c r="A71" s="97" t="n">
        <v>38657</v>
      </c>
      <c r="B71" s="91" t="n">
        <f aca="false">YEAR(A71)</f>
        <v>2005</v>
      </c>
      <c r="C71" s="98" t="n">
        <f aca="false">MONTH(A71)</f>
        <v>11</v>
      </c>
      <c r="D71" s="98" t="str">
        <f aca="false">IF(C71&lt;=6,"Q2","Q4")</f>
        <v>Q4</v>
      </c>
      <c r="E71" s="0" t="str">
        <f aca="false">B71&amp;D71</f>
        <v>2005Q4</v>
      </c>
      <c r="F71" s="99" t="n">
        <v>0.0638291852024406</v>
      </c>
    </row>
    <row r="72" customFormat="false" ht="12.75" hidden="false" customHeight="false" outlineLevel="0" collapsed="false">
      <c r="A72" s="97" t="n">
        <v>38687</v>
      </c>
      <c r="B72" s="91" t="n">
        <f aca="false">YEAR(A72)</f>
        <v>2005</v>
      </c>
      <c r="C72" s="98" t="n">
        <f aca="false">MONTH(A72)</f>
        <v>12</v>
      </c>
      <c r="D72" s="98" t="str">
        <f aca="false">IF(C72&lt;=6,"Q2","Q4")</f>
        <v>Q4</v>
      </c>
      <c r="E72" s="0" t="str">
        <f aca="false">B72&amp;D72</f>
        <v>2005Q4</v>
      </c>
      <c r="F72" s="99" t="n">
        <v>0.0638360555627506</v>
      </c>
    </row>
    <row r="73" customFormat="false" ht="12.75" hidden="false" customHeight="false" outlineLevel="0" collapsed="false">
      <c r="A73" s="97" t="n">
        <v>38718</v>
      </c>
      <c r="B73" s="91" t="n">
        <f aca="false">YEAR(A73)</f>
        <v>2006</v>
      </c>
      <c r="C73" s="98" t="n">
        <f aca="false">MONTH(A73)</f>
        <v>1</v>
      </c>
      <c r="D73" s="98" t="str">
        <f aca="false">IF(C73&lt;=6,"Q2","Q4")</f>
        <v>Q2</v>
      </c>
      <c r="E73" s="0" t="str">
        <f aca="false">B73&amp;D73</f>
        <v>2006Q2</v>
      </c>
      <c r="F73" s="99" t="n">
        <v>0.0638431549350877</v>
      </c>
    </row>
    <row r="74" customFormat="false" ht="12.75" hidden="false" customHeight="false" outlineLevel="0" collapsed="false">
      <c r="A74" s="97" t="n">
        <v>38749</v>
      </c>
      <c r="B74" s="91" t="n">
        <f aca="false">YEAR(A74)</f>
        <v>2006</v>
      </c>
      <c r="C74" s="98" t="n">
        <f aca="false">MONTH(A74)</f>
        <v>2</v>
      </c>
      <c r="D74" s="98" t="str">
        <f aca="false">IF(C74&lt;=6,"Q2","Q4")</f>
        <v>Q2</v>
      </c>
      <c r="E74" s="0" t="str">
        <f aca="false">B74&amp;D74</f>
        <v>2006Q2</v>
      </c>
      <c r="F74" s="99" t="n">
        <v>0.0638502543074417</v>
      </c>
    </row>
    <row r="75" customFormat="false" ht="12.75" hidden="false" customHeight="false" outlineLevel="0" collapsed="false">
      <c r="A75" s="97" t="n">
        <v>38777</v>
      </c>
      <c r="B75" s="91" t="n">
        <f aca="false">YEAR(A75)</f>
        <v>2006</v>
      </c>
      <c r="C75" s="98" t="n">
        <f aca="false">MONTH(A75)</f>
        <v>3</v>
      </c>
      <c r="D75" s="98" t="str">
        <f aca="false">IF(C75&lt;=6,"Q2","Q4")</f>
        <v>Q2</v>
      </c>
      <c r="E75" s="0" t="str">
        <f aca="false">B75&amp;D75</f>
        <v>2006Q2</v>
      </c>
      <c r="F75" s="99" t="n">
        <v>0.0638566666437757</v>
      </c>
    </row>
    <row r="76" customFormat="false" ht="12.75" hidden="false" customHeight="false" outlineLevel="0" collapsed="false">
      <c r="A76" s="97" t="n">
        <v>38808</v>
      </c>
      <c r="B76" s="91" t="n">
        <f aca="false">YEAR(A76)</f>
        <v>2006</v>
      </c>
      <c r="C76" s="98" t="n">
        <f aca="false">MONTH(A76)</f>
        <v>4</v>
      </c>
      <c r="D76" s="98" t="str">
        <f aca="false">IF(C76&lt;=6,"Q2","Q4")</f>
        <v>Q2</v>
      </c>
      <c r="E76" s="0" t="str">
        <f aca="false">B76&amp;D76</f>
        <v>2006Q2</v>
      </c>
      <c r="F76" s="99" t="n">
        <v>0.0638637660161612</v>
      </c>
    </row>
    <row r="77" customFormat="false" ht="12.75" hidden="false" customHeight="false" outlineLevel="0" collapsed="false">
      <c r="A77" s="97" t="n">
        <v>38838</v>
      </c>
      <c r="B77" s="91" t="n">
        <f aca="false">YEAR(A77)</f>
        <v>2006</v>
      </c>
      <c r="C77" s="98" t="n">
        <f aca="false">MONTH(A77)</f>
        <v>5</v>
      </c>
      <c r="D77" s="98" t="str">
        <f aca="false">IF(C77&lt;=6,"Q2","Q4")</f>
        <v>Q2</v>
      </c>
      <c r="E77" s="0" t="str">
        <f aca="false">B77&amp;D77</f>
        <v>2006Q2</v>
      </c>
      <c r="F77" s="99" t="n">
        <v>0.0638706363765502</v>
      </c>
    </row>
    <row r="78" customFormat="false" ht="12.75" hidden="false" customHeight="false" outlineLevel="0" collapsed="false">
      <c r="A78" s="97" t="n">
        <v>38869</v>
      </c>
      <c r="B78" s="91" t="n">
        <f aca="false">YEAR(A78)</f>
        <v>2006</v>
      </c>
      <c r="C78" s="98" t="n">
        <f aca="false">MONTH(A78)</f>
        <v>6</v>
      </c>
      <c r="D78" s="98" t="str">
        <f aca="false">IF(C78&lt;=6,"Q2","Q4")</f>
        <v>Q2</v>
      </c>
      <c r="E78" s="0" t="str">
        <f aca="false">B78&amp;D78</f>
        <v>2006Q2</v>
      </c>
      <c r="F78" s="99" t="n">
        <v>0.0638777357489686</v>
      </c>
    </row>
    <row r="79" customFormat="false" ht="12.75" hidden="false" customHeight="false" outlineLevel="0" collapsed="false">
      <c r="A79" s="97" t="n">
        <v>38899</v>
      </c>
      <c r="B79" s="91" t="n">
        <f aca="false">YEAR(A79)</f>
        <v>2006</v>
      </c>
      <c r="C79" s="98" t="n">
        <f aca="false">MONTH(A79)</f>
        <v>7</v>
      </c>
      <c r="D79" s="98" t="str">
        <f aca="false">IF(C79&lt;=6,"Q2","Q4")</f>
        <v>Q4</v>
      </c>
      <c r="E79" s="0" t="str">
        <f aca="false">B79&amp;D79</f>
        <v>2006Q4</v>
      </c>
      <c r="F79" s="99" t="n">
        <v>0.0638846061093901</v>
      </c>
    </row>
    <row r="80" customFormat="false" ht="12.75" hidden="false" customHeight="false" outlineLevel="0" collapsed="false">
      <c r="A80" s="97" t="n">
        <v>38930</v>
      </c>
      <c r="B80" s="91" t="n">
        <f aca="false">YEAR(A80)</f>
        <v>2006</v>
      </c>
      <c r="C80" s="98" t="n">
        <f aca="false">MONTH(A80)</f>
        <v>8</v>
      </c>
      <c r="D80" s="98" t="str">
        <f aca="false">IF(C80&lt;=6,"Q2","Q4")</f>
        <v>Q4</v>
      </c>
      <c r="E80" s="0" t="str">
        <f aca="false">B80&amp;D80</f>
        <v>2006Q4</v>
      </c>
      <c r="F80" s="99" t="n">
        <v>0.0638917054818413</v>
      </c>
    </row>
    <row r="81" customFormat="false" ht="12.75" hidden="false" customHeight="false" outlineLevel="0" collapsed="false">
      <c r="A81" s="97" t="n">
        <v>38961</v>
      </c>
      <c r="B81" s="91" t="n">
        <f aca="false">YEAR(A81)</f>
        <v>2006</v>
      </c>
      <c r="C81" s="98" t="n">
        <f aca="false">MONTH(A81)</f>
        <v>9</v>
      </c>
      <c r="D81" s="98" t="str">
        <f aca="false">IF(C81&lt;=6,"Q2","Q4")</f>
        <v>Q4</v>
      </c>
      <c r="E81" s="0" t="str">
        <f aca="false">B81&amp;D81</f>
        <v>2006Q4</v>
      </c>
      <c r="F81" s="99" t="n">
        <v>0.0638988048543094</v>
      </c>
    </row>
    <row r="82" customFormat="false" ht="12.75" hidden="false" customHeight="false" outlineLevel="0" collapsed="false">
      <c r="A82" s="97" t="n">
        <v>38991</v>
      </c>
      <c r="B82" s="91" t="n">
        <f aca="false">YEAR(A82)</f>
        <v>2006</v>
      </c>
      <c r="C82" s="98" t="n">
        <f aca="false">MONTH(A82)</f>
        <v>10</v>
      </c>
      <c r="D82" s="98" t="str">
        <f aca="false">IF(C82&lt;=6,"Q2","Q4")</f>
        <v>Q4</v>
      </c>
      <c r="E82" s="0" t="str">
        <f aca="false">B82&amp;D82</f>
        <v>2006Q4</v>
      </c>
      <c r="F82" s="99" t="n">
        <v>0.063905675214778</v>
      </c>
    </row>
    <row r="83" customFormat="false" ht="12.75" hidden="false" customHeight="false" outlineLevel="0" collapsed="false">
      <c r="A83" s="97" t="n">
        <v>39022</v>
      </c>
      <c r="B83" s="91" t="n">
        <f aca="false">YEAR(A83)</f>
        <v>2006</v>
      </c>
      <c r="C83" s="98" t="n">
        <f aca="false">MONTH(A83)</f>
        <v>11</v>
      </c>
      <c r="D83" s="98" t="str">
        <f aca="false">IF(C83&lt;=6,"Q2","Q4")</f>
        <v>Q4</v>
      </c>
      <c r="E83" s="0" t="str">
        <f aca="false">B83&amp;D83</f>
        <v>2006Q4</v>
      </c>
      <c r="F83" s="99" t="n">
        <v>0.063912774587279</v>
      </c>
    </row>
    <row r="84" customFormat="false" ht="12.75" hidden="false" customHeight="false" outlineLevel="0" collapsed="false">
      <c r="A84" s="97" t="n">
        <v>39052</v>
      </c>
      <c r="B84" s="91" t="n">
        <f aca="false">YEAR(A84)</f>
        <v>2006</v>
      </c>
      <c r="C84" s="98" t="n">
        <f aca="false">MONTH(A84)</f>
        <v>12</v>
      </c>
      <c r="D84" s="98" t="str">
        <f aca="false">IF(C84&lt;=6,"Q2","Q4")</f>
        <v>Q4</v>
      </c>
      <c r="E84" s="0" t="str">
        <f aca="false">B84&amp;D84</f>
        <v>2006Q4</v>
      </c>
      <c r="F84" s="99" t="n">
        <v>0.0639196449477799</v>
      </c>
    </row>
    <row r="85" customFormat="false" ht="12.75" hidden="false" customHeight="false" outlineLevel="0" collapsed="false">
      <c r="A85" s="97" t="n">
        <v>39083</v>
      </c>
      <c r="B85" s="91" t="n">
        <f aca="false">YEAR(A85)</f>
        <v>2007</v>
      </c>
      <c r="C85" s="98" t="n">
        <f aca="false">MONTH(A85)</f>
        <v>1</v>
      </c>
      <c r="D85" s="98" t="str">
        <f aca="false">IF(C85&lt;=6,"Q2","Q4")</f>
        <v>Q2</v>
      </c>
      <c r="E85" s="0" t="str">
        <f aca="false">B85&amp;D85</f>
        <v>2007Q2</v>
      </c>
      <c r="F85" s="99" t="n">
        <v>0.0639267443203138</v>
      </c>
    </row>
    <row r="86" customFormat="false" ht="12.75" hidden="false" customHeight="false" outlineLevel="0" collapsed="false">
      <c r="A86" s="97" t="n">
        <v>39114</v>
      </c>
      <c r="B86" s="91" t="n">
        <f aca="false">YEAR(A86)</f>
        <v>2007</v>
      </c>
      <c r="C86" s="98" t="n">
        <f aca="false">MONTH(A86)</f>
        <v>2</v>
      </c>
      <c r="D86" s="98" t="str">
        <f aca="false">IF(C86&lt;=6,"Q2","Q4")</f>
        <v>Q2</v>
      </c>
      <c r="E86" s="0" t="str">
        <f aca="false">B86&amp;D86</f>
        <v>2007Q2</v>
      </c>
      <c r="F86" s="99" t="n">
        <v>0.063933843692864</v>
      </c>
    </row>
    <row r="87" customFormat="false" ht="12.75" hidden="false" customHeight="false" outlineLevel="0" collapsed="false">
      <c r="A87" s="97" t="n">
        <v>39142</v>
      </c>
      <c r="B87" s="91" t="n">
        <f aca="false">YEAR(A87)</f>
        <v>2007</v>
      </c>
      <c r="C87" s="98" t="n">
        <f aca="false">MONTH(A87)</f>
        <v>3</v>
      </c>
      <c r="D87" s="98" t="str">
        <f aca="false">IF(C87&lt;=6,"Q2","Q4")</f>
        <v>Q2</v>
      </c>
      <c r="E87" s="0" t="str">
        <f aca="false">B87&amp;D87</f>
        <v>2007Q2</v>
      </c>
      <c r="F87" s="99" t="n">
        <v>0.063940256029376</v>
      </c>
    </row>
    <row r="88" customFormat="false" ht="12.75" hidden="false" customHeight="false" outlineLevel="0" collapsed="false">
      <c r="A88" s="97" t="n">
        <v>39173</v>
      </c>
      <c r="B88" s="91" t="n">
        <f aca="false">YEAR(A88)</f>
        <v>2007</v>
      </c>
      <c r="C88" s="98" t="n">
        <f aca="false">MONTH(A88)</f>
        <v>4</v>
      </c>
      <c r="D88" s="98" t="str">
        <f aca="false">IF(C88&lt;=6,"Q2","Q4")</f>
        <v>Q2</v>
      </c>
      <c r="E88" s="0" t="str">
        <f aca="false">B88&amp;D88</f>
        <v>2007Q2</v>
      </c>
      <c r="F88" s="99" t="n">
        <v>0.0639473554019587</v>
      </c>
    </row>
    <row r="89" customFormat="false" ht="12.75" hidden="false" customHeight="false" outlineLevel="0" collapsed="false">
      <c r="A89" s="97" t="n">
        <v>39203</v>
      </c>
      <c r="B89" s="91" t="n">
        <f aca="false">YEAR(A89)</f>
        <v>2007</v>
      </c>
      <c r="C89" s="98" t="n">
        <f aca="false">MONTH(A89)</f>
        <v>5</v>
      </c>
      <c r="D89" s="98" t="str">
        <f aca="false">IF(C89&lt;=6,"Q2","Q4")</f>
        <v>Q2</v>
      </c>
      <c r="E89" s="0" t="str">
        <f aca="false">B89&amp;D89</f>
        <v>2007Q2</v>
      </c>
      <c r="F89" s="99" t="n">
        <v>0.0639542257625378</v>
      </c>
    </row>
    <row r="90" customFormat="false" ht="12.75" hidden="false" customHeight="false" outlineLevel="0" collapsed="false">
      <c r="A90" s="97" t="n">
        <v>39234</v>
      </c>
      <c r="B90" s="91" t="n">
        <f aca="false">YEAR(A90)</f>
        <v>2007</v>
      </c>
      <c r="C90" s="98" t="n">
        <f aca="false">MONTH(A90)</f>
        <v>6</v>
      </c>
      <c r="D90" s="98" t="str">
        <f aca="false">IF(C90&lt;=6,"Q2","Q4")</f>
        <v>Q2</v>
      </c>
      <c r="E90" s="0" t="str">
        <f aca="false">B90&amp;D90</f>
        <v>2007Q2</v>
      </c>
      <c r="F90" s="99" t="n">
        <v>0.0639613251351534</v>
      </c>
    </row>
    <row r="91" customFormat="false" ht="12.75" hidden="false" customHeight="false" outlineLevel="0" collapsed="false">
      <c r="A91" s="97" t="n">
        <v>39264</v>
      </c>
      <c r="B91" s="91" t="n">
        <f aca="false">YEAR(A91)</f>
        <v>2007</v>
      </c>
      <c r="C91" s="98" t="n">
        <f aca="false">MONTH(A91)</f>
        <v>7</v>
      </c>
      <c r="D91" s="98" t="str">
        <f aca="false">IF(C91&lt;=6,"Q2","Q4")</f>
        <v>Q4</v>
      </c>
      <c r="E91" s="0" t="str">
        <f aca="false">B91&amp;D91</f>
        <v>2007Q4</v>
      </c>
      <c r="F91" s="99" t="n">
        <v>0.0639681954957649</v>
      </c>
    </row>
    <row r="92" customFormat="false" ht="12.75" hidden="false" customHeight="false" outlineLevel="0" collapsed="false">
      <c r="A92" s="97" t="n">
        <v>39295</v>
      </c>
      <c r="B92" s="91" t="n">
        <f aca="false">YEAR(A92)</f>
        <v>2007</v>
      </c>
      <c r="C92" s="98" t="n">
        <f aca="false">MONTH(A92)</f>
        <v>8</v>
      </c>
      <c r="D92" s="98" t="str">
        <f aca="false">IF(C92&lt;=6,"Q2","Q4")</f>
        <v>Q4</v>
      </c>
      <c r="E92" s="0" t="str">
        <f aca="false">B92&amp;D92</f>
        <v>2007Q4</v>
      </c>
      <c r="F92" s="99" t="n">
        <v>0.0639752948684129</v>
      </c>
    </row>
    <row r="93" customFormat="false" ht="12.75" hidden="false" customHeight="false" outlineLevel="0" collapsed="false">
      <c r="A93" s="97" t="n">
        <v>39326</v>
      </c>
      <c r="B93" s="91" t="n">
        <f aca="false">YEAR(A93)</f>
        <v>2007</v>
      </c>
      <c r="C93" s="98" t="n">
        <f aca="false">MONTH(A93)</f>
        <v>9</v>
      </c>
      <c r="D93" s="98" t="str">
        <f aca="false">IF(C93&lt;=6,"Q2","Q4")</f>
        <v>Q4</v>
      </c>
      <c r="E93" s="0" t="str">
        <f aca="false">B93&amp;D93</f>
        <v>2007Q4</v>
      </c>
      <c r="F93" s="99" t="n">
        <v>0.0639823942410778</v>
      </c>
    </row>
    <row r="94" customFormat="false" ht="12.75" hidden="false" customHeight="false" outlineLevel="0" collapsed="false">
      <c r="A94" s="97" t="n">
        <v>39356</v>
      </c>
      <c r="B94" s="91" t="n">
        <f aca="false">YEAR(A94)</f>
        <v>2007</v>
      </c>
      <c r="C94" s="98" t="n">
        <f aca="false">MONTH(A94)</f>
        <v>10</v>
      </c>
      <c r="D94" s="98" t="str">
        <f aca="false">IF(C94&lt;=6,"Q2","Q4")</f>
        <v>Q4</v>
      </c>
      <c r="E94" s="0" t="str">
        <f aca="false">B94&amp;D94</f>
        <v>2007Q4</v>
      </c>
      <c r="F94" s="99" t="n">
        <v>0.0639892646017373</v>
      </c>
    </row>
    <row r="95" customFormat="false" ht="12.75" hidden="false" customHeight="false" outlineLevel="0" collapsed="false">
      <c r="A95" s="97" t="n">
        <v>39387</v>
      </c>
      <c r="B95" s="91" t="n">
        <f aca="false">YEAR(A95)</f>
        <v>2007</v>
      </c>
      <c r="C95" s="98" t="n">
        <f aca="false">MONTH(A95)</f>
        <v>11</v>
      </c>
      <c r="D95" s="98" t="str">
        <f aca="false">IF(C95&lt;=6,"Q2","Q4")</f>
        <v>Q4</v>
      </c>
      <c r="E95" s="0" t="str">
        <f aca="false">B95&amp;D95</f>
        <v>2007Q4</v>
      </c>
      <c r="F95" s="99" t="n">
        <v>0.063996363974435</v>
      </c>
    </row>
    <row r="96" customFormat="false" ht="12.75" hidden="false" customHeight="false" outlineLevel="0" collapsed="false">
      <c r="A96" s="97" t="n">
        <v>39417</v>
      </c>
      <c r="B96" s="91" t="n">
        <f aca="false">YEAR(A96)</f>
        <v>2007</v>
      </c>
      <c r="C96" s="98" t="n">
        <f aca="false">MONTH(A96)</f>
        <v>12</v>
      </c>
      <c r="D96" s="98" t="str">
        <f aca="false">IF(C96&lt;=6,"Q2","Q4")</f>
        <v>Q4</v>
      </c>
      <c r="E96" s="0" t="str">
        <f aca="false">B96&amp;D96</f>
        <v>2007Q4</v>
      </c>
      <c r="F96" s="99" t="n">
        <v>0.0640032343351265</v>
      </c>
    </row>
    <row r="97" customFormat="false" ht="12.75" hidden="false" customHeight="false" outlineLevel="0" collapsed="false">
      <c r="A97" s="97" t="n">
        <v>39448</v>
      </c>
      <c r="B97" s="91" t="n">
        <f aca="false">YEAR(A97)</f>
        <v>2008</v>
      </c>
      <c r="C97" s="98" t="n">
        <f aca="false">MONTH(A97)</f>
        <v>1</v>
      </c>
      <c r="D97" s="98" t="str">
        <f aca="false">IF(C97&lt;=6,"Q2","Q4")</f>
        <v>Q2</v>
      </c>
      <c r="E97" s="0" t="str">
        <f aca="false">B97&amp;D97</f>
        <v>2008Q2</v>
      </c>
      <c r="F97" s="99" t="n">
        <v>0.064010333707857</v>
      </c>
    </row>
    <row r="98" customFormat="false" ht="12.75" hidden="false" customHeight="false" outlineLevel="0" collapsed="false">
      <c r="A98" s="97" t="n">
        <v>39479</v>
      </c>
      <c r="B98" s="91" t="n">
        <f aca="false">YEAR(A98)</f>
        <v>2008</v>
      </c>
      <c r="C98" s="98" t="n">
        <f aca="false">MONTH(A98)</f>
        <v>2</v>
      </c>
      <c r="D98" s="98" t="str">
        <f aca="false">IF(C98&lt;=6,"Q2","Q4")</f>
        <v>Q2</v>
      </c>
      <c r="E98" s="0" t="str">
        <f aca="false">B98&amp;D98</f>
        <v>2008Q2</v>
      </c>
      <c r="F98" s="99" t="n">
        <v>0.0640174330806045</v>
      </c>
    </row>
    <row r="99" customFormat="false" ht="12.75" hidden="false" customHeight="false" outlineLevel="0" collapsed="false">
      <c r="A99" s="97" t="n">
        <v>39508</v>
      </c>
      <c r="B99" s="91" t="n">
        <f aca="false">YEAR(A99)</f>
        <v>2008</v>
      </c>
      <c r="C99" s="98" t="n">
        <f aca="false">MONTH(A99)</f>
        <v>3</v>
      </c>
      <c r="D99" s="98" t="str">
        <f aca="false">IF(C99&lt;=6,"Q2","Q4")</f>
        <v>Q2</v>
      </c>
      <c r="E99" s="0" t="str">
        <f aca="false">B99&amp;D99</f>
        <v>2008Q2</v>
      </c>
      <c r="F99" s="99" t="n">
        <v>0.0640240744293186</v>
      </c>
    </row>
    <row r="100" customFormat="false" ht="12.75" hidden="false" customHeight="false" outlineLevel="0" collapsed="false">
      <c r="A100" s="97" t="n">
        <v>39539</v>
      </c>
      <c r="B100" s="91" t="n">
        <f aca="false">YEAR(A100)</f>
        <v>2008</v>
      </c>
      <c r="C100" s="98" t="n">
        <f aca="false">MONTH(A100)</f>
        <v>4</v>
      </c>
      <c r="D100" s="98" t="str">
        <f aca="false">IF(C100&lt;=6,"Q2","Q4")</f>
        <v>Q2</v>
      </c>
      <c r="E100" s="0" t="str">
        <f aca="false">B100&amp;D100</f>
        <v>2008Q2</v>
      </c>
      <c r="F100" s="99" t="n">
        <v>0.0640311738020984</v>
      </c>
    </row>
    <row r="101" customFormat="false" ht="12.75" hidden="false" customHeight="false" outlineLevel="0" collapsed="false">
      <c r="A101" s="97" t="n">
        <v>39569</v>
      </c>
      <c r="B101" s="91" t="n">
        <f aca="false">YEAR(A101)</f>
        <v>2008</v>
      </c>
      <c r="C101" s="98" t="n">
        <f aca="false">MONTH(A101)</f>
        <v>5</v>
      </c>
      <c r="D101" s="98" t="str">
        <f aca="false">IF(C101&lt;=6,"Q2","Q4")</f>
        <v>Q2</v>
      </c>
      <c r="E101" s="0" t="str">
        <f aca="false">B101&amp;D101</f>
        <v>2008Q2</v>
      </c>
      <c r="F101" s="99" t="n">
        <v>0.064038044162869</v>
      </c>
    </row>
    <row r="102" customFormat="false" ht="12.75" hidden="false" customHeight="false" outlineLevel="0" collapsed="false">
      <c r="A102" s="97" t="n">
        <v>39600</v>
      </c>
      <c r="B102" s="91" t="n">
        <f aca="false">YEAR(A102)</f>
        <v>2008</v>
      </c>
      <c r="C102" s="98" t="n">
        <f aca="false">MONTH(A102)</f>
        <v>6</v>
      </c>
      <c r="D102" s="98" t="str">
        <f aca="false">IF(C102&lt;=6,"Q2","Q4")</f>
        <v>Q2</v>
      </c>
      <c r="E102" s="0" t="str">
        <f aca="false">B102&amp;D102</f>
        <v>2008Q2</v>
      </c>
      <c r="F102" s="99" t="n">
        <v>0.0640451435356817</v>
      </c>
    </row>
    <row r="103" customFormat="false" ht="12.75" hidden="false" customHeight="false" outlineLevel="0" collapsed="false">
      <c r="A103" s="97" t="n">
        <v>39630</v>
      </c>
      <c r="B103" s="91" t="n">
        <f aca="false">YEAR(A103)</f>
        <v>2008</v>
      </c>
      <c r="C103" s="98" t="n">
        <f aca="false">MONTH(A103)</f>
        <v>7</v>
      </c>
      <c r="D103" s="98" t="str">
        <f aca="false">IF(C103&lt;=6,"Q2","Q4")</f>
        <v>Q4</v>
      </c>
      <c r="E103" s="0" t="str">
        <f aca="false">B103&amp;D103</f>
        <v>2008Q4</v>
      </c>
      <c r="F103" s="99" t="n">
        <v>0.0640520138964842</v>
      </c>
    </row>
    <row r="104" customFormat="false" ht="12.75" hidden="false" customHeight="false" outlineLevel="0" collapsed="false">
      <c r="A104" s="97" t="n">
        <v>39661</v>
      </c>
      <c r="B104" s="91" t="n">
        <f aca="false">YEAR(A104)</f>
        <v>2008</v>
      </c>
      <c r="C104" s="98" t="n">
        <f aca="false">MONTH(A104)</f>
        <v>8</v>
      </c>
      <c r="D104" s="98" t="str">
        <f aca="false">IF(C104&lt;=6,"Q2","Q4")</f>
        <v>Q4</v>
      </c>
      <c r="E104" s="0" t="str">
        <f aca="false">B104&amp;D104</f>
        <v>2008Q4</v>
      </c>
      <c r="F104" s="99" t="n">
        <v>0.0640591132693298</v>
      </c>
    </row>
    <row r="105" customFormat="false" ht="12.75" hidden="false" customHeight="false" outlineLevel="0" collapsed="false">
      <c r="A105" s="97" t="n">
        <v>39692</v>
      </c>
      <c r="B105" s="91" t="n">
        <f aca="false">YEAR(A105)</f>
        <v>2008</v>
      </c>
      <c r="C105" s="98" t="n">
        <f aca="false">MONTH(A105)</f>
        <v>9</v>
      </c>
      <c r="D105" s="98" t="str">
        <f aca="false">IF(C105&lt;=6,"Q2","Q4")</f>
        <v>Q4</v>
      </c>
      <c r="E105" s="0" t="str">
        <f aca="false">B105&amp;D105</f>
        <v>2008Q4</v>
      </c>
      <c r="F105" s="99" t="n">
        <v>0.0640662126421918</v>
      </c>
    </row>
    <row r="106" customFormat="false" ht="12.75" hidden="false" customHeight="false" outlineLevel="0" collapsed="false">
      <c r="A106" s="97" t="n">
        <v>39722</v>
      </c>
      <c r="B106" s="91" t="n">
        <f aca="false">YEAR(A106)</f>
        <v>2008</v>
      </c>
      <c r="C106" s="98" t="n">
        <f aca="false">MONTH(A106)</f>
        <v>10</v>
      </c>
      <c r="D106" s="98" t="str">
        <f aca="false">IF(C106&lt;=6,"Q2","Q4")</f>
        <v>Q4</v>
      </c>
      <c r="E106" s="0" t="str">
        <f aca="false">B106&amp;D106</f>
        <v>2008Q4</v>
      </c>
      <c r="F106" s="99" t="n">
        <v>0.0640730830030418</v>
      </c>
    </row>
    <row r="107" customFormat="false" ht="12.75" hidden="false" customHeight="false" outlineLevel="0" collapsed="false">
      <c r="A107" s="97" t="n">
        <v>39753</v>
      </c>
      <c r="B107" s="91" t="n">
        <f aca="false">YEAR(A107)</f>
        <v>2008</v>
      </c>
      <c r="C107" s="98" t="n">
        <f aca="false">MONTH(A107)</f>
        <v>11</v>
      </c>
      <c r="D107" s="98" t="str">
        <f aca="false">IF(C107&lt;=6,"Q2","Q4")</f>
        <v>Q4</v>
      </c>
      <c r="E107" s="0" t="str">
        <f aca="false">B107&amp;D107</f>
        <v>2008Q4</v>
      </c>
      <c r="F107" s="99" t="n">
        <v>0.0640801823759372</v>
      </c>
    </row>
    <row r="108" customFormat="false" ht="12.75" hidden="false" customHeight="false" outlineLevel="0" collapsed="false">
      <c r="A108" s="97" t="n">
        <v>39783</v>
      </c>
      <c r="B108" s="91" t="n">
        <f aca="false">YEAR(A108)</f>
        <v>2008</v>
      </c>
      <c r="C108" s="98" t="n">
        <f aca="false">MONTH(A108)</f>
        <v>12</v>
      </c>
      <c r="D108" s="98" t="str">
        <f aca="false">IF(C108&lt;=6,"Q2","Q4")</f>
        <v>Q4</v>
      </c>
      <c r="E108" s="0" t="str">
        <f aca="false">B108&amp;D108</f>
        <v>2008Q4</v>
      </c>
      <c r="F108" s="99" t="n">
        <v>0.0640870527368196</v>
      </c>
    </row>
    <row r="109" customFormat="false" ht="12.75" hidden="false" customHeight="false" outlineLevel="0" collapsed="false">
      <c r="A109" s="97" t="n">
        <v>39814</v>
      </c>
      <c r="B109" s="91" t="n">
        <f aca="false">YEAR(A109)</f>
        <v>2009</v>
      </c>
      <c r="C109" s="98" t="n">
        <f aca="false">MONTH(A109)</f>
        <v>1</v>
      </c>
      <c r="D109" s="98" t="str">
        <f aca="false">IF(C109&lt;=6,"Q2","Q4")</f>
        <v>Q2</v>
      </c>
      <c r="E109" s="0" t="str">
        <f aca="false">B109&amp;D109</f>
        <v>2009Q2</v>
      </c>
      <c r="F109" s="99" t="n">
        <v>0.0640941521097478</v>
      </c>
    </row>
    <row r="110" customFormat="false" ht="12.75" hidden="false" customHeight="false" outlineLevel="0" collapsed="false">
      <c r="A110" s="97" t="n">
        <v>39845</v>
      </c>
      <c r="B110" s="91" t="n">
        <f aca="false">YEAR(A110)</f>
        <v>2009</v>
      </c>
      <c r="C110" s="98" t="n">
        <f aca="false">MONTH(A110)</f>
        <v>2</v>
      </c>
      <c r="D110" s="98" t="str">
        <f aca="false">IF(C110&lt;=6,"Q2","Q4")</f>
        <v>Q2</v>
      </c>
      <c r="E110" s="0" t="str">
        <f aca="false">B110&amp;D110</f>
        <v>2009Q2</v>
      </c>
      <c r="F110" s="99" t="n">
        <v>0.064101251482692</v>
      </c>
    </row>
    <row r="111" customFormat="false" ht="12.75" hidden="false" customHeight="false" outlineLevel="0" collapsed="false">
      <c r="A111" s="97" t="n">
        <v>39873</v>
      </c>
      <c r="B111" s="91" t="n">
        <f aca="false">YEAR(A111)</f>
        <v>2009</v>
      </c>
      <c r="C111" s="98" t="n">
        <f aca="false">MONTH(A111)</f>
        <v>3</v>
      </c>
      <c r="D111" s="98" t="str">
        <f aca="false">IF(C111&lt;=6,"Q2","Q4")</f>
        <v>Q2</v>
      </c>
      <c r="E111" s="0" t="str">
        <f aca="false">B111&amp;D111</f>
        <v>2009Q2</v>
      </c>
      <c r="F111" s="99" t="n">
        <v>0.0641076638195597</v>
      </c>
    </row>
    <row r="112" customFormat="false" ht="12.75" hidden="false" customHeight="false" outlineLevel="0" collapsed="false">
      <c r="A112" s="97" t="n">
        <v>39904</v>
      </c>
      <c r="B112" s="91" t="n">
        <f aca="false">YEAR(A112)</f>
        <v>2009</v>
      </c>
      <c r="C112" s="98" t="n">
        <f aca="false">MONTH(A112)</f>
        <v>4</v>
      </c>
      <c r="D112" s="98" t="str">
        <f aca="false">IF(C112&lt;=6,"Q2","Q4")</f>
        <v>Q2</v>
      </c>
      <c r="E112" s="0" t="str">
        <f aca="false">B112&amp;D112</f>
        <v>2009Q2</v>
      </c>
      <c r="F112" s="99" t="n">
        <v>0.0641147631925363</v>
      </c>
    </row>
    <row r="113" customFormat="false" ht="12.75" hidden="false" customHeight="false" outlineLevel="0" collapsed="false">
      <c r="A113" s="97" t="n">
        <v>39934</v>
      </c>
      <c r="B113" s="91" t="n">
        <f aca="false">YEAR(A113)</f>
        <v>2009</v>
      </c>
      <c r="C113" s="98" t="n">
        <f aca="false">MONTH(A113)</f>
        <v>5</v>
      </c>
      <c r="D113" s="98" t="str">
        <f aca="false">IF(C113&lt;=6,"Q2","Q4")</f>
        <v>Q2</v>
      </c>
      <c r="E113" s="0" t="str">
        <f aca="false">B113&amp;D113</f>
        <v>2009Q2</v>
      </c>
      <c r="F113" s="99" t="n">
        <v>0.0641216335534973</v>
      </c>
    </row>
    <row r="114" customFormat="false" ht="12.75" hidden="false" customHeight="false" outlineLevel="0" collapsed="false">
      <c r="A114" s="97" t="n">
        <v>39965</v>
      </c>
      <c r="B114" s="91" t="n">
        <f aca="false">YEAR(A114)</f>
        <v>2009</v>
      </c>
      <c r="C114" s="98" t="n">
        <f aca="false">MONTH(A114)</f>
        <v>6</v>
      </c>
      <c r="D114" s="98" t="str">
        <f aca="false">IF(C114&lt;=6,"Q2","Q4")</f>
        <v>Q2</v>
      </c>
      <c r="E114" s="0" t="str">
        <f aca="false">B114&amp;D114</f>
        <v>2009Q2</v>
      </c>
      <c r="F114" s="99" t="n">
        <v>0.0641287329265068</v>
      </c>
    </row>
    <row r="115" customFormat="false" ht="12.75" hidden="false" customHeight="false" outlineLevel="0" collapsed="false">
      <c r="A115" s="97" t="n">
        <v>39995</v>
      </c>
      <c r="B115" s="91" t="n">
        <f aca="false">YEAR(A115)</f>
        <v>2009</v>
      </c>
      <c r="C115" s="98" t="n">
        <f aca="false">MONTH(A115)</f>
        <v>7</v>
      </c>
      <c r="D115" s="98" t="str">
        <f aca="false">IF(C115&lt;=6,"Q2","Q4")</f>
        <v>Q4</v>
      </c>
      <c r="E115" s="0" t="str">
        <f aca="false">B115&amp;D115</f>
        <v>2009Q4</v>
      </c>
      <c r="F115" s="99" t="n">
        <v>0.0641356032874993</v>
      </c>
    </row>
    <row r="116" customFormat="false" ht="12.75" hidden="false" customHeight="false" outlineLevel="0" collapsed="false">
      <c r="A116" s="97" t="n">
        <v>40026</v>
      </c>
      <c r="B116" s="91" t="n">
        <f aca="false">YEAR(A116)</f>
        <v>2009</v>
      </c>
      <c r="C116" s="98" t="n">
        <f aca="false">MONTH(A116)</f>
        <v>8</v>
      </c>
      <c r="D116" s="98" t="str">
        <f aca="false">IF(C116&lt;=6,"Q2","Q4")</f>
        <v>Q4</v>
      </c>
      <c r="E116" s="0" t="str">
        <f aca="false">B116&amp;D116</f>
        <v>2009Q4</v>
      </c>
      <c r="F116" s="99" t="n">
        <v>0.0641427026605417</v>
      </c>
    </row>
    <row r="117" customFormat="false" ht="12.75" hidden="false" customHeight="false" outlineLevel="0" collapsed="false">
      <c r="A117" s="97" t="n">
        <v>40057</v>
      </c>
      <c r="B117" s="91" t="n">
        <f aca="false">YEAR(A117)</f>
        <v>2009</v>
      </c>
      <c r="C117" s="98" t="n">
        <f aca="false">MONTH(A117)</f>
        <v>9</v>
      </c>
      <c r="D117" s="98" t="str">
        <f aca="false">IF(C117&lt;=6,"Q2","Q4")</f>
        <v>Q4</v>
      </c>
      <c r="E117" s="0" t="str">
        <f aca="false">B117&amp;D117</f>
        <v>2009Q4</v>
      </c>
      <c r="F117" s="99" t="n">
        <v>0.0641498020336009</v>
      </c>
    </row>
    <row r="118" customFormat="false" ht="12.75" hidden="false" customHeight="false" outlineLevel="0" collapsed="false">
      <c r="A118" s="97" t="n">
        <v>40087</v>
      </c>
      <c r="B118" s="91" t="n">
        <f aca="false">YEAR(A118)</f>
        <v>2009</v>
      </c>
      <c r="C118" s="98" t="n">
        <f aca="false">MONTH(A118)</f>
        <v>10</v>
      </c>
      <c r="D118" s="98" t="str">
        <f aca="false">IF(C118&lt;=6,"Q2","Q4")</f>
        <v>Q4</v>
      </c>
      <c r="E118" s="0" t="str">
        <f aca="false">B118&amp;D118</f>
        <v>2009Q4</v>
      </c>
      <c r="F118" s="99" t="n">
        <v>0.0641566723946414</v>
      </c>
    </row>
    <row r="119" customFormat="false" ht="12.75" hidden="false" customHeight="false" outlineLevel="0" collapsed="false">
      <c r="A119" s="97" t="n">
        <v>40118</v>
      </c>
      <c r="B119" s="91" t="n">
        <f aca="false">YEAR(A119)</f>
        <v>2009</v>
      </c>
      <c r="C119" s="98" t="n">
        <f aca="false">MONTH(A119)</f>
        <v>11</v>
      </c>
      <c r="D119" s="98" t="str">
        <f aca="false">IF(C119&lt;=6,"Q2","Q4")</f>
        <v>Q4</v>
      </c>
      <c r="E119" s="0" t="str">
        <f aca="false">B119&amp;D119</f>
        <v>2009Q4</v>
      </c>
      <c r="F119" s="99" t="n">
        <v>0.0641637717677335</v>
      </c>
    </row>
    <row r="120" customFormat="false" ht="12.75" hidden="false" customHeight="false" outlineLevel="0" collapsed="false">
      <c r="A120" s="97" t="n">
        <v>40148</v>
      </c>
      <c r="B120" s="91" t="n">
        <f aca="false">YEAR(A120)</f>
        <v>2009</v>
      </c>
      <c r="C120" s="98" t="n">
        <f aca="false">MONTH(A120)</f>
        <v>12</v>
      </c>
      <c r="D120" s="98" t="str">
        <f aca="false">IF(C120&lt;=6,"Q2","Q4")</f>
        <v>Q4</v>
      </c>
      <c r="E120" s="0" t="str">
        <f aca="false">B120&amp;D120</f>
        <v>2009Q4</v>
      </c>
      <c r="F120" s="99" t="n">
        <v>0.064170642128806</v>
      </c>
    </row>
    <row r="121" customFormat="false" ht="12.75" hidden="false" customHeight="false" outlineLevel="0" collapsed="false">
      <c r="A121" s="97" t="n">
        <v>40179</v>
      </c>
      <c r="B121" s="91" t="n">
        <f aca="false">YEAR(A121)</f>
        <v>2010</v>
      </c>
      <c r="C121" s="98" t="n">
        <f aca="false">MONTH(A121)</f>
        <v>1</v>
      </c>
      <c r="D121" s="98" t="str">
        <f aca="false">IF(C121&lt;=6,"Q2","Q4")</f>
        <v>Q2</v>
      </c>
      <c r="E121" s="0" t="str">
        <f aca="false">B121&amp;D121</f>
        <v>2010Q2</v>
      </c>
      <c r="F121" s="99" t="n">
        <v>0.0641777415019309</v>
      </c>
    </row>
    <row r="122" customFormat="false" ht="12.75" hidden="false" customHeight="false" outlineLevel="0" collapsed="false">
      <c r="A122" s="97" t="n">
        <v>40210</v>
      </c>
      <c r="B122" s="91" t="n">
        <f aca="false">YEAR(A122)</f>
        <v>2010</v>
      </c>
      <c r="C122" s="98" t="n">
        <f aca="false">MONTH(A122)</f>
        <v>2</v>
      </c>
      <c r="D122" s="98" t="str">
        <f aca="false">IF(C122&lt;=6,"Q2","Q4")</f>
        <v>Q2</v>
      </c>
      <c r="E122" s="0" t="str">
        <f aca="false">B122&amp;D122</f>
        <v>2010Q2</v>
      </c>
      <c r="F122" s="99" t="n">
        <v>0.0641848408750727</v>
      </c>
    </row>
    <row r="123" customFormat="false" ht="12.75" hidden="false" customHeight="false" outlineLevel="0" collapsed="false">
      <c r="A123" s="97" t="n">
        <v>40238</v>
      </c>
      <c r="B123" s="91" t="n">
        <f aca="false">YEAR(A123)</f>
        <v>2010</v>
      </c>
      <c r="C123" s="98" t="n">
        <f aca="false">MONTH(A123)</f>
        <v>3</v>
      </c>
      <c r="D123" s="98" t="str">
        <f aca="false">IF(C123&lt;=6,"Q2","Q4")</f>
        <v>Q2</v>
      </c>
      <c r="E123" s="0" t="str">
        <f aca="false">B123&amp;D123</f>
        <v>2010Q2</v>
      </c>
      <c r="F123" s="99" t="n">
        <v>0.0641912532121176</v>
      </c>
    </row>
    <row r="124" customFormat="false" ht="12.75" hidden="false" customHeight="false" outlineLevel="0" collapsed="false">
      <c r="A124" s="97" t="n">
        <v>40269</v>
      </c>
      <c r="B124" s="91" t="n">
        <f aca="false">YEAR(A124)</f>
        <v>2010</v>
      </c>
      <c r="C124" s="98" t="n">
        <f aca="false">MONTH(A124)</f>
        <v>4</v>
      </c>
      <c r="D124" s="98" t="str">
        <f aca="false">IF(C124&lt;=6,"Q2","Q4")</f>
        <v>Q2</v>
      </c>
      <c r="E124" s="0" t="str">
        <f aca="false">B124&amp;D124</f>
        <v>2010Q2</v>
      </c>
      <c r="F124" s="99" t="n">
        <v>0.0641987746538977</v>
      </c>
    </row>
    <row r="125" customFormat="false" ht="12.75" hidden="false" customHeight="false" outlineLevel="0" collapsed="false">
      <c r="A125" s="97" t="n">
        <v>40299</v>
      </c>
      <c r="B125" s="91" t="n">
        <f aca="false">YEAR(A125)</f>
        <v>2010</v>
      </c>
      <c r="C125" s="98" t="n">
        <f aca="false">MONTH(A125)</f>
        <v>5</v>
      </c>
      <c r="D125" s="98" t="str">
        <f aca="false">IF(C125&lt;=6,"Q2","Q4")</f>
        <v>Q2</v>
      </c>
      <c r="E125" s="0" t="str">
        <f aca="false">B125&amp;D125</f>
        <v>2010Q2</v>
      </c>
      <c r="F125" s="99" t="n">
        <v>0.0642098657011272</v>
      </c>
    </row>
    <row r="126" customFormat="false" ht="12.75" hidden="false" customHeight="false" outlineLevel="0" collapsed="false">
      <c r="A126" s="97" t="n">
        <v>40330</v>
      </c>
      <c r="B126" s="91" t="n">
        <f aca="false">YEAR(A126)</f>
        <v>2010</v>
      </c>
      <c r="C126" s="98" t="n">
        <f aca="false">MONTH(A126)</f>
        <v>6</v>
      </c>
      <c r="D126" s="98" t="str">
        <f aca="false">IF(C126&lt;=6,"Q2","Q4")</f>
        <v>Q2</v>
      </c>
      <c r="E126" s="0" t="str">
        <f aca="false">B126&amp;D126</f>
        <v>2010Q2</v>
      </c>
      <c r="F126" s="99" t="n">
        <v>0.0642213264499745</v>
      </c>
    </row>
    <row r="127" customFormat="false" ht="12.75" hidden="false" customHeight="false" outlineLevel="0" collapsed="false">
      <c r="A127" s="97" t="n">
        <v>40360</v>
      </c>
      <c r="B127" s="91" t="n">
        <f aca="false">YEAR(A127)</f>
        <v>2010</v>
      </c>
      <c r="C127" s="98" t="n">
        <f aca="false">MONTH(A127)</f>
        <v>7</v>
      </c>
      <c r="D127" s="98" t="str">
        <f aca="false">IF(C127&lt;=6,"Q2","Q4")</f>
        <v>Q4</v>
      </c>
      <c r="E127" s="0" t="str">
        <f aca="false">B127&amp;D127</f>
        <v>2010Q4</v>
      </c>
      <c r="F127" s="99" t="n">
        <v>0.0642324174972875</v>
      </c>
    </row>
    <row r="128" customFormat="false" ht="12.75" hidden="false" customHeight="false" outlineLevel="0" collapsed="false">
      <c r="A128" s="97" t="n">
        <v>40391</v>
      </c>
      <c r="B128" s="91" t="n">
        <f aca="false">YEAR(A128)</f>
        <v>2010</v>
      </c>
      <c r="C128" s="98" t="n">
        <f aca="false">MONTH(A128)</f>
        <v>8</v>
      </c>
      <c r="D128" s="98" t="str">
        <f aca="false">IF(C128&lt;=6,"Q2","Q4")</f>
        <v>Q4</v>
      </c>
      <c r="E128" s="0" t="str">
        <f aca="false">B128&amp;D128</f>
        <v>2010Q4</v>
      </c>
      <c r="F128" s="99" t="n">
        <v>0.06424387824622</v>
      </c>
    </row>
    <row r="129" customFormat="false" ht="12.75" hidden="false" customHeight="false" outlineLevel="0" collapsed="false">
      <c r="A129" s="97" t="n">
        <v>40422</v>
      </c>
      <c r="B129" s="91" t="n">
        <f aca="false">YEAR(A129)</f>
        <v>2010</v>
      </c>
      <c r="C129" s="98" t="n">
        <f aca="false">MONTH(A129)</f>
        <v>9</v>
      </c>
      <c r="D129" s="98" t="str">
        <f aca="false">IF(C129&lt;=6,"Q2","Q4")</f>
        <v>Q4</v>
      </c>
      <c r="E129" s="0" t="str">
        <f aca="false">B129&amp;D129</f>
        <v>2010Q4</v>
      </c>
      <c r="F129" s="99" t="n">
        <v>0.0642553389951965</v>
      </c>
    </row>
    <row r="130" customFormat="false" ht="12.75" hidden="false" customHeight="false" outlineLevel="0" collapsed="false">
      <c r="A130" s="97" t="n">
        <v>40452</v>
      </c>
      <c r="B130" s="91" t="n">
        <f aca="false">YEAR(A130)</f>
        <v>2010</v>
      </c>
      <c r="C130" s="98" t="n">
        <f aca="false">MONTH(A130)</f>
        <v>10</v>
      </c>
      <c r="D130" s="98" t="str">
        <f aca="false">IF(C130&lt;=6,"Q2","Q4")</f>
        <v>Q4</v>
      </c>
      <c r="E130" s="0" t="str">
        <f aca="false">B130&amp;D130</f>
        <v>2010Q4</v>
      </c>
      <c r="F130" s="99" t="n">
        <v>0.0642664300426343</v>
      </c>
    </row>
    <row r="131" customFormat="false" ht="12.75" hidden="false" customHeight="false" outlineLevel="0" collapsed="false">
      <c r="A131" s="97" t="n">
        <v>40483</v>
      </c>
      <c r="B131" s="91" t="n">
        <f aca="false">YEAR(A131)</f>
        <v>2010</v>
      </c>
      <c r="C131" s="98" t="n">
        <f aca="false">MONTH(A131)</f>
        <v>11</v>
      </c>
      <c r="D131" s="98" t="str">
        <f aca="false">IF(C131&lt;=6,"Q2","Q4")</f>
        <v>Q4</v>
      </c>
      <c r="E131" s="0" t="str">
        <f aca="false">B131&amp;D131</f>
        <v>2010Q4</v>
      </c>
      <c r="F131" s="99" t="n">
        <v>0.0642778907916966</v>
      </c>
    </row>
    <row r="132" customFormat="false" ht="12.75" hidden="false" customHeight="false" outlineLevel="0" collapsed="false">
      <c r="A132" s="97" t="n">
        <v>40513</v>
      </c>
      <c r="B132" s="91" t="n">
        <f aca="false">YEAR(A132)</f>
        <v>2010</v>
      </c>
      <c r="C132" s="98" t="n">
        <f aca="false">MONTH(A132)</f>
        <v>12</v>
      </c>
      <c r="D132" s="98" t="str">
        <f aca="false">IF(C132&lt;=6,"Q2","Q4")</f>
        <v>Q4</v>
      </c>
      <c r="E132" s="0" t="str">
        <f aca="false">B132&amp;D132</f>
        <v>2010Q4</v>
      </c>
      <c r="F132" s="99" t="n">
        <v>0.0642889818392174</v>
      </c>
    </row>
    <row r="133" customFormat="false" ht="12.75" hidden="false" customHeight="false" outlineLevel="0" collapsed="false">
      <c r="A133" s="97" t="n">
        <v>40544</v>
      </c>
      <c r="B133" s="91" t="n">
        <f aca="false">YEAR(A133)</f>
        <v>2011</v>
      </c>
      <c r="C133" s="98" t="n">
        <f aca="false">MONTH(A133)</f>
        <v>1</v>
      </c>
      <c r="D133" s="98" t="str">
        <f aca="false">IF(C133&lt;=6,"Q2","Q4")</f>
        <v>Q2</v>
      </c>
      <c r="E133" s="0" t="str">
        <f aca="false">B133&amp;D133</f>
        <v>2011Q2</v>
      </c>
      <c r="F133" s="99" t="n">
        <v>0.0643004425883649</v>
      </c>
    </row>
    <row r="134" customFormat="false" ht="12.75" hidden="false" customHeight="false" outlineLevel="0" collapsed="false">
      <c r="A134" s="97" t="n">
        <v>40575</v>
      </c>
      <c r="B134" s="91" t="n">
        <f aca="false">YEAR(A134)</f>
        <v>2011</v>
      </c>
      <c r="C134" s="98" t="n">
        <f aca="false">MONTH(A134)</f>
        <v>2</v>
      </c>
      <c r="D134" s="98" t="str">
        <f aca="false">IF(C134&lt;=6,"Q2","Q4")</f>
        <v>Q2</v>
      </c>
      <c r="E134" s="0" t="str">
        <f aca="false">B134&amp;D134</f>
        <v>2011Q2</v>
      </c>
      <c r="F134" s="99" t="n">
        <v>0.0643119033375563</v>
      </c>
    </row>
    <row r="135" customFormat="false" ht="12.75" hidden="false" customHeight="false" outlineLevel="0" collapsed="false">
      <c r="A135" s="97" t="n">
        <v>40603</v>
      </c>
      <c r="B135" s="91" t="n">
        <f aca="false">YEAR(A135)</f>
        <v>2011</v>
      </c>
      <c r="C135" s="98" t="n">
        <f aca="false">MONTH(A135)</f>
        <v>3</v>
      </c>
      <c r="D135" s="98" t="str">
        <f aca="false">IF(C135&lt;=6,"Q2","Q4")</f>
        <v>Q2</v>
      </c>
      <c r="E135" s="0" t="str">
        <f aca="false">B135&amp;D135</f>
        <v>2011Q2</v>
      </c>
      <c r="F135" s="99" t="n">
        <v>0.0643222549820246</v>
      </c>
    </row>
    <row r="136" customFormat="false" ht="12.75" hidden="false" customHeight="false" outlineLevel="0" collapsed="false">
      <c r="A136" s="97" t="n">
        <v>40634</v>
      </c>
      <c r="B136" s="91" t="n">
        <f aca="false">YEAR(A136)</f>
        <v>2011</v>
      </c>
      <c r="C136" s="98" t="n">
        <f aca="false">MONTH(A136)</f>
        <v>4</v>
      </c>
      <c r="D136" s="98" t="str">
        <f aca="false">IF(C136&lt;=6,"Q2","Q4")</f>
        <v>Q2</v>
      </c>
      <c r="E136" s="0" t="str">
        <f aca="false">B136&amp;D136</f>
        <v>2011Q2</v>
      </c>
      <c r="F136" s="99" t="n">
        <v>0.0643337157312987</v>
      </c>
    </row>
    <row r="137" customFormat="false" ht="12.75" hidden="false" customHeight="false" outlineLevel="0" collapsed="false">
      <c r="A137" s="97" t="n">
        <v>40664</v>
      </c>
      <c r="B137" s="91" t="n">
        <f aca="false">YEAR(A137)</f>
        <v>2011</v>
      </c>
      <c r="C137" s="98" t="n">
        <f aca="false">MONTH(A137)</f>
        <v>5</v>
      </c>
      <c r="D137" s="98" t="str">
        <f aca="false">IF(C137&lt;=6,"Q2","Q4")</f>
        <v>Q2</v>
      </c>
      <c r="E137" s="0" t="str">
        <f aca="false">B137&amp;D137</f>
        <v>2011Q2</v>
      </c>
      <c r="F137" s="99" t="n">
        <v>0.0643448067790247</v>
      </c>
    </row>
    <row r="138" customFormat="false" ht="12.75" hidden="false" customHeight="false" outlineLevel="0" collapsed="false">
      <c r="A138" s="97" t="n">
        <v>40695</v>
      </c>
      <c r="B138" s="91" t="n">
        <f aca="false">YEAR(A138)</f>
        <v>2011</v>
      </c>
      <c r="C138" s="98" t="n">
        <f aca="false">MONTH(A138)</f>
        <v>6</v>
      </c>
      <c r="D138" s="98" t="str">
        <f aca="false">IF(C138&lt;=6,"Q2","Q4")</f>
        <v>Q2</v>
      </c>
      <c r="E138" s="0" t="str">
        <f aca="false">B138&amp;D138</f>
        <v>2011Q2</v>
      </c>
      <c r="F138" s="99" t="n">
        <v>0.0643562675283849</v>
      </c>
    </row>
    <row r="139" customFormat="false" ht="12.75" hidden="false" customHeight="false" outlineLevel="0" collapsed="false">
      <c r="A139" s="97" t="n">
        <v>40725</v>
      </c>
      <c r="B139" s="91" t="n">
        <f aca="false">YEAR(A139)</f>
        <v>2011</v>
      </c>
      <c r="C139" s="98" t="n">
        <f aca="false">MONTH(A139)</f>
        <v>7</v>
      </c>
      <c r="D139" s="98" t="str">
        <f aca="false">IF(C139&lt;=6,"Q2","Q4")</f>
        <v>Q4</v>
      </c>
      <c r="E139" s="0" t="str">
        <f aca="false">B139&amp;D139</f>
        <v>2011Q4</v>
      </c>
      <c r="F139" s="99" t="n">
        <v>0.0643673585761939</v>
      </c>
    </row>
    <row r="140" customFormat="false" ht="12.75" hidden="false" customHeight="false" outlineLevel="0" collapsed="false">
      <c r="A140" s="97" t="n">
        <v>40756</v>
      </c>
      <c r="B140" s="91" t="n">
        <f aca="false">YEAR(A140)</f>
        <v>2011</v>
      </c>
      <c r="C140" s="98" t="n">
        <f aca="false">MONTH(A140)</f>
        <v>8</v>
      </c>
      <c r="D140" s="98" t="str">
        <f aca="false">IF(C140&lt;=6,"Q2","Q4")</f>
        <v>Q4</v>
      </c>
      <c r="E140" s="0" t="str">
        <f aca="false">B140&amp;D140</f>
        <v>2011Q4</v>
      </c>
      <c r="F140" s="99" t="n">
        <v>0.0643788193256394</v>
      </c>
    </row>
    <row r="141" customFormat="false" ht="12.75" hidden="false" customHeight="false" outlineLevel="0" collapsed="false">
      <c r="A141" s="97" t="n">
        <v>40787</v>
      </c>
      <c r="B141" s="91" t="n">
        <f aca="false">YEAR(A141)</f>
        <v>2011</v>
      </c>
      <c r="C141" s="98" t="n">
        <f aca="false">MONTH(A141)</f>
        <v>9</v>
      </c>
      <c r="D141" s="98" t="str">
        <f aca="false">IF(C141&lt;=6,"Q2","Q4")</f>
        <v>Q4</v>
      </c>
      <c r="E141" s="0" t="str">
        <f aca="false">B141&amp;D141</f>
        <v>2011Q4</v>
      </c>
      <c r="F141" s="99" t="n">
        <v>0.0643902800751284</v>
      </c>
    </row>
    <row r="142" customFormat="false" ht="12.75" hidden="false" customHeight="false" outlineLevel="0" collapsed="false">
      <c r="A142" s="97" t="n">
        <v>40817</v>
      </c>
      <c r="B142" s="91" t="n">
        <f aca="false">YEAR(A142)</f>
        <v>2011</v>
      </c>
      <c r="C142" s="98" t="n">
        <f aca="false">MONTH(A142)</f>
        <v>10</v>
      </c>
      <c r="D142" s="98" t="str">
        <f aca="false">IF(C142&lt;=6,"Q2","Q4")</f>
        <v>Q4</v>
      </c>
      <c r="E142" s="0" t="str">
        <f aca="false">B142&amp;D142</f>
        <v>2011Q4</v>
      </c>
      <c r="F142" s="99" t="n">
        <v>0.0644013711230627</v>
      </c>
    </row>
    <row r="143" customFormat="false" ht="12.75" hidden="false" customHeight="false" outlineLevel="0" collapsed="false">
      <c r="A143" s="97" t="n">
        <v>40848</v>
      </c>
      <c r="B143" s="91" t="n">
        <f aca="false">YEAR(A143)</f>
        <v>2011</v>
      </c>
      <c r="C143" s="98" t="n">
        <f aca="false">MONTH(A143)</f>
        <v>11</v>
      </c>
      <c r="D143" s="98" t="str">
        <f aca="false">IF(C143&lt;=6,"Q2","Q4")</f>
        <v>Q4</v>
      </c>
      <c r="E143" s="0" t="str">
        <f aca="false">B143&amp;D143</f>
        <v>2011Q4</v>
      </c>
      <c r="F143" s="99" t="n">
        <v>0.0644128318726374</v>
      </c>
    </row>
    <row r="144" customFormat="false" ht="12.75" hidden="false" customHeight="false" outlineLevel="0" collapsed="false">
      <c r="A144" s="97" t="n">
        <v>40878</v>
      </c>
      <c r="B144" s="91" t="n">
        <f aca="false">YEAR(A144)</f>
        <v>2011</v>
      </c>
      <c r="C144" s="98" t="n">
        <f aca="false">MONTH(A144)</f>
        <v>12</v>
      </c>
      <c r="D144" s="98" t="str">
        <f aca="false">IF(C144&lt;=6,"Q2","Q4")</f>
        <v>Q4</v>
      </c>
      <c r="E144" s="0" t="str">
        <f aca="false">B144&amp;D144</f>
        <v>2011Q4</v>
      </c>
      <c r="F144" s="99" t="n">
        <v>0.0644239229206542</v>
      </c>
    </row>
    <row r="145" customFormat="false" ht="12.75" hidden="false" customHeight="false" outlineLevel="0" collapsed="false">
      <c r="A145" s="97" t="n">
        <v>40909</v>
      </c>
      <c r="B145" s="91" t="n">
        <f aca="false">YEAR(A145)</f>
        <v>2012</v>
      </c>
      <c r="C145" s="98" t="n">
        <f aca="false">MONTH(A145)</f>
        <v>1</v>
      </c>
      <c r="D145" s="98" t="str">
        <f aca="false">IF(C145&lt;=6,"Q2","Q4")</f>
        <v>Q2</v>
      </c>
      <c r="E145" s="0" t="str">
        <f aca="false">B145&amp;D145</f>
        <v>2012Q2</v>
      </c>
      <c r="F145" s="99" t="n">
        <v>0.0644353836703147</v>
      </c>
    </row>
    <row r="146" customFormat="false" ht="12.75" hidden="false" customHeight="false" outlineLevel="0" collapsed="false">
      <c r="A146" s="97" t="n">
        <v>40940</v>
      </c>
      <c r="B146" s="91" t="n">
        <f aca="false">YEAR(A146)</f>
        <v>2012</v>
      </c>
      <c r="C146" s="98" t="n">
        <f aca="false">MONTH(A146)</f>
        <v>2</v>
      </c>
      <c r="D146" s="98" t="str">
        <f aca="false">IF(C146&lt;=6,"Q2","Q4")</f>
        <v>Q2</v>
      </c>
      <c r="E146" s="0" t="str">
        <f aca="false">B146&amp;D146</f>
        <v>2012Q2</v>
      </c>
      <c r="F146" s="99" t="n">
        <v>0.064446844420019</v>
      </c>
    </row>
    <row r="147" customFormat="false" ht="12.75" hidden="false" customHeight="false" outlineLevel="0" collapsed="false">
      <c r="A147" s="97" t="n">
        <v>40969</v>
      </c>
      <c r="B147" s="91" t="n">
        <f aca="false">YEAR(A147)</f>
        <v>2012</v>
      </c>
      <c r="C147" s="98" t="n">
        <f aca="false">MONTH(A147)</f>
        <v>3</v>
      </c>
      <c r="D147" s="98" t="str">
        <f aca="false">IF(C147&lt;=6,"Q2","Q4")</f>
        <v>Q2</v>
      </c>
      <c r="E147" s="0" t="str">
        <f aca="false">B147&amp;D147</f>
        <v>2012Q2</v>
      </c>
      <c r="F147" s="99" t="n">
        <v>0.0644575657665558</v>
      </c>
    </row>
    <row r="148" customFormat="false" ht="12.75" hidden="false" customHeight="false" outlineLevel="0" collapsed="false">
      <c r="A148" s="97" t="n">
        <v>41000</v>
      </c>
      <c r="B148" s="91" t="n">
        <f aca="false">YEAR(A148)</f>
        <v>2012</v>
      </c>
      <c r="C148" s="98" t="n">
        <f aca="false">MONTH(A148)</f>
        <v>4</v>
      </c>
      <c r="D148" s="98" t="str">
        <f aca="false">IF(C148&lt;=6,"Q2","Q4")</f>
        <v>Q2</v>
      </c>
      <c r="E148" s="0" t="str">
        <f aca="false">B148&amp;D148</f>
        <v>2012Q2</v>
      </c>
      <c r="F148" s="99" t="n">
        <v>0.0644690265163441</v>
      </c>
    </row>
    <row r="149" customFormat="false" ht="12.75" hidden="false" customHeight="false" outlineLevel="0" collapsed="false">
      <c r="A149" s="97" t="n">
        <v>41030</v>
      </c>
      <c r="B149" s="91" t="n">
        <f aca="false">YEAR(A149)</f>
        <v>2012</v>
      </c>
      <c r="C149" s="98" t="n">
        <f aca="false">MONTH(A149)</f>
        <v>5</v>
      </c>
      <c r="D149" s="98" t="str">
        <f aca="false">IF(C149&lt;=6,"Q2","Q4")</f>
        <v>Q2</v>
      </c>
      <c r="E149" s="0" t="str">
        <f aca="false">B149&amp;D149</f>
        <v>2012Q2</v>
      </c>
      <c r="F149" s="99" t="n">
        <v>0.064480117564568</v>
      </c>
    </row>
    <row r="150" customFormat="false" ht="12.75" hidden="false" customHeight="false" outlineLevel="0" collapsed="false">
      <c r="A150" s="97" t="n">
        <v>41061</v>
      </c>
      <c r="B150" s="91" t="n">
        <f aca="false">YEAR(A150)</f>
        <v>2012</v>
      </c>
      <c r="C150" s="98" t="n">
        <f aca="false">MONTH(A150)</f>
        <v>6</v>
      </c>
      <c r="D150" s="98" t="str">
        <f aca="false">IF(C150&lt;=6,"Q2","Q4")</f>
        <v>Q2</v>
      </c>
      <c r="E150" s="0" t="str">
        <f aca="false">B150&amp;D150</f>
        <v>2012Q2</v>
      </c>
      <c r="F150" s="99" t="n">
        <v>0.064491578314442</v>
      </c>
    </row>
    <row r="151" customFormat="false" ht="12.75" hidden="false" customHeight="false" outlineLevel="0" collapsed="false">
      <c r="A151" s="97" t="n">
        <v>41091</v>
      </c>
      <c r="B151" s="91" t="n">
        <f aca="false">YEAR(A151)</f>
        <v>2012</v>
      </c>
      <c r="C151" s="98" t="n">
        <f aca="false">MONTH(A151)</f>
        <v>7</v>
      </c>
      <c r="D151" s="98" t="str">
        <f aca="false">IF(C151&lt;=6,"Q2","Q4")</f>
        <v>Q4</v>
      </c>
      <c r="E151" s="0" t="str">
        <f aca="false">B151&amp;D151</f>
        <v>2012Q4</v>
      </c>
      <c r="F151" s="99" t="n">
        <v>0.0645026693627484</v>
      </c>
    </row>
    <row r="152" customFormat="false" ht="12.75" hidden="false" customHeight="false" outlineLevel="0" collapsed="false">
      <c r="A152" s="97" t="n">
        <v>41122</v>
      </c>
      <c r="B152" s="91" t="n">
        <f aca="false">YEAR(A152)</f>
        <v>2012</v>
      </c>
      <c r="C152" s="98" t="n">
        <f aca="false">MONTH(A152)</f>
        <v>8</v>
      </c>
      <c r="D152" s="98" t="str">
        <f aca="false">IF(C152&lt;=6,"Q2","Q4")</f>
        <v>Q4</v>
      </c>
      <c r="E152" s="0" t="str">
        <f aca="false">B152&amp;D152</f>
        <v>2012Q4</v>
      </c>
      <c r="F152" s="99" t="n">
        <v>0.0645141301127081</v>
      </c>
    </row>
    <row r="153" customFormat="false" ht="12.75" hidden="false" customHeight="false" outlineLevel="0" collapsed="false">
      <c r="A153" s="97" t="n">
        <v>41153</v>
      </c>
      <c r="B153" s="91" t="n">
        <f aca="false">YEAR(A153)</f>
        <v>2012</v>
      </c>
      <c r="C153" s="98" t="n">
        <f aca="false">MONTH(A153)</f>
        <v>9</v>
      </c>
      <c r="D153" s="98" t="str">
        <f aca="false">IF(C153&lt;=6,"Q2","Q4")</f>
        <v>Q4</v>
      </c>
      <c r="E153" s="0" t="str">
        <f aca="false">B153&amp;D153</f>
        <v>2012Q4</v>
      </c>
      <c r="F153" s="99" t="n">
        <v>0.0645255908627118</v>
      </c>
    </row>
    <row r="154" customFormat="false" ht="12.75" hidden="false" customHeight="false" outlineLevel="0" collapsed="false">
      <c r="A154" s="97" t="n">
        <v>41183</v>
      </c>
      <c r="B154" s="91" t="n">
        <f aca="false">YEAR(A154)</f>
        <v>2012</v>
      </c>
      <c r="C154" s="98" t="n">
        <f aca="false">MONTH(A154)</f>
        <v>10</v>
      </c>
      <c r="D154" s="98" t="str">
        <f aca="false">IF(C154&lt;=6,"Q2","Q4")</f>
        <v>Q4</v>
      </c>
      <c r="E154" s="0" t="str">
        <f aca="false">B154&amp;D154</f>
        <v>2012Q4</v>
      </c>
      <c r="F154" s="99" t="n">
        <v>0.064536681911143</v>
      </c>
    </row>
    <row r="155" customFormat="false" ht="12.75" hidden="false" customHeight="false" outlineLevel="0" collapsed="false">
      <c r="A155" s="97" t="n">
        <v>41214</v>
      </c>
      <c r="B155" s="91" t="n">
        <f aca="false">YEAR(A155)</f>
        <v>2012</v>
      </c>
      <c r="C155" s="98" t="n">
        <f aca="false">MONTH(A155)</f>
        <v>11</v>
      </c>
      <c r="D155" s="98" t="str">
        <f aca="false">IF(C155&lt;=6,"Q2","Q4")</f>
        <v>Q4</v>
      </c>
      <c r="E155" s="0" t="str">
        <f aca="false">B155&amp;D155</f>
        <v>2012Q4</v>
      </c>
      <c r="F155" s="99" t="n">
        <v>0.064548142661232</v>
      </c>
    </row>
    <row r="156" customFormat="false" ht="12.75" hidden="false" customHeight="false" outlineLevel="0" collapsed="false">
      <c r="A156" s="97" t="n">
        <v>41244</v>
      </c>
      <c r="B156" s="91" t="n">
        <f aca="false">YEAR(A156)</f>
        <v>2012</v>
      </c>
      <c r="C156" s="98" t="n">
        <f aca="false">MONTH(A156)</f>
        <v>12</v>
      </c>
      <c r="D156" s="98" t="str">
        <f aca="false">IF(C156&lt;=6,"Q2","Q4")</f>
        <v>Q4</v>
      </c>
      <c r="E156" s="0" t="str">
        <f aca="false">B156&amp;D156</f>
        <v>2012Q4</v>
      </c>
      <c r="F156" s="99" t="n">
        <v>0.0645592337097467</v>
      </c>
    </row>
    <row r="157" customFormat="false" ht="12.75" hidden="false" customHeight="false" outlineLevel="0" collapsed="false">
      <c r="A157" s="97" t="n">
        <v>41275</v>
      </c>
      <c r="B157" s="91" t="n">
        <f aca="false">YEAR(A157)</f>
        <v>2013</v>
      </c>
      <c r="C157" s="98" t="n">
        <f aca="false">MONTH(A157)</f>
        <v>1</v>
      </c>
      <c r="D157" s="98" t="str">
        <f aca="false">IF(C157&lt;=6,"Q2","Q4")</f>
        <v>Q2</v>
      </c>
      <c r="E157" s="0" t="str">
        <f aca="false">B157&amp;D157</f>
        <v>2013Q2</v>
      </c>
      <c r="F157" s="99" t="n">
        <v>0.0645706944599214</v>
      </c>
    </row>
    <row r="158" customFormat="false" ht="12.75" hidden="false" customHeight="false" outlineLevel="0" collapsed="false">
      <c r="A158" s="97" t="n">
        <v>41306</v>
      </c>
      <c r="B158" s="91" t="n">
        <f aca="false">YEAR(A158)</f>
        <v>2013</v>
      </c>
      <c r="C158" s="98" t="n">
        <f aca="false">MONTH(A158)</f>
        <v>2</v>
      </c>
      <c r="D158" s="98" t="str">
        <f aca="false">IF(C158&lt;=6,"Q2","Q4")</f>
        <v>Q2</v>
      </c>
      <c r="E158" s="0" t="str">
        <f aca="false">B158&amp;D158</f>
        <v>2013Q2</v>
      </c>
      <c r="F158" s="99" t="n">
        <v>0.0645821552101396</v>
      </c>
    </row>
    <row r="159" customFormat="false" ht="12.75" hidden="false" customHeight="false" outlineLevel="0" collapsed="false">
      <c r="A159" s="97" t="n">
        <v>41334</v>
      </c>
      <c r="B159" s="91" t="n">
        <f aca="false">YEAR(A159)</f>
        <v>2013</v>
      </c>
      <c r="C159" s="98" t="n">
        <f aca="false">MONTH(A159)</f>
        <v>3</v>
      </c>
      <c r="D159" s="98" t="str">
        <f aca="false">IF(C159&lt;=6,"Q2","Q4")</f>
        <v>Q2</v>
      </c>
      <c r="E159" s="0" t="str">
        <f aca="false">B159&amp;D159</f>
        <v>2013Q2</v>
      </c>
      <c r="F159" s="99" t="n">
        <v>0.0645925068555351</v>
      </c>
    </row>
    <row r="160" customFormat="false" ht="12.75" hidden="false" customHeight="false" outlineLevel="0" collapsed="false">
      <c r="A160" s="97" t="n">
        <v>41365</v>
      </c>
      <c r="B160" s="91" t="n">
        <f aca="false">YEAR(A160)</f>
        <v>2013</v>
      </c>
      <c r="C160" s="98" t="n">
        <f aca="false">MONTH(A160)</f>
        <v>4</v>
      </c>
      <c r="D160" s="98" t="str">
        <f aca="false">IF(C160&lt;=6,"Q2","Q4")</f>
        <v>Q2</v>
      </c>
      <c r="E160" s="0" t="str">
        <f aca="false">B160&amp;D160</f>
        <v>2013Q2</v>
      </c>
      <c r="F160" s="99" t="n">
        <v>0.0646039676058368</v>
      </c>
    </row>
    <row r="161" customFormat="false" ht="12.75" hidden="false" customHeight="false" outlineLevel="0" collapsed="false">
      <c r="A161" s="97" t="n">
        <v>41395</v>
      </c>
      <c r="B161" s="91" t="n">
        <f aca="false">YEAR(A161)</f>
        <v>2013</v>
      </c>
      <c r="C161" s="98" t="n">
        <f aca="false">MONTH(A161)</f>
        <v>5</v>
      </c>
      <c r="D161" s="98" t="str">
        <f aca="false">IF(C161&lt;=6,"Q2","Q4")</f>
        <v>Q2</v>
      </c>
      <c r="E161" s="0" t="str">
        <f aca="false">B161&amp;D161</f>
        <v>2013Q2</v>
      </c>
      <c r="F161" s="99" t="n">
        <v>0.0646150586545566</v>
      </c>
    </row>
    <row r="162" customFormat="false" ht="12.75" hidden="false" customHeight="false" outlineLevel="0" collapsed="false">
      <c r="A162" s="97" t="n">
        <v>41426</v>
      </c>
      <c r="B162" s="91" t="n">
        <f aca="false">YEAR(A162)</f>
        <v>2013</v>
      </c>
      <c r="C162" s="98" t="n">
        <f aca="false">MONTH(A162)</f>
        <v>6</v>
      </c>
      <c r="D162" s="98" t="str">
        <f aca="false">IF(C162&lt;=6,"Q2","Q4")</f>
        <v>Q2</v>
      </c>
      <c r="E162" s="0" t="str">
        <f aca="false">B162&amp;D162</f>
        <v>2013Q2</v>
      </c>
      <c r="F162" s="99" t="n">
        <v>0.0646265194049431</v>
      </c>
    </row>
    <row r="163" customFormat="false" ht="12.75" hidden="false" customHeight="false" outlineLevel="0" collapsed="false">
      <c r="A163" s="97" t="n">
        <v>41456</v>
      </c>
      <c r="B163" s="91" t="n">
        <f aca="false">YEAR(A163)</f>
        <v>2013</v>
      </c>
      <c r="C163" s="98" t="n">
        <f aca="false">MONTH(A163)</f>
        <v>7</v>
      </c>
      <c r="D163" s="98" t="str">
        <f aca="false">IF(C163&lt;=6,"Q2","Q4")</f>
        <v>Q4</v>
      </c>
      <c r="E163" s="0" t="str">
        <f aca="false">B163&amp;D163</f>
        <v>2013Q4</v>
      </c>
      <c r="F163" s="99" t="n">
        <v>0.0646376104537456</v>
      </c>
    </row>
    <row r="164" customFormat="false" ht="12.75" hidden="false" customHeight="false" outlineLevel="0" collapsed="false">
      <c r="A164" s="97" t="n">
        <v>41487</v>
      </c>
      <c r="B164" s="91" t="n">
        <f aca="false">YEAR(A164)</f>
        <v>2013</v>
      </c>
      <c r="C164" s="98" t="n">
        <f aca="false">MONTH(A164)</f>
        <v>8</v>
      </c>
      <c r="D164" s="98" t="str">
        <f aca="false">IF(C164&lt;=6,"Q2","Q4")</f>
        <v>Q4</v>
      </c>
      <c r="E164" s="0" t="str">
        <f aca="false">B164&amp;D164</f>
        <v>2013Q4</v>
      </c>
      <c r="F164" s="99" t="n">
        <v>0.0646490712042187</v>
      </c>
    </row>
    <row r="165" customFormat="false" ht="12.75" hidden="false" customHeight="false" outlineLevel="0" collapsed="false">
      <c r="A165" s="97" t="n">
        <v>41518</v>
      </c>
      <c r="B165" s="91" t="n">
        <f aca="false">YEAR(A165)</f>
        <v>2013</v>
      </c>
      <c r="C165" s="98" t="n">
        <f aca="false">MONTH(A165)</f>
        <v>9</v>
      </c>
      <c r="D165" s="98" t="str">
        <f aca="false">IF(C165&lt;=6,"Q2","Q4")</f>
        <v>Q4</v>
      </c>
      <c r="E165" s="0" t="str">
        <f aca="false">B165&amp;D165</f>
        <v>2013Q4</v>
      </c>
      <c r="F165" s="99" t="n">
        <v>0.0646605319547344</v>
      </c>
    </row>
    <row r="166" customFormat="false" ht="12.75" hidden="false" customHeight="false" outlineLevel="0" collapsed="false">
      <c r="A166" s="97" t="n">
        <v>41548</v>
      </c>
      <c r="B166" s="91" t="n">
        <f aca="false">YEAR(A166)</f>
        <v>2013</v>
      </c>
      <c r="C166" s="98" t="n">
        <f aca="false">MONTH(A166)</f>
        <v>10</v>
      </c>
      <c r="D166" s="98" t="str">
        <f aca="false">IF(C166&lt;=6,"Q2","Q4")</f>
        <v>Q4</v>
      </c>
      <c r="E166" s="0" t="str">
        <f aca="false">B166&amp;D166</f>
        <v>2013Q4</v>
      </c>
      <c r="F166" s="99" t="n">
        <v>0.0646716230036621</v>
      </c>
    </row>
    <row r="167" customFormat="false" ht="12.75" hidden="false" customHeight="false" outlineLevel="0" collapsed="false">
      <c r="A167" s="97" t="n">
        <v>41579</v>
      </c>
      <c r="B167" s="91" t="n">
        <f aca="false">YEAR(A167)</f>
        <v>2013</v>
      </c>
      <c r="C167" s="98" t="n">
        <f aca="false">MONTH(A167)</f>
        <v>11</v>
      </c>
      <c r="D167" s="98" t="str">
        <f aca="false">IF(C167&lt;=6,"Q2","Q4")</f>
        <v>Q4</v>
      </c>
      <c r="E167" s="0" t="str">
        <f aca="false">B167&amp;D167</f>
        <v>2013Q4</v>
      </c>
      <c r="F167" s="99" t="n">
        <v>0.0646830837542636</v>
      </c>
    </row>
    <row r="168" customFormat="false" ht="12.75" hidden="false" customHeight="false" outlineLevel="0" collapsed="false">
      <c r="A168" s="97" t="n">
        <v>41609</v>
      </c>
      <c r="B168" s="91" t="n">
        <f aca="false">YEAR(A168)</f>
        <v>2013</v>
      </c>
      <c r="C168" s="98" t="n">
        <f aca="false">MONTH(A168)</f>
        <v>12</v>
      </c>
      <c r="D168" s="98" t="str">
        <f aca="false">IF(C168&lt;=6,"Q2","Q4")</f>
        <v>Q4</v>
      </c>
      <c r="E168" s="0" t="str">
        <f aca="false">B168&amp;D168</f>
        <v>2013Q4</v>
      </c>
      <c r="F168" s="99" t="n">
        <v>0.0646941748032748</v>
      </c>
    </row>
    <row r="169" customFormat="false" ht="12.75" hidden="false" customHeight="false" outlineLevel="0" collapsed="false">
      <c r="A169" s="97" t="n">
        <v>41640</v>
      </c>
      <c r="B169" s="91" t="n">
        <f aca="false">YEAR(A169)</f>
        <v>2014</v>
      </c>
      <c r="C169" s="98" t="n">
        <f aca="false">MONTH(A169)</f>
        <v>1</v>
      </c>
      <c r="D169" s="98" t="str">
        <f aca="false">IF(C169&lt;=6,"Q2","Q4")</f>
        <v>Q2</v>
      </c>
      <c r="E169" s="0" t="str">
        <f aca="false">B169&amp;D169</f>
        <v>2014Q2</v>
      </c>
      <c r="F169" s="99" t="n">
        <v>0.0647056355539619</v>
      </c>
    </row>
    <row r="170" customFormat="false" ht="12.75" hidden="false" customHeight="false" outlineLevel="0" collapsed="false">
      <c r="A170" s="97" t="n">
        <v>41671</v>
      </c>
      <c r="B170" s="91" t="n">
        <f aca="false">YEAR(A170)</f>
        <v>2014</v>
      </c>
      <c r="C170" s="98" t="n">
        <f aca="false">MONTH(A170)</f>
        <v>2</v>
      </c>
      <c r="D170" s="98" t="str">
        <f aca="false">IF(C170&lt;=6,"Q2","Q4")</f>
        <v>Q2</v>
      </c>
      <c r="E170" s="0" t="str">
        <f aca="false">B170&amp;D170</f>
        <v>2014Q2</v>
      </c>
      <c r="F170" s="99" t="n">
        <v>0.0647170963046926</v>
      </c>
    </row>
    <row r="171" customFormat="false" ht="12.75" hidden="false" customHeight="false" outlineLevel="0" collapsed="false">
      <c r="A171" s="97" t="n">
        <v>41699</v>
      </c>
      <c r="B171" s="91" t="n">
        <f aca="false">YEAR(A171)</f>
        <v>2014</v>
      </c>
      <c r="C171" s="98" t="n">
        <f aca="false">MONTH(A171)</f>
        <v>3</v>
      </c>
      <c r="D171" s="98" t="str">
        <f aca="false">IF(C171&lt;=6,"Q2","Q4")</f>
        <v>Q2</v>
      </c>
      <c r="E171" s="0" t="str">
        <f aca="false">B171&amp;D171</f>
        <v>2014Q2</v>
      </c>
      <c r="F171" s="99" t="n">
        <v>0.0647274479505513</v>
      </c>
    </row>
    <row r="172" customFormat="false" ht="12.75" hidden="false" customHeight="false" outlineLevel="0" collapsed="false">
      <c r="A172" s="97" t="n">
        <v>41730</v>
      </c>
      <c r="B172" s="91" t="n">
        <f aca="false">YEAR(A172)</f>
        <v>2014</v>
      </c>
      <c r="C172" s="98" t="n">
        <f aca="false">MONTH(A172)</f>
        <v>4</v>
      </c>
      <c r="D172" s="98" t="str">
        <f aca="false">IF(C172&lt;=6,"Q2","Q4")</f>
        <v>Q2</v>
      </c>
      <c r="E172" s="0" t="str">
        <f aca="false">B172&amp;D172</f>
        <v>2014Q2</v>
      </c>
      <c r="F172" s="99" t="n">
        <v>0.0647389087013655</v>
      </c>
    </row>
    <row r="173" customFormat="false" ht="12.75" hidden="false" customHeight="false" outlineLevel="0" collapsed="false">
      <c r="A173" s="97" t="n">
        <v>41760</v>
      </c>
      <c r="B173" s="91" t="n">
        <f aca="false">YEAR(A173)</f>
        <v>2014</v>
      </c>
      <c r="C173" s="98" t="n">
        <f aca="false">MONTH(A173)</f>
        <v>5</v>
      </c>
      <c r="D173" s="98" t="str">
        <f aca="false">IF(C173&lt;=6,"Q2","Q4")</f>
        <v>Q2</v>
      </c>
      <c r="E173" s="0" t="str">
        <f aca="false">B173&amp;D173</f>
        <v>2014Q2</v>
      </c>
      <c r="F173" s="99" t="n">
        <v>0.0647499997505814</v>
      </c>
    </row>
    <row r="174" customFormat="false" ht="12.75" hidden="false" customHeight="false" outlineLevel="0" collapsed="false">
      <c r="A174" s="97" t="n">
        <v>41791</v>
      </c>
      <c r="B174" s="91" t="n">
        <f aca="false">YEAR(A174)</f>
        <v>2014</v>
      </c>
      <c r="C174" s="98" t="n">
        <f aca="false">MONTH(A174)</f>
        <v>6</v>
      </c>
      <c r="D174" s="98" t="str">
        <f aca="false">IF(C174&lt;=6,"Q2","Q4")</f>
        <v>Q2</v>
      </c>
      <c r="E174" s="0" t="str">
        <f aca="false">B174&amp;D174</f>
        <v>2014Q2</v>
      </c>
      <c r="F174" s="99" t="n">
        <v>0.0647614605014808</v>
      </c>
    </row>
    <row r="175" customFormat="false" ht="12.75" hidden="false" customHeight="false" outlineLevel="0" collapsed="false">
      <c r="A175" s="97" t="n">
        <v>41821</v>
      </c>
      <c r="B175" s="91" t="n">
        <f aca="false">YEAR(A175)</f>
        <v>2014</v>
      </c>
      <c r="C175" s="98" t="n">
        <f aca="false">MONTH(A175)</f>
        <v>7</v>
      </c>
      <c r="D175" s="98" t="str">
        <f aca="false">IF(C175&lt;=6,"Q2","Q4")</f>
        <v>Q4</v>
      </c>
      <c r="E175" s="0" t="str">
        <f aca="false">B175&amp;D175</f>
        <v>2014Q4</v>
      </c>
      <c r="F175" s="99" t="n">
        <v>0.0647725515507798</v>
      </c>
    </row>
    <row r="176" customFormat="false" ht="12.75" hidden="false" customHeight="false" outlineLevel="0" collapsed="false">
      <c r="A176" s="97" t="n">
        <v>41852</v>
      </c>
      <c r="B176" s="91" t="n">
        <f aca="false">YEAR(A176)</f>
        <v>2014</v>
      </c>
      <c r="C176" s="98" t="n">
        <f aca="false">MONTH(A176)</f>
        <v>8</v>
      </c>
      <c r="D176" s="98" t="str">
        <f aca="false">IF(C176&lt;=6,"Q2","Q4")</f>
        <v>Q4</v>
      </c>
      <c r="E176" s="0" t="str">
        <f aca="false">B176&amp;D176</f>
        <v>2014Q4</v>
      </c>
      <c r="F176" s="99" t="n">
        <v>0.0647840123017649</v>
      </c>
    </row>
    <row r="177" customFormat="false" ht="12.75" hidden="false" customHeight="false" outlineLevel="0" collapsed="false">
      <c r="A177" s="97" t="n">
        <v>41883</v>
      </c>
      <c r="B177" s="91" t="n">
        <f aca="false">YEAR(A177)</f>
        <v>2014</v>
      </c>
      <c r="C177" s="98" t="n">
        <f aca="false">MONTH(A177)</f>
        <v>9</v>
      </c>
      <c r="D177" s="98" t="str">
        <f aca="false">IF(C177&lt;=6,"Q2","Q4")</f>
        <v>Q4</v>
      </c>
      <c r="E177" s="0" t="str">
        <f aca="false">B177&amp;D177</f>
        <v>2014Q4</v>
      </c>
      <c r="F177" s="99" t="n">
        <v>0.0647954730527935</v>
      </c>
    </row>
    <row r="178" customFormat="false" ht="12.75" hidden="false" customHeight="false" outlineLevel="0" collapsed="false">
      <c r="A178" s="97" t="n">
        <v>41913</v>
      </c>
      <c r="B178" s="91" t="n">
        <f aca="false">YEAR(A178)</f>
        <v>2014</v>
      </c>
      <c r="C178" s="98" t="n">
        <f aca="false">MONTH(A178)</f>
        <v>10</v>
      </c>
      <c r="D178" s="98" t="str">
        <f aca="false">IF(C178&lt;=6,"Q2","Q4")</f>
        <v>Q4</v>
      </c>
      <c r="E178" s="0" t="str">
        <f aca="false">B178&amp;D178</f>
        <v>2014Q4</v>
      </c>
      <c r="F178" s="99" t="n">
        <v>0.0648065641022178</v>
      </c>
    </row>
    <row r="179" customFormat="false" ht="12.75" hidden="false" customHeight="false" outlineLevel="0" collapsed="false">
      <c r="A179" s="97" t="n">
        <v>41944</v>
      </c>
      <c r="B179" s="91" t="n">
        <f aca="false">YEAR(A179)</f>
        <v>2014</v>
      </c>
      <c r="C179" s="98" t="n">
        <f aca="false">MONTH(A179)</f>
        <v>11</v>
      </c>
      <c r="D179" s="98" t="str">
        <f aca="false">IF(C179&lt;=6,"Q2","Q4")</f>
        <v>Q4</v>
      </c>
      <c r="E179" s="0" t="str">
        <f aca="false">B179&amp;D179</f>
        <v>2014Q4</v>
      </c>
      <c r="F179" s="99" t="n">
        <v>0.0648180248533321</v>
      </c>
    </row>
    <row r="180" customFormat="false" ht="12.75" hidden="false" customHeight="false" outlineLevel="0" collapsed="false">
      <c r="A180" s="97" t="n">
        <v>41974</v>
      </c>
      <c r="B180" s="91" t="n">
        <f aca="false">YEAR(A180)</f>
        <v>2014</v>
      </c>
      <c r="C180" s="98" t="n">
        <f aca="false">MONTH(A180)</f>
        <v>12</v>
      </c>
      <c r="D180" s="98" t="str">
        <f aca="false">IF(C180&lt;=6,"Q2","Q4")</f>
        <v>Q4</v>
      </c>
      <c r="E180" s="0" t="str">
        <f aca="false">B180&amp;D180</f>
        <v>2014Q4</v>
      </c>
      <c r="F180" s="99" t="n">
        <v>0.0648291159028389</v>
      </c>
    </row>
    <row r="181" customFormat="false" ht="12.75" hidden="false" customHeight="false" outlineLevel="0" collapsed="false">
      <c r="A181" s="97" t="n">
        <v>42005</v>
      </c>
      <c r="B181" s="91" t="n">
        <f aca="false">YEAR(A181)</f>
        <v>2015</v>
      </c>
      <c r="C181" s="98" t="n">
        <f aca="false">MONTH(A181)</f>
        <v>1</v>
      </c>
      <c r="D181" s="98" t="str">
        <f aca="false">IF(C181&lt;=6,"Q2","Q4")</f>
        <v>Q2</v>
      </c>
      <c r="E181" s="0" t="str">
        <f aca="false">B181&amp;D181</f>
        <v>2015Q2</v>
      </c>
      <c r="F181" s="99" t="n">
        <v>0.064840576654039</v>
      </c>
    </row>
    <row r="182" customFormat="false" ht="12.75" hidden="false" customHeight="false" outlineLevel="0" collapsed="false">
      <c r="A182" s="97" t="n">
        <v>42036</v>
      </c>
      <c r="B182" s="91" t="n">
        <f aca="false">YEAR(A182)</f>
        <v>2015</v>
      </c>
      <c r="C182" s="98" t="n">
        <f aca="false">MONTH(A182)</f>
        <v>2</v>
      </c>
      <c r="D182" s="98" t="str">
        <f aca="false">IF(C182&lt;=6,"Q2","Q4")</f>
        <v>Q2</v>
      </c>
      <c r="E182" s="0" t="str">
        <f aca="false">B182&amp;D182</f>
        <v>2015Q2</v>
      </c>
      <c r="F182" s="99" t="n">
        <v>0.0648520374052826</v>
      </c>
    </row>
    <row r="183" customFormat="false" ht="12.75" hidden="false" customHeight="false" outlineLevel="0" collapsed="false">
      <c r="A183" s="97" t="n">
        <v>42064</v>
      </c>
      <c r="B183" s="91" t="n">
        <f aca="false">YEAR(A183)</f>
        <v>2015</v>
      </c>
      <c r="C183" s="98" t="n">
        <f aca="false">MONTH(A183)</f>
        <v>3</v>
      </c>
      <c r="D183" s="98" t="str">
        <f aca="false">IF(C183&lt;=6,"Q2","Q4")</f>
        <v>Q2</v>
      </c>
      <c r="E183" s="0" t="str">
        <f aca="false">B183&amp;D183</f>
        <v>2015Q2</v>
      </c>
      <c r="F183" s="99" t="n">
        <v>0.0648623890516045</v>
      </c>
    </row>
    <row r="184" customFormat="false" ht="12.75" hidden="false" customHeight="false" outlineLevel="0" collapsed="false">
      <c r="A184" s="97" t="n">
        <v>42095</v>
      </c>
      <c r="B184" s="91" t="n">
        <f aca="false">YEAR(A184)</f>
        <v>2015</v>
      </c>
      <c r="C184" s="98" t="n">
        <f aca="false">MONTH(A184)</f>
        <v>4</v>
      </c>
      <c r="D184" s="98" t="str">
        <f aca="false">IF(C184&lt;=6,"Q2","Q4")</f>
        <v>Q2</v>
      </c>
      <c r="E184" s="0" t="str">
        <f aca="false">B184&amp;D184</f>
        <v>2015Q2</v>
      </c>
      <c r="F184" s="99" t="n">
        <v>0.0648708187812348</v>
      </c>
    </row>
    <row r="185" customFormat="false" ht="12.75" hidden="false" customHeight="false" outlineLevel="0" collapsed="false">
      <c r="A185" s="97" t="n">
        <v>42125</v>
      </c>
      <c r="B185" s="91" t="n">
        <f aca="false">YEAR(A185)</f>
        <v>2015</v>
      </c>
      <c r="C185" s="98" t="n">
        <f aca="false">MONTH(A185)</f>
        <v>5</v>
      </c>
      <c r="D185" s="98" t="str">
        <f aca="false">IF(C185&lt;=6,"Q2","Q4")</f>
        <v>Q2</v>
      </c>
      <c r="E185" s="0" t="str">
        <f aca="false">B185&amp;D185</f>
        <v>2015Q2</v>
      </c>
      <c r="F185" s="99" t="n">
        <v>0.064863723700757</v>
      </c>
    </row>
    <row r="186" customFormat="false" ht="12.75" hidden="false" customHeight="false" outlineLevel="0" collapsed="false">
      <c r="A186" s="97" t="n">
        <v>42156</v>
      </c>
      <c r="B186" s="91" t="n">
        <f aca="false">YEAR(A186)</f>
        <v>2015</v>
      </c>
      <c r="C186" s="98" t="n">
        <f aca="false">MONTH(A186)</f>
        <v>6</v>
      </c>
      <c r="D186" s="98" t="str">
        <f aca="false">IF(C186&lt;=6,"Q2","Q4")</f>
        <v>Q2</v>
      </c>
      <c r="E186" s="0" t="str">
        <f aca="false">B186&amp;D186</f>
        <v>2015Q2</v>
      </c>
      <c r="F186" s="99" t="n">
        <v>0.0648563921176137</v>
      </c>
    </row>
    <row r="187" customFormat="false" ht="12.75" hidden="false" customHeight="false" outlineLevel="0" collapsed="false">
      <c r="A187" s="97" t="n">
        <v>42186</v>
      </c>
      <c r="B187" s="91" t="n">
        <f aca="false">YEAR(A187)</f>
        <v>2015</v>
      </c>
      <c r="C187" s="98" t="n">
        <f aca="false">MONTH(A187)</f>
        <v>7</v>
      </c>
      <c r="D187" s="98" t="str">
        <f aca="false">IF(C187&lt;=6,"Q2","Q4")</f>
        <v>Q4</v>
      </c>
      <c r="E187" s="0" t="str">
        <f aca="false">B187&amp;D187</f>
        <v>2015Q4</v>
      </c>
      <c r="F187" s="99" t="n">
        <v>0.0648492970371697</v>
      </c>
    </row>
    <row r="188" customFormat="false" ht="12.75" hidden="false" customHeight="false" outlineLevel="0" collapsed="false">
      <c r="A188" s="97" t="n">
        <v>42217</v>
      </c>
      <c r="B188" s="91" t="n">
        <f aca="false">YEAR(A188)</f>
        <v>2015</v>
      </c>
      <c r="C188" s="98" t="n">
        <f aca="false">MONTH(A188)</f>
        <v>8</v>
      </c>
      <c r="D188" s="98" t="str">
        <f aca="false">IF(C188&lt;=6,"Q2","Q4")</f>
        <v>Q4</v>
      </c>
      <c r="E188" s="0" t="str">
        <f aca="false">B188&amp;D188</f>
        <v>2015Q4</v>
      </c>
      <c r="F188" s="99" t="n">
        <v>0.0648419654540615</v>
      </c>
    </row>
    <row r="189" customFormat="false" ht="12.75" hidden="false" customHeight="false" outlineLevel="0" collapsed="false">
      <c r="A189" s="97" t="n">
        <v>42248</v>
      </c>
      <c r="B189" s="91" t="n">
        <f aca="false">YEAR(A189)</f>
        <v>2015</v>
      </c>
      <c r="C189" s="98" t="n">
        <f aca="false">MONTH(A189)</f>
        <v>9</v>
      </c>
      <c r="D189" s="98" t="str">
        <f aca="false">IF(C189&lt;=6,"Q2","Q4")</f>
        <v>Q4</v>
      </c>
      <c r="E189" s="0" t="str">
        <f aca="false">B189&amp;D189</f>
        <v>2015Q4</v>
      </c>
      <c r="F189" s="99" t="n">
        <v>0.0648346338709711</v>
      </c>
    </row>
    <row r="190" customFormat="false" ht="12.75" hidden="false" customHeight="false" outlineLevel="0" collapsed="false">
      <c r="A190" s="97" t="n">
        <v>42278</v>
      </c>
      <c r="B190" s="91" t="n">
        <f aca="false">YEAR(A190)</f>
        <v>2015</v>
      </c>
      <c r="C190" s="98" t="n">
        <f aca="false">MONTH(A190)</f>
        <v>10</v>
      </c>
      <c r="D190" s="98" t="str">
        <f aca="false">IF(C190&lt;=6,"Q2","Q4")</f>
        <v>Q4</v>
      </c>
      <c r="E190" s="0" t="str">
        <f aca="false">B190&amp;D190</f>
        <v>2015Q4</v>
      </c>
      <c r="F190" s="99" t="n">
        <v>0.0648275387905786</v>
      </c>
    </row>
    <row r="191" customFormat="false" ht="12.75" hidden="false" customHeight="false" outlineLevel="0" collapsed="false">
      <c r="A191" s="97" t="n">
        <v>42309</v>
      </c>
      <c r="B191" s="91" t="n">
        <f aca="false">YEAR(A191)</f>
        <v>2015</v>
      </c>
      <c r="C191" s="98" t="n">
        <f aca="false">MONTH(A191)</f>
        <v>11</v>
      </c>
      <c r="D191" s="98" t="str">
        <f aca="false">IF(C191&lt;=6,"Q2","Q4")</f>
        <v>Q4</v>
      </c>
      <c r="E191" s="0" t="str">
        <f aca="false">B191&amp;D191</f>
        <v>2015Q4</v>
      </c>
      <c r="F191" s="99" t="n">
        <v>0.0648202072075237</v>
      </c>
    </row>
    <row r="192" customFormat="false" ht="12.75" hidden="false" customHeight="false" outlineLevel="0" collapsed="false">
      <c r="A192" s="97" t="n">
        <v>42339</v>
      </c>
      <c r="B192" s="91" t="n">
        <f aca="false">YEAR(A192)</f>
        <v>2015</v>
      </c>
      <c r="C192" s="98" t="n">
        <f aca="false">MONTH(A192)</f>
        <v>12</v>
      </c>
      <c r="D192" s="98" t="str">
        <f aca="false">IF(C192&lt;=6,"Q2","Q4")</f>
        <v>Q4</v>
      </c>
      <c r="E192" s="0" t="str">
        <f aca="false">B192&amp;D192</f>
        <v>2015Q4</v>
      </c>
      <c r="F192" s="99" t="n">
        <v>0.0648131121271649</v>
      </c>
    </row>
    <row r="193" customFormat="false" ht="12.75" hidden="false" customHeight="false" outlineLevel="0" collapsed="false">
      <c r="A193" s="97" t="n">
        <v>42370</v>
      </c>
      <c r="B193" s="91" t="n">
        <f aca="false">YEAR(A193)</f>
        <v>2016</v>
      </c>
      <c r="C193" s="98" t="n">
        <f aca="false">MONTH(A193)</f>
        <v>1</v>
      </c>
      <c r="D193" s="98" t="str">
        <f aca="false">IF(C193&lt;=6,"Q2","Q4")</f>
        <v>Q2</v>
      </c>
      <c r="E193" s="0" t="str">
        <f aca="false">B193&amp;D193</f>
        <v>2016Q2</v>
      </c>
      <c r="F193" s="99" t="n">
        <v>0.0648057805441447</v>
      </c>
    </row>
    <row r="194" customFormat="false" ht="12.75" hidden="false" customHeight="false" outlineLevel="0" collapsed="false">
      <c r="A194" s="97" t="n">
        <v>42401</v>
      </c>
      <c r="B194" s="91" t="n">
        <f aca="false">YEAR(A194)</f>
        <v>2016</v>
      </c>
      <c r="C194" s="98" t="n">
        <f aca="false">MONTH(A194)</f>
        <v>2</v>
      </c>
      <c r="D194" s="98" t="str">
        <f aca="false">IF(C194&lt;=6,"Q2","Q4")</f>
        <v>Q2</v>
      </c>
      <c r="E194" s="0" t="str">
        <f aca="false">B194&amp;D194</f>
        <v>2016Q2</v>
      </c>
      <c r="F194" s="99" t="n">
        <v>0.0647984489611422</v>
      </c>
    </row>
    <row r="195" customFormat="false" ht="12.75" hidden="false" customHeight="false" outlineLevel="0" collapsed="false">
      <c r="A195" s="97" t="n">
        <v>42430</v>
      </c>
      <c r="B195" s="91" t="n">
        <f aca="false">YEAR(A195)</f>
        <v>2016</v>
      </c>
      <c r="C195" s="98" t="n">
        <f aca="false">MONTH(A195)</f>
        <v>3</v>
      </c>
      <c r="D195" s="98" t="str">
        <f aca="false">IF(C195&lt;=6,"Q2","Q4")</f>
        <v>Q2</v>
      </c>
      <c r="E195" s="0" t="str">
        <f aca="false">B195&amp;D195</f>
        <v>2016Q2</v>
      </c>
      <c r="F195" s="99" t="n">
        <v>0.064791590383511</v>
      </c>
    </row>
    <row r="196" customFormat="false" ht="12.75" hidden="false" customHeight="false" outlineLevel="0" collapsed="false">
      <c r="A196" s="97" t="n">
        <v>42461</v>
      </c>
      <c r="B196" s="91" t="n">
        <f aca="false">YEAR(A196)</f>
        <v>2016</v>
      </c>
      <c r="C196" s="98" t="n">
        <f aca="false">MONTH(A196)</f>
        <v>4</v>
      </c>
      <c r="D196" s="98" t="str">
        <f aca="false">IF(C196&lt;=6,"Q2","Q4")</f>
        <v>Q2</v>
      </c>
      <c r="E196" s="0" t="str">
        <f aca="false">B196&amp;D196</f>
        <v>2016Q2</v>
      </c>
      <c r="F196" s="99" t="n">
        <v>0.0647842588005432</v>
      </c>
    </row>
    <row r="197" customFormat="false" ht="12.75" hidden="false" customHeight="false" outlineLevel="0" collapsed="false">
      <c r="A197" s="97" t="n">
        <v>42491</v>
      </c>
      <c r="B197" s="91" t="n">
        <f aca="false">YEAR(A197)</f>
        <v>2016</v>
      </c>
      <c r="C197" s="98" t="n">
        <f aca="false">MONTH(A197)</f>
        <v>5</v>
      </c>
      <c r="D197" s="98" t="str">
        <f aca="false">IF(C197&lt;=6,"Q2","Q4")</f>
        <v>Q2</v>
      </c>
      <c r="E197" s="0" t="str">
        <f aca="false">B197&amp;D197</f>
        <v>2016Q2</v>
      </c>
      <c r="F197" s="99" t="n">
        <v>0.0647771637202688</v>
      </c>
    </row>
    <row r="198" customFormat="false" ht="12.75" hidden="false" customHeight="false" outlineLevel="0" collapsed="false">
      <c r="A198" s="97" t="n">
        <v>42522</v>
      </c>
      <c r="B198" s="91" t="n">
        <f aca="false">YEAR(A198)</f>
        <v>2016</v>
      </c>
      <c r="C198" s="98" t="n">
        <f aca="false">MONTH(A198)</f>
        <v>6</v>
      </c>
      <c r="D198" s="98" t="str">
        <f aca="false">IF(C198&lt;=6,"Q2","Q4")</f>
        <v>Q2</v>
      </c>
      <c r="E198" s="0" t="str">
        <f aca="false">B198&amp;D198</f>
        <v>2016Q2</v>
      </c>
      <c r="F198" s="99" t="n">
        <v>0.064769832137336</v>
      </c>
    </row>
    <row r="199" customFormat="false" ht="12.75" hidden="false" customHeight="false" outlineLevel="0" collapsed="false">
      <c r="A199" s="97" t="n">
        <v>42552</v>
      </c>
      <c r="B199" s="91" t="n">
        <f aca="false">YEAR(A199)</f>
        <v>2016</v>
      </c>
      <c r="C199" s="98" t="n">
        <f aca="false">MONTH(A199)</f>
        <v>7</v>
      </c>
      <c r="D199" s="98" t="str">
        <f aca="false">IF(C199&lt;=6,"Q2","Q4")</f>
        <v>Q4</v>
      </c>
      <c r="E199" s="0" t="str">
        <f aca="false">B199&amp;D199</f>
        <v>2016Q4</v>
      </c>
      <c r="F199" s="99" t="n">
        <v>0.0647627370570958</v>
      </c>
    </row>
    <row r="200" customFormat="false" ht="12.75" hidden="false" customHeight="false" outlineLevel="0" collapsed="false">
      <c r="A200" s="97" t="n">
        <v>42583</v>
      </c>
      <c r="B200" s="91" t="n">
        <f aca="false">YEAR(A200)</f>
        <v>2016</v>
      </c>
      <c r="C200" s="98" t="n">
        <f aca="false">MONTH(A200)</f>
        <v>8</v>
      </c>
      <c r="D200" s="98" t="str">
        <f aca="false">IF(C200&lt;=6,"Q2","Q4")</f>
        <v>Q4</v>
      </c>
      <c r="E200" s="0" t="str">
        <f aca="false">B200&amp;D200</f>
        <v>2016Q4</v>
      </c>
      <c r="F200" s="99" t="n">
        <v>0.0647554054741981</v>
      </c>
    </row>
    <row r="201" customFormat="false" ht="12.75" hidden="false" customHeight="false" outlineLevel="0" collapsed="false">
      <c r="A201" s="97" t="n">
        <v>42614</v>
      </c>
      <c r="B201" s="91" t="n">
        <f aca="false">YEAR(A201)</f>
        <v>2016</v>
      </c>
      <c r="C201" s="98" t="n">
        <f aca="false">MONTH(A201)</f>
        <v>9</v>
      </c>
      <c r="D201" s="98" t="str">
        <f aca="false">IF(C201&lt;=6,"Q2","Q4")</f>
        <v>Q4</v>
      </c>
      <c r="E201" s="0" t="str">
        <f aca="false">B201&amp;D201</f>
        <v>2016Q4</v>
      </c>
      <c r="F201" s="99" t="n">
        <v>0.0647480738913187</v>
      </c>
    </row>
    <row r="202" customFormat="false" ht="12.75" hidden="false" customHeight="false" outlineLevel="0" collapsed="false">
      <c r="A202" s="97" t="n">
        <v>42644</v>
      </c>
      <c r="B202" s="91" t="n">
        <f aca="false">YEAR(A202)</f>
        <v>2016</v>
      </c>
      <c r="C202" s="98" t="n">
        <f aca="false">MONTH(A202)</f>
        <v>10</v>
      </c>
      <c r="D202" s="98" t="str">
        <f aca="false">IF(C202&lt;=6,"Q2","Q4")</f>
        <v>Q4</v>
      </c>
      <c r="E202" s="0" t="str">
        <f aca="false">B202&amp;D202</f>
        <v>2016Q4</v>
      </c>
      <c r="F202" s="99" t="n">
        <v>0.0647409788111291</v>
      </c>
    </row>
    <row r="203" customFormat="false" ht="12.75" hidden="false" customHeight="false" outlineLevel="0" collapsed="false">
      <c r="A203" s="97" t="n">
        <v>42675</v>
      </c>
      <c r="B203" s="91" t="n">
        <f aca="false">YEAR(A203)</f>
        <v>2016</v>
      </c>
      <c r="C203" s="98" t="n">
        <f aca="false">MONTH(A203)</f>
        <v>11</v>
      </c>
      <c r="D203" s="98" t="str">
        <f aca="false">IF(C203&lt;=6,"Q2","Q4")</f>
        <v>Q4</v>
      </c>
      <c r="E203" s="0" t="str">
        <f aca="false">B203&amp;D203</f>
        <v>2016Q4</v>
      </c>
      <c r="F203" s="99" t="n">
        <v>0.0647336472282842</v>
      </c>
    </row>
    <row r="204" customFormat="false" ht="12.75" hidden="false" customHeight="false" outlineLevel="0" collapsed="false">
      <c r="A204" s="97" t="n">
        <v>42705</v>
      </c>
      <c r="B204" s="91" t="n">
        <f aca="false">YEAR(A204)</f>
        <v>2016</v>
      </c>
      <c r="C204" s="98" t="n">
        <f aca="false">MONTH(A204)</f>
        <v>12</v>
      </c>
      <c r="D204" s="98" t="str">
        <f aca="false">IF(C204&lt;=6,"Q2","Q4")</f>
        <v>Q4</v>
      </c>
      <c r="E204" s="0" t="str">
        <f aca="false">B204&amp;D204</f>
        <v>2016Q4</v>
      </c>
      <c r="F204" s="99" t="n">
        <v>0.0647265521481288</v>
      </c>
    </row>
    <row r="205" customFormat="false" ht="12.75" hidden="false" customHeight="false" outlineLevel="0" collapsed="false">
      <c r="A205" s="97" t="n">
        <v>42736</v>
      </c>
      <c r="B205" s="91" t="n">
        <f aca="false">YEAR(A205)</f>
        <v>2017</v>
      </c>
      <c r="C205" s="98" t="n">
        <f aca="false">MONTH(A205)</f>
        <v>1</v>
      </c>
      <c r="D205" s="98" t="str">
        <f aca="false">IF(C205&lt;=6,"Q2","Q4")</f>
        <v>Q2</v>
      </c>
      <c r="E205" s="0" t="str">
        <f aca="false">B205&amp;D205</f>
        <v>2017Q2</v>
      </c>
      <c r="F205" s="99" t="n">
        <v>0.0647192205653191</v>
      </c>
    </row>
    <row r="206" customFormat="false" ht="12.75" hidden="false" customHeight="false" outlineLevel="0" collapsed="false">
      <c r="A206" s="97" t="n">
        <v>42767</v>
      </c>
      <c r="B206" s="91" t="n">
        <f aca="false">YEAR(A206)</f>
        <v>2017</v>
      </c>
      <c r="C206" s="98" t="n">
        <f aca="false">MONTH(A206)</f>
        <v>2</v>
      </c>
      <c r="D206" s="98" t="str">
        <f aca="false">IF(C206&lt;=6,"Q2","Q4")</f>
        <v>Q2</v>
      </c>
      <c r="E206" s="0" t="str">
        <f aca="false">B206&amp;D206</f>
        <v>2017Q2</v>
      </c>
      <c r="F206" s="99" t="n">
        <v>0.0647118889825271</v>
      </c>
    </row>
    <row r="207" customFormat="false" ht="12.75" hidden="false" customHeight="false" outlineLevel="0" collapsed="false">
      <c r="A207" s="97" t="n">
        <v>42795</v>
      </c>
      <c r="B207" s="91" t="n">
        <f aca="false">YEAR(A207)</f>
        <v>2017</v>
      </c>
      <c r="C207" s="98" t="n">
        <f aca="false">MONTH(A207)</f>
        <v>3</v>
      </c>
      <c r="D207" s="98" t="str">
        <f aca="false">IF(C207&lt;=6,"Q2","Q4")</f>
        <v>Q2</v>
      </c>
      <c r="E207" s="0" t="str">
        <f aca="false">B207&amp;D207</f>
        <v>2017Q2</v>
      </c>
      <c r="F207" s="99" t="n">
        <v>0.064705266907763</v>
      </c>
    </row>
    <row r="208" customFormat="false" ht="12.75" hidden="false" customHeight="false" outlineLevel="0" collapsed="false">
      <c r="A208" s="97" t="n">
        <v>42826</v>
      </c>
      <c r="B208" s="91" t="n">
        <f aca="false">YEAR(A208)</f>
        <v>2017</v>
      </c>
      <c r="C208" s="98" t="n">
        <f aca="false">MONTH(A208)</f>
        <v>4</v>
      </c>
      <c r="D208" s="98" t="str">
        <f aca="false">IF(C208&lt;=6,"Q2","Q4")</f>
        <v>Q2</v>
      </c>
      <c r="E208" s="0" t="str">
        <f aca="false">B208&amp;D208</f>
        <v>2017Q2</v>
      </c>
      <c r="F208" s="99" t="n">
        <v>0.0646979353250048</v>
      </c>
    </row>
    <row r="209" customFormat="false" ht="12.75" hidden="false" customHeight="false" outlineLevel="0" collapsed="false">
      <c r="A209" s="97" t="n">
        <v>42856</v>
      </c>
      <c r="B209" s="91" t="n">
        <f aca="false">YEAR(A209)</f>
        <v>2017</v>
      </c>
      <c r="C209" s="98" t="n">
        <f aca="false">MONTH(A209)</f>
        <v>5</v>
      </c>
      <c r="D209" s="98" t="str">
        <f aca="false">IF(C209&lt;=6,"Q2","Q4")</f>
        <v>Q2</v>
      </c>
      <c r="E209" s="0" t="str">
        <f aca="false">B209&amp;D209</f>
        <v>2017Q2</v>
      </c>
      <c r="F209" s="99" t="n">
        <v>0.0646908402449338</v>
      </c>
    </row>
    <row r="210" customFormat="false" ht="12.75" hidden="false" customHeight="false" outlineLevel="0" collapsed="false">
      <c r="A210" s="97" t="n">
        <v>42887</v>
      </c>
      <c r="B210" s="91" t="n">
        <f aca="false">YEAR(A210)</f>
        <v>2017</v>
      </c>
      <c r="C210" s="98" t="n">
        <f aca="false">MONTH(A210)</f>
        <v>6</v>
      </c>
      <c r="D210" s="98" t="str">
        <f aca="false">IF(C210&lt;=6,"Q2","Q4")</f>
        <v>Q2</v>
      </c>
      <c r="E210" s="0" t="str">
        <f aca="false">B210&amp;D210</f>
        <v>2017Q2</v>
      </c>
      <c r="F210" s="99" t="n">
        <v>0.0646835086622106</v>
      </c>
    </row>
    <row r="211" customFormat="false" ht="12.75" hidden="false" customHeight="false" outlineLevel="0" collapsed="false">
      <c r="A211" s="97" t="n">
        <v>42917</v>
      </c>
      <c r="B211" s="91" t="n">
        <f aca="false">YEAR(A211)</f>
        <v>2017</v>
      </c>
      <c r="C211" s="98" t="n">
        <f aca="false">MONTH(A211)</f>
        <v>7</v>
      </c>
      <c r="D211" s="98" t="str">
        <f aca="false">IF(C211&lt;=6,"Q2","Q4")</f>
        <v>Q4</v>
      </c>
      <c r="E211" s="0" t="str">
        <f aca="false">B211&amp;D211</f>
        <v>2017Q4</v>
      </c>
      <c r="F211" s="99" t="n">
        <v>0.0646764135821734</v>
      </c>
    </row>
    <row r="212" customFormat="false" ht="12.75" hidden="false" customHeight="false" outlineLevel="0" collapsed="false">
      <c r="A212" s="97" t="n">
        <v>42948</v>
      </c>
      <c r="B212" s="91" t="n">
        <f aca="false">YEAR(A212)</f>
        <v>2017</v>
      </c>
      <c r="C212" s="98" t="n">
        <f aca="false">MONTH(A212)</f>
        <v>8</v>
      </c>
      <c r="D212" s="98" t="str">
        <f aca="false">IF(C212&lt;=6,"Q2","Q4")</f>
        <v>Q4</v>
      </c>
      <c r="E212" s="0" t="str">
        <f aca="false">B212&amp;D212</f>
        <v>2017Q4</v>
      </c>
      <c r="F212" s="99" t="n">
        <v>0.0646690819994853</v>
      </c>
    </row>
    <row r="213" customFormat="false" ht="12.75" hidden="false" customHeight="false" outlineLevel="0" collapsed="false">
      <c r="A213" s="97" t="n">
        <v>42979</v>
      </c>
      <c r="B213" s="91" t="n">
        <f aca="false">YEAR(A213)</f>
        <v>2017</v>
      </c>
      <c r="C213" s="98" t="n">
        <f aca="false">MONTH(A213)</f>
        <v>9</v>
      </c>
      <c r="D213" s="98" t="str">
        <f aca="false">IF(C213&lt;=6,"Q2","Q4")</f>
        <v>Q4</v>
      </c>
      <c r="E213" s="0" t="str">
        <f aca="false">B213&amp;D213</f>
        <v>2017Q4</v>
      </c>
      <c r="F213" s="99" t="n">
        <v>0.0646617504168154</v>
      </c>
    </row>
    <row r="214" customFormat="false" ht="12.75" hidden="false" customHeight="false" outlineLevel="0" collapsed="false">
      <c r="A214" s="97" t="n">
        <v>43009</v>
      </c>
      <c r="B214" s="91" t="n">
        <f aca="false">YEAR(A214)</f>
        <v>2017</v>
      </c>
      <c r="C214" s="98" t="n">
        <f aca="false">MONTH(A214)</f>
        <v>10</v>
      </c>
      <c r="D214" s="98" t="str">
        <f aca="false">IF(C214&lt;=6,"Q2","Q4")</f>
        <v>Q4</v>
      </c>
      <c r="E214" s="0" t="str">
        <f aca="false">B214&amp;D214</f>
        <v>2017Q4</v>
      </c>
      <c r="F214" s="99" t="n">
        <v>0.0646546553368288</v>
      </c>
    </row>
    <row r="215" customFormat="false" ht="12.75" hidden="false" customHeight="false" outlineLevel="0" collapsed="false">
      <c r="A215" s="97" t="n">
        <v>43040</v>
      </c>
      <c r="B215" s="91" t="n">
        <f aca="false">YEAR(A215)</f>
        <v>2017</v>
      </c>
      <c r="C215" s="98" t="n">
        <f aca="false">MONTH(A215)</f>
        <v>11</v>
      </c>
      <c r="D215" s="98" t="str">
        <f aca="false">IF(C215&lt;=6,"Q2","Q4")</f>
        <v>Q4</v>
      </c>
      <c r="E215" s="0" t="str">
        <f aca="false">B215&amp;D215</f>
        <v>2017Q4</v>
      </c>
      <c r="F215" s="99" t="n">
        <v>0.0646473237541945</v>
      </c>
    </row>
    <row r="216" customFormat="false" ht="12.75" hidden="false" customHeight="false" outlineLevel="0" collapsed="false">
      <c r="A216" s="97" t="n">
        <v>43070</v>
      </c>
      <c r="B216" s="91" t="n">
        <f aca="false">YEAR(A216)</f>
        <v>2017</v>
      </c>
      <c r="C216" s="98" t="n">
        <f aca="false">MONTH(A216)</f>
        <v>12</v>
      </c>
      <c r="D216" s="98" t="str">
        <f aca="false">IF(C216&lt;=6,"Q2","Q4")</f>
        <v>Q4</v>
      </c>
      <c r="E216" s="0" t="str">
        <f aca="false">B216&amp;D216</f>
        <v>2017Q4</v>
      </c>
      <c r="F216" s="99" t="n">
        <v>0.064640228674242</v>
      </c>
    </row>
    <row r="217" customFormat="false" ht="12.75" hidden="false" customHeight="false" outlineLevel="0" collapsed="false">
      <c r="A217" s="97" t="n">
        <v>43101</v>
      </c>
      <c r="B217" s="91" t="n">
        <f aca="false">YEAR(A217)</f>
        <v>2018</v>
      </c>
      <c r="C217" s="98" t="n">
        <f aca="false">MONTH(A217)</f>
        <v>1</v>
      </c>
      <c r="D217" s="98" t="str">
        <f aca="false">IF(C217&lt;=6,"Q2","Q4")</f>
        <v>Q2</v>
      </c>
      <c r="E217" s="0" t="str">
        <f aca="false">B217&amp;D217</f>
        <v>2018Q2</v>
      </c>
      <c r="F217" s="99" t="n">
        <v>0.0646328970916419</v>
      </c>
    </row>
    <row r="218" customFormat="false" ht="12.75" hidden="false" customHeight="false" outlineLevel="0" collapsed="false">
      <c r="A218" s="97" t="n">
        <v>43132</v>
      </c>
      <c r="B218" s="91" t="n">
        <f aca="false">YEAR(A218)</f>
        <v>2018</v>
      </c>
      <c r="C218" s="98" t="n">
        <f aca="false">MONTH(A218)</f>
        <v>2</v>
      </c>
      <c r="D218" s="98" t="str">
        <f aca="false">IF(C218&lt;=6,"Q2","Q4")</f>
        <v>Q2</v>
      </c>
      <c r="E218" s="0" t="str">
        <f aca="false">B218&amp;D218</f>
        <v>2018Q2</v>
      </c>
      <c r="F218" s="99" t="n">
        <v>0.06462556550906</v>
      </c>
    </row>
    <row r="219" customFormat="false" ht="12.75" hidden="false" customHeight="false" outlineLevel="0" collapsed="false">
      <c r="A219" s="97" t="n">
        <v>43160</v>
      </c>
      <c r="B219" s="91" t="n">
        <f aca="false">YEAR(A219)</f>
        <v>2018</v>
      </c>
      <c r="C219" s="98" t="n">
        <f aca="false">MONTH(A219)</f>
        <v>3</v>
      </c>
      <c r="D219" s="98" t="str">
        <f aca="false">IF(C219&lt;=6,"Q2","Q4")</f>
        <v>Q2</v>
      </c>
      <c r="E219" s="0" t="str">
        <f aca="false">B219&amp;D219</f>
        <v>2018Q2</v>
      </c>
      <c r="F219" s="99" t="n">
        <v>0.0646189434344846</v>
      </c>
    </row>
    <row r="220" customFormat="false" ht="12.75" hidden="false" customHeight="false" outlineLevel="0" collapsed="false">
      <c r="A220" s="97" t="n">
        <v>43191</v>
      </c>
      <c r="B220" s="91" t="n">
        <f aca="false">YEAR(A220)</f>
        <v>2018</v>
      </c>
      <c r="C220" s="98" t="n">
        <f aca="false">MONTH(A220)</f>
        <v>4</v>
      </c>
      <c r="D220" s="98" t="str">
        <f aca="false">IF(C220&lt;=6,"Q2","Q4")</f>
        <v>Q2</v>
      </c>
      <c r="E220" s="0" t="str">
        <f aca="false">B220&amp;D220</f>
        <v>2018Q2</v>
      </c>
      <c r="F220" s="99" t="n">
        <v>0.0646116118519369</v>
      </c>
    </row>
    <row r="221" customFormat="false" ht="12.75" hidden="false" customHeight="false" outlineLevel="0" collapsed="false">
      <c r="A221" s="97" t="n">
        <v>43221</v>
      </c>
      <c r="B221" s="91" t="n">
        <f aca="false">YEAR(A221)</f>
        <v>2018</v>
      </c>
      <c r="C221" s="98" t="n">
        <f aca="false">MONTH(A221)</f>
        <v>5</v>
      </c>
      <c r="D221" s="98" t="str">
        <f aca="false">IF(C221&lt;=6,"Q2","Q4")</f>
        <v>Q2</v>
      </c>
      <c r="E221" s="0" t="str">
        <f aca="false">B221&amp;D221</f>
        <v>2018Q2</v>
      </c>
      <c r="F221" s="99" t="n">
        <v>0.0646045167720688</v>
      </c>
    </row>
    <row r="222" customFormat="false" ht="12.75" hidden="false" customHeight="false" outlineLevel="0" collapsed="false">
      <c r="A222" s="97" t="n">
        <v>43252</v>
      </c>
      <c r="B222" s="91" t="n">
        <f aca="false">YEAR(A222)</f>
        <v>2018</v>
      </c>
      <c r="C222" s="98" t="n">
        <f aca="false">MONTH(A222)</f>
        <v>6</v>
      </c>
      <c r="D222" s="98" t="str">
        <f aca="false">IF(C222&lt;=6,"Q2","Q4")</f>
        <v>Q2</v>
      </c>
      <c r="E222" s="0" t="str">
        <f aca="false">B222&amp;D222</f>
        <v>2018Q2</v>
      </c>
      <c r="F222" s="99" t="n">
        <v>0.0645971851895557</v>
      </c>
    </row>
    <row r="223" customFormat="false" ht="12.75" hidden="false" customHeight="false" outlineLevel="0" collapsed="false">
      <c r="A223" s="97" t="n">
        <v>43282</v>
      </c>
      <c r="B223" s="91" t="n">
        <f aca="false">YEAR(A223)</f>
        <v>2018</v>
      </c>
      <c r="C223" s="98" t="n">
        <f aca="false">MONTH(A223)</f>
        <v>7</v>
      </c>
      <c r="D223" s="98" t="str">
        <f aca="false">IF(C223&lt;=6,"Q2","Q4")</f>
        <v>Q4</v>
      </c>
      <c r="E223" s="0" t="str">
        <f aca="false">B223&amp;D223</f>
        <v>2018Q4</v>
      </c>
      <c r="F223" s="99" t="n">
        <v>0.0645900901097209</v>
      </c>
    </row>
    <row r="224" customFormat="false" ht="12.75" hidden="false" customHeight="false" outlineLevel="0" collapsed="false">
      <c r="A224" s="97" t="n">
        <v>43313</v>
      </c>
      <c r="B224" s="91" t="n">
        <f aca="false">YEAR(A224)</f>
        <v>2018</v>
      </c>
      <c r="C224" s="98" t="n">
        <f aca="false">MONTH(A224)</f>
        <v>8</v>
      </c>
      <c r="D224" s="98" t="str">
        <f aca="false">IF(C224&lt;=6,"Q2","Q4")</f>
        <v>Q4</v>
      </c>
      <c r="E224" s="0" t="str">
        <f aca="false">B224&amp;D224</f>
        <v>2018Q4</v>
      </c>
      <c r="F224" s="99" t="n">
        <v>0.0645827585272429</v>
      </c>
    </row>
    <row r="225" customFormat="false" ht="12.75" hidden="false" customHeight="false" outlineLevel="0" collapsed="false">
      <c r="A225" s="97" t="n">
        <v>43344</v>
      </c>
      <c r="B225" s="91" t="n">
        <f aca="false">YEAR(A225)</f>
        <v>2018</v>
      </c>
      <c r="C225" s="98" t="n">
        <f aca="false">MONTH(A225)</f>
        <v>9</v>
      </c>
      <c r="D225" s="98" t="str">
        <f aca="false">IF(C225&lt;=6,"Q2","Q4")</f>
        <v>Q4</v>
      </c>
      <c r="E225" s="0" t="str">
        <f aca="false">B225&amp;D225</f>
        <v>2018Q4</v>
      </c>
      <c r="F225" s="99" t="n">
        <v>0.0645754269447827</v>
      </c>
    </row>
    <row r="226" customFormat="false" ht="12.75" hidden="false" customHeight="false" outlineLevel="0" collapsed="false">
      <c r="A226" s="97" t="n">
        <v>43374</v>
      </c>
      <c r="B226" s="91" t="n">
        <f aca="false">YEAR(A226)</f>
        <v>2018</v>
      </c>
      <c r="C226" s="98" t="n">
        <f aca="false">MONTH(A226)</f>
        <v>10</v>
      </c>
      <c r="D226" s="98" t="str">
        <f aca="false">IF(C226&lt;=6,"Q2","Q4")</f>
        <v>Q4</v>
      </c>
      <c r="E226" s="0" t="str">
        <f aca="false">B226&amp;D226</f>
        <v>2018Q4</v>
      </c>
      <c r="F226" s="99" t="n">
        <v>0.0645683318649994</v>
      </c>
    </row>
    <row r="227" customFormat="false" ht="12.75" hidden="false" customHeight="false" outlineLevel="0" collapsed="false">
      <c r="A227" s="97" t="n">
        <v>43405</v>
      </c>
      <c r="B227" s="91" t="n">
        <f aca="false">YEAR(A227)</f>
        <v>2018</v>
      </c>
      <c r="C227" s="98" t="n">
        <f aca="false">MONTH(A227)</f>
        <v>11</v>
      </c>
      <c r="D227" s="98" t="str">
        <f aca="false">IF(C227&lt;=6,"Q2","Q4")</f>
        <v>Q4</v>
      </c>
      <c r="E227" s="0" t="str">
        <f aca="false">B227&amp;D227</f>
        <v>2018Q4</v>
      </c>
      <c r="F227" s="99" t="n">
        <v>0.0645610002825747</v>
      </c>
    </row>
    <row r="228" customFormat="false" ht="12.75" hidden="false" customHeight="false" outlineLevel="0" collapsed="false">
      <c r="A228" s="97" t="n">
        <v>43435</v>
      </c>
      <c r="B228" s="91" t="n">
        <f aca="false">YEAR(A228)</f>
        <v>2018</v>
      </c>
      <c r="C228" s="98" t="n">
        <f aca="false">MONTH(A228)</f>
        <v>12</v>
      </c>
      <c r="D228" s="98" t="str">
        <f aca="false">IF(C228&lt;=6,"Q2","Q4")</f>
        <v>Q4</v>
      </c>
      <c r="E228" s="0" t="str">
        <f aca="false">B228&amp;D228</f>
        <v>2018Q4</v>
      </c>
      <c r="F228" s="99" t="n">
        <v>0.0645539052028257</v>
      </c>
    </row>
    <row r="229" customFormat="false" ht="12.75" hidden="false" customHeight="false" outlineLevel="0" collapsed="false">
      <c r="A229" s="97" t="n">
        <v>43466</v>
      </c>
      <c r="B229" s="91" t="n">
        <f aca="false">YEAR(A229)</f>
        <v>2019</v>
      </c>
      <c r="C229" s="98" t="n">
        <f aca="false">MONTH(A229)</f>
        <v>1</v>
      </c>
      <c r="D229" s="98" t="str">
        <f aca="false">IF(C229&lt;=6,"Q2","Q4")</f>
        <v>Q2</v>
      </c>
      <c r="E229" s="0" t="str">
        <f aca="false">B229&amp;D229</f>
        <v>2019Q2</v>
      </c>
      <c r="F229" s="99" t="n">
        <v>0.0645465736204351</v>
      </c>
    </row>
    <row r="230" customFormat="false" ht="12.75" hidden="false" customHeight="false" outlineLevel="0" collapsed="false">
      <c r="A230" s="97" t="n">
        <v>43497</v>
      </c>
      <c r="B230" s="91" t="n">
        <f aca="false">YEAR(A230)</f>
        <v>2019</v>
      </c>
      <c r="C230" s="98" t="n">
        <f aca="false">MONTH(A230)</f>
        <v>2</v>
      </c>
      <c r="D230" s="98" t="str">
        <f aca="false">IF(C230&lt;=6,"Q2","Q4")</f>
        <v>Q2</v>
      </c>
      <c r="E230" s="0" t="str">
        <f aca="false">B230&amp;D230</f>
        <v>2019Q2</v>
      </c>
      <c r="F230" s="99" t="n">
        <v>0.0645392420380628</v>
      </c>
    </row>
    <row r="231" customFormat="false" ht="12.75" hidden="false" customHeight="false" outlineLevel="0" collapsed="false">
      <c r="A231" s="97" t="n">
        <v>43525</v>
      </c>
      <c r="B231" s="91" t="n">
        <f aca="false">YEAR(A231)</f>
        <v>2019</v>
      </c>
      <c r="C231" s="98" t="n">
        <f aca="false">MONTH(A231)</f>
        <v>3</v>
      </c>
      <c r="D231" s="98" t="str">
        <f aca="false">IF(C231&lt;=6,"Q2","Q4")</f>
        <v>Q2</v>
      </c>
      <c r="E231" s="0" t="str">
        <f aca="false">B231&amp;D231</f>
        <v>2019Q2</v>
      </c>
      <c r="F231" s="99" t="n">
        <v>0.0645326199636775</v>
      </c>
    </row>
    <row r="232" customFormat="false" ht="12.75" hidden="false" customHeight="false" outlineLevel="0" collapsed="false">
      <c r="A232" s="97" t="n">
        <v>43556</v>
      </c>
      <c r="B232" s="91" t="n">
        <f aca="false">YEAR(A232)</f>
        <v>2019</v>
      </c>
      <c r="C232" s="98" t="n">
        <f aca="false">MONTH(A232)</f>
        <v>4</v>
      </c>
      <c r="D232" s="98" t="str">
        <f aca="false">IF(C232&lt;=6,"Q2","Q4")</f>
        <v>Q2</v>
      </c>
      <c r="E232" s="0" t="str">
        <f aca="false">B232&amp;D232</f>
        <v>2019Q2</v>
      </c>
      <c r="F232" s="99" t="n">
        <v>0.0645252883813394</v>
      </c>
    </row>
    <row r="233" customFormat="false" ht="12.75" hidden="false" customHeight="false" outlineLevel="0" collapsed="false">
      <c r="A233" s="97" t="n">
        <v>43586</v>
      </c>
      <c r="B233" s="91" t="n">
        <f aca="false">YEAR(A233)</f>
        <v>2019</v>
      </c>
      <c r="C233" s="98" t="n">
        <f aca="false">MONTH(A233)</f>
        <v>5</v>
      </c>
      <c r="D233" s="98" t="str">
        <f aca="false">IF(C233&lt;=6,"Q2","Q4")</f>
        <v>Q2</v>
      </c>
      <c r="E233" s="0" t="str">
        <f aca="false">B233&amp;D233</f>
        <v>2019Q2</v>
      </c>
      <c r="F233" s="99" t="n">
        <v>0.0645181933016743</v>
      </c>
    </row>
    <row r="234" customFormat="false" ht="12.75" hidden="false" customHeight="false" outlineLevel="0" collapsed="false">
      <c r="A234" s="97" t="n">
        <v>43617</v>
      </c>
      <c r="B234" s="91" t="n">
        <f aca="false">YEAR(A234)</f>
        <v>2019</v>
      </c>
      <c r="C234" s="98" t="n">
        <f aca="false">MONTH(A234)</f>
        <v>6</v>
      </c>
      <c r="D234" s="98" t="str">
        <f aca="false">IF(C234&lt;=6,"Q2","Q4")</f>
        <v>Q2</v>
      </c>
      <c r="E234" s="0" t="str">
        <f aca="false">B234&amp;D234</f>
        <v>2019Q2</v>
      </c>
      <c r="F234" s="99" t="n">
        <v>0.0645108617193708</v>
      </c>
    </row>
    <row r="235" customFormat="false" ht="12.75" hidden="false" customHeight="false" outlineLevel="0" collapsed="false">
      <c r="A235" s="97" t="n">
        <v>43647</v>
      </c>
      <c r="B235" s="91" t="n">
        <f aca="false">YEAR(A235)</f>
        <v>2019</v>
      </c>
      <c r="C235" s="98" t="n">
        <f aca="false">MONTH(A235)</f>
        <v>7</v>
      </c>
      <c r="D235" s="98" t="str">
        <f aca="false">IF(C235&lt;=6,"Q2","Q4")</f>
        <v>Q4</v>
      </c>
      <c r="E235" s="0" t="str">
        <f aca="false">B235&amp;D235</f>
        <v>2019Q4</v>
      </c>
      <c r="F235" s="99" t="n">
        <v>0.0645037666397395</v>
      </c>
    </row>
    <row r="236" customFormat="false" ht="12.75" hidden="false" customHeight="false" outlineLevel="0" collapsed="false">
      <c r="A236" s="97" t="n">
        <v>43678</v>
      </c>
      <c r="B236" s="91" t="n">
        <f aca="false">YEAR(A236)</f>
        <v>2019</v>
      </c>
      <c r="C236" s="98" t="n">
        <f aca="false">MONTH(A236)</f>
        <v>8</v>
      </c>
      <c r="D236" s="98" t="str">
        <f aca="false">IF(C236&lt;=6,"Q2","Q4")</f>
        <v>Q4</v>
      </c>
      <c r="E236" s="0" t="str">
        <f aca="false">B236&amp;D236</f>
        <v>2019Q4</v>
      </c>
      <c r="F236" s="99" t="n">
        <v>0.0644964350574711</v>
      </c>
    </row>
    <row r="237" customFormat="false" ht="12.75" hidden="false" customHeight="false" outlineLevel="0" collapsed="false">
      <c r="A237" s="97" t="n">
        <v>43709</v>
      </c>
      <c r="B237" s="91" t="n">
        <f aca="false">YEAR(A237)</f>
        <v>2019</v>
      </c>
      <c r="C237" s="98" t="n">
        <f aca="false">MONTH(A237)</f>
        <v>9</v>
      </c>
      <c r="D237" s="98" t="str">
        <f aca="false">IF(C237&lt;=6,"Q2","Q4")</f>
        <v>Q4</v>
      </c>
      <c r="E237" s="0" t="str">
        <f aca="false">B237&amp;D237</f>
        <v>2019Q4</v>
      </c>
      <c r="F237" s="99" t="n">
        <v>0.0644891034752209</v>
      </c>
    </row>
    <row r="238" customFormat="false" ht="12.75" hidden="false" customHeight="false" outlineLevel="0" collapsed="false">
      <c r="A238" s="97" t="n">
        <v>43739</v>
      </c>
      <c r="B238" s="91" t="n">
        <f aca="false">YEAR(A238)</f>
        <v>2019</v>
      </c>
      <c r="C238" s="98" t="n">
        <f aca="false">MONTH(A238)</f>
        <v>10</v>
      </c>
      <c r="D238" s="98" t="str">
        <f aca="false">IF(C238&lt;=6,"Q2","Q4")</f>
        <v>Q4</v>
      </c>
      <c r="E238" s="0" t="str">
        <f aca="false">B238&amp;D238</f>
        <v>2019Q4</v>
      </c>
      <c r="F238" s="99" t="n">
        <v>0.0644820083956406</v>
      </c>
    </row>
    <row r="239" customFormat="false" ht="12.75" hidden="false" customHeight="false" outlineLevel="0" collapsed="false">
      <c r="A239" s="97" t="n">
        <v>43770</v>
      </c>
      <c r="B239" s="91" t="n">
        <f aca="false">YEAR(A239)</f>
        <v>2019</v>
      </c>
      <c r="C239" s="98" t="n">
        <f aca="false">MONTH(A239)</f>
        <v>11</v>
      </c>
      <c r="D239" s="98" t="str">
        <f aca="false">IF(C239&lt;=6,"Q2","Q4")</f>
        <v>Q4</v>
      </c>
      <c r="E239" s="0" t="str">
        <f aca="false">B239&amp;D239</f>
        <v>2019Q4</v>
      </c>
      <c r="F239" s="99" t="n">
        <v>0.064474676813425</v>
      </c>
    </row>
    <row r="240" customFormat="false" ht="12.75" hidden="false" customHeight="false" outlineLevel="0" collapsed="false">
      <c r="A240" s="97" t="n">
        <v>43800</v>
      </c>
      <c r="B240" s="91" t="n">
        <f aca="false">YEAR(A240)</f>
        <v>2019</v>
      </c>
      <c r="C240" s="98" t="n">
        <f aca="false">MONTH(A240)</f>
        <v>12</v>
      </c>
      <c r="D240" s="98" t="str">
        <f aca="false">IF(C240&lt;=6,"Q2","Q4")</f>
        <v>Q4</v>
      </c>
      <c r="E240" s="0" t="str">
        <f aca="false">B240&amp;D240</f>
        <v>2019Q4</v>
      </c>
      <c r="F240" s="99" t="n">
        <v>0.0644675817338789</v>
      </c>
    </row>
    <row r="241" customFormat="false" ht="12.75" hidden="false" customHeight="false" outlineLevel="0" collapsed="false">
      <c r="A241" s="97" t="n">
        <v>43831</v>
      </c>
      <c r="B241" s="91" t="n">
        <f aca="false">YEAR(A241)</f>
        <v>2020</v>
      </c>
      <c r="C241" s="98" t="n">
        <f aca="false">MONTH(A241)</f>
        <v>1</v>
      </c>
      <c r="D241" s="98" t="str">
        <f aca="false">IF(C241&lt;=6,"Q2","Q4")</f>
        <v>Q2</v>
      </c>
      <c r="E241" s="0" t="str">
        <f aca="false">B241&amp;D241</f>
        <v>2020Q2</v>
      </c>
      <c r="F241" s="99" t="n">
        <v>0.0644602501516989</v>
      </c>
    </row>
    <row r="242" customFormat="false" ht="12.75" hidden="false" customHeight="false" outlineLevel="0" collapsed="false">
      <c r="A242" s="97" t="n">
        <v>43862</v>
      </c>
      <c r="B242" s="91" t="n">
        <f aca="false">YEAR(A242)</f>
        <v>2020</v>
      </c>
      <c r="C242" s="98" t="n">
        <f aca="false">MONTH(A242)</f>
        <v>2</v>
      </c>
      <c r="D242" s="98" t="str">
        <f aca="false">IF(C242&lt;=6,"Q2","Q4")</f>
        <v>Q2</v>
      </c>
      <c r="E242" s="0" t="str">
        <f aca="false">B242&amp;D242</f>
        <v>2020Q2</v>
      </c>
      <c r="F242" s="99" t="n">
        <v>0.0644529185695366</v>
      </c>
    </row>
    <row r="243" customFormat="false" ht="12.75" hidden="false" customHeight="false" outlineLevel="0" collapsed="false">
      <c r="A243" s="97" t="n">
        <v>43891</v>
      </c>
      <c r="B243" s="91" t="n">
        <f aca="false">YEAR(A243)</f>
        <v>2020</v>
      </c>
      <c r="C243" s="98" t="n">
        <f aca="false">MONTH(A243)</f>
        <v>3</v>
      </c>
      <c r="D243" s="98" t="str">
        <f aca="false">IF(C243&lt;=6,"Q2","Q4")</f>
        <v>Q2</v>
      </c>
      <c r="E243" s="0" t="str">
        <f aca="false">B243&amp;D243</f>
        <v>2020Q2</v>
      </c>
      <c r="F243" s="99" t="n">
        <v>0.064446059992691</v>
      </c>
    </row>
    <row r="244" customFormat="false" ht="12.75" hidden="false" customHeight="false" outlineLevel="0" collapsed="false">
      <c r="A244" s="97" t="n">
        <v>43922</v>
      </c>
      <c r="B244" s="91" t="n">
        <f aca="false">YEAR(A244)</f>
        <v>2020</v>
      </c>
      <c r="C244" s="98" t="n">
        <f aca="false">MONTH(A244)</f>
        <v>4</v>
      </c>
      <c r="D244" s="98" t="str">
        <f aca="false">IF(C244&lt;=6,"Q2","Q4")</f>
        <v>Q2</v>
      </c>
      <c r="E244" s="0" t="str">
        <f aca="false">B244&amp;D244</f>
        <v>2020Q2</v>
      </c>
      <c r="F244" s="99" t="n">
        <v>0.0644366002274448</v>
      </c>
    </row>
    <row r="245" customFormat="false" ht="12.75" hidden="false" customHeight="false" outlineLevel="0" collapsed="false">
      <c r="A245" s="97" t="n">
        <v>43952</v>
      </c>
      <c r="B245" s="91" t="n">
        <f aca="false">YEAR(A245)</f>
        <v>2020</v>
      </c>
      <c r="C245" s="98" t="n">
        <f aca="false">MONTH(A245)</f>
        <v>5</v>
      </c>
      <c r="D245" s="98" t="str">
        <f aca="false">IF(C245&lt;=6,"Q2","Q4")</f>
        <v>Q2</v>
      </c>
      <c r="E245" s="0" t="str">
        <f aca="false">B245&amp;D245</f>
        <v>2020Q2</v>
      </c>
      <c r="F245" s="99" t="n">
        <v>0.0644167360493384</v>
      </c>
    </row>
    <row r="246" customFormat="false" ht="12.75" hidden="false" customHeight="false" outlineLevel="0" collapsed="false">
      <c r="A246" s="97" t="n">
        <v>43983</v>
      </c>
      <c r="B246" s="91" t="n">
        <f aca="false">YEAR(A246)</f>
        <v>2020</v>
      </c>
      <c r="C246" s="98" t="n">
        <f aca="false">MONTH(A246)</f>
        <v>6</v>
      </c>
      <c r="D246" s="98" t="str">
        <f aca="false">IF(C246&lt;=6,"Q2","Q4")</f>
        <v>Q2</v>
      </c>
      <c r="E246" s="0" t="str">
        <f aca="false">B246&amp;D246</f>
        <v>2020Q2</v>
      </c>
      <c r="F246" s="99" t="n">
        <v>0.0643962097320996</v>
      </c>
    </row>
    <row r="247" customFormat="false" ht="12.75" hidden="false" customHeight="false" outlineLevel="0" collapsed="false">
      <c r="A247" s="97" t="n">
        <v>44013</v>
      </c>
      <c r="B247" s="91" t="n">
        <f aca="false">YEAR(A247)</f>
        <v>2020</v>
      </c>
      <c r="C247" s="98" t="n">
        <f aca="false">MONTH(A247)</f>
        <v>7</v>
      </c>
      <c r="D247" s="98" t="str">
        <f aca="false">IF(C247&lt;=6,"Q2","Q4")</f>
        <v>Q4</v>
      </c>
      <c r="E247" s="0" t="str">
        <f aca="false">B247&amp;D247</f>
        <v>2020Q4</v>
      </c>
      <c r="F247" s="99" t="n">
        <v>0.0643763455542596</v>
      </c>
    </row>
    <row r="248" customFormat="false" ht="12.75" hidden="false" customHeight="false" outlineLevel="0" collapsed="false">
      <c r="A248" s="97" t="n">
        <v>44044</v>
      </c>
      <c r="B248" s="91" t="n">
        <f aca="false">YEAR(A248)</f>
        <v>2020</v>
      </c>
      <c r="C248" s="98" t="n">
        <f aca="false">MONTH(A248)</f>
        <v>8</v>
      </c>
      <c r="D248" s="98" t="str">
        <f aca="false">IF(C248&lt;=6,"Q2","Q4")</f>
        <v>Q4</v>
      </c>
      <c r="E248" s="0" t="str">
        <f aca="false">B248&amp;D248</f>
        <v>2020Q4</v>
      </c>
      <c r="F248" s="99" t="n">
        <v>0.0643558192372953</v>
      </c>
    </row>
    <row r="249" customFormat="false" ht="12.75" hidden="false" customHeight="false" outlineLevel="0" collapsed="false">
      <c r="A249" s="97" t="n">
        <v>44075</v>
      </c>
      <c r="B249" s="91" t="n">
        <f aca="false">YEAR(A249)</f>
        <v>2020</v>
      </c>
      <c r="C249" s="98" t="n">
        <f aca="false">MONTH(A249)</f>
        <v>9</v>
      </c>
      <c r="D249" s="98" t="str">
        <f aca="false">IF(C249&lt;=6,"Q2","Q4")</f>
        <v>Q4</v>
      </c>
      <c r="E249" s="0" t="str">
        <f aca="false">B249&amp;D249</f>
        <v>2020Q4</v>
      </c>
      <c r="F249" s="99" t="n">
        <v>0.0643352929204712</v>
      </c>
    </row>
    <row r="250" customFormat="false" ht="12.75" hidden="false" customHeight="false" outlineLevel="0" collapsed="false">
      <c r="A250" s="97" t="n">
        <v>44105</v>
      </c>
      <c r="B250" s="91" t="n">
        <f aca="false">YEAR(A250)</f>
        <v>2020</v>
      </c>
      <c r="C250" s="98" t="n">
        <f aca="false">MONTH(A250)</f>
        <v>10</v>
      </c>
      <c r="D250" s="98" t="str">
        <f aca="false">IF(C250&lt;=6,"Q2","Q4")</f>
        <v>Q4</v>
      </c>
      <c r="E250" s="0" t="str">
        <f aca="false">B250&amp;D250</f>
        <v>2020Q4</v>
      </c>
      <c r="F250" s="99" t="n">
        <v>0.0643154287430323</v>
      </c>
    </row>
    <row r="251" customFormat="false" ht="12.75" hidden="false" customHeight="false" outlineLevel="0" collapsed="false">
      <c r="A251" s="97" t="n">
        <v>44136</v>
      </c>
      <c r="B251" s="91" t="n">
        <f aca="false">YEAR(A251)</f>
        <v>2020</v>
      </c>
      <c r="C251" s="98" t="n">
        <f aca="false">MONTH(A251)</f>
        <v>11</v>
      </c>
      <c r="D251" s="98" t="str">
        <f aca="false">IF(C251&lt;=6,"Q2","Q4")</f>
        <v>Q4</v>
      </c>
      <c r="E251" s="0" t="str">
        <f aca="false">B251&amp;D251</f>
        <v>2020Q4</v>
      </c>
      <c r="F251" s="99" t="n">
        <v>0.0642949024264832</v>
      </c>
    </row>
    <row r="252" customFormat="false" ht="12.75" hidden="false" customHeight="false" outlineLevel="0" collapsed="false">
      <c r="A252" s="97" t="n">
        <v>44166</v>
      </c>
      <c r="B252" s="91" t="n">
        <f aca="false">YEAR(A252)</f>
        <v>2020</v>
      </c>
      <c r="C252" s="98" t="n">
        <f aca="false">MONTH(A252)</f>
        <v>12</v>
      </c>
      <c r="D252" s="98" t="str">
        <f aca="false">IF(C252&lt;=6,"Q2","Q4")</f>
        <v>Q4</v>
      </c>
      <c r="E252" s="0" t="str">
        <f aca="false">B252&amp;D252</f>
        <v>2020Q4</v>
      </c>
      <c r="F252" s="99" t="n">
        <v>0.0642750382493103</v>
      </c>
    </row>
    <row r="253" customFormat="false" ht="12.75" hidden="false" customHeight="false" outlineLevel="0" collapsed="false">
      <c r="A253" s="97" t="n">
        <v>44197</v>
      </c>
      <c r="B253" s="91" t="n">
        <f aca="false">YEAR(A253)</f>
        <v>2021</v>
      </c>
      <c r="C253" s="98" t="n">
        <f aca="false">MONTH(A253)</f>
        <v>1</v>
      </c>
      <c r="D253" s="98" t="str">
        <f aca="false">IF(C253&lt;=6,"Q2","Q4")</f>
        <v>Q2</v>
      </c>
      <c r="E253" s="0" t="str">
        <f aca="false">B253&amp;D253</f>
        <v>2021Q2</v>
      </c>
      <c r="F253" s="99" t="n">
        <v>0.0642545119330356</v>
      </c>
    </row>
    <row r="254" customFormat="false" ht="12.75" hidden="false" customHeight="false" outlineLevel="0" collapsed="false">
      <c r="A254" s="97" t="n">
        <v>44228</v>
      </c>
      <c r="B254" s="91" t="n">
        <f aca="false">YEAR(A254)</f>
        <v>2021</v>
      </c>
      <c r="C254" s="98" t="n">
        <f aca="false">MONTH(A254)</f>
        <v>2</v>
      </c>
      <c r="D254" s="98" t="str">
        <f aca="false">IF(C254&lt;=6,"Q2","Q4")</f>
        <v>Q2</v>
      </c>
      <c r="E254" s="0" t="str">
        <f aca="false">B254&amp;D254</f>
        <v>2021Q2</v>
      </c>
      <c r="F254" s="99" t="n">
        <v>0.0642339856169012</v>
      </c>
    </row>
    <row r="255" customFormat="false" ht="12.75" hidden="false" customHeight="false" outlineLevel="0" collapsed="false">
      <c r="A255" s="97" t="n">
        <v>44256</v>
      </c>
      <c r="B255" s="91" t="n">
        <f aca="false">YEAR(A255)</f>
        <v>2021</v>
      </c>
      <c r="C255" s="98" t="n">
        <f aca="false">MONTH(A255)</f>
        <v>3</v>
      </c>
      <c r="D255" s="98" t="str">
        <f aca="false">IF(C255&lt;=6,"Q2","Q4")</f>
        <v>Q2</v>
      </c>
      <c r="E255" s="0" t="str">
        <f aca="false">B255&amp;D255</f>
        <v>2021Q2</v>
      </c>
      <c r="F255" s="99" t="n">
        <v>0.0642154457185771</v>
      </c>
    </row>
    <row r="256" customFormat="false" ht="12.75" hidden="false" customHeight="false" outlineLevel="0" collapsed="false">
      <c r="A256" s="97" t="n">
        <v>44287</v>
      </c>
      <c r="B256" s="91" t="n">
        <f aca="false">YEAR(A256)</f>
        <v>2021</v>
      </c>
      <c r="C256" s="98" t="n">
        <f aca="false">MONTH(A256)</f>
        <v>4</v>
      </c>
      <c r="D256" s="98" t="str">
        <f aca="false">IF(C256&lt;=6,"Q2","Q4")</f>
        <v>Q2</v>
      </c>
      <c r="E256" s="0" t="str">
        <f aca="false">B256&amp;D256</f>
        <v>2021Q2</v>
      </c>
      <c r="F256" s="99" t="n">
        <v>0.0641949194027078</v>
      </c>
    </row>
    <row r="257" customFormat="false" ht="12.75" hidden="false" customHeight="false" outlineLevel="0" collapsed="false">
      <c r="A257" s="97" t="n">
        <v>44317</v>
      </c>
      <c r="B257" s="91" t="n">
        <f aca="false">YEAR(A257)</f>
        <v>2021</v>
      </c>
      <c r="C257" s="98" t="n">
        <f aca="false">MONTH(A257)</f>
        <v>5</v>
      </c>
      <c r="D257" s="98" t="str">
        <f aca="false">IF(C257&lt;=6,"Q2","Q4")</f>
        <v>Q2</v>
      </c>
      <c r="E257" s="0" t="str">
        <f aca="false">B257&amp;D257</f>
        <v>2021Q2</v>
      </c>
      <c r="F257" s="99" t="n">
        <v>0.0641750552261939</v>
      </c>
    </row>
    <row r="258" customFormat="false" ht="12.75" hidden="false" customHeight="false" outlineLevel="0" collapsed="false">
      <c r="A258" s="97" t="n">
        <v>44348</v>
      </c>
      <c r="B258" s="91" t="n">
        <f aca="false">YEAR(A258)</f>
        <v>2021</v>
      </c>
      <c r="C258" s="98" t="n">
        <f aca="false">MONTH(A258)</f>
        <v>6</v>
      </c>
      <c r="D258" s="98" t="str">
        <f aca="false">IF(C258&lt;=6,"Q2","Q4")</f>
        <v>Q2</v>
      </c>
      <c r="E258" s="0" t="str">
        <f aca="false">B258&amp;D258</f>
        <v>2021Q2</v>
      </c>
      <c r="F258" s="99" t="n">
        <v>0.0641545289105996</v>
      </c>
    </row>
    <row r="259" customFormat="false" ht="12.75" hidden="false" customHeight="false" outlineLevel="0" collapsed="false">
      <c r="A259" s="97" t="n">
        <v>44378</v>
      </c>
      <c r="B259" s="91" t="n">
        <f aca="false">YEAR(A259)</f>
        <v>2021</v>
      </c>
      <c r="C259" s="98" t="n">
        <f aca="false">MONTH(A259)</f>
        <v>7</v>
      </c>
      <c r="D259" s="98" t="str">
        <f aca="false">IF(C259&lt;=6,"Q2","Q4")</f>
        <v>Q4</v>
      </c>
      <c r="E259" s="0" t="str">
        <f aca="false">B259&amp;D259</f>
        <v>2021Q4</v>
      </c>
      <c r="F259" s="99" t="n">
        <v>0.0641346647343517</v>
      </c>
    </row>
    <row r="260" customFormat="false" ht="12.75" hidden="false" customHeight="false" outlineLevel="0" collapsed="false">
      <c r="A260" s="97" t="n">
        <v>44409</v>
      </c>
      <c r="B260" s="91" t="n">
        <f aca="false">YEAR(A260)</f>
        <v>2021</v>
      </c>
      <c r="C260" s="98" t="n">
        <f aca="false">MONTH(A260)</f>
        <v>8</v>
      </c>
      <c r="D260" s="98" t="str">
        <f aca="false">IF(C260&lt;=6,"Q2","Q4")</f>
        <v>Q4</v>
      </c>
      <c r="E260" s="0" t="str">
        <f aca="false">B260&amp;D260</f>
        <v>2021Q4</v>
      </c>
      <c r="F260" s="99" t="n">
        <v>0.0641141384190327</v>
      </c>
    </row>
    <row r="261" customFormat="false" ht="12.75" hidden="false" customHeight="false" outlineLevel="0" collapsed="false">
      <c r="A261" s="97" t="n">
        <v>44440</v>
      </c>
      <c r="B261" s="91" t="n">
        <f aca="false">YEAR(A261)</f>
        <v>2021</v>
      </c>
      <c r="C261" s="98" t="n">
        <f aca="false">MONTH(A261)</f>
        <v>9</v>
      </c>
      <c r="D261" s="98" t="str">
        <f aca="false">IF(C261&lt;=6,"Q2","Q4")</f>
        <v>Q4</v>
      </c>
      <c r="E261" s="0" t="str">
        <f aca="false">B261&amp;D261</f>
        <v>2021Q4</v>
      </c>
      <c r="F261" s="99" t="n">
        <v>0.0640936121038531</v>
      </c>
    </row>
    <row r="262" customFormat="false" ht="12.75" hidden="false" customHeight="false" outlineLevel="0" collapsed="false">
      <c r="A262" s="97" t="n">
        <v>44470</v>
      </c>
      <c r="B262" s="91" t="n">
        <f aca="false">YEAR(A262)</f>
        <v>2021</v>
      </c>
      <c r="C262" s="98" t="n">
        <f aca="false">MONTH(A262)</f>
        <v>10</v>
      </c>
      <c r="D262" s="98" t="str">
        <f aca="false">IF(C262&lt;=6,"Q2","Q4")</f>
        <v>Q4</v>
      </c>
      <c r="E262" s="0" t="str">
        <f aca="false">B262&amp;D262</f>
        <v>2021Q4</v>
      </c>
      <c r="F262" s="99" t="n">
        <v>0.0640737479280062</v>
      </c>
    </row>
    <row r="263" customFormat="false" ht="12.75" hidden="false" customHeight="false" outlineLevel="0" collapsed="false">
      <c r="A263" s="97" t="n">
        <v>44501</v>
      </c>
      <c r="B263" s="91" t="n">
        <f aca="false">YEAR(A263)</f>
        <v>2021</v>
      </c>
      <c r="C263" s="98" t="n">
        <f aca="false">MONTH(A263)</f>
        <v>11</v>
      </c>
      <c r="D263" s="98" t="str">
        <f aca="false">IF(C263&lt;=6,"Q2","Q4")</f>
        <v>Q4</v>
      </c>
      <c r="E263" s="0" t="str">
        <f aca="false">B263&amp;D263</f>
        <v>2021Q4</v>
      </c>
      <c r="F263" s="99" t="n">
        <v>0.064053221613102</v>
      </c>
    </row>
    <row r="264" customFormat="false" ht="12.75" hidden="false" customHeight="false" outlineLevel="0" collapsed="false">
      <c r="A264" s="97" t="n">
        <v>44531</v>
      </c>
      <c r="B264" s="91" t="n">
        <f aca="false">YEAR(A264)</f>
        <v>2021</v>
      </c>
      <c r="C264" s="98" t="n">
        <f aca="false">MONTH(A264)</f>
        <v>12</v>
      </c>
      <c r="D264" s="98" t="str">
        <f aca="false">IF(C264&lt;=6,"Q2","Q4")</f>
        <v>Q4</v>
      </c>
      <c r="E264" s="0" t="str">
        <f aca="false">B264&amp;D264</f>
        <v>2021Q4</v>
      </c>
      <c r="F264" s="99" t="n">
        <v>0.0640333574375211</v>
      </c>
    </row>
    <row r="265" customFormat="false" ht="12.75" hidden="false" customHeight="false" outlineLevel="0" collapsed="false">
      <c r="A265" s="97" t="n">
        <v>44562</v>
      </c>
      <c r="B265" s="91" t="n">
        <f aca="false">YEAR(A265)</f>
        <v>2022</v>
      </c>
      <c r="C265" s="98" t="n">
        <f aca="false">MONTH(A265)</f>
        <v>1</v>
      </c>
      <c r="D265" s="98" t="str">
        <f aca="false">IF(C265&lt;=6,"Q2","Q4")</f>
        <v>Q2</v>
      </c>
      <c r="E265" s="0" t="str">
        <f aca="false">B265&amp;D265</f>
        <v>2022Q2</v>
      </c>
      <c r="F265" s="99" t="n">
        <v>0.0640128311228914</v>
      </c>
    </row>
    <row r="266" customFormat="false" ht="12.75" hidden="false" customHeight="false" outlineLevel="0" collapsed="false">
      <c r="A266" s="97" t="n">
        <v>44593</v>
      </c>
      <c r="B266" s="91" t="n">
        <f aca="false">YEAR(A266)</f>
        <v>2022</v>
      </c>
      <c r="C266" s="98" t="n">
        <f aca="false">MONTH(A266)</f>
        <v>2</v>
      </c>
      <c r="D266" s="98" t="str">
        <f aca="false">IF(C266&lt;=6,"Q2","Q4")</f>
        <v>Q2</v>
      </c>
      <c r="E266" s="0" t="str">
        <f aca="false">B266&amp;D266</f>
        <v>2022Q2</v>
      </c>
      <c r="F266" s="99" t="n">
        <v>0.0639923048084019</v>
      </c>
    </row>
    <row r="267" customFormat="false" ht="12.75" hidden="false" customHeight="false" outlineLevel="0" collapsed="false">
      <c r="A267" s="97" t="n">
        <v>44621</v>
      </c>
      <c r="B267" s="91" t="n">
        <f aca="false">YEAR(A267)</f>
        <v>2022</v>
      </c>
      <c r="C267" s="98" t="n">
        <f aca="false">MONTH(A267)</f>
        <v>3</v>
      </c>
      <c r="D267" s="98" t="str">
        <f aca="false">IF(C267&lt;=6,"Q2","Q4")</f>
        <v>Q2</v>
      </c>
      <c r="E267" s="0" t="str">
        <f aca="false">B267&amp;D267</f>
        <v>2022Q2</v>
      </c>
      <c r="F267" s="99" t="n">
        <v>0.0639737649115633</v>
      </c>
    </row>
    <row r="268" customFormat="false" ht="12.75" hidden="false" customHeight="false" outlineLevel="0" collapsed="false">
      <c r="A268" s="97" t="n">
        <v>44652</v>
      </c>
      <c r="B268" s="91" t="n">
        <f aca="false">YEAR(A268)</f>
        <v>2022</v>
      </c>
      <c r="C268" s="98" t="n">
        <f aca="false">MONTH(A268)</f>
        <v>4</v>
      </c>
      <c r="D268" s="98" t="str">
        <f aca="false">IF(C268&lt;=6,"Q2","Q4")</f>
        <v>Q2</v>
      </c>
      <c r="E268" s="0" t="str">
        <f aca="false">B268&amp;D268</f>
        <v>2022Q2</v>
      </c>
      <c r="F268" s="99" t="n">
        <v>0.0639532385973394</v>
      </c>
    </row>
    <row r="269" customFormat="false" ht="12.75" hidden="false" customHeight="false" outlineLevel="0" collapsed="false">
      <c r="A269" s="97" t="n">
        <v>44682</v>
      </c>
      <c r="B269" s="91" t="n">
        <f aca="false">YEAR(A269)</f>
        <v>2022</v>
      </c>
      <c r="C269" s="98" t="n">
        <f aca="false">MONTH(A269)</f>
        <v>5</v>
      </c>
      <c r="D269" s="98" t="str">
        <f aca="false">IF(C269&lt;=6,"Q2","Q4")</f>
        <v>Q2</v>
      </c>
      <c r="E269" s="0" t="str">
        <f aca="false">B269&amp;D269</f>
        <v>2022Q2</v>
      </c>
      <c r="F269" s="99" t="n">
        <v>0.0639333744224175</v>
      </c>
    </row>
    <row r="270" customFormat="false" ht="12.75" hidden="false" customHeight="false" outlineLevel="0" collapsed="false">
      <c r="A270" s="97" t="n">
        <v>44713</v>
      </c>
      <c r="B270" s="91" t="n">
        <f aca="false">YEAR(A270)</f>
        <v>2022</v>
      </c>
      <c r="C270" s="98" t="n">
        <f aca="false">MONTH(A270)</f>
        <v>6</v>
      </c>
      <c r="D270" s="98" t="str">
        <f aca="false">IF(C270&lt;=6,"Q2","Q4")</f>
        <v>Q2</v>
      </c>
      <c r="E270" s="0" t="str">
        <f aca="false">B270&amp;D270</f>
        <v>2022Q2</v>
      </c>
      <c r="F270" s="99" t="n">
        <v>0.0639128481084685</v>
      </c>
    </row>
    <row r="271" customFormat="false" ht="12.75" hidden="false" customHeight="false" outlineLevel="0" collapsed="false">
      <c r="A271" s="97" t="n">
        <v>44743</v>
      </c>
      <c r="B271" s="91" t="n">
        <f aca="false">YEAR(A271)</f>
        <v>2022</v>
      </c>
      <c r="C271" s="98" t="n">
        <f aca="false">MONTH(A271)</f>
        <v>7</v>
      </c>
      <c r="D271" s="98" t="str">
        <f aca="false">IF(C271&lt;=6,"Q2","Q4")</f>
        <v>Q4</v>
      </c>
      <c r="E271" s="0" t="str">
        <f aca="false">B271&amp;D271</f>
        <v>2022Q4</v>
      </c>
      <c r="F271" s="99" t="n">
        <v>0.0638929839338123</v>
      </c>
    </row>
    <row r="272" customFormat="false" ht="12.75" hidden="false" customHeight="false" outlineLevel="0" collapsed="false">
      <c r="A272" s="97" t="n">
        <v>44774</v>
      </c>
      <c r="B272" s="91" t="n">
        <f aca="false">YEAR(A272)</f>
        <v>2022</v>
      </c>
      <c r="C272" s="98" t="n">
        <f aca="false">MONTH(A272)</f>
        <v>8</v>
      </c>
      <c r="D272" s="98" t="str">
        <f aca="false">IF(C272&lt;=6,"Q2","Q4")</f>
        <v>Q4</v>
      </c>
      <c r="E272" s="0" t="str">
        <f aca="false">B272&amp;D272</f>
        <v>2022Q4</v>
      </c>
      <c r="F272" s="99" t="n">
        <v>0.0638724576201382</v>
      </c>
    </row>
    <row r="273" customFormat="false" ht="12.75" hidden="false" customHeight="false" outlineLevel="0" collapsed="false">
      <c r="A273" s="97" t="n">
        <v>44805</v>
      </c>
      <c r="B273" s="91" t="n">
        <f aca="false">YEAR(A273)</f>
        <v>2022</v>
      </c>
      <c r="C273" s="98" t="n">
        <f aca="false">MONTH(A273)</f>
        <v>9</v>
      </c>
      <c r="D273" s="98" t="str">
        <f aca="false">IF(C273&lt;=6,"Q2","Q4")</f>
        <v>Q4</v>
      </c>
      <c r="E273" s="0" t="str">
        <f aca="false">B273&amp;D273</f>
        <v>2022Q4</v>
      </c>
      <c r="F273" s="99" t="n">
        <v>0.0638519313066039</v>
      </c>
    </row>
    <row r="274" customFormat="false" ht="12.75" hidden="false" customHeight="false" outlineLevel="0" collapsed="false">
      <c r="A274" s="97" t="n">
        <v>44835</v>
      </c>
      <c r="B274" s="91" t="n">
        <f aca="false">YEAR(A274)</f>
        <v>2022</v>
      </c>
      <c r="C274" s="98" t="n">
        <f aca="false">MONTH(A274)</f>
        <v>10</v>
      </c>
      <c r="D274" s="98" t="str">
        <f aca="false">IF(C274&lt;=6,"Q2","Q4")</f>
        <v>Q4</v>
      </c>
      <c r="E274" s="0" t="str">
        <f aca="false">B274&amp;D274</f>
        <v>2022Q4</v>
      </c>
      <c r="F274" s="99" t="n">
        <v>0.0638320671323487</v>
      </c>
    </row>
    <row r="275" customFormat="false" ht="12.75" hidden="false" customHeight="false" outlineLevel="0" collapsed="false">
      <c r="A275" s="97" t="n">
        <v>44866</v>
      </c>
      <c r="B275" s="91" t="n">
        <f aca="false">YEAR(A275)</f>
        <v>2022</v>
      </c>
      <c r="C275" s="98" t="n">
        <f aca="false">MONTH(A275)</f>
        <v>11</v>
      </c>
      <c r="D275" s="98" t="str">
        <f aca="false">IF(C275&lt;=6,"Q2","Q4")</f>
        <v>Q4</v>
      </c>
      <c r="E275" s="0" t="str">
        <f aca="false">B275&amp;D275</f>
        <v>2022Q4</v>
      </c>
      <c r="F275" s="99" t="n">
        <v>0.0638115408190898</v>
      </c>
    </row>
    <row r="276" customFormat="false" ht="12.75" hidden="false" customHeight="false" outlineLevel="0" collapsed="false">
      <c r="A276" s="97" t="n">
        <v>44896</v>
      </c>
      <c r="B276" s="91" t="n">
        <f aca="false">YEAR(A276)</f>
        <v>2022</v>
      </c>
      <c r="C276" s="98" t="n">
        <f aca="false">MONTH(A276)</f>
        <v>12</v>
      </c>
      <c r="D276" s="98" t="str">
        <f aca="false">IF(C276&lt;=6,"Q2","Q4")</f>
        <v>Q4</v>
      </c>
      <c r="E276" s="0" t="str">
        <f aca="false">B276&amp;D276</f>
        <v>2022Q4</v>
      </c>
      <c r="F276" s="99" t="n">
        <v>0.0637916766451006</v>
      </c>
    </row>
    <row r="277" customFormat="false" ht="12.75" hidden="false" customHeight="false" outlineLevel="0" collapsed="false">
      <c r="A277" s="97" t="n">
        <v>44927</v>
      </c>
      <c r="B277" s="91" t="n">
        <f aca="false">YEAR(A277)</f>
        <v>2023</v>
      </c>
      <c r="C277" s="98" t="n">
        <f aca="false">MONTH(A277)</f>
        <v>1</v>
      </c>
      <c r="D277" s="98" t="str">
        <f aca="false">IF(C277&lt;=6,"Q2","Q4")</f>
        <v>Q2</v>
      </c>
      <c r="E277" s="0" t="str">
        <f aca="false">B277&amp;D277</f>
        <v>2023Q2</v>
      </c>
      <c r="F277" s="99" t="n">
        <v>0.0637711503321166</v>
      </c>
    </row>
    <row r="278" customFormat="false" ht="12.75" hidden="false" customHeight="false" outlineLevel="0" collapsed="false">
      <c r="A278" s="97" t="n">
        <v>44958</v>
      </c>
      <c r="B278" s="91" t="n">
        <f aca="false">YEAR(A278)</f>
        <v>2023</v>
      </c>
      <c r="C278" s="98" t="n">
        <f aca="false">MONTH(A278)</f>
        <v>2</v>
      </c>
      <c r="D278" s="98" t="str">
        <f aca="false">IF(C278&lt;=6,"Q2","Q4")</f>
        <v>Q2</v>
      </c>
      <c r="E278" s="0" t="str">
        <f aca="false">B278&amp;D278</f>
        <v>2023Q2</v>
      </c>
      <c r="F278" s="99" t="n">
        <v>0.063750624019272</v>
      </c>
    </row>
    <row r="279" customFormat="false" ht="12.75" hidden="false" customHeight="false" outlineLevel="0" collapsed="false">
      <c r="A279" s="97" t="n">
        <v>44986</v>
      </c>
      <c r="B279" s="91" t="n">
        <f aca="false">YEAR(A279)</f>
        <v>2023</v>
      </c>
      <c r="C279" s="98" t="n">
        <f aca="false">MONTH(A279)</f>
        <v>3</v>
      </c>
      <c r="D279" s="98" t="str">
        <f aca="false">IF(C279&lt;=6,"Q2","Q4")</f>
        <v>Q2</v>
      </c>
      <c r="E279" s="0" t="str">
        <f aca="false">B279&amp;D279</f>
        <v>2023Q2</v>
      </c>
      <c r="F279" s="99" t="n">
        <v>0.0637320841239197</v>
      </c>
    </row>
    <row r="280" customFormat="false" ht="12.75" hidden="false" customHeight="false" outlineLevel="0" collapsed="false">
      <c r="A280" s="97" t="n">
        <v>45017</v>
      </c>
      <c r="B280" s="91" t="n">
        <f aca="false">YEAR(A280)</f>
        <v>2023</v>
      </c>
      <c r="C280" s="98" t="n">
        <f aca="false">MONTH(A280)</f>
        <v>4</v>
      </c>
      <c r="D280" s="98" t="str">
        <f aca="false">IF(C280&lt;=6,"Q2","Q4")</f>
        <v>Q2</v>
      </c>
      <c r="E280" s="0" t="str">
        <f aca="false">B280&amp;D280</f>
        <v>2023Q2</v>
      </c>
      <c r="F280" s="99" t="n">
        <v>0.0637115578113408</v>
      </c>
    </row>
    <row r="281" customFormat="false" ht="12.75" hidden="false" customHeight="false" outlineLevel="0" collapsed="false">
      <c r="A281" s="97" t="n">
        <v>45047</v>
      </c>
      <c r="B281" s="91" t="n">
        <f aca="false">YEAR(A281)</f>
        <v>2023</v>
      </c>
      <c r="C281" s="98" t="n">
        <f aca="false">MONTH(A281)</f>
        <v>5</v>
      </c>
      <c r="D281" s="98" t="str">
        <f aca="false">IF(C281&lt;=6,"Q2","Q4")</f>
        <v>Q2</v>
      </c>
      <c r="E281" s="0" t="str">
        <f aca="false">B281&amp;D281</f>
        <v>2023Q2</v>
      </c>
      <c r="F281" s="99" t="n">
        <v>0.063691693638011</v>
      </c>
    </row>
    <row r="282" customFormat="false" ht="12.75" hidden="false" customHeight="false" outlineLevel="0" collapsed="false">
      <c r="A282" s="97" t="n">
        <v>45078</v>
      </c>
      <c r="B282" s="91" t="n">
        <f aca="false">YEAR(A282)</f>
        <v>2023</v>
      </c>
      <c r="C282" s="98" t="n">
        <f aca="false">MONTH(A282)</f>
        <v>6</v>
      </c>
      <c r="D282" s="98" t="str">
        <f aca="false">IF(C282&lt;=6,"Q2","Q4")</f>
        <v>Q2</v>
      </c>
      <c r="E282" s="0" t="str">
        <f aca="false">B282&amp;D282</f>
        <v>2023Q2</v>
      </c>
      <c r="F282" s="99" t="n">
        <v>0.0636711673257073</v>
      </c>
    </row>
    <row r="283" customFormat="false" ht="12.75" hidden="false" customHeight="false" outlineLevel="0" collapsed="false">
      <c r="A283" s="97" t="n">
        <v>45108</v>
      </c>
      <c r="B283" s="91" t="n">
        <f aca="false">YEAR(A283)</f>
        <v>2023</v>
      </c>
      <c r="C283" s="98" t="n">
        <f aca="false">MONTH(A283)</f>
        <v>7</v>
      </c>
      <c r="D283" s="98" t="str">
        <f aca="false">IF(C283&lt;=6,"Q2","Q4")</f>
        <v>Q4</v>
      </c>
      <c r="E283" s="0" t="str">
        <f aca="false">B283&amp;D283</f>
        <v>2023Q4</v>
      </c>
      <c r="F283" s="99" t="n">
        <v>0.0636513031526431</v>
      </c>
    </row>
    <row r="284" customFormat="false" ht="12.75" hidden="false" customHeight="false" outlineLevel="0" collapsed="false">
      <c r="A284" s="97" t="n">
        <v>45139</v>
      </c>
      <c r="B284" s="91" t="n">
        <f aca="false">YEAR(A284)</f>
        <v>2023</v>
      </c>
      <c r="C284" s="98" t="n">
        <f aca="false">MONTH(A284)</f>
        <v>8</v>
      </c>
      <c r="D284" s="98" t="str">
        <f aca="false">IF(C284&lt;=6,"Q2","Q4")</f>
        <v>Q4</v>
      </c>
      <c r="E284" s="0" t="str">
        <f aca="false">B284&amp;D284</f>
        <v>2023Q4</v>
      </c>
      <c r="F284" s="99" t="n">
        <v>0.0636307768406144</v>
      </c>
    </row>
    <row r="285" customFormat="false" ht="12.75" hidden="false" customHeight="false" outlineLevel="0" collapsed="false">
      <c r="A285" s="97" t="n">
        <v>45170</v>
      </c>
      <c r="B285" s="91" t="n">
        <f aca="false">YEAR(A285)</f>
        <v>2023</v>
      </c>
      <c r="C285" s="98" t="n">
        <f aca="false">MONTH(A285)</f>
        <v>9</v>
      </c>
      <c r="D285" s="98" t="str">
        <f aca="false">IF(C285&lt;=6,"Q2","Q4")</f>
        <v>Q4</v>
      </c>
      <c r="E285" s="0" t="str">
        <f aca="false">B285&amp;D285</f>
        <v>2023Q4</v>
      </c>
      <c r="F285" s="99" t="n">
        <v>0.0636102505287255</v>
      </c>
    </row>
    <row r="286" customFormat="false" ht="12.75" hidden="false" customHeight="false" outlineLevel="0" collapsed="false">
      <c r="A286" s="97" t="n">
        <v>45200</v>
      </c>
      <c r="B286" s="91" t="n">
        <f aca="false">YEAR(A286)</f>
        <v>2023</v>
      </c>
      <c r="C286" s="98" t="n">
        <f aca="false">MONTH(A286)</f>
        <v>10</v>
      </c>
      <c r="D286" s="98" t="str">
        <f aca="false">IF(C286&lt;=6,"Q2","Q4")</f>
        <v>Q4</v>
      </c>
      <c r="E286" s="0" t="str">
        <f aca="false">B286&amp;D286</f>
        <v>2023Q4</v>
      </c>
      <c r="F286" s="99" t="n">
        <v>0.0635903863560632</v>
      </c>
    </row>
    <row r="287" customFormat="false" ht="12.75" hidden="false" customHeight="false" outlineLevel="0" collapsed="false">
      <c r="A287" s="97" t="n">
        <v>45231</v>
      </c>
      <c r="B287" s="91" t="n">
        <f aca="false">YEAR(A287)</f>
        <v>2023</v>
      </c>
      <c r="C287" s="98" t="n">
        <f aca="false">MONTH(A287)</f>
        <v>11</v>
      </c>
      <c r="D287" s="98" t="str">
        <f aca="false">IF(C287&lt;=6,"Q2","Q4")</f>
        <v>Q4</v>
      </c>
      <c r="E287" s="0" t="str">
        <f aca="false">B287&amp;D287</f>
        <v>2023Q4</v>
      </c>
      <c r="F287" s="99" t="n">
        <v>0.0635698600444492</v>
      </c>
    </row>
    <row r="288" customFormat="false" ht="12.75" hidden="false" customHeight="false" outlineLevel="0" collapsed="false">
      <c r="A288" s="97" t="n">
        <v>45261</v>
      </c>
      <c r="B288" s="91" t="n">
        <f aca="false">YEAR(A288)</f>
        <v>2023</v>
      </c>
      <c r="C288" s="98" t="n">
        <f aca="false">MONTH(A288)</f>
        <v>12</v>
      </c>
      <c r="D288" s="98" t="str">
        <f aca="false">IF(C288&lt;=6,"Q2","Q4")</f>
        <v>Q4</v>
      </c>
      <c r="E288" s="0" t="str">
        <f aca="false">B288&amp;D288</f>
        <v>2023Q4</v>
      </c>
      <c r="F288" s="99" t="n">
        <v>0.0635499958720525</v>
      </c>
    </row>
    <row r="289" customFormat="false" ht="12.75" hidden="false" customHeight="false" outlineLevel="0" collapsed="false">
      <c r="A289" s="97" t="n">
        <v>45292</v>
      </c>
      <c r="B289" s="91" t="n">
        <f aca="false">YEAR(A289)</f>
        <v>2024</v>
      </c>
      <c r="C289" s="98" t="n">
        <f aca="false">MONTH(A289)</f>
        <v>1</v>
      </c>
      <c r="D289" s="98" t="str">
        <f aca="false">IF(C289&lt;=6,"Q2","Q4")</f>
        <v>Q2</v>
      </c>
      <c r="E289" s="0" t="str">
        <f aca="false">B289&amp;D289</f>
        <v>2024Q2</v>
      </c>
      <c r="F289" s="99" t="n">
        <v>0.0635294695607138</v>
      </c>
    </row>
    <row r="290" customFormat="false" ht="12.75" hidden="false" customHeight="false" outlineLevel="0" collapsed="false">
      <c r="A290" s="97" t="n">
        <v>45323</v>
      </c>
      <c r="B290" s="91" t="n">
        <f aca="false">YEAR(A290)</f>
        <v>2024</v>
      </c>
      <c r="C290" s="98" t="n">
        <f aca="false">MONTH(A290)</f>
        <v>2</v>
      </c>
      <c r="D290" s="98" t="str">
        <f aca="false">IF(C290&lt;=6,"Q2","Q4")</f>
        <v>Q2</v>
      </c>
      <c r="E290" s="0" t="str">
        <f aca="false">B290&amp;D290</f>
        <v>2024Q2</v>
      </c>
      <c r="F290" s="99" t="n">
        <v>0.0635089432495146</v>
      </c>
    </row>
    <row r="291" customFormat="false" ht="12.75" hidden="false" customHeight="false" outlineLevel="0" collapsed="false">
      <c r="A291" s="97" t="n">
        <v>45352</v>
      </c>
      <c r="B291" s="91" t="n">
        <f aca="false">YEAR(A291)</f>
        <v>2024</v>
      </c>
      <c r="C291" s="98" t="n">
        <f aca="false">MONTH(A291)</f>
        <v>3</v>
      </c>
      <c r="D291" s="98" t="str">
        <f aca="false">IF(C291&lt;=6,"Q2","Q4")</f>
        <v>Q2</v>
      </c>
      <c r="E291" s="0" t="str">
        <f aca="false">B291&amp;D291</f>
        <v>2024Q2</v>
      </c>
      <c r="F291" s="99" t="n">
        <v>0.0634897412165838</v>
      </c>
    </row>
    <row r="292" customFormat="false" ht="12.75" hidden="false" customHeight="false" outlineLevel="0" collapsed="false">
      <c r="A292" s="97" t="n">
        <v>45383</v>
      </c>
      <c r="B292" s="91" t="n">
        <f aca="false">YEAR(A292)</f>
        <v>2024</v>
      </c>
      <c r="C292" s="98" t="n">
        <f aca="false">MONTH(A292)</f>
        <v>4</v>
      </c>
      <c r="D292" s="98" t="str">
        <f aca="false">IF(C292&lt;=6,"Q2","Q4")</f>
        <v>Q2</v>
      </c>
      <c r="E292" s="0" t="str">
        <f aca="false">B292&amp;D292</f>
        <v>2024Q2</v>
      </c>
      <c r="F292" s="99" t="n">
        <v>0.0634692149056551</v>
      </c>
    </row>
    <row r="293" customFormat="false" ht="12.75" hidden="false" customHeight="false" outlineLevel="0" collapsed="false">
      <c r="A293" s="97" t="n">
        <v>45413</v>
      </c>
      <c r="B293" s="91" t="n">
        <f aca="false">YEAR(A293)</f>
        <v>2024</v>
      </c>
      <c r="C293" s="98" t="n">
        <f aca="false">MONTH(A293)</f>
        <v>5</v>
      </c>
      <c r="D293" s="98" t="str">
        <f aca="false">IF(C293&lt;=6,"Q2","Q4")</f>
        <v>Q2</v>
      </c>
      <c r="E293" s="0" t="str">
        <f aca="false">B293&amp;D293</f>
        <v>2024Q2</v>
      </c>
      <c r="F293" s="99" t="n">
        <v>0.0634493507339218</v>
      </c>
    </row>
    <row r="294" customFormat="false" ht="12.75" hidden="false" customHeight="false" outlineLevel="0" collapsed="false">
      <c r="A294" s="97" t="n">
        <v>45444</v>
      </c>
      <c r="B294" s="91" t="n">
        <f aca="false">YEAR(A294)</f>
        <v>2024</v>
      </c>
      <c r="C294" s="98" t="n">
        <f aca="false">MONTH(A294)</f>
        <v>6</v>
      </c>
      <c r="D294" s="98" t="str">
        <f aca="false">IF(C294&lt;=6,"Q2","Q4")</f>
        <v>Q2</v>
      </c>
      <c r="E294" s="0" t="str">
        <f aca="false">B294&amp;D294</f>
        <v>2024Q2</v>
      </c>
      <c r="F294" s="99" t="n">
        <v>0.0634288244232679</v>
      </c>
    </row>
    <row r="295" customFormat="false" ht="12.75" hidden="false" customHeight="false" outlineLevel="0" collapsed="false">
      <c r="A295" s="97" t="n">
        <v>45474</v>
      </c>
      <c r="B295" s="91" t="n">
        <f aca="false">YEAR(A295)</f>
        <v>2024</v>
      </c>
      <c r="C295" s="98" t="n">
        <f aca="false">MONTH(A295)</f>
        <v>7</v>
      </c>
      <c r="D295" s="98" t="str">
        <f aca="false">IF(C295&lt;=6,"Q2","Q4")</f>
        <v>Q4</v>
      </c>
      <c r="E295" s="0" t="str">
        <f aca="false">B295&amp;D295</f>
        <v>2024Q4</v>
      </c>
      <c r="F295" s="99" t="n">
        <v>0.0634089602518007</v>
      </c>
    </row>
    <row r="296" customFormat="false" ht="12.75" hidden="false" customHeight="false" outlineLevel="0" collapsed="false">
      <c r="A296" s="97" t="n">
        <v>45505</v>
      </c>
      <c r="B296" s="91" t="n">
        <f aca="false">YEAR(A296)</f>
        <v>2024</v>
      </c>
      <c r="C296" s="98" t="n">
        <f aca="false">MONTH(A296)</f>
        <v>8</v>
      </c>
      <c r="D296" s="98" t="str">
        <f aca="false">IF(C296&lt;=6,"Q2","Q4")</f>
        <v>Q4</v>
      </c>
      <c r="E296" s="0" t="str">
        <f aca="false">B296&amp;D296</f>
        <v>2024Q4</v>
      </c>
      <c r="F296" s="99" t="n">
        <v>0.0633884339414221</v>
      </c>
    </row>
    <row r="297" customFormat="false" ht="12.75" hidden="false" customHeight="false" outlineLevel="0" collapsed="false">
      <c r="A297" s="97" t="n">
        <v>45536</v>
      </c>
      <c r="B297" s="91" t="n">
        <f aca="false">YEAR(A297)</f>
        <v>2024</v>
      </c>
      <c r="C297" s="98" t="n">
        <f aca="false">MONTH(A297)</f>
        <v>9</v>
      </c>
      <c r="D297" s="98" t="str">
        <f aca="false">IF(C297&lt;=6,"Q2","Q4")</f>
        <v>Q4</v>
      </c>
      <c r="E297" s="0" t="str">
        <f aca="false">B297&amp;D297</f>
        <v>2024Q4</v>
      </c>
      <c r="F297" s="99" t="n">
        <v>0.0633679076311831</v>
      </c>
    </row>
    <row r="298" customFormat="false" ht="12.75" hidden="false" customHeight="false" outlineLevel="0" collapsed="false">
      <c r="A298" s="97" t="n">
        <v>45566</v>
      </c>
      <c r="B298" s="91" t="n">
        <f aca="false">YEAR(A298)</f>
        <v>2024</v>
      </c>
      <c r="C298" s="98" t="n">
        <f aca="false">MONTH(A298)</f>
        <v>10</v>
      </c>
      <c r="D298" s="98" t="str">
        <f aca="false">IF(C298&lt;=6,"Q2","Q4")</f>
        <v>Q4</v>
      </c>
      <c r="E298" s="0" t="str">
        <f aca="false">B298&amp;D298</f>
        <v>2024Q4</v>
      </c>
      <c r="F298" s="99" t="n">
        <v>0.0633480434601172</v>
      </c>
    </row>
    <row r="299" customFormat="false" ht="12.75" hidden="false" customHeight="false" outlineLevel="0" collapsed="false">
      <c r="A299" s="97" t="n">
        <v>45597</v>
      </c>
      <c r="B299" s="91" t="n">
        <f aca="false">YEAR(A299)</f>
        <v>2024</v>
      </c>
      <c r="C299" s="98" t="n">
        <f aca="false">MONTH(A299)</f>
        <v>11</v>
      </c>
      <c r="D299" s="98" t="str">
        <f aca="false">IF(C299&lt;=6,"Q2","Q4")</f>
        <v>Q4</v>
      </c>
      <c r="E299" s="0" t="str">
        <f aca="false">B299&amp;D299</f>
        <v>2024Q4</v>
      </c>
      <c r="F299" s="99" t="n">
        <v>0.0633275171501535</v>
      </c>
    </row>
    <row r="300" customFormat="false" ht="12.75" hidden="false" customHeight="false" outlineLevel="0" collapsed="false">
      <c r="A300" s="97" t="n">
        <v>45627</v>
      </c>
      <c r="B300" s="91" t="n">
        <f aca="false">YEAR(A300)</f>
        <v>2024</v>
      </c>
      <c r="C300" s="98" t="n">
        <f aca="false">MONTH(A300)</f>
        <v>12</v>
      </c>
      <c r="D300" s="98" t="str">
        <f aca="false">IF(C300&lt;=6,"Q2","Q4")</f>
        <v>Q4</v>
      </c>
      <c r="E300" s="0" t="str">
        <f aca="false">B300&amp;D300</f>
        <v>2024Q4</v>
      </c>
      <c r="F300" s="99" t="n">
        <v>0.0633076529793537</v>
      </c>
    </row>
    <row r="301" customFormat="false" ht="12.75" hidden="false" customHeight="false" outlineLevel="0" collapsed="false">
      <c r="A301" s="97" t="n">
        <v>45658</v>
      </c>
      <c r="B301" s="91" t="n">
        <f aca="false">YEAR(A301)</f>
        <v>2025</v>
      </c>
      <c r="C301" s="98" t="n">
        <f aca="false">MONTH(A301)</f>
        <v>1</v>
      </c>
      <c r="D301" s="98" t="str">
        <f aca="false">IF(C301&lt;=6,"Q2","Q4")</f>
        <v>Q2</v>
      </c>
      <c r="E301" s="0" t="str">
        <f aca="false">B301&amp;D301</f>
        <v>2025Q2</v>
      </c>
      <c r="F301" s="99" t="n">
        <v>0.0632871266696649</v>
      </c>
    </row>
    <row r="302" customFormat="false" ht="12.75" hidden="false" customHeight="false" outlineLevel="0" collapsed="false">
      <c r="A302" s="97" t="n">
        <v>45689</v>
      </c>
      <c r="B302" s="91" t="n">
        <f aca="false">YEAR(A302)</f>
        <v>2025</v>
      </c>
      <c r="C302" s="98" t="n">
        <f aca="false">MONTH(A302)</f>
        <v>2</v>
      </c>
      <c r="D302" s="98" t="str">
        <f aca="false">IF(C302&lt;=6,"Q2","Q4")</f>
        <v>Q2</v>
      </c>
      <c r="E302" s="0" t="str">
        <f aca="false">B302&amp;D302</f>
        <v>2025Q2</v>
      </c>
      <c r="F302" s="99" t="n">
        <v>0.0632666003601159</v>
      </c>
    </row>
    <row r="303" customFormat="false" ht="12.75" hidden="false" customHeight="false" outlineLevel="0" collapsed="false">
      <c r="A303" s="97" t="n">
        <v>45717</v>
      </c>
      <c r="B303" s="91" t="n">
        <f aca="false">YEAR(A303)</f>
        <v>2025</v>
      </c>
      <c r="C303" s="98" t="n">
        <f aca="false">MONTH(A303)</f>
        <v>3</v>
      </c>
      <c r="D303" s="98" t="str">
        <f aca="false">IF(C303&lt;=6,"Q2","Q4")</f>
        <v>Q2</v>
      </c>
      <c r="E303" s="0" t="str">
        <f aca="false">B303&amp;D303</f>
        <v>2025Q2</v>
      </c>
      <c r="F303" s="99" t="n">
        <v>0.0632480604677399</v>
      </c>
    </row>
    <row r="304" customFormat="false" ht="12.75" hidden="false" customHeight="false" outlineLevel="0" collapsed="false">
      <c r="A304" s="97" t="n">
        <v>45748</v>
      </c>
      <c r="B304" s="91" t="n">
        <f aca="false">YEAR(A304)</f>
        <v>2025</v>
      </c>
      <c r="C304" s="98" t="n">
        <f aca="false">MONTH(A304)</f>
        <v>4</v>
      </c>
      <c r="D304" s="98" t="str">
        <f aca="false">IF(C304&lt;=6,"Q2","Q4")</f>
        <v>Q2</v>
      </c>
      <c r="E304" s="0" t="str">
        <f aca="false">B304&amp;D304</f>
        <v>2025Q2</v>
      </c>
      <c r="F304" s="99" t="n">
        <v>0.063227534158457</v>
      </c>
    </row>
    <row r="305" customFormat="false" ht="12.75" hidden="false" customHeight="false" outlineLevel="0" collapsed="false">
      <c r="A305" s="97" t="n">
        <v>45778</v>
      </c>
      <c r="B305" s="91" t="n">
        <f aca="false">YEAR(A305)</f>
        <v>2025</v>
      </c>
      <c r="C305" s="98" t="n">
        <f aca="false">MONTH(A305)</f>
        <v>5</v>
      </c>
      <c r="D305" s="98" t="str">
        <f aca="false">IF(C305&lt;=6,"Q2","Q4")</f>
        <v>Q2</v>
      </c>
      <c r="E305" s="0" t="str">
        <f aca="false">B305&amp;D305</f>
        <v>2025Q2</v>
      </c>
      <c r="F305" s="99" t="n">
        <v>0.0632076699883157</v>
      </c>
    </row>
    <row r="306" customFormat="false" ht="12.75" hidden="false" customHeight="false" outlineLevel="0" collapsed="false">
      <c r="A306" s="97" t="n">
        <v>45809</v>
      </c>
      <c r="B306" s="91" t="n">
        <f aca="false">YEAR(A306)</f>
        <v>2025</v>
      </c>
      <c r="C306" s="98" t="n">
        <f aca="false">MONTH(A306)</f>
        <v>6</v>
      </c>
      <c r="D306" s="98" t="str">
        <f aca="false">IF(C306&lt;=6,"Q2","Q4")</f>
        <v>Q2</v>
      </c>
      <c r="E306" s="0" t="str">
        <f aca="false">B306&amp;D306</f>
        <v>2025Q2</v>
      </c>
      <c r="F306" s="99" t="n">
        <v>0.0631871436793077</v>
      </c>
    </row>
    <row r="307" customFormat="false" ht="12.75" hidden="false" customHeight="false" outlineLevel="0" collapsed="false">
      <c r="A307" s="97" t="n">
        <v>45839</v>
      </c>
      <c r="B307" s="91" t="n">
        <f aca="false">YEAR(A307)</f>
        <v>2025</v>
      </c>
      <c r="C307" s="98" t="n">
        <f aca="false">MONTH(A307)</f>
        <v>7</v>
      </c>
      <c r="D307" s="98" t="str">
        <f aca="false">IF(C307&lt;=6,"Q2","Q4")</f>
        <v>Q4</v>
      </c>
      <c r="E307" s="0" t="str">
        <f aca="false">B307&amp;D307</f>
        <v>2025Q4</v>
      </c>
      <c r="F307" s="99" t="n">
        <v>0.0631672795094334</v>
      </c>
    </row>
    <row r="308" customFormat="false" ht="12.75" hidden="false" customHeight="false" outlineLevel="0" collapsed="false">
      <c r="A308" s="97" t="n">
        <v>45870</v>
      </c>
      <c r="B308" s="91" t="n">
        <f aca="false">YEAR(A308)</f>
        <v>2025</v>
      </c>
      <c r="C308" s="98" t="n">
        <f aca="false">MONTH(A308)</f>
        <v>8</v>
      </c>
      <c r="D308" s="98" t="str">
        <f aca="false">IF(C308&lt;=6,"Q2","Q4")</f>
        <v>Q4</v>
      </c>
      <c r="E308" s="0" t="str">
        <f aca="false">B308&amp;D308</f>
        <v>2025Q4</v>
      </c>
      <c r="F308" s="99" t="n">
        <v>0.0631467532007002</v>
      </c>
    </row>
    <row r="309" customFormat="false" ht="12.75" hidden="false" customHeight="false" outlineLevel="0" collapsed="false">
      <c r="A309" s="97" t="n">
        <v>45901</v>
      </c>
      <c r="B309" s="91" t="n">
        <f aca="false">YEAR(A309)</f>
        <v>2025</v>
      </c>
      <c r="C309" s="98" t="n">
        <f aca="false">MONTH(A309)</f>
        <v>9</v>
      </c>
      <c r="D309" s="98" t="str">
        <f aca="false">IF(C309&lt;=6,"Q2","Q4")</f>
        <v>Q4</v>
      </c>
      <c r="E309" s="0" t="str">
        <f aca="false">B309&amp;D309</f>
        <v>2025Q4</v>
      </c>
      <c r="F309" s="99" t="n">
        <v>0.0631262268921069</v>
      </c>
    </row>
    <row r="310" customFormat="false" ht="12.75" hidden="false" customHeight="false" outlineLevel="0" collapsed="false">
      <c r="A310" s="97" t="n">
        <v>45931</v>
      </c>
      <c r="B310" s="91" t="n">
        <f aca="false">YEAR(A310)</f>
        <v>2025</v>
      </c>
      <c r="C310" s="98" t="n">
        <f aca="false">MONTH(A310)</f>
        <v>10</v>
      </c>
      <c r="D310" s="98" t="str">
        <f aca="false">IF(C310&lt;=6,"Q2","Q4")</f>
        <v>Q4</v>
      </c>
      <c r="E310" s="0" t="str">
        <f aca="false">B310&amp;D310</f>
        <v>2025Q4</v>
      </c>
      <c r="F310" s="99" t="n">
        <v>0.0631063627226336</v>
      </c>
    </row>
    <row r="311" customFormat="false" ht="12.75" hidden="false" customHeight="false" outlineLevel="0" collapsed="false">
      <c r="A311" s="97" t="n">
        <v>45962</v>
      </c>
      <c r="B311" s="91" t="n">
        <f aca="false">YEAR(A311)</f>
        <v>2025</v>
      </c>
      <c r="C311" s="98" t="n">
        <f aca="false">MONTH(A311)</f>
        <v>11</v>
      </c>
      <c r="D311" s="98" t="str">
        <f aca="false">IF(C311&lt;=6,"Q2","Q4")</f>
        <v>Q4</v>
      </c>
      <c r="E311" s="0" t="str">
        <f aca="false">B311&amp;D311</f>
        <v>2025Q4</v>
      </c>
      <c r="F311" s="99" t="n">
        <v>0.0630858364143156</v>
      </c>
    </row>
    <row r="312" customFormat="false" ht="12.75" hidden="false" customHeight="false" outlineLevel="0" collapsed="false">
      <c r="A312" s="97" t="n">
        <v>45992</v>
      </c>
      <c r="B312" s="91" t="n">
        <f aca="false">YEAR(A312)</f>
        <v>2025</v>
      </c>
      <c r="C312" s="98" t="n">
        <f aca="false">MONTH(A312)</f>
        <v>12</v>
      </c>
      <c r="D312" s="98" t="str">
        <f aca="false">IF(C312&lt;=6,"Q2","Q4")</f>
        <v>Q4</v>
      </c>
      <c r="E312" s="0" t="str">
        <f aca="false">B312&amp;D312</f>
        <v>2025Q4</v>
      </c>
      <c r="F312" s="99" t="n">
        <v>0.0630659722451088</v>
      </c>
    </row>
    <row r="313" customFormat="false" ht="12.75" hidden="false" customHeight="false" outlineLevel="0" collapsed="false">
      <c r="A313" s="97" t="n">
        <v>46023</v>
      </c>
      <c r="B313" s="91" t="n">
        <f aca="false">YEAR(A313)</f>
        <v>2026</v>
      </c>
      <c r="C313" s="98" t="n">
        <f aca="false">MONTH(A313)</f>
        <v>1</v>
      </c>
      <c r="D313" s="98" t="str">
        <f aca="false">IF(C313&lt;=6,"Q2","Q4")</f>
        <v>Q2</v>
      </c>
      <c r="E313" s="0" t="str">
        <f aca="false">B313&amp;D313</f>
        <v>2026Q2</v>
      </c>
      <c r="F313" s="99" t="n">
        <v>0.0630454459370653</v>
      </c>
    </row>
    <row r="314" customFormat="false" ht="12.75" hidden="false" customHeight="false" outlineLevel="0" collapsed="false">
      <c r="A314" s="97" t="n">
        <v>46054</v>
      </c>
      <c r="B314" s="91" t="n">
        <f aca="false">YEAR(A314)</f>
        <v>2026</v>
      </c>
      <c r="C314" s="98" t="n">
        <f aca="false">MONTH(A314)</f>
        <v>2</v>
      </c>
      <c r="D314" s="98" t="str">
        <f aca="false">IF(C314&lt;=6,"Q2","Q4")</f>
        <v>Q2</v>
      </c>
      <c r="E314" s="0" t="str">
        <f aca="false">B314&amp;D314</f>
        <v>2026Q2</v>
      </c>
      <c r="F314" s="99" t="n">
        <v>0.0630249196291621</v>
      </c>
    </row>
    <row r="315" customFormat="false" ht="12.75" hidden="false" customHeight="false" outlineLevel="0" collapsed="false">
      <c r="A315" s="97" t="n">
        <v>46082</v>
      </c>
      <c r="B315" s="91" t="n">
        <f aca="false">YEAR(A315)</f>
        <v>2026</v>
      </c>
      <c r="C315" s="98" t="n">
        <f aca="false">MONTH(A315)</f>
        <v>3</v>
      </c>
      <c r="D315" s="98" t="str">
        <f aca="false">IF(C315&lt;=6,"Q2","Q4")</f>
        <v>Q2</v>
      </c>
      <c r="E315" s="0" t="str">
        <f aca="false">B315&amp;D315</f>
        <v>2026Q2</v>
      </c>
      <c r="F315" s="99" t="n">
        <v>0.063006379738273</v>
      </c>
    </row>
    <row r="316" customFormat="false" ht="12.75" hidden="false" customHeight="false" outlineLevel="0" collapsed="false">
      <c r="A316" s="97" t="n">
        <v>46113</v>
      </c>
      <c r="B316" s="91" t="n">
        <f aca="false">YEAR(A316)</f>
        <v>2026</v>
      </c>
      <c r="C316" s="98" t="n">
        <f aca="false">MONTH(A316)</f>
        <v>4</v>
      </c>
      <c r="D316" s="98" t="str">
        <f aca="false">IF(C316&lt;=6,"Q2","Q4")</f>
        <v>Q2</v>
      </c>
      <c r="E316" s="0" t="str">
        <f aca="false">B316&amp;D316</f>
        <v>2026Q2</v>
      </c>
      <c r="F316" s="99" t="n">
        <v>0.0629858534306358</v>
      </c>
    </row>
    <row r="317" customFormat="false" ht="12.75" hidden="false" customHeight="false" outlineLevel="0" collapsed="false">
      <c r="A317" s="97" t="n">
        <v>46143</v>
      </c>
      <c r="B317" s="91" t="n">
        <f aca="false">YEAR(A317)</f>
        <v>2026</v>
      </c>
      <c r="C317" s="98" t="n">
        <f aca="false">MONTH(A317)</f>
        <v>5</v>
      </c>
      <c r="D317" s="98" t="str">
        <f aca="false">IF(C317&lt;=6,"Q2","Q4")</f>
        <v>Q2</v>
      </c>
      <c r="E317" s="0" t="str">
        <f aca="false">B317&amp;D317</f>
        <v>2026Q2</v>
      </c>
      <c r="F317" s="99" t="n">
        <v>0.0629659892620875</v>
      </c>
    </row>
    <row r="318" customFormat="false" ht="12.75" hidden="false" customHeight="false" outlineLevel="0" collapsed="false">
      <c r="A318" s="97" t="n">
        <v>46174</v>
      </c>
      <c r="B318" s="91" t="n">
        <f aca="false">YEAR(A318)</f>
        <v>2026</v>
      </c>
      <c r="C318" s="98" t="n">
        <f aca="false">MONTH(A318)</f>
        <v>6</v>
      </c>
      <c r="D318" s="98" t="str">
        <f aca="false">IF(C318&lt;=6,"Q2","Q4")</f>
        <v>Q2</v>
      </c>
      <c r="E318" s="0" t="str">
        <f aca="false">B318&amp;D318</f>
        <v>2026Q2</v>
      </c>
      <c r="F318" s="99" t="n">
        <v>0.0629454629547257</v>
      </c>
    </row>
    <row r="319" customFormat="false" ht="12.75" hidden="false" customHeight="false" outlineLevel="0" collapsed="false">
      <c r="A319" s="97" t="n">
        <v>46204</v>
      </c>
      <c r="B319" s="91" t="n">
        <f aca="false">YEAR(A319)</f>
        <v>2026</v>
      </c>
      <c r="C319" s="98" t="n">
        <f aca="false">MONTH(A319)</f>
        <v>7</v>
      </c>
      <c r="D319" s="98" t="str">
        <f aca="false">IF(C319&lt;=6,"Q2","Q4")</f>
        <v>Q4</v>
      </c>
      <c r="E319" s="0" t="str">
        <f aca="false">B319&amp;D319</f>
        <v>2026Q4</v>
      </c>
      <c r="F319" s="99" t="n">
        <v>0.0629255987864434</v>
      </c>
    </row>
    <row r="320" customFormat="false" ht="12.75" hidden="false" customHeight="false" outlineLevel="0" collapsed="false">
      <c r="A320" s="97" t="n">
        <v>46235</v>
      </c>
      <c r="B320" s="91" t="n">
        <f aca="false">YEAR(A320)</f>
        <v>2026</v>
      </c>
      <c r="C320" s="98" t="n">
        <f aca="false">MONTH(A320)</f>
        <v>8</v>
      </c>
      <c r="D320" s="98" t="str">
        <f aca="false">IF(C320&lt;=6,"Q2","Q4")</f>
        <v>Q4</v>
      </c>
      <c r="E320" s="0" t="str">
        <f aca="false">B320&amp;D320</f>
        <v>2026Q4</v>
      </c>
      <c r="F320" s="99" t="n">
        <v>0.0629050724793565</v>
      </c>
    </row>
    <row r="321" customFormat="false" ht="12.75" hidden="false" customHeight="false" outlineLevel="0" collapsed="false">
      <c r="A321" s="97" t="n">
        <v>46266</v>
      </c>
      <c r="B321" s="91" t="n">
        <f aca="false">YEAR(A321)</f>
        <v>2026</v>
      </c>
      <c r="C321" s="98" t="n">
        <f aca="false">MONTH(A321)</f>
        <v>9</v>
      </c>
      <c r="D321" s="98" t="str">
        <f aca="false">IF(C321&lt;=6,"Q2","Q4")</f>
        <v>Q4</v>
      </c>
      <c r="E321" s="0" t="str">
        <f aca="false">B321&amp;D321</f>
        <v>2026Q4</v>
      </c>
      <c r="F321" s="99" t="n">
        <v>0.062884546172409</v>
      </c>
    </row>
    <row r="322" customFormat="false" ht="12.75" hidden="false" customHeight="false" outlineLevel="0" collapsed="false">
      <c r="A322" s="97" t="n">
        <v>46296</v>
      </c>
      <c r="B322" s="91" t="n">
        <f aca="false">YEAR(A322)</f>
        <v>2026</v>
      </c>
      <c r="C322" s="98" t="n">
        <f aca="false">MONTH(A322)</f>
        <v>10</v>
      </c>
      <c r="D322" s="98" t="str">
        <f aca="false">IF(C322&lt;=6,"Q2","Q4")</f>
        <v>Q4</v>
      </c>
      <c r="E322" s="0" t="str">
        <f aca="false">B322&amp;D322</f>
        <v>2026Q4</v>
      </c>
      <c r="F322" s="99" t="n">
        <v>0.0628646820045287</v>
      </c>
    </row>
    <row r="323" customFormat="false" ht="12.75" hidden="false" customHeight="false" outlineLevel="0" collapsed="false">
      <c r="A323" s="97" t="n">
        <v>46327</v>
      </c>
      <c r="B323" s="91" t="n">
        <f aca="false">YEAR(A323)</f>
        <v>2026</v>
      </c>
      <c r="C323" s="98" t="n">
        <f aca="false">MONTH(A323)</f>
        <v>11</v>
      </c>
      <c r="D323" s="98" t="str">
        <f aca="false">IF(C323&lt;=6,"Q2","Q4")</f>
        <v>Q4</v>
      </c>
      <c r="E323" s="0" t="str">
        <f aca="false">B323&amp;D323</f>
        <v>2026Q4</v>
      </c>
      <c r="F323" s="99" t="n">
        <v>0.0628441556978565</v>
      </c>
    </row>
    <row r="324" customFormat="false" ht="12.75" hidden="false" customHeight="false" outlineLevel="0" collapsed="false">
      <c r="A324" s="97" t="n">
        <v>46357</v>
      </c>
      <c r="B324" s="91" t="n">
        <f aca="false">YEAR(A324)</f>
        <v>2026</v>
      </c>
      <c r="C324" s="98" t="n">
        <f aca="false">MONTH(A324)</f>
        <v>12</v>
      </c>
      <c r="D324" s="98" t="str">
        <f aca="false">IF(C324&lt;=6,"Q2","Q4")</f>
        <v>Q4</v>
      </c>
      <c r="E324" s="0" t="str">
        <f aca="false">B324&amp;D324</f>
        <v>2026Q4</v>
      </c>
      <c r="F324" s="99" t="n">
        <v>0.0628242915302422</v>
      </c>
    </row>
    <row r="329" customFormat="false" ht="12.75" hidden="false" customHeight="false" outlineLevel="0" collapsed="false">
      <c r="F329" s="99" t="n">
        <v>0.0628037652238453</v>
      </c>
    </row>
    <row r="330" customFormat="false" ht="12.75" hidden="false" customHeight="false" outlineLevel="0" collapsed="false">
      <c r="F330" s="99" t="n">
        <v>0.062783238917588</v>
      </c>
    </row>
    <row r="331" customFormat="false" ht="12.75" hidden="false" customHeight="false" outlineLevel="0" collapsed="false">
      <c r="F331" s="99" t="n">
        <v>0.0627646990281856</v>
      </c>
    </row>
    <row r="332" customFormat="false" ht="12.75" hidden="false" customHeight="false" outlineLevel="0" collapsed="false">
      <c r="F332" s="99" t="n">
        <v>0.0627441727221942</v>
      </c>
    </row>
    <row r="333" customFormat="false" ht="12.75" hidden="false" customHeight="false" outlineLevel="0" collapsed="false">
      <c r="F333" s="99" t="n">
        <v>0.0627243085552389</v>
      </c>
    </row>
    <row r="334" customFormat="false" ht="12.75" hidden="false" customHeight="false" outlineLevel="0" collapsed="false">
      <c r="F334" s="99" t="n">
        <v>0.0627037822495229</v>
      </c>
    </row>
    <row r="335" customFormat="false" ht="12.75" hidden="false" customHeight="false" outlineLevel="0" collapsed="false">
      <c r="F335" s="99" t="n">
        <v>0.062683918082834</v>
      </c>
    </row>
    <row r="336" customFormat="false" ht="12.75" hidden="false" customHeight="false" outlineLevel="0" collapsed="false">
      <c r="F336" s="99" t="n">
        <v>0.0626633917773929</v>
      </c>
    </row>
    <row r="337" customFormat="false" ht="12.75" hidden="false" customHeight="false" outlineLevel="0" collapsed="false">
      <c r="F337" s="99" t="n">
        <v>0.0626428654720916</v>
      </c>
    </row>
    <row r="338" customFormat="false" ht="12.75" hidden="false" customHeight="false" outlineLevel="0" collapsed="false">
      <c r="F338" s="99" t="n">
        <v>0.0626230013058038</v>
      </c>
    </row>
    <row r="339" customFormat="false" ht="12.75" hidden="false" customHeight="false" outlineLevel="0" collapsed="false">
      <c r="F339" s="99" t="n">
        <v>0.0626024750007779</v>
      </c>
    </row>
    <row r="340" customFormat="false" ht="12.75" hidden="false" customHeight="false" outlineLevel="0" collapsed="false">
      <c r="F340" s="99" t="n">
        <v>0.0625826108347565</v>
      </c>
    </row>
    <row r="341" customFormat="false" ht="12.75" hidden="false" customHeight="false" outlineLevel="0" collapsed="false">
      <c r="F341" s="99" t="n">
        <v>0.0625620845300055</v>
      </c>
    </row>
    <row r="342" customFormat="false" ht="12.75" hidden="false" customHeight="false" outlineLevel="0" collapsed="false">
      <c r="F342" s="99" t="n">
        <v>0.0625415582253943</v>
      </c>
    </row>
    <row r="343" customFormat="false" ht="12.75" hidden="false" customHeight="false" outlineLevel="0" collapsed="false">
      <c r="F343" s="99" t="n">
        <v>0.0625223561986266</v>
      </c>
    </row>
    <row r="344" customFormat="false" ht="12.75" hidden="false" customHeight="false" outlineLevel="0" collapsed="false">
      <c r="F344" s="99" t="n">
        <v>0.0625018298942859</v>
      </c>
    </row>
    <row r="345" customFormat="false" ht="12.75" hidden="false" customHeight="false" outlineLevel="0" collapsed="false">
      <c r="F345" s="99" t="n">
        <v>0.0624819657289284</v>
      </c>
    </row>
    <row r="346" customFormat="false" ht="12.75" hidden="false" customHeight="false" outlineLevel="0" collapsed="false">
      <c r="F346" s="99" t="n">
        <v>0.062461439424863</v>
      </c>
    </row>
    <row r="347" customFormat="false" ht="12.75" hidden="false" customHeight="false" outlineLevel="0" collapsed="false">
      <c r="F347" s="99" t="n">
        <v>0.0624415752597716</v>
      </c>
    </row>
    <row r="348" customFormat="false" ht="12.75" hidden="false" customHeight="false" outlineLevel="0" collapsed="false">
      <c r="F348" s="99" t="n">
        <v>0.0624210489559811</v>
      </c>
    </row>
    <row r="349" customFormat="false" ht="12.75" hidden="false" customHeight="false" outlineLevel="0" collapsed="false">
      <c r="F349" s="99" t="n">
        <v>0.0624005226523305</v>
      </c>
    </row>
    <row r="350" customFormat="false" ht="12.75" hidden="false" customHeight="false" outlineLevel="0" collapsed="false">
      <c r="F350" s="99" t="n">
        <v>0.062380658487641</v>
      </c>
    </row>
    <row r="351" customFormat="false" ht="12.75" hidden="false" customHeight="false" outlineLevel="0" collapsed="false">
      <c r="F351" s="99" t="n">
        <v>0.0623601321842657</v>
      </c>
    </row>
    <row r="352" customFormat="false" ht="12.75" hidden="false" customHeight="false" outlineLevel="0" collapsed="false">
      <c r="F352" s="99" t="n">
        <v>0.0623402680198422</v>
      </c>
    </row>
    <row r="353" customFormat="false" ht="12.75" hidden="false" customHeight="false" outlineLevel="0" collapsed="false">
      <c r="F353" s="99" t="n">
        <v>0.0623197417167418</v>
      </c>
    </row>
    <row r="354" customFormat="false" ht="12.75" hidden="false" customHeight="false" outlineLevel="0" collapsed="false">
      <c r="F354" s="99" t="n">
        <v>0.0622992154137814</v>
      </c>
    </row>
    <row r="355" customFormat="false" ht="12.75" hidden="false" customHeight="false" outlineLevel="0" collapsed="false">
      <c r="F355" s="99" t="n">
        <v>0.0622806755273571</v>
      </c>
    </row>
    <row r="356" customFormat="false" ht="12.75" hidden="false" customHeight="false" outlineLevel="0" collapsed="false">
      <c r="F356" s="99" t="n">
        <v>0.0622601492246626</v>
      </c>
    </row>
    <row r="357" customFormat="false" ht="12.75" hidden="false" customHeight="false" outlineLevel="0" collapsed="false">
      <c r="F357" s="99" t="n">
        <v>0.0622402850608985</v>
      </c>
    </row>
    <row r="358" customFormat="false" ht="12.75" hidden="false" customHeight="false" outlineLevel="0" collapsed="false">
      <c r="F358" s="99" t="n">
        <v>0.0622197587584794</v>
      </c>
    </row>
    <row r="359" customFormat="false" ht="12.75" hidden="false" customHeight="false" outlineLevel="0" collapsed="false">
      <c r="F359" s="99" t="n">
        <v>0.0621998945949813</v>
      </c>
    </row>
    <row r="360" customFormat="false" ht="12.75" hidden="false" customHeight="false" outlineLevel="0" collapsed="false">
      <c r="F360" s="99" t="n">
        <v>0.0621793682928376</v>
      </c>
    </row>
    <row r="361" customFormat="false" ht="12.75" hidden="false" customHeight="false" outlineLevel="0" collapsed="false">
      <c r="F361" s="99" t="n">
        <v>0.0621588419908337</v>
      </c>
    </row>
    <row r="362" customFormat="false" ht="12.75" hidden="false" customHeight="false" outlineLevel="0" collapsed="false">
      <c r="F362" s="99" t="n">
        <v>0.062138977827737</v>
      </c>
    </row>
    <row r="363" customFormat="false" ht="12.75" hidden="false" customHeight="false" outlineLevel="0" collapsed="false">
      <c r="F363" s="99" t="n">
        <v>0.062118451526008</v>
      </c>
    </row>
    <row r="364" customFormat="false" ht="12.75" hidden="false" customHeight="false" outlineLevel="0" collapsed="false">
      <c r="F364" s="99" t="n">
        <v>0.0620985873631779</v>
      </c>
    </row>
    <row r="365" customFormat="false" ht="12.75" hidden="false" customHeight="false" outlineLevel="0" collapsed="false">
      <c r="F365" s="99" t="n">
        <v>0.0620780610617242</v>
      </c>
    </row>
    <row r="366" customFormat="false" ht="12.75" hidden="false" customHeight="false" outlineLevel="0" collapsed="false">
      <c r="F366" s="99" t="n">
        <v>0.0620575347604104</v>
      </c>
    </row>
    <row r="367" customFormat="false" ht="12.75" hidden="false" customHeight="false" outlineLevel="0" collapsed="false">
      <c r="F367" s="99" t="n">
        <v>0.0620389948754729</v>
      </c>
    </row>
    <row r="368" customFormat="false" ht="12.75" hidden="false" customHeight="false" outlineLevel="0" collapsed="false">
      <c r="F368" s="99" t="n">
        <v>0.0620217792681332</v>
      </c>
    </row>
  </sheetData>
  <mergeCells count="2">
    <mergeCell ref="I2:M2"/>
    <mergeCell ref="O3:Q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2:B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13" width="19.99"/>
    <col collapsed="false" customWidth="true" hidden="false" outlineLevel="0" max="2" min="2" style="113" width="4.85"/>
    <col collapsed="false" customWidth="true" hidden="false" outlineLevel="0" max="6" min="3" style="113" width="11.7"/>
    <col collapsed="false" customWidth="true" hidden="false" outlineLevel="0" max="8" min="7" style="113" width="8.41"/>
    <col collapsed="false" customWidth="true" hidden="false" outlineLevel="0" max="14" min="9" style="113" width="11.7"/>
    <col collapsed="false" customWidth="true" hidden="false" outlineLevel="0" max="15" min="15" style="113" width="12.56"/>
    <col collapsed="false" customWidth="true" hidden="false" outlineLevel="0" max="24" min="16" style="113" width="11.7"/>
    <col collapsed="false" customWidth="true" hidden="false" outlineLevel="0" max="29" min="25" style="114" width="11.7"/>
    <col collapsed="false" customWidth="false" hidden="false" outlineLevel="0" max="41" min="30" style="114" width="9.14"/>
    <col collapsed="false" customWidth="false" hidden="false" outlineLevel="0" max="257" min="42" style="113" width="9.14"/>
  </cols>
  <sheetData>
    <row r="2" customFormat="false" ht="13.5" hidden="false" customHeight="true" outlineLevel="0" collapsed="false">
      <c r="A2" s="115" t="s">
        <v>59</v>
      </c>
      <c r="B2" s="116"/>
      <c r="C2" s="116" t="n">
        <v>1</v>
      </c>
      <c r="D2" s="116" t="n">
        <f aca="false">C2+1</f>
        <v>2</v>
      </c>
      <c r="E2" s="116" t="n">
        <f aca="false">D2+1</f>
        <v>3</v>
      </c>
      <c r="F2" s="116" t="n">
        <f aca="false">E2+1</f>
        <v>4</v>
      </c>
      <c r="G2" s="116" t="n">
        <f aca="false">F2+1</f>
        <v>5</v>
      </c>
      <c r="H2" s="116" t="n">
        <f aca="false">G2+1</f>
        <v>6</v>
      </c>
      <c r="I2" s="116" t="n">
        <f aca="false">H2+1</f>
        <v>7</v>
      </c>
      <c r="J2" s="116" t="n">
        <f aca="false">I2+1</f>
        <v>8</v>
      </c>
      <c r="K2" s="116" t="n">
        <f aca="false">J2+1</f>
        <v>9</v>
      </c>
      <c r="L2" s="116" t="n">
        <f aca="false">K2+1</f>
        <v>10</v>
      </c>
      <c r="M2" s="116" t="n">
        <f aca="false">L2+1</f>
        <v>11</v>
      </c>
      <c r="N2" s="116" t="n">
        <f aca="false">M2+1</f>
        <v>12</v>
      </c>
      <c r="O2" s="116" t="n">
        <f aca="false">N2+1</f>
        <v>13</v>
      </c>
      <c r="P2" s="116" t="n">
        <f aca="false">O2+1</f>
        <v>14</v>
      </c>
      <c r="Q2" s="116" t="n">
        <f aca="false">P2+1</f>
        <v>15</v>
      </c>
      <c r="R2" s="116" t="n">
        <f aca="false">Q2+1</f>
        <v>16</v>
      </c>
      <c r="S2" s="116" t="n">
        <f aca="false">R2+1</f>
        <v>17</v>
      </c>
      <c r="T2" s="116" t="n">
        <f aca="false">S2+1</f>
        <v>18</v>
      </c>
      <c r="U2" s="116" t="n">
        <f aca="false">T2+1</f>
        <v>19</v>
      </c>
      <c r="V2" s="116" t="n">
        <f aca="false">U2+1</f>
        <v>20</v>
      </c>
      <c r="W2" s="116" t="n">
        <f aca="false">V2+1</f>
        <v>21</v>
      </c>
      <c r="X2" s="116" t="n">
        <f aca="false">W2+1</f>
        <v>22</v>
      </c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18"/>
      <c r="FI2" s="118"/>
      <c r="FJ2" s="118"/>
      <c r="FK2" s="118"/>
      <c r="FL2" s="118"/>
      <c r="FM2" s="118"/>
      <c r="FN2" s="118"/>
      <c r="FO2" s="118"/>
      <c r="FP2" s="118"/>
      <c r="FQ2" s="118"/>
      <c r="FR2" s="118"/>
      <c r="FS2" s="118"/>
      <c r="FT2" s="118"/>
      <c r="FU2" s="118"/>
      <c r="FV2" s="118"/>
      <c r="FW2" s="118"/>
      <c r="FX2" s="118"/>
      <c r="FY2" s="118"/>
      <c r="FZ2" s="118"/>
      <c r="GA2" s="118"/>
      <c r="GB2" s="118"/>
      <c r="GC2" s="118"/>
      <c r="GD2" s="118"/>
      <c r="GE2" s="118"/>
      <c r="GF2" s="118"/>
      <c r="GG2" s="118"/>
      <c r="GH2" s="118"/>
      <c r="GI2" s="118"/>
      <c r="GJ2" s="118"/>
      <c r="GK2" s="118"/>
      <c r="GL2" s="118"/>
      <c r="GM2" s="118"/>
      <c r="GN2" s="118"/>
      <c r="GO2" s="118"/>
      <c r="GP2" s="118"/>
      <c r="GQ2" s="118"/>
      <c r="GR2" s="118"/>
      <c r="GS2" s="118"/>
      <c r="GT2" s="118"/>
      <c r="GU2" s="118"/>
      <c r="GV2" s="118"/>
      <c r="GW2" s="118"/>
      <c r="GX2" s="118"/>
      <c r="GY2" s="118"/>
      <c r="GZ2" s="118"/>
      <c r="HA2" s="118"/>
      <c r="HB2" s="118"/>
      <c r="HC2" s="118"/>
      <c r="HD2" s="118"/>
      <c r="HE2" s="118"/>
      <c r="HF2" s="118"/>
      <c r="HG2" s="118"/>
      <c r="HH2" s="118"/>
      <c r="HI2" s="118"/>
      <c r="HJ2" s="118"/>
      <c r="HK2" s="118"/>
      <c r="HL2" s="118"/>
      <c r="HM2" s="118"/>
      <c r="HN2" s="118"/>
      <c r="HO2" s="118"/>
      <c r="HP2" s="118"/>
      <c r="HQ2" s="118"/>
      <c r="HR2" s="118"/>
      <c r="HS2" s="118"/>
      <c r="HT2" s="118"/>
      <c r="HU2" s="118"/>
      <c r="HV2" s="118"/>
      <c r="HW2" s="118"/>
      <c r="HX2" s="118"/>
      <c r="HY2" s="118"/>
      <c r="HZ2" s="118"/>
      <c r="IA2" s="118"/>
      <c r="IB2" s="118"/>
      <c r="IC2" s="118"/>
      <c r="ID2" s="118"/>
      <c r="IE2" s="118"/>
      <c r="IF2" s="118"/>
      <c r="IG2" s="118"/>
      <c r="IH2" s="118"/>
      <c r="II2" s="118"/>
      <c r="IJ2" s="118"/>
      <c r="IK2" s="118"/>
      <c r="IL2" s="118"/>
      <c r="IM2" s="118"/>
      <c r="IN2" s="118"/>
      <c r="IO2" s="118"/>
      <c r="IP2" s="118"/>
      <c r="IQ2" s="118"/>
      <c r="IR2" s="118"/>
      <c r="IS2" s="118"/>
      <c r="IT2" s="118"/>
      <c r="IU2" s="118"/>
      <c r="IV2" s="118"/>
      <c r="IW2" s="118"/>
    </row>
    <row r="4" customFormat="false" ht="11.25" hidden="false" customHeight="false" outlineLevel="0" collapsed="false">
      <c r="A4" s="119"/>
      <c r="B4" s="119"/>
      <c r="C4" s="120" t="n">
        <f aca="false">Cashflow!C3</f>
        <v>36891</v>
      </c>
      <c r="D4" s="121" t="n">
        <f aca="false">EOMONTH(C4,12)</f>
        <v>37256</v>
      </c>
      <c r="E4" s="121" t="n">
        <f aca="false">EOMONTH(D4,12)</f>
        <v>37621</v>
      </c>
      <c r="F4" s="121" t="n">
        <f aca="false">EOMONTH(E4,12)</f>
        <v>37986</v>
      </c>
      <c r="G4" s="121" t="n">
        <f aca="false">EOMONTH(F4,12)</f>
        <v>38352</v>
      </c>
      <c r="H4" s="121" t="n">
        <f aca="false">EOMONTH(G4,12)</f>
        <v>38717</v>
      </c>
      <c r="I4" s="121" t="n">
        <f aca="false">EOMONTH(H4,12)</f>
        <v>39082</v>
      </c>
      <c r="J4" s="121" t="n">
        <f aca="false">EOMONTH(I4,12)</f>
        <v>39447</v>
      </c>
      <c r="K4" s="121" t="n">
        <f aca="false">EOMONTH(J4,12)</f>
        <v>39813</v>
      </c>
      <c r="L4" s="121" t="n">
        <f aca="false">EOMONTH(K4,12)</f>
        <v>40178</v>
      </c>
      <c r="M4" s="121" t="n">
        <f aca="false">EOMONTH(L4,12)</f>
        <v>40543</v>
      </c>
      <c r="N4" s="121" t="n">
        <f aca="false">EOMONTH(M4,12)</f>
        <v>40908</v>
      </c>
      <c r="O4" s="121" t="n">
        <f aca="false">EOMONTH(N4,12)</f>
        <v>41274</v>
      </c>
      <c r="P4" s="121" t="n">
        <f aca="false">EOMONTH(O4,12)</f>
        <v>41639</v>
      </c>
      <c r="Q4" s="121" t="n">
        <f aca="false">EOMONTH(P4,12)</f>
        <v>42004</v>
      </c>
      <c r="R4" s="121" t="n">
        <f aca="false">EOMONTH(Q4,12)</f>
        <v>42369</v>
      </c>
      <c r="S4" s="121" t="n">
        <f aca="false">EOMONTH(R4,12)</f>
        <v>42735</v>
      </c>
      <c r="T4" s="121" t="n">
        <f aca="false">EOMONTH(S4,12)</f>
        <v>43100</v>
      </c>
      <c r="U4" s="121" t="n">
        <f aca="false">EOMONTH(T4,12)</f>
        <v>43465</v>
      </c>
      <c r="V4" s="121" t="n">
        <f aca="false">EOMONTH(U4,12)</f>
        <v>43830</v>
      </c>
      <c r="W4" s="121" t="n">
        <f aca="false">EOMONTH(V4,12)</f>
        <v>44196</v>
      </c>
      <c r="X4" s="121" t="n">
        <f aca="false">EOMONTH(W4,12)</f>
        <v>44561</v>
      </c>
      <c r="Y4" s="121"/>
      <c r="Z4" s="121"/>
      <c r="AA4" s="121"/>
      <c r="AB4" s="122"/>
      <c r="AC4" s="122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  <c r="IU4" s="123"/>
      <c r="IV4" s="123"/>
      <c r="IW4" s="123"/>
    </row>
    <row r="5" customFormat="false" ht="23.25" hidden="false" customHeight="true" outlineLevel="0" collapsed="false">
      <c r="B5" s="124" t="s">
        <v>60</v>
      </c>
      <c r="C5" s="125" t="n">
        <f aca="false">C4-Assumptions!$E$49</f>
        <v>60</v>
      </c>
      <c r="D5" s="125" t="n">
        <f aca="false">D4-C4</f>
        <v>365</v>
      </c>
      <c r="E5" s="125" t="n">
        <f aca="false">IF(Tables!$B$21=2,181,E4-D4)</f>
        <v>365</v>
      </c>
      <c r="F5" s="125" t="n">
        <f aca="false">F4-E4</f>
        <v>365</v>
      </c>
      <c r="G5" s="125" t="n">
        <f aca="false">G4-F4</f>
        <v>366</v>
      </c>
      <c r="H5" s="125" t="n">
        <f aca="false">IF(Tables!$B$21=5,181,H4-G4)</f>
        <v>365</v>
      </c>
      <c r="I5" s="125" t="n">
        <f aca="false">I4-H4</f>
        <v>365</v>
      </c>
      <c r="J5" s="125" t="n">
        <f aca="false">J4-I4</f>
        <v>365</v>
      </c>
      <c r="K5" s="125" t="n">
        <f aca="false">K4-J4</f>
        <v>366</v>
      </c>
      <c r="L5" s="125" t="n">
        <f aca="false">L4-K4</f>
        <v>365</v>
      </c>
      <c r="M5" s="125" t="n">
        <f aca="false">IF(Tables!$B$21=10,181,M4-L4)</f>
        <v>365</v>
      </c>
      <c r="N5" s="125" t="n">
        <f aca="false">N4-M4</f>
        <v>365</v>
      </c>
      <c r="O5" s="125" t="n">
        <f aca="false">O4-N4</f>
        <v>366</v>
      </c>
      <c r="P5" s="125" t="n">
        <f aca="false">P4-O4</f>
        <v>365</v>
      </c>
      <c r="Q5" s="125" t="n">
        <f aca="false">Q4-P4</f>
        <v>365</v>
      </c>
      <c r="R5" s="125" t="n">
        <f aca="false">IF(Tables!$B$21=15,181,R4-Q4)</f>
        <v>181</v>
      </c>
      <c r="S5" s="125" t="n">
        <f aca="false">S4-R4</f>
        <v>366</v>
      </c>
      <c r="T5" s="125" t="n">
        <f aca="false">T4-S4</f>
        <v>365</v>
      </c>
      <c r="U5" s="125" t="n">
        <f aca="false">U4-T4</f>
        <v>365</v>
      </c>
      <c r="V5" s="125" t="n">
        <f aca="false">V4-U4</f>
        <v>365</v>
      </c>
      <c r="W5" s="125" t="n">
        <f aca="false">IF(Tables!$B$21=20,181,W4-V4)</f>
        <v>366</v>
      </c>
      <c r="X5" s="125" t="n">
        <f aca="false">X4-W4</f>
        <v>365</v>
      </c>
      <c r="Y5" s="126"/>
      <c r="Z5" s="126"/>
      <c r="AA5" s="126"/>
      <c r="AB5" s="126"/>
      <c r="AC5" s="126"/>
    </row>
    <row r="6" customFormat="false" ht="11.25" hidden="false" customHeight="false" outlineLevel="0" collapsed="false">
      <c r="A6" s="127" t="s">
        <v>61</v>
      </c>
      <c r="C6" s="128" t="n">
        <f aca="false">Cashflow!D29</f>
        <v>0</v>
      </c>
      <c r="D6" s="128" t="n">
        <f aca="false">INDEX(CashflowTable,MATCH("Total Operating Revenues",CashflowColumn,0),MATCH(YEAR('WC '!D4),CashflowRow,0))</f>
        <v>51087.958634373</v>
      </c>
      <c r="E6" s="128" t="n">
        <f aca="false">INDEX(CashflowTable,MATCH("Total Operating Revenues",CashflowColumn,0),MATCH(YEAR('WC '!E4),CashflowRow,0))</f>
        <v>44947.7968710075</v>
      </c>
      <c r="F6" s="128" t="n">
        <f aca="false">INDEX(CashflowTable,MATCH("Total Operating Revenues",CashflowColumn,0),MATCH(YEAR('WC '!F4),CashflowRow,0))</f>
        <v>40539.8877293626</v>
      </c>
      <c r="G6" s="128" t="n">
        <f aca="false">INDEX(CashflowTable,MATCH("Total Operating Revenues",CashflowColumn,0),MATCH(YEAR('WC '!G4),CashflowRow,0))</f>
        <v>32646.0790468922</v>
      </c>
      <c r="H6" s="128" t="n">
        <f aca="false">INDEX(CashflowTable,MATCH("Total Operating Revenues",CashflowColumn,0),MATCH(YEAR('WC '!H4),CashflowRow,0))</f>
        <v>30392.6732880459</v>
      </c>
      <c r="I6" s="128" t="n">
        <f aca="false">INDEX(CashflowTable,MATCH("Total Operating Revenues",CashflowColumn,0),MATCH(YEAR('WC '!I4),CashflowRow,0))</f>
        <v>31470.2790286006</v>
      </c>
      <c r="J6" s="128" t="n">
        <f aca="false">INDEX(CashflowTable,MATCH("Total Operating Revenues",CashflowColumn,0),MATCH(YEAR('WC '!J4),CashflowRow,0))</f>
        <v>32034.697747108</v>
      </c>
      <c r="K6" s="128" t="n">
        <f aca="false">INDEX(CashflowTable,MATCH("Total Operating Revenues",CashflowColumn,0),MATCH(YEAR('WC '!K4),CashflowRow,0))</f>
        <v>31453.7135072928</v>
      </c>
      <c r="L6" s="128" t="n">
        <f aca="false">INDEX(CashflowTable,MATCH("Total Operating Revenues",CashflowColumn,0),MATCH(YEAR('WC '!L4),CashflowRow,0))</f>
        <v>32502.1832449568</v>
      </c>
      <c r="M6" s="128" t="n">
        <f aca="false">INDEX(CashflowTable,MATCH("Total Operating Revenues",CashflowColumn,0),MATCH(YEAR('WC '!M4),CashflowRow,0))</f>
        <v>32927.26311591</v>
      </c>
      <c r="N6" s="128" t="n">
        <f aca="false">INDEX(CashflowTable,MATCH("Total Operating Revenues",CashflowColumn,0),MATCH(YEAR('WC '!N4),CashflowRow,0))</f>
        <v>33556.3167080975</v>
      </c>
      <c r="O6" s="128" t="n">
        <f aca="false">INDEX(CashflowTable,MATCH("Total Operating Revenues",CashflowColumn,0),MATCH(YEAR('WC '!O4),CashflowRow,0))</f>
        <v>32287.9004274854</v>
      </c>
      <c r="P6" s="128" t="n">
        <f aca="false">INDEX(CashflowTable,MATCH("Total Operating Revenues",CashflowColumn,0),MATCH(YEAR('WC '!P4),CashflowRow,0))</f>
        <v>33469.9687923511</v>
      </c>
      <c r="Q6" s="128" t="n">
        <f aca="false">INDEX(CashflowTable,MATCH("Total Operating Revenues",CashflowColumn,0),MATCH(YEAR('WC '!Q4),CashflowRow,0))</f>
        <v>33928.8507551382</v>
      </c>
      <c r="R6" s="128" t="n">
        <f aca="false">INDEX(CashflowTable,MATCH("Total Operating Revenues",CashflowColumn,0),MATCH(YEAR('WC '!R4),CashflowRow,0))</f>
        <v>35148.4487767493</v>
      </c>
      <c r="S6" s="128" t="n">
        <f aca="false">INDEX(CashflowTable,MATCH("Total Operating Revenues",CashflowColumn,0),MATCH(YEAR('WC '!S4),CashflowRow,0))</f>
        <v>5379.62180344061</v>
      </c>
      <c r="T6" s="128" t="n">
        <f aca="false">INDEX(CashflowTable,MATCH("Total Operating Revenues",CashflowColumn,0),MATCH(YEAR('WC '!T4),CashflowRow,0))</f>
        <v>5411.21218554882</v>
      </c>
      <c r="U6" s="128" t="n">
        <f aca="false">INDEX(CashflowTable,MATCH("Total Operating Revenues",CashflowColumn,0),MATCH(YEAR('WC '!U4),CashflowRow,0))</f>
        <v>4404.70324205983</v>
      </c>
      <c r="V6" s="128" t="e">
        <f aca="false">INDEX(CashflowTable,MATCH("Total Operating Revenues",CashflowColumn,0),MATCH(YEAR('WC '!V4),CashflowRow,0))</f>
        <v>#DIV/0!</v>
      </c>
      <c r="W6" s="128" t="e">
        <f aca="false">INDEX(CashflowTable,MATCH("Total Operating Revenues",CashflowColumn,0),MATCH(YEAR('WC '!W4),CashflowRow,0))</f>
        <v>#DIV/0!</v>
      </c>
      <c r="X6" s="128"/>
      <c r="Y6" s="126"/>
      <c r="Z6" s="126"/>
      <c r="AA6" s="126"/>
      <c r="AB6" s="126"/>
      <c r="AC6" s="126"/>
    </row>
    <row r="7" customFormat="false" ht="11.25" hidden="false" customHeight="false" outlineLevel="0" collapsed="false">
      <c r="A7" s="127" t="s">
        <v>62</v>
      </c>
      <c r="C7" s="128" t="n">
        <f aca="false">Cashflow!D41</f>
        <v>446.454229995229</v>
      </c>
      <c r="D7" s="128" t="n">
        <f aca="false">Cashflow!E41</f>
        <v>16055.1171919654</v>
      </c>
      <c r="E7" s="128" t="n">
        <f aca="false">Cashflow!F41</f>
        <v>18581.2605751547</v>
      </c>
      <c r="F7" s="128" t="n">
        <f aca="false">Cashflow!G41</f>
        <v>18992.8424687833</v>
      </c>
      <c r="G7" s="128" t="n">
        <f aca="false">Cashflow!H41</f>
        <v>16199.6749942563</v>
      </c>
      <c r="H7" s="128" t="n">
        <f aca="false">Cashflow!I41</f>
        <v>16336.0088800515</v>
      </c>
      <c r="I7" s="128" t="n">
        <f aca="false">Cashflow!J41</f>
        <v>16561.1920727988</v>
      </c>
      <c r="J7" s="128" t="n">
        <f aca="false">Cashflow!K41</f>
        <v>16631.3394458547</v>
      </c>
      <c r="K7" s="128" t="n">
        <f aca="false">Cashflow!L41</f>
        <v>16886.4397504321</v>
      </c>
      <c r="L7" s="128" t="n">
        <f aca="false">Cashflow!M41</f>
        <v>17305.5228460359</v>
      </c>
      <c r="M7" s="128" t="n">
        <f aca="false">Cashflow!N41</f>
        <v>17755.5258659212</v>
      </c>
      <c r="N7" s="128" t="n">
        <f aca="false">Cashflow!O41</f>
        <v>18041.7361177172</v>
      </c>
      <c r="O7" s="128" t="n">
        <f aca="false">Cashflow!P41</f>
        <v>16435.1918914829</v>
      </c>
      <c r="P7" s="128" t="n">
        <f aca="false">Cashflow!Q41</f>
        <v>16754.4434629606</v>
      </c>
      <c r="Q7" s="128" t="n">
        <f aca="false">Cashflow!R41</f>
        <v>17053.3539595973</v>
      </c>
      <c r="R7" s="128" t="n">
        <f aca="false">Cashflow!S41</f>
        <v>17324.0209821369</v>
      </c>
      <c r="S7" s="128" t="n">
        <f aca="false">Cashflow!T41</f>
        <v>0</v>
      </c>
      <c r="T7" s="128" t="n">
        <f aca="false">Cashflow!U41</f>
        <v>0</v>
      </c>
      <c r="U7" s="128" t="n">
        <f aca="false">Cashflow!V41</f>
        <v>0</v>
      </c>
      <c r="V7" s="128" t="n">
        <f aca="false">Cashflow!W41</f>
        <v>0</v>
      </c>
      <c r="W7" s="128" t="n">
        <f aca="false">Cashflow!X41</f>
        <v>0</v>
      </c>
      <c r="X7" s="128"/>
      <c r="Y7" s="126"/>
      <c r="Z7" s="126"/>
      <c r="AA7" s="126"/>
      <c r="AB7" s="126"/>
      <c r="AC7" s="126"/>
    </row>
    <row r="8" customFormat="false" ht="11.25" hidden="false" customHeight="false" outlineLevel="0" collapsed="false">
      <c r="A8" s="127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R8" s="125"/>
      <c r="S8" s="125"/>
      <c r="T8" s="125"/>
      <c r="U8" s="125"/>
      <c r="V8" s="125"/>
      <c r="W8" s="125"/>
      <c r="X8" s="125"/>
      <c r="Y8" s="126"/>
      <c r="Z8" s="126"/>
      <c r="AA8" s="126"/>
      <c r="AB8" s="126"/>
      <c r="AC8" s="126"/>
    </row>
    <row r="9" customFormat="false" ht="11.25" hidden="false" customHeight="false" outlineLevel="0" collapsed="false">
      <c r="A9" s="129" t="s">
        <v>63</v>
      </c>
      <c r="B9" s="116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1"/>
      <c r="Z9" s="131"/>
      <c r="AA9" s="131"/>
      <c r="AB9" s="131"/>
      <c r="AC9" s="131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  <c r="IU9" s="118"/>
      <c r="IV9" s="118"/>
      <c r="IW9" s="118"/>
    </row>
    <row r="10" customFormat="false" ht="11.25" hidden="false" customHeight="false" outlineLevel="0" collapsed="false">
      <c r="A10" s="113" t="s">
        <v>64</v>
      </c>
      <c r="B10" s="113" t="n">
        <f aca="false">Assumptions!H25</f>
        <v>15</v>
      </c>
      <c r="C10" s="125" t="n">
        <v>0</v>
      </c>
      <c r="D10" s="125" t="n">
        <v>0</v>
      </c>
      <c r="E10" s="125" t="n">
        <v>0</v>
      </c>
      <c r="F10" s="125" t="n">
        <v>0</v>
      </c>
      <c r="G10" s="125" t="n">
        <v>0</v>
      </c>
      <c r="H10" s="125" t="n">
        <v>0</v>
      </c>
      <c r="I10" s="125" t="n">
        <v>0</v>
      </c>
      <c r="J10" s="125" t="n">
        <v>0</v>
      </c>
      <c r="K10" s="125" t="n">
        <v>0</v>
      </c>
      <c r="L10" s="125" t="n">
        <v>0</v>
      </c>
      <c r="M10" s="125" t="n">
        <v>0</v>
      </c>
      <c r="N10" s="125" t="n">
        <v>0</v>
      </c>
      <c r="O10" s="125" t="n">
        <v>0</v>
      </c>
      <c r="P10" s="125" t="n">
        <v>0</v>
      </c>
      <c r="Q10" s="125" t="n">
        <v>0</v>
      </c>
      <c r="R10" s="125" t="n">
        <v>0</v>
      </c>
      <c r="S10" s="125" t="n">
        <v>0</v>
      </c>
      <c r="T10" s="125" t="n">
        <v>0</v>
      </c>
      <c r="U10" s="125" t="n">
        <v>0</v>
      </c>
      <c r="V10" s="125" t="n">
        <v>0</v>
      </c>
      <c r="W10" s="125" t="n">
        <v>0</v>
      </c>
      <c r="X10" s="125" t="n">
        <v>0</v>
      </c>
      <c r="Y10" s="126"/>
      <c r="Z10" s="126"/>
      <c r="AA10" s="126"/>
      <c r="AB10" s="126"/>
      <c r="AC10" s="126"/>
    </row>
    <row r="11" customFormat="false" ht="11.25" hidden="false" customHeight="false" outlineLevel="0" collapsed="false">
      <c r="A11" s="113" t="s">
        <v>65</v>
      </c>
      <c r="B11" s="113" t="n">
        <f aca="false">Assumptions!H26</f>
        <v>0</v>
      </c>
      <c r="C11" s="125" t="n">
        <f aca="false">IF(C$4,($B11/C$5)*C$6)</f>
        <v>0</v>
      </c>
      <c r="D11" s="125" t="n">
        <f aca="false">IF(D$4,($B11/D$5)*D$6)</f>
        <v>0</v>
      </c>
      <c r="E11" s="125" t="n">
        <f aca="false">IF(E$4,($B11/E$5)*E$6)</f>
        <v>0</v>
      </c>
      <c r="F11" s="125" t="n">
        <f aca="false">IF(F$4,($B11/F$5)*F$6)</f>
        <v>0</v>
      </c>
      <c r="G11" s="125" t="n">
        <f aca="false">IF(G$4,($B11/G$5)*G$6)</f>
        <v>0</v>
      </c>
      <c r="H11" s="125" t="n">
        <f aca="false">IF(H$4,($B11/H$5)*H$6)</f>
        <v>0</v>
      </c>
      <c r="I11" s="125" t="n">
        <f aca="false">IF(I$4,($B11/I$5)*I$6)</f>
        <v>0</v>
      </c>
      <c r="J11" s="125" t="n">
        <f aca="false">IF(J$4,($B11/J$5)*J$6)</f>
        <v>0</v>
      </c>
      <c r="K11" s="125" t="n">
        <f aca="false">IF(K$4,($B11/K$5)*K$6)</f>
        <v>0</v>
      </c>
      <c r="L11" s="132" t="n">
        <f aca="false">IF(L$4,($B11/L$5)*L$6)</f>
        <v>0</v>
      </c>
      <c r="M11" s="125" t="n">
        <f aca="false">IF(M$4,($B11/M$5)*M$6)</f>
        <v>0</v>
      </c>
      <c r="N11" s="125" t="n">
        <f aca="false">IF(N$4,($B11/N$5)*N$6)</f>
        <v>0</v>
      </c>
      <c r="O11" s="125" t="n">
        <f aca="false">IF(O$4,($B11/O$5)*O$6)</f>
        <v>0</v>
      </c>
      <c r="P11" s="125" t="n">
        <f aca="false">IF(P$4,($B11/P$5)*P$6)</f>
        <v>0</v>
      </c>
      <c r="Q11" s="125" t="n">
        <f aca="false">IF(Q$4,($B11/Q$5)*Q$6)</f>
        <v>0</v>
      </c>
      <c r="R11" s="125" t="n">
        <f aca="false">IF(R$4,($B11/R$5)*R$6)</f>
        <v>0</v>
      </c>
      <c r="S11" s="125" t="n">
        <f aca="false">IF(S$4,($B11/S$5)*S$6)</f>
        <v>0</v>
      </c>
      <c r="T11" s="125" t="n">
        <f aca="false">IF(T$4,($B11/T$5)*T$6)</f>
        <v>0</v>
      </c>
      <c r="U11" s="125" t="n">
        <f aca="false">IF(U$4,($B11/U$5)*U$6)</f>
        <v>0</v>
      </c>
      <c r="V11" s="125" t="e">
        <f aca="false">IF(V$4,($B11/V$5)*V$6)</f>
        <v>#DIV/0!</v>
      </c>
      <c r="W11" s="125" t="e">
        <f aca="false">IF(W$4,($B11/W$5)*W$6)</f>
        <v>#DIV/0!</v>
      </c>
      <c r="X11" s="125" t="n">
        <f aca="false">IF(X$4,($B11/X$5)*X$6)</f>
        <v>0</v>
      </c>
      <c r="Y11" s="126"/>
      <c r="Z11" s="126"/>
      <c r="AA11" s="126"/>
      <c r="AB11" s="126"/>
      <c r="AC11" s="126"/>
    </row>
    <row r="12" customFormat="false" ht="11.25" hidden="false" customHeight="false" outlineLevel="0" collapsed="false">
      <c r="A12" s="113" t="s">
        <v>66</v>
      </c>
      <c r="B12" s="113" t="n">
        <f aca="false">Assumptions!H27</f>
        <v>5</v>
      </c>
      <c r="C12" s="125" t="n">
        <f aca="false">IF(C$4,($B12/C$5)*C$6)</f>
        <v>0</v>
      </c>
      <c r="D12" s="125" t="n">
        <f aca="false">IF(D$4,($B12/D$5)*D$6)</f>
        <v>699.835049785932</v>
      </c>
      <c r="E12" s="125" t="n">
        <f aca="false">IF(E$4,($B12/E$5)*E$6)</f>
        <v>615.723244808322</v>
      </c>
      <c r="F12" s="125" t="n">
        <f aca="false">IF(F$4,($B12/F$5)*F$6)</f>
        <v>555.340927799487</v>
      </c>
      <c r="G12" s="125" t="n">
        <f aca="false">IF(G$4,($B12/G$5)*G$6)</f>
        <v>445.984686432954</v>
      </c>
      <c r="H12" s="125" t="n">
        <f aca="false">IF(H$4,($B12/H$5)*H$6)</f>
        <v>416.337990247204</v>
      </c>
      <c r="I12" s="125" t="n">
        <f aca="false">IF(I$4,($B12/I$5)*I$6)</f>
        <v>431.099712720556</v>
      </c>
      <c r="J12" s="125" t="n">
        <f aca="false">IF(J$4,($B12/J$5)*J$6)</f>
        <v>438.83147598778</v>
      </c>
      <c r="K12" s="125" t="n">
        <f aca="false">IF(K$4,($B12/K$5)*K$6)</f>
        <v>429.695539717115</v>
      </c>
      <c r="L12" s="125" t="n">
        <f aca="false">IF(L$4,($B12/L$5)*L$6)</f>
        <v>445.235386917217</v>
      </c>
      <c r="M12" s="125" t="n">
        <f aca="false">IF(M$4,($B12/M$5)*M$6)</f>
        <v>451.058398848083</v>
      </c>
      <c r="N12" s="125" t="n">
        <f aca="false">IF(N$4,($B12/N$5)*N$6)</f>
        <v>459.675571343801</v>
      </c>
      <c r="O12" s="125" t="n">
        <f aca="false">IF(O$4,($B12/O$5)*O$6)</f>
        <v>441.091535894609</v>
      </c>
      <c r="P12" s="125" t="n">
        <f aca="false">IF(P$4,($B12/P$5)*P$6)</f>
        <v>458.492723182892</v>
      </c>
      <c r="Q12" s="125" t="n">
        <f aca="false">IF(Q$4,($B12/Q$5)*Q$6)</f>
        <v>464.778777467646</v>
      </c>
      <c r="R12" s="125" t="n">
        <f aca="false">IF(R$4,($B12/R$5)*R$6)</f>
        <v>970.951623667106</v>
      </c>
      <c r="S12" s="125" t="n">
        <f aca="false">IF(S$4,($B12/S$5)*S$6)</f>
        <v>73.492101139899</v>
      </c>
      <c r="T12" s="125" t="n">
        <f aca="false">IF(T$4,($B12/T$5)*T$6)</f>
        <v>74.1261943225865</v>
      </c>
      <c r="U12" s="125" t="n">
        <f aca="false">IF(U$4,($B12/U$5)*U$6)</f>
        <v>60.3384005761621</v>
      </c>
      <c r="V12" s="125" t="e">
        <f aca="false">IF(V$4,($B12/V$5)*V$6)</f>
        <v>#DIV/0!</v>
      </c>
      <c r="W12" s="125" t="e">
        <f aca="false">IF(W$4,($B12/W$5)*W$6)</f>
        <v>#DIV/0!</v>
      </c>
      <c r="X12" s="125" t="n">
        <f aca="false">IF(X$4,($B12/X$5)*X$6)</f>
        <v>0</v>
      </c>
      <c r="Y12" s="126"/>
      <c r="Z12" s="126"/>
      <c r="AA12" s="126"/>
      <c r="AB12" s="126"/>
      <c r="AC12" s="126"/>
    </row>
    <row r="13" customFormat="false" ht="11.25" hidden="false" customHeight="false" outlineLevel="0" collapsed="false"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6"/>
      <c r="Z13" s="126"/>
      <c r="AA13" s="126"/>
      <c r="AB13" s="126"/>
      <c r="AC13" s="126"/>
    </row>
    <row r="14" customFormat="false" ht="11.25" hidden="false" customHeight="false" outlineLevel="0" collapsed="false">
      <c r="A14" s="133" t="s">
        <v>67</v>
      </c>
      <c r="B14" s="134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6"/>
      <c r="Z14" s="136"/>
      <c r="AA14" s="136"/>
      <c r="AB14" s="136"/>
      <c r="AC14" s="136"/>
    </row>
    <row r="15" customFormat="false" ht="11.25" hidden="false" customHeight="false" outlineLevel="0" collapsed="false">
      <c r="A15" s="113" t="s">
        <v>68</v>
      </c>
      <c r="B15" s="113" t="n">
        <f aca="false">Assumptions!H28</f>
        <v>30</v>
      </c>
      <c r="C15" s="125" t="n">
        <f aca="false">IF(C$4,($B15/C$5)*C$7)</f>
        <v>223.227114997615</v>
      </c>
      <c r="D15" s="125" t="n">
        <f aca="false">IF(D$4,($B15/D$5)*D$7)</f>
        <v>1319.59867331222</v>
      </c>
      <c r="E15" s="125" t="n">
        <f aca="false">IF(E$4,($B15/E$5)*E$7)</f>
        <v>1527.22689658806</v>
      </c>
      <c r="F15" s="125" t="n">
        <f aca="false">IF(F$4,($B15/F$5)*F$7)</f>
        <v>1561.05554537945</v>
      </c>
      <c r="G15" s="125" t="n">
        <f aca="false">IF(G$4,($B15/G$5)*G$7)</f>
        <v>1327.84221264396</v>
      </c>
      <c r="H15" s="125" t="n">
        <f aca="false">IF(H$4,($B15/H$5)*H$7)</f>
        <v>1342.68566137409</v>
      </c>
      <c r="I15" s="125" t="n">
        <f aca="false">IF(I$4,($B15/I$5)*I$7)</f>
        <v>1361.19386899716</v>
      </c>
      <c r="J15" s="125" t="n">
        <f aca="false">IF(J$4,($B15/J$5)*J$7)</f>
        <v>1366.95940650861</v>
      </c>
      <c r="K15" s="125" t="n">
        <f aca="false">IF(K$4,($B15/K$5)*K$7)</f>
        <v>1384.13440577312</v>
      </c>
      <c r="L15" s="125" t="n">
        <f aca="false">IF(L$4,($B15/L$5)*L$7)</f>
        <v>1422.37174077008</v>
      </c>
      <c r="M15" s="125" t="n">
        <f aca="false">IF(M$4,($B15/M$5)*M$7)</f>
        <v>1459.35829034969</v>
      </c>
      <c r="N15" s="125" t="n">
        <f aca="false">IF(N$4,($B15/N$5)*N$7)</f>
        <v>1482.88242063429</v>
      </c>
      <c r="O15" s="125" t="n">
        <f aca="false">IF(O$4,($B15/O$5)*O$7)</f>
        <v>1347.14687635106</v>
      </c>
      <c r="P15" s="125" t="n">
        <f aca="false">IF(P$4,($B15/P$5)*P$7)</f>
        <v>1377.07754490087</v>
      </c>
      <c r="Q15" s="125" t="n">
        <f aca="false">IF(Q$4,($B15/Q$5)*Q$7)</f>
        <v>1401.64553092581</v>
      </c>
      <c r="R15" s="125" t="n">
        <f aca="false">IF(R$4,($B15/R$5)*R$7)</f>
        <v>2871.38469317186</v>
      </c>
      <c r="S15" s="125" t="n">
        <f aca="false">IF(S$4,($B15/S$5)*S$7)</f>
        <v>0</v>
      </c>
      <c r="T15" s="125" t="n">
        <f aca="false">IF(T$4,($B15/T$5)*T$7)</f>
        <v>0</v>
      </c>
      <c r="U15" s="125" t="n">
        <f aca="false">IF(U$4,($B15/U$5)*U$7)</f>
        <v>0</v>
      </c>
      <c r="V15" s="125" t="n">
        <f aca="false">IF(V$4,($B15/V$5)*V$7)</f>
        <v>0</v>
      </c>
      <c r="W15" s="125" t="n">
        <f aca="false">IF(W$4,($B15/W$5)*W$7)</f>
        <v>0</v>
      </c>
      <c r="X15" s="125" t="n">
        <f aca="false">IF(X$4,($B15/X$5)*X$7)</f>
        <v>0</v>
      </c>
      <c r="Y15" s="126"/>
      <c r="Z15" s="126"/>
      <c r="AA15" s="126"/>
      <c r="AB15" s="126"/>
      <c r="AC15" s="126"/>
    </row>
    <row r="16" customFormat="false" ht="11.25" hidden="false" customHeight="false" outlineLevel="0" collapsed="false">
      <c r="A16" s="113" t="s">
        <v>69</v>
      </c>
      <c r="B16" s="113" t="n">
        <f aca="false">Assumptions!H29</f>
        <v>10</v>
      </c>
      <c r="C16" s="125" t="n">
        <f aca="false">IF(C$4,($B16/C$5)*C$7)</f>
        <v>74.4090383325382</v>
      </c>
      <c r="D16" s="125" t="n">
        <f aca="false">IF(D$4,($B16/D$5)*D$7)</f>
        <v>439.866224437408</v>
      </c>
      <c r="E16" s="125" t="n">
        <f aca="false">IF(E$4,($B16/E$5)*E$7)</f>
        <v>509.07563219602</v>
      </c>
      <c r="F16" s="125" t="n">
        <f aca="false">IF(F$4,($B16/F$5)*F$7)</f>
        <v>520.351848459818</v>
      </c>
      <c r="G16" s="125" t="n">
        <f aca="false">IF(G$4,($B16/G$5)*G$7)</f>
        <v>442.61407088132</v>
      </c>
      <c r="H16" s="125" t="n">
        <f aca="false">IF(H$4,($B16/H$5)*H$7)</f>
        <v>447.561887124698</v>
      </c>
      <c r="I16" s="125" t="n">
        <f aca="false">IF(I$4,($B16/I$5)*I$7)</f>
        <v>453.73128966572</v>
      </c>
      <c r="J16" s="125" t="n">
        <f aca="false">IF(J$4,($B16/J$5)*J$7)</f>
        <v>455.653135502869</v>
      </c>
      <c r="K16" s="125" t="n">
        <f aca="false">IF(K$4,($B16/K$5)*K$7)</f>
        <v>461.378135257708</v>
      </c>
      <c r="L16" s="125" t="n">
        <f aca="false">IF(L$4,($B16/L$5)*L$7)</f>
        <v>474.123913590025</v>
      </c>
      <c r="M16" s="125" t="n">
        <f aca="false">IF(M$4,($B16/M$5)*M$7)</f>
        <v>486.452763449895</v>
      </c>
      <c r="N16" s="125" t="n">
        <f aca="false">IF(N$4,($B16/N$5)*N$7)</f>
        <v>494.294140211431</v>
      </c>
      <c r="O16" s="125" t="n">
        <f aca="false">IF(O$4,($B16/O$5)*O$7)</f>
        <v>449.048958783686</v>
      </c>
      <c r="P16" s="125" t="n">
        <f aca="false">IF(P$4,($B16/P$5)*P$7)</f>
        <v>459.02584830029</v>
      </c>
      <c r="Q16" s="125" t="n">
        <f aca="false">IF(Q$4,($B16/Q$5)*Q$7)</f>
        <v>467.215176975269</v>
      </c>
      <c r="R16" s="125" t="n">
        <f aca="false">IF(R$4,($B16/R$5)*R$7)</f>
        <v>957.128231057288</v>
      </c>
      <c r="S16" s="125" t="n">
        <f aca="false">IF(S$4,($B16/S$5)*S$7)</f>
        <v>0</v>
      </c>
      <c r="T16" s="125" t="n">
        <f aca="false">IF(T$4,($B16/T$5)*T$7)</f>
        <v>0</v>
      </c>
      <c r="U16" s="125" t="n">
        <f aca="false">IF(U$4,($B16/U$5)*U$7)</f>
        <v>0</v>
      </c>
      <c r="V16" s="125" t="n">
        <f aca="false">IF(V$4,($B16/V$5)*V$7)</f>
        <v>0</v>
      </c>
      <c r="W16" s="125" t="n">
        <f aca="false">IF(W$4,($B16/W$5)*W$7)</f>
        <v>0</v>
      </c>
      <c r="X16" s="125" t="n">
        <f aca="false">IF(X$4,($B16/X$5)*X$7)</f>
        <v>0</v>
      </c>
      <c r="Y16" s="126"/>
      <c r="Z16" s="126"/>
      <c r="AA16" s="126"/>
      <c r="AB16" s="126"/>
      <c r="AC16" s="126"/>
    </row>
    <row r="17" customFormat="false" ht="11.25" hidden="false" customHeight="false" outlineLevel="0" collapsed="false">
      <c r="A17" s="113" t="s">
        <v>70</v>
      </c>
      <c r="B17" s="113" t="n">
        <f aca="false">Assumptions!H30</f>
        <v>5</v>
      </c>
      <c r="C17" s="125" t="n">
        <f aca="false">IF(C$4,($B17/C$5)*C$7)</f>
        <v>37.2045191662691</v>
      </c>
      <c r="D17" s="125" t="n">
        <f aca="false">IF(D$4,($B17/D$5)*D$7)</f>
        <v>219.933112218704</v>
      </c>
      <c r="E17" s="125" t="n">
        <f aca="false">IF(E$4,($B17/E$5)*E$7)</f>
        <v>254.53781609801</v>
      </c>
      <c r="F17" s="125" t="n">
        <f aca="false">IF(F$4,($B17/F$5)*F$7)</f>
        <v>260.175924229909</v>
      </c>
      <c r="G17" s="125" t="n">
        <f aca="false">IF(G$4,($B17/G$5)*G$7)</f>
        <v>221.30703544066</v>
      </c>
      <c r="H17" s="125" t="n">
        <f aca="false">IF(H$4,($B17/H$5)*H$7)</f>
        <v>223.780943562349</v>
      </c>
      <c r="I17" s="125" t="n">
        <f aca="false">IF(I$4,($B17/I$5)*I$7)</f>
        <v>226.86564483286</v>
      </c>
      <c r="J17" s="125" t="n">
        <f aca="false">IF(J$4,($B17/J$5)*J$7)</f>
        <v>227.826567751434</v>
      </c>
      <c r="K17" s="125" t="n">
        <f aca="false">IF(K$4,($B17/K$5)*K$7)</f>
        <v>230.689067628854</v>
      </c>
      <c r="L17" s="125" t="n">
        <f aca="false">IF(L$4,($B17/L$5)*L$7)</f>
        <v>237.061956795013</v>
      </c>
      <c r="M17" s="125" t="n">
        <f aca="false">IF(M$4,($B17/M$5)*M$7)</f>
        <v>243.226381724948</v>
      </c>
      <c r="N17" s="125" t="n">
        <f aca="false">IF(N$4,($B17/N$5)*N$7)</f>
        <v>247.147070105715</v>
      </c>
      <c r="O17" s="125" t="n">
        <f aca="false">IF(O$4,($B17/O$5)*O$7)</f>
        <v>224.524479391843</v>
      </c>
      <c r="P17" s="125" t="n">
        <f aca="false">IF(P$4,($B17/P$5)*P$7)</f>
        <v>229.512924150145</v>
      </c>
      <c r="Q17" s="125" t="n">
        <f aca="false">IF(Q$4,($B17/Q$5)*Q$7)</f>
        <v>233.607588487635</v>
      </c>
      <c r="R17" s="125" t="n">
        <f aca="false">IF(R$4,($B17/R$5)*R$7)</f>
        <v>478.564115528644</v>
      </c>
      <c r="S17" s="125" t="n">
        <f aca="false">IF(S$4,($B17/S$5)*S$7)</f>
        <v>0</v>
      </c>
      <c r="T17" s="125" t="n">
        <f aca="false">IF(T$4,($B17/T$5)*T$7)</f>
        <v>0</v>
      </c>
      <c r="U17" s="125" t="n">
        <f aca="false">IF(U$4,($B17/U$5)*U$7)</f>
        <v>0</v>
      </c>
      <c r="V17" s="125" t="n">
        <f aca="false">IF(V$4,($B17/V$5)*V$7)</f>
        <v>0</v>
      </c>
      <c r="W17" s="125" t="n">
        <f aca="false">IF(W$4,($B17/W$5)*W$7)</f>
        <v>0</v>
      </c>
      <c r="X17" s="125" t="n">
        <f aca="false">IF(X$4,($B17/X$5)*X$7)</f>
        <v>0</v>
      </c>
      <c r="Y17" s="126"/>
      <c r="Z17" s="126"/>
      <c r="AA17" s="126"/>
      <c r="AB17" s="126"/>
      <c r="AC17" s="126"/>
    </row>
    <row r="18" customFormat="false" ht="12" hidden="false" customHeight="false" outlineLevel="0" collapsed="false"/>
    <row r="19" customFormat="false" ht="11.25" hidden="false" customHeight="false" outlineLevel="0" collapsed="false">
      <c r="A19" s="137" t="s">
        <v>71</v>
      </c>
      <c r="B19" s="137"/>
      <c r="C19" s="138" t="n">
        <f aca="false">MAX(SUM(C10:C12)-SUM(C15:C17),0)</f>
        <v>0</v>
      </c>
      <c r="D19" s="138" t="n">
        <f aca="false">MAX(SUM(D10:D12)-SUM(D15:D17),0)</f>
        <v>0</v>
      </c>
      <c r="E19" s="138" t="n">
        <f aca="false">MAX(SUM(E10:E12)-SUM(E15:E17),0)</f>
        <v>0</v>
      </c>
      <c r="F19" s="138" t="n">
        <f aca="false">MAX(SUM(F10:F12)-SUM(F15:F17),0)</f>
        <v>0</v>
      </c>
      <c r="G19" s="138" t="n">
        <f aca="false">MAX(SUM(G10:G12)-SUM(G15:G17),0)</f>
        <v>0</v>
      </c>
      <c r="H19" s="138" t="n">
        <f aca="false">MAX(SUM(H10:H12)-SUM(H15:H17),0)</f>
        <v>0</v>
      </c>
      <c r="I19" s="138" t="n">
        <f aca="false">MAX(SUM(I10:I12)-SUM(I15:I17),0)</f>
        <v>0</v>
      </c>
      <c r="J19" s="138" t="n">
        <f aca="false">MAX(SUM(J10:J12)-SUM(J15:J17),0)</f>
        <v>0</v>
      </c>
      <c r="K19" s="138" t="n">
        <f aca="false">MAX(SUM(K10:K12)-SUM(K15:K17),0)</f>
        <v>0</v>
      </c>
      <c r="L19" s="138" t="n">
        <f aca="false">MAX(SUM(L10:L12)-SUM(L15:L17),0)</f>
        <v>0</v>
      </c>
      <c r="M19" s="138" t="n">
        <f aca="false">MAX(SUM(M10:M12)-SUM(M15:M17),0)</f>
        <v>0</v>
      </c>
      <c r="N19" s="138" t="n">
        <f aca="false">MAX(SUM(N10:N12)-SUM(N15:N17),0)</f>
        <v>0</v>
      </c>
      <c r="O19" s="138" t="n">
        <f aca="false">MAX(SUM(O10:O12)-SUM(O15:O17),0)</f>
        <v>0</v>
      </c>
      <c r="P19" s="138" t="n">
        <f aca="false">MAX(SUM(P10:P12)-SUM(P15:P17),0)</f>
        <v>0</v>
      </c>
      <c r="Q19" s="138" t="n">
        <f aca="false">MAX(SUM(Q10:Q12)-SUM(Q15:Q17),0)</f>
        <v>0</v>
      </c>
      <c r="R19" s="138" t="n">
        <f aca="false">MAX(SUM(R10:R12)-SUM(R15:R17),0)</f>
        <v>0</v>
      </c>
      <c r="S19" s="138" t="n">
        <f aca="false">MAX(SUM(S10:S12)-SUM(S15:S17),0)</f>
        <v>73.492101139899</v>
      </c>
      <c r="T19" s="138" t="n">
        <f aca="false">MAX(SUM(T10:T12)-SUM(T15:T17),0)</f>
        <v>74.1261943225865</v>
      </c>
      <c r="U19" s="138" t="n">
        <f aca="false">MAX(SUM(U10:U12)-SUM(U15:U17),0)</f>
        <v>60.3384005761621</v>
      </c>
      <c r="V19" s="138" t="e">
        <f aca="false">MAX(SUM(V10:V12)-SUM(V15:V17),0)</f>
        <v>#DIV/0!</v>
      </c>
      <c r="W19" s="138" t="e">
        <f aca="false">MAX(SUM(W10:W12)-SUM(W15:W17),0)</f>
        <v>#DIV/0!</v>
      </c>
      <c r="X19" s="138" t="n">
        <f aca="false">MAX(SUM(X10:X12)-SUM(X15:X17),0)</f>
        <v>0</v>
      </c>
      <c r="Y19" s="136"/>
      <c r="Z19" s="136"/>
      <c r="AA19" s="136"/>
      <c r="AB19" s="136"/>
      <c r="AC19" s="136"/>
    </row>
    <row r="20" customFormat="false" ht="12" hidden="false" customHeight="false" outlineLevel="0" collapsed="false"/>
    <row r="21" customFormat="false" ht="11.25" hidden="false" customHeight="false" outlineLevel="0" collapsed="false">
      <c r="A21" s="137" t="s">
        <v>72</v>
      </c>
      <c r="B21" s="137"/>
      <c r="C21" s="139" t="n">
        <v>0</v>
      </c>
      <c r="D21" s="138" t="n">
        <f aca="false">IF(D4,MAX(C21,C19))</f>
        <v>0</v>
      </c>
      <c r="E21" s="138" t="n">
        <f aca="false">IF(E4,MAX(D21,D19))</f>
        <v>0</v>
      </c>
      <c r="F21" s="138" t="n">
        <f aca="false">IF(F4,MAX(E21,E19))</f>
        <v>0</v>
      </c>
      <c r="G21" s="138" t="n">
        <f aca="false">IF(G4,MAX(F21,F19))</f>
        <v>0</v>
      </c>
      <c r="H21" s="138" t="n">
        <f aca="false">IF(H4,MAX(G21,G19))</f>
        <v>0</v>
      </c>
      <c r="I21" s="138" t="n">
        <f aca="false">IF(I4,MAX(H21,H19))</f>
        <v>0</v>
      </c>
      <c r="J21" s="138" t="n">
        <f aca="false">IF(J4,MAX(I21,I19))</f>
        <v>0</v>
      </c>
      <c r="K21" s="138" t="n">
        <f aca="false">IF(K4,MAX(J21,J19))</f>
        <v>0</v>
      </c>
      <c r="L21" s="138" t="n">
        <f aca="false">IF(L4,MAX(K21,K19))</f>
        <v>0</v>
      </c>
      <c r="M21" s="138" t="n">
        <f aca="false">IF(M4,MAX(L21,L19))</f>
        <v>0</v>
      </c>
      <c r="N21" s="138" t="n">
        <f aca="false">IF(N4,MAX(M21,M19))</f>
        <v>0</v>
      </c>
      <c r="O21" s="138" t="n">
        <f aca="false">IF(O4,MAX(N21,N19))</f>
        <v>0</v>
      </c>
      <c r="P21" s="138" t="n">
        <f aca="false">IF(P4,MAX(O21,O19))</f>
        <v>0</v>
      </c>
      <c r="Q21" s="138" t="n">
        <f aca="false">IF(Q4,MAX(P21,P19))</f>
        <v>0</v>
      </c>
      <c r="R21" s="138" t="n">
        <f aca="false">IF(R4,MAX(Q21,Q19))</f>
        <v>0</v>
      </c>
      <c r="S21" s="138" t="n">
        <f aca="false">IF(S4,MAX(R21,R19))</f>
        <v>0</v>
      </c>
      <c r="T21" s="138" t="n">
        <f aca="false">IF(T4,MAX(S21,S19))</f>
        <v>73.492101139899</v>
      </c>
      <c r="U21" s="138" t="n">
        <f aca="false">IF(U4,MAX(T21,T19))</f>
        <v>74.1261943225865</v>
      </c>
      <c r="V21" s="138" t="n">
        <f aca="false">IF(V4,MAX(U21,U19))</f>
        <v>74.1261943225865</v>
      </c>
      <c r="W21" s="138" t="e">
        <f aca="false">IF(W4,MAX(V21,V19))</f>
        <v>#DIV/0!</v>
      </c>
      <c r="X21" s="138" t="e">
        <f aca="false">IF(X4,MAX(W21,W19))</f>
        <v>#DIV/0!</v>
      </c>
      <c r="Y21" s="136"/>
      <c r="Z21" s="136"/>
      <c r="AA21" s="136"/>
      <c r="AB21" s="136"/>
      <c r="AC21" s="136"/>
    </row>
    <row r="22" customFormat="false" ht="12" hidden="false" customHeight="false" outlineLevel="0" collapsed="false"/>
    <row r="23" customFormat="false" ht="11.25" hidden="false" customHeight="false" outlineLevel="0" collapsed="false">
      <c r="A23" s="137" t="s">
        <v>73</v>
      </c>
      <c r="B23" s="137"/>
      <c r="C23" s="138" t="n">
        <f aca="false">IF(D$4,D21-C21)</f>
        <v>0</v>
      </c>
      <c r="D23" s="138" t="n">
        <f aca="false">IF(E$4,E21-D21)</f>
        <v>0</v>
      </c>
      <c r="E23" s="138" t="n">
        <f aca="false">IF(F$4,F21-E21)</f>
        <v>0</v>
      </c>
      <c r="F23" s="138" t="n">
        <f aca="false">IF(G$4,G21-F21)</f>
        <v>0</v>
      </c>
      <c r="G23" s="138" t="n">
        <f aca="false">IF(H$4,H21-G21)</f>
        <v>0</v>
      </c>
      <c r="H23" s="138" t="n">
        <f aca="false">IF(I$4,I21-H21)</f>
        <v>0</v>
      </c>
      <c r="I23" s="138" t="n">
        <f aca="false">IF(J$4,J21-I21)</f>
        <v>0</v>
      </c>
      <c r="J23" s="138" t="n">
        <f aca="false">IF(K$4,K21-J21)</f>
        <v>0</v>
      </c>
      <c r="K23" s="138" t="n">
        <f aca="false">IF(L$4,L21-K21)</f>
        <v>0</v>
      </c>
      <c r="L23" s="138" t="n">
        <f aca="false">IF(M$4,M21-L21)</f>
        <v>0</v>
      </c>
      <c r="M23" s="138" t="n">
        <f aca="false">IF(N$4,N21-M21)</f>
        <v>0</v>
      </c>
      <c r="N23" s="138" t="n">
        <f aca="false">IF(O$4,O21-N21)</f>
        <v>0</v>
      </c>
      <c r="O23" s="138" t="n">
        <f aca="false">IF(P$4,P21-O21)</f>
        <v>0</v>
      </c>
      <c r="P23" s="138" t="n">
        <f aca="false">IF(Q$4,Q21-P21)</f>
        <v>0</v>
      </c>
      <c r="Q23" s="138" t="n">
        <f aca="false">IF(R$4,R21-Q21)</f>
        <v>0</v>
      </c>
      <c r="R23" s="138" t="n">
        <f aca="false">IF(S$4,S21-R21)</f>
        <v>0</v>
      </c>
      <c r="S23" s="138" t="n">
        <f aca="false">IF(T$4,T21-S21)</f>
        <v>73.492101139899</v>
      </c>
      <c r="T23" s="138" t="n">
        <f aca="false">IF(U$4,U21-T21)</f>
        <v>0.634093182687522</v>
      </c>
      <c r="U23" s="138" t="n">
        <f aca="false">IF(V$4,V21-U21)</f>
        <v>0</v>
      </c>
      <c r="V23" s="138" t="e">
        <f aca="false">IF(W$4,W21-V21)</f>
        <v>#DIV/0!</v>
      </c>
      <c r="W23" s="138" t="e">
        <f aca="false">IF(X$4,X21-W21)</f>
        <v>#DIV/0!</v>
      </c>
      <c r="X23" s="138" t="n">
        <f aca="false">IF(Y$4,Y21-X21)</f>
        <v>0</v>
      </c>
      <c r="Y23" s="136"/>
      <c r="Z23" s="136"/>
      <c r="AA23" s="136"/>
      <c r="AB23" s="136"/>
      <c r="AC23" s="136"/>
    </row>
    <row r="25" customFormat="false" ht="11.25" hidden="false" customHeight="false" outlineLevel="0" collapsed="false">
      <c r="C25" s="140"/>
      <c r="D25" s="140"/>
      <c r="E25" s="140"/>
      <c r="F25" s="140"/>
      <c r="G25" s="140"/>
      <c r="H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1"/>
      <c r="Z25" s="141"/>
      <c r="AA25" s="141"/>
    </row>
    <row r="26" customFormat="false" ht="11.25" hidden="false" customHeight="false" outlineLevel="0" collapsed="false">
      <c r="I26" s="140"/>
      <c r="J26" s="140"/>
      <c r="K26" s="140"/>
      <c r="L26" s="140"/>
      <c r="M26" s="140"/>
    </row>
  </sheetData>
  <printOptions headings="false" gridLines="false" gridLinesSet="true" horizontalCentered="true" verticalCentered="false"/>
  <pageMargins left="0.747916666666667" right="0.747916666666667" top="0.984027777777778" bottom="0.810416666666667" header="0.511811023622047" footer="0.190277777777778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>&amp;LI:CES\IS\KChaney\Power\Omers\New Models\&amp;F
&amp;D
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9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3" topLeftCell="B33" activePane="bottomRight" state="frozen"/>
      <selection pane="topLeft" activeCell="A1" activeCellId="0" sqref="A1"/>
      <selection pane="topRight" activeCell="B1" activeCellId="0" sqref="B1"/>
      <selection pane="bottomLeft" activeCell="A33" activeCellId="0" sqref="A33"/>
      <selection pane="bottomRight" activeCell="A56" activeCellId="0" sqref="A5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42" width="40.99"/>
    <col collapsed="false" customWidth="true" hidden="false" outlineLevel="0" max="8" min="2" style="142" width="11.7"/>
    <col collapsed="false" customWidth="true" hidden="false" outlineLevel="0" max="9" min="9" style="142" width="11.13"/>
    <col collapsed="false" customWidth="true" hidden="false" outlineLevel="0" max="14" min="10" style="142" width="11.7"/>
    <col collapsed="false" customWidth="true" hidden="false" outlineLevel="0" max="15" min="15" style="142" width="11.56"/>
    <col collapsed="false" customWidth="true" hidden="false" outlineLevel="0" max="16" min="16" style="142" width="11.7"/>
    <col collapsed="false" customWidth="true" hidden="false" outlineLevel="0" max="17" min="17" style="142" width="11.85"/>
    <col collapsed="false" customWidth="true" hidden="false" outlineLevel="0" max="21" min="18" style="142" width="11.7"/>
    <col collapsed="false" customWidth="false" hidden="false" outlineLevel="0" max="257" min="22" style="142" width="9.14"/>
  </cols>
  <sheetData>
    <row r="1" customFormat="false" ht="20.25" hidden="false" customHeight="false" outlineLevel="0" collapsed="false">
      <c r="A1" s="143" t="s">
        <v>74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  <c r="BB1" s="143"/>
      <c r="BC1" s="143"/>
      <c r="BD1" s="143"/>
      <c r="BE1" s="143"/>
      <c r="BF1" s="143"/>
      <c r="BG1" s="143"/>
      <c r="BH1" s="143"/>
      <c r="BI1" s="143"/>
      <c r="BJ1" s="143"/>
      <c r="BK1" s="143"/>
      <c r="BL1" s="143"/>
      <c r="BM1" s="143"/>
      <c r="BN1" s="143"/>
      <c r="BO1" s="143"/>
      <c r="BP1" s="143"/>
      <c r="BQ1" s="143"/>
      <c r="BR1" s="143"/>
      <c r="BS1" s="143"/>
      <c r="BT1" s="143"/>
      <c r="BU1" s="143"/>
      <c r="BV1" s="143"/>
      <c r="BW1" s="143"/>
      <c r="BX1" s="143"/>
      <c r="BY1" s="143"/>
      <c r="BZ1" s="143"/>
      <c r="CA1" s="143"/>
      <c r="CB1" s="143"/>
      <c r="CC1" s="143"/>
      <c r="CD1" s="143"/>
      <c r="CE1" s="143"/>
      <c r="CF1" s="143"/>
      <c r="CG1" s="143"/>
      <c r="CH1" s="143"/>
      <c r="CI1" s="143"/>
      <c r="CJ1" s="143"/>
      <c r="CK1" s="143"/>
      <c r="CL1" s="143"/>
      <c r="CM1" s="143"/>
      <c r="CN1" s="143"/>
      <c r="CO1" s="143"/>
      <c r="CP1" s="143"/>
      <c r="CQ1" s="143"/>
      <c r="CR1" s="143"/>
      <c r="CS1" s="143"/>
      <c r="CT1" s="143"/>
      <c r="CU1" s="143"/>
      <c r="CV1" s="143"/>
      <c r="CW1" s="143"/>
      <c r="CX1" s="143"/>
      <c r="CY1" s="143"/>
      <c r="CZ1" s="143"/>
      <c r="DA1" s="143"/>
      <c r="DB1" s="143"/>
      <c r="DC1" s="143"/>
      <c r="DD1" s="143"/>
      <c r="DE1" s="143"/>
      <c r="DF1" s="143"/>
      <c r="DG1" s="143"/>
      <c r="DH1" s="143"/>
      <c r="DI1" s="143"/>
      <c r="DJ1" s="143"/>
      <c r="DK1" s="143"/>
      <c r="DL1" s="143"/>
      <c r="DM1" s="143"/>
      <c r="DN1" s="143"/>
      <c r="DO1" s="143"/>
      <c r="DP1" s="143"/>
      <c r="DQ1" s="143"/>
      <c r="DR1" s="143"/>
      <c r="DS1" s="143"/>
      <c r="DT1" s="143"/>
      <c r="DU1" s="143"/>
      <c r="DV1" s="143"/>
      <c r="DW1" s="143"/>
      <c r="DX1" s="143"/>
      <c r="DY1" s="143"/>
      <c r="DZ1" s="143"/>
      <c r="EA1" s="143"/>
      <c r="EB1" s="143"/>
      <c r="EC1" s="143"/>
      <c r="ED1" s="143"/>
      <c r="EE1" s="143"/>
      <c r="EF1" s="143"/>
      <c r="EG1" s="143"/>
      <c r="EH1" s="143"/>
      <c r="EI1" s="143"/>
      <c r="EJ1" s="143"/>
      <c r="EK1" s="143"/>
      <c r="EL1" s="143"/>
      <c r="EM1" s="143"/>
      <c r="EN1" s="143"/>
      <c r="EO1" s="143"/>
      <c r="EP1" s="143"/>
      <c r="EQ1" s="143"/>
      <c r="ER1" s="143"/>
      <c r="ES1" s="143"/>
      <c r="ET1" s="143"/>
      <c r="EU1" s="143"/>
      <c r="EV1" s="143"/>
      <c r="EW1" s="143"/>
      <c r="EX1" s="143"/>
      <c r="EY1" s="143"/>
      <c r="EZ1" s="143"/>
      <c r="FA1" s="143"/>
      <c r="FB1" s="143"/>
      <c r="FC1" s="143"/>
      <c r="FD1" s="143"/>
      <c r="FE1" s="143"/>
      <c r="FF1" s="143"/>
      <c r="FG1" s="143"/>
      <c r="FH1" s="143"/>
      <c r="FI1" s="143"/>
      <c r="FJ1" s="143"/>
      <c r="FK1" s="143"/>
      <c r="FL1" s="143"/>
      <c r="FM1" s="143"/>
      <c r="FN1" s="143"/>
      <c r="FO1" s="143"/>
      <c r="FP1" s="143"/>
      <c r="FQ1" s="143"/>
      <c r="FR1" s="143"/>
      <c r="FS1" s="143"/>
      <c r="FT1" s="143"/>
      <c r="FU1" s="143"/>
      <c r="FV1" s="143"/>
      <c r="FW1" s="143"/>
      <c r="FX1" s="143"/>
      <c r="FY1" s="143"/>
      <c r="FZ1" s="143"/>
      <c r="GA1" s="143"/>
      <c r="GB1" s="143"/>
      <c r="GC1" s="143"/>
      <c r="GD1" s="143"/>
      <c r="GE1" s="143"/>
      <c r="GF1" s="143"/>
      <c r="GG1" s="143"/>
      <c r="GH1" s="143"/>
      <c r="GI1" s="143"/>
      <c r="GJ1" s="143"/>
      <c r="GK1" s="143"/>
      <c r="GL1" s="143"/>
      <c r="GM1" s="143"/>
      <c r="GN1" s="143"/>
      <c r="GO1" s="143"/>
      <c r="GP1" s="143"/>
      <c r="GQ1" s="143"/>
      <c r="GR1" s="143"/>
      <c r="GS1" s="143"/>
      <c r="GT1" s="143"/>
      <c r="GU1" s="143"/>
      <c r="GV1" s="143"/>
      <c r="GW1" s="143"/>
      <c r="GX1" s="143"/>
      <c r="GY1" s="143"/>
      <c r="GZ1" s="143"/>
      <c r="HA1" s="143"/>
      <c r="HB1" s="143"/>
      <c r="HC1" s="143"/>
      <c r="HD1" s="143"/>
      <c r="HE1" s="143"/>
      <c r="HF1" s="143"/>
      <c r="HG1" s="143"/>
      <c r="HH1" s="143"/>
      <c r="HI1" s="143"/>
      <c r="HJ1" s="143"/>
      <c r="HK1" s="143"/>
      <c r="HL1" s="143"/>
      <c r="HM1" s="143"/>
      <c r="HN1" s="143"/>
      <c r="HO1" s="143"/>
      <c r="HP1" s="143"/>
      <c r="HQ1" s="143"/>
      <c r="HR1" s="143"/>
      <c r="HS1" s="143"/>
      <c r="HT1" s="143"/>
      <c r="HU1" s="143"/>
      <c r="HV1" s="143"/>
      <c r="HW1" s="143"/>
      <c r="HX1" s="143"/>
      <c r="HY1" s="143"/>
      <c r="HZ1" s="143"/>
      <c r="IA1" s="143"/>
      <c r="IB1" s="143"/>
      <c r="IC1" s="143"/>
      <c r="ID1" s="143"/>
      <c r="IE1" s="143"/>
      <c r="IF1" s="143"/>
      <c r="IG1" s="143"/>
      <c r="IH1" s="143"/>
      <c r="II1" s="143"/>
      <c r="IJ1" s="143"/>
      <c r="IK1" s="143"/>
      <c r="IL1" s="143"/>
      <c r="IM1" s="143"/>
      <c r="IN1" s="143"/>
      <c r="IO1" s="143"/>
      <c r="IP1" s="143"/>
      <c r="IQ1" s="143"/>
      <c r="IR1" s="143"/>
      <c r="IS1" s="143"/>
      <c r="IT1" s="143"/>
      <c r="IU1" s="143"/>
      <c r="IV1" s="143"/>
      <c r="IW1" s="143"/>
    </row>
    <row r="2" customFormat="false" ht="20.25" hidden="false" customHeight="false" outlineLevel="0" collapsed="false">
      <c r="A2" s="126"/>
      <c r="B2" s="143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  <c r="AH2" s="143"/>
      <c r="AI2" s="143"/>
      <c r="AJ2" s="143"/>
      <c r="AK2" s="143"/>
      <c r="AL2" s="143"/>
      <c r="AM2" s="14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  <c r="BM2" s="143"/>
      <c r="BN2" s="143"/>
      <c r="BO2" s="143"/>
      <c r="BP2" s="143"/>
      <c r="BQ2" s="143"/>
      <c r="BR2" s="143"/>
      <c r="BS2" s="143"/>
      <c r="BT2" s="143"/>
      <c r="BU2" s="143"/>
      <c r="BV2" s="143"/>
      <c r="BW2" s="143"/>
      <c r="BX2" s="143"/>
      <c r="BY2" s="143"/>
      <c r="BZ2" s="143"/>
      <c r="CA2" s="143"/>
      <c r="CB2" s="143"/>
      <c r="CC2" s="143"/>
      <c r="CD2" s="143"/>
      <c r="CE2" s="143"/>
      <c r="CF2" s="143"/>
      <c r="CG2" s="143"/>
      <c r="CH2" s="143"/>
      <c r="CI2" s="143"/>
      <c r="CJ2" s="143"/>
      <c r="CK2" s="143"/>
      <c r="CL2" s="143"/>
      <c r="CM2" s="143"/>
      <c r="CN2" s="143"/>
      <c r="CO2" s="143"/>
      <c r="CP2" s="143"/>
      <c r="CQ2" s="143"/>
      <c r="CR2" s="143"/>
      <c r="CS2" s="143"/>
      <c r="CT2" s="143"/>
      <c r="CU2" s="143"/>
      <c r="CV2" s="143"/>
      <c r="CW2" s="143"/>
      <c r="CX2" s="143"/>
      <c r="CY2" s="143"/>
      <c r="CZ2" s="143"/>
      <c r="DA2" s="143"/>
      <c r="DB2" s="143"/>
      <c r="DC2" s="143"/>
      <c r="DD2" s="143"/>
      <c r="DE2" s="14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43"/>
      <c r="DU2" s="143"/>
      <c r="DV2" s="143"/>
      <c r="DW2" s="143"/>
      <c r="DX2" s="143"/>
      <c r="DY2" s="143"/>
      <c r="DZ2" s="143"/>
      <c r="EA2" s="143"/>
      <c r="EB2" s="143"/>
      <c r="EC2" s="143"/>
      <c r="ED2" s="143"/>
      <c r="EE2" s="143"/>
      <c r="EF2" s="143"/>
      <c r="EG2" s="143"/>
      <c r="EH2" s="143"/>
      <c r="EI2" s="143"/>
      <c r="EJ2" s="143"/>
      <c r="EK2" s="143"/>
      <c r="EL2" s="143"/>
      <c r="EM2" s="143"/>
      <c r="EN2" s="143"/>
      <c r="EO2" s="143"/>
      <c r="EP2" s="143"/>
      <c r="EQ2" s="143"/>
      <c r="ER2" s="143"/>
      <c r="ES2" s="143"/>
      <c r="ET2" s="143"/>
      <c r="EU2" s="143"/>
      <c r="EV2" s="143"/>
      <c r="EW2" s="143"/>
      <c r="EX2" s="143"/>
      <c r="EY2" s="143"/>
      <c r="EZ2" s="143"/>
      <c r="FA2" s="143"/>
      <c r="FB2" s="143"/>
      <c r="FC2" s="143"/>
      <c r="FD2" s="143"/>
      <c r="FE2" s="143"/>
      <c r="FF2" s="143"/>
      <c r="FG2" s="143"/>
      <c r="FH2" s="143"/>
      <c r="FI2" s="143"/>
      <c r="FJ2" s="143"/>
      <c r="FK2" s="143"/>
      <c r="FL2" s="143"/>
      <c r="FM2" s="143"/>
      <c r="FN2" s="143"/>
      <c r="FO2" s="143"/>
      <c r="FP2" s="143"/>
      <c r="FQ2" s="143"/>
      <c r="FR2" s="143"/>
      <c r="FS2" s="143"/>
      <c r="FT2" s="143"/>
      <c r="FU2" s="143"/>
      <c r="FV2" s="143"/>
      <c r="FW2" s="143"/>
      <c r="FX2" s="143"/>
      <c r="FY2" s="143"/>
      <c r="FZ2" s="143"/>
      <c r="GA2" s="143"/>
      <c r="GB2" s="143"/>
      <c r="GC2" s="143"/>
      <c r="GD2" s="143"/>
      <c r="GE2" s="143"/>
      <c r="GF2" s="143"/>
      <c r="GG2" s="143"/>
      <c r="GH2" s="143"/>
      <c r="GI2" s="143"/>
      <c r="GJ2" s="143"/>
      <c r="GK2" s="143"/>
      <c r="GL2" s="143"/>
      <c r="GM2" s="143"/>
      <c r="GN2" s="143"/>
      <c r="GO2" s="143"/>
      <c r="GP2" s="143"/>
      <c r="GQ2" s="143"/>
      <c r="GR2" s="143"/>
      <c r="GS2" s="143"/>
      <c r="GT2" s="143"/>
      <c r="GU2" s="143"/>
      <c r="GV2" s="143"/>
      <c r="GW2" s="143"/>
      <c r="GX2" s="143"/>
      <c r="GY2" s="143"/>
      <c r="GZ2" s="143"/>
      <c r="HA2" s="143"/>
      <c r="HB2" s="143"/>
      <c r="HC2" s="143"/>
      <c r="HD2" s="143"/>
      <c r="HE2" s="143"/>
      <c r="HF2" s="143"/>
      <c r="HG2" s="143"/>
      <c r="HH2" s="143"/>
      <c r="HI2" s="143"/>
      <c r="HJ2" s="143"/>
      <c r="HK2" s="143"/>
      <c r="HL2" s="143"/>
      <c r="HM2" s="143"/>
      <c r="HN2" s="143"/>
      <c r="HO2" s="143"/>
      <c r="HP2" s="143"/>
      <c r="HQ2" s="143"/>
      <c r="HR2" s="143"/>
      <c r="HS2" s="143"/>
      <c r="HT2" s="143"/>
      <c r="HU2" s="143"/>
      <c r="HV2" s="143"/>
      <c r="HW2" s="143"/>
      <c r="HX2" s="143"/>
      <c r="HY2" s="143"/>
      <c r="HZ2" s="143"/>
      <c r="IA2" s="143"/>
      <c r="IB2" s="143"/>
      <c r="IC2" s="143"/>
      <c r="ID2" s="143"/>
      <c r="IE2" s="143"/>
      <c r="IF2" s="143"/>
      <c r="IG2" s="143"/>
      <c r="IH2" s="143"/>
      <c r="II2" s="143"/>
      <c r="IJ2" s="143"/>
      <c r="IK2" s="143"/>
      <c r="IL2" s="143"/>
      <c r="IM2" s="143"/>
      <c r="IN2" s="143"/>
      <c r="IO2" s="143"/>
      <c r="IP2" s="143"/>
      <c r="IQ2" s="143"/>
      <c r="IR2" s="143"/>
      <c r="IS2" s="143"/>
      <c r="IT2" s="143"/>
      <c r="IU2" s="143"/>
      <c r="IV2" s="143"/>
      <c r="IW2" s="143"/>
    </row>
    <row r="3" customFormat="false" ht="11.25" hidden="false" customHeight="false" outlineLevel="0" collapsed="false">
      <c r="A3" s="145"/>
      <c r="B3" s="146" t="n">
        <f aca="false">Cashflow!D15</f>
        <v>36891</v>
      </c>
      <c r="C3" s="147" t="n">
        <f aca="false">EOMONTH(B3,12)</f>
        <v>37256</v>
      </c>
      <c r="D3" s="147" t="n">
        <f aca="false">EOMONTH(C3,12)</f>
        <v>37621</v>
      </c>
      <c r="E3" s="147" t="n">
        <f aca="false">EOMONTH(D3,12)</f>
        <v>37986</v>
      </c>
      <c r="F3" s="147" t="n">
        <f aca="false">EOMONTH(E3,12)</f>
        <v>38352</v>
      </c>
      <c r="G3" s="147" t="n">
        <f aca="false">EOMONTH(F3,12)</f>
        <v>38717</v>
      </c>
      <c r="H3" s="147" t="n">
        <f aca="false">EOMONTH(G3,12)</f>
        <v>39082</v>
      </c>
      <c r="I3" s="147" t="n">
        <f aca="false">EOMONTH(H3,12)</f>
        <v>39447</v>
      </c>
      <c r="J3" s="147" t="n">
        <f aca="false">EOMONTH(I3,12)</f>
        <v>39813</v>
      </c>
      <c r="K3" s="147" t="n">
        <f aca="false">EOMONTH(J3,12)</f>
        <v>40178</v>
      </c>
      <c r="L3" s="147" t="n">
        <f aca="false">EOMONTH(K3,12)</f>
        <v>40543</v>
      </c>
      <c r="M3" s="147" t="n">
        <f aca="false">EOMONTH(L3,12)</f>
        <v>40908</v>
      </c>
      <c r="N3" s="147" t="n">
        <f aca="false">EOMONTH(M3,12)</f>
        <v>41274</v>
      </c>
      <c r="O3" s="147" t="n">
        <f aca="false">EOMONTH(N3,12)</f>
        <v>41639</v>
      </c>
      <c r="P3" s="147" t="n">
        <f aca="false">EOMONTH(O3,12)</f>
        <v>42004</v>
      </c>
      <c r="Q3" s="147" t="n">
        <f aca="false">EOMONTH(P3,12)</f>
        <v>42369</v>
      </c>
      <c r="R3" s="147" t="n">
        <f aca="false">EOMONTH(Q3,12)</f>
        <v>42735</v>
      </c>
      <c r="S3" s="147" t="n">
        <f aca="false">EOMONTH(R3,12)</f>
        <v>43100</v>
      </c>
      <c r="T3" s="147" t="n">
        <f aca="false">EOMONTH(S3,12)</f>
        <v>43465</v>
      </c>
      <c r="U3" s="147" t="n">
        <f aca="false">EOMONTH(T3,12)</f>
        <v>43830</v>
      </c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  <c r="EL3" s="148"/>
      <c r="EM3" s="148"/>
      <c r="EN3" s="148"/>
      <c r="EO3" s="148"/>
      <c r="EP3" s="148"/>
      <c r="EQ3" s="148"/>
      <c r="ER3" s="148"/>
      <c r="ES3" s="148"/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148"/>
      <c r="FE3" s="148"/>
      <c r="FF3" s="148"/>
      <c r="FG3" s="148"/>
      <c r="FH3" s="148"/>
      <c r="FI3" s="148"/>
      <c r="FJ3" s="148"/>
      <c r="FK3" s="148"/>
      <c r="FL3" s="148"/>
      <c r="FM3" s="148"/>
      <c r="FN3" s="148"/>
      <c r="FO3" s="148"/>
      <c r="FP3" s="148"/>
      <c r="FQ3" s="148"/>
      <c r="FR3" s="148"/>
      <c r="FS3" s="148"/>
      <c r="FT3" s="148"/>
      <c r="FU3" s="148"/>
      <c r="FV3" s="148"/>
      <c r="FW3" s="148"/>
      <c r="FX3" s="148"/>
      <c r="FY3" s="148"/>
      <c r="FZ3" s="148"/>
      <c r="GA3" s="148"/>
      <c r="GB3" s="148"/>
      <c r="GC3" s="148"/>
      <c r="GD3" s="148"/>
      <c r="GE3" s="148"/>
      <c r="GF3" s="148"/>
      <c r="GG3" s="148"/>
      <c r="GH3" s="148"/>
      <c r="GI3" s="148"/>
      <c r="GJ3" s="148"/>
      <c r="GK3" s="148"/>
      <c r="GL3" s="148"/>
      <c r="GM3" s="148"/>
      <c r="GN3" s="148"/>
      <c r="GO3" s="148"/>
      <c r="GP3" s="148"/>
      <c r="GQ3" s="148"/>
      <c r="GR3" s="148"/>
      <c r="GS3" s="148"/>
      <c r="GT3" s="148"/>
      <c r="GU3" s="148"/>
      <c r="GV3" s="148"/>
      <c r="GW3" s="148"/>
      <c r="GX3" s="148"/>
      <c r="GY3" s="148"/>
      <c r="GZ3" s="148"/>
      <c r="HA3" s="148"/>
      <c r="HB3" s="148"/>
      <c r="HC3" s="148"/>
      <c r="HD3" s="148"/>
      <c r="HE3" s="148"/>
      <c r="HF3" s="148"/>
      <c r="HG3" s="148"/>
      <c r="HH3" s="148"/>
      <c r="HI3" s="148"/>
      <c r="HJ3" s="148"/>
      <c r="HK3" s="148"/>
      <c r="HL3" s="148"/>
      <c r="HM3" s="148"/>
      <c r="HN3" s="148"/>
      <c r="HO3" s="148"/>
      <c r="HP3" s="148"/>
      <c r="HQ3" s="148"/>
      <c r="HR3" s="148"/>
      <c r="HS3" s="148"/>
      <c r="HT3" s="148"/>
      <c r="HU3" s="148"/>
      <c r="HV3" s="148"/>
      <c r="HW3" s="148"/>
      <c r="HX3" s="148"/>
      <c r="HY3" s="148"/>
      <c r="HZ3" s="148"/>
      <c r="IA3" s="148"/>
      <c r="IB3" s="148"/>
      <c r="IC3" s="148"/>
      <c r="ID3" s="148"/>
      <c r="IE3" s="148"/>
      <c r="IF3" s="148"/>
      <c r="IG3" s="148"/>
      <c r="IH3" s="148"/>
      <c r="II3" s="148"/>
      <c r="IJ3" s="148"/>
      <c r="IK3" s="148"/>
      <c r="IL3" s="148"/>
      <c r="IM3" s="148"/>
      <c r="IN3" s="148"/>
      <c r="IO3" s="148"/>
      <c r="IP3" s="148"/>
      <c r="IQ3" s="148"/>
      <c r="IR3" s="148"/>
      <c r="IS3" s="148"/>
      <c r="IT3" s="148"/>
      <c r="IU3" s="148"/>
      <c r="IV3" s="148"/>
      <c r="IW3" s="148"/>
    </row>
    <row r="4" customFormat="false" ht="12.75" hidden="false" customHeight="false" outlineLevel="0" collapsed="false">
      <c r="A4" s="149" t="s">
        <v>75</v>
      </c>
      <c r="B4" s="149"/>
      <c r="C4" s="149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</row>
    <row r="5" customFormat="false" ht="11.25" hidden="false" customHeight="false" outlineLevel="0" collapsed="false">
      <c r="A5" s="151" t="s">
        <v>76</v>
      </c>
      <c r="B5" s="126" t="e">
        <f aca="false">-B18-B17-SUM(B6:B8)+SUM(B25:B28)+BS!B32-Cashflow!D48-INDEX(CashflowTable,MATCH("   Interest on Operating Line",CashflowColumn,0),MATCH(YEAR(B3),CashflowRow,0))-Cashflow!D50+B39+Cashflow!D43</f>
        <v>#VALUE!</v>
      </c>
      <c r="C5" s="126" t="e">
        <f aca="false">B5-C61+C62+Cashflow!E43-SUM(Cashflow!E48:E50)+BS!C64-BS!B29-C65</f>
        <v>#VALUE!</v>
      </c>
      <c r="D5" s="126" t="e">
        <f aca="false">C5-D61+D62+Cashflow!F43-SUM(Cashflow!F48:F50)+BS!D64-BS!C29-D65</f>
        <v>#VALUE!</v>
      </c>
      <c r="E5" s="126" t="e">
        <f aca="false">D5-E61+E62+Cashflow!G43-SUM(Cashflow!G48:G50)+BS!E64-BS!D29-E65</f>
        <v>#VALUE!</v>
      </c>
      <c r="F5" s="126" t="e">
        <f aca="false">E5-F61+F62+Cashflow!H43-SUM(Cashflow!H48:H50)+BS!F64-BS!E29-F65</f>
        <v>#VALUE!</v>
      </c>
      <c r="G5" s="126" t="e">
        <f aca="false">F5-G61+G62+Cashflow!I43-SUM(Cashflow!I48:I50)+BS!G64-BS!F29-G65</f>
        <v>#VALUE!</v>
      </c>
      <c r="H5" s="126" t="e">
        <f aca="false">G5-H61+H62+Cashflow!J43-SUM(Cashflow!J48:J50)+BS!H64-BS!G29-H65</f>
        <v>#VALUE!</v>
      </c>
      <c r="I5" s="126" t="e">
        <f aca="false">H5-I61+I62+Cashflow!K43-SUM(Cashflow!K48:K50)+BS!I64-BS!H29-I65</f>
        <v>#VALUE!</v>
      </c>
      <c r="J5" s="126" t="e">
        <f aca="false">I5-J61+J62+Cashflow!L43-SUM(Cashflow!L48:L50)+BS!J64-BS!I29-J65</f>
        <v>#VALUE!</v>
      </c>
      <c r="K5" s="126" t="e">
        <f aca="false">J5-K61+K62+Cashflow!M43-SUM(Cashflow!M48:M50)+BS!K64-BS!J29-K65</f>
        <v>#VALUE!</v>
      </c>
      <c r="L5" s="126" t="e">
        <f aca="false">K5-L61+L62+Cashflow!N43-SUM(Cashflow!N48:N50)+BS!L64-BS!K29-L65</f>
        <v>#VALUE!</v>
      </c>
      <c r="M5" s="126" t="e">
        <f aca="false">L5-M61+M62+Cashflow!O43-SUM(Cashflow!O48:O50)+BS!M64-BS!L29-M65</f>
        <v>#VALUE!</v>
      </c>
      <c r="N5" s="126" t="e">
        <f aca="false">M5-N61+N62+Cashflow!P43-SUM(Cashflow!P48:P50)+BS!N64-BS!M29-N65</f>
        <v>#VALUE!</v>
      </c>
      <c r="O5" s="126" t="e">
        <f aca="false">N5-O61+O62+Cashflow!Q43-SUM(Cashflow!Q48:Q50)+BS!O64-BS!N29-O65</f>
        <v>#VALUE!</v>
      </c>
      <c r="P5" s="126" t="e">
        <f aca="false">O5-P61+P62+Cashflow!R43-SUM(Cashflow!R48:R50)+BS!P64-BS!O29-P65</f>
        <v>#VALUE!</v>
      </c>
      <c r="Q5" s="126" t="e">
        <f aca="false">P5-Q61+Q62+Cashflow!S43-SUM(Cashflow!S48:S50)+BS!Q64-BS!P29-Q65</f>
        <v>#VALUE!</v>
      </c>
      <c r="R5" s="126" t="n">
        <f aca="false">IF(Tables!$B$21=15,0,Q5-R61+R62+Cashflow!T43-SUM(Cashflow!T48:T50)+BS!R64-BS!Q29-R65)</f>
        <v>0</v>
      </c>
      <c r="S5" s="126" t="n">
        <f aca="false">IF(Tables!$B$21=15,0,R5-S61+S62+Cashflow!U43-SUM(Cashflow!U48:U50)+BS!S64-BS!R29-S65)</f>
        <v>0</v>
      </c>
      <c r="T5" s="126" t="n">
        <f aca="false">IF(Tables!$B$21=15,0,S5-T61+T62+Cashflow!V43-SUM(Cashflow!V48:V50)+BS!T64-BS!S29-T65)</f>
        <v>0</v>
      </c>
      <c r="U5" s="126" t="n">
        <f aca="false">IF(Tables!$B$21=15,0,T5-U61+U62+Cashflow!W43-SUM(Cashflow!W48:W50)+BS!U64-BS!T29-U65)</f>
        <v>0</v>
      </c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</row>
    <row r="6" customFormat="false" ht="11.25" hidden="false" customHeight="false" outlineLevel="0" collapsed="false">
      <c r="A6" s="151" t="s">
        <v>77</v>
      </c>
      <c r="B6" s="152" t="n">
        <f aca="false">INDEX(DebtReserveTable,MATCH("Ending Balance 4th Quarter",DebtReserveColumn,0),MATCH(B3,DebtReserveRow,0))</f>
        <v>0</v>
      </c>
      <c r="C6" s="152" t="n">
        <f aca="false">INDEX(DebtReserveTable,MATCH("Ending Balance 4th Quarter",DebtReserveColumn,0),MATCH(C$3,DebtReserveRow,0))</f>
        <v>0</v>
      </c>
      <c r="D6" s="152" t="n">
        <f aca="false">INDEX(DebtReserveTable,MATCH("Ending Balance 4th Quarter",DebtReserveColumn,0),MATCH(D3,DebtReserveRow,0))</f>
        <v>0</v>
      </c>
      <c r="E6" s="152" t="n">
        <f aca="false">INDEX(DebtReserveTable,MATCH("Ending Balance 4th Quarter",DebtReserveColumn,0),MATCH(E3,DebtReserveRow,0))</f>
        <v>0</v>
      </c>
      <c r="F6" s="152" t="n">
        <f aca="false">INDEX(DebtReserveTable,MATCH("Ending Balance 4th Quarter",DebtReserveColumn,0),MATCH(F3,DebtReserveRow,0))</f>
        <v>0</v>
      </c>
      <c r="G6" s="152" t="n">
        <f aca="false">INDEX(DebtReserveTable,MATCH("Ending Balance 4th Quarter",DebtReserveColumn,0),MATCH(G3,DebtReserveRow,0))</f>
        <v>0</v>
      </c>
      <c r="H6" s="152" t="n">
        <f aca="false">INDEX(DebtReserveTable,MATCH("Ending Balance 4th Quarter",DebtReserveColumn,0),MATCH(H3,DebtReserveRow,0))</f>
        <v>0</v>
      </c>
      <c r="I6" s="152" t="n">
        <f aca="false">INDEX(DebtReserveTable,MATCH("Ending Balance 4th Quarter",DebtReserveColumn,0),MATCH(I3,DebtReserveRow,0))</f>
        <v>0</v>
      </c>
      <c r="J6" s="152" t="n">
        <f aca="false">INDEX(DebtReserveTable,MATCH("Ending Balance 4th Quarter",DebtReserveColumn,0),MATCH(J3,DebtReserveRow,0))</f>
        <v>0</v>
      </c>
      <c r="K6" s="152" t="n">
        <f aca="false">INDEX(DebtReserveTable,MATCH("Ending Balance 4th Quarter",DebtReserveColumn,0),MATCH(K3,DebtReserveRow,0))</f>
        <v>0</v>
      </c>
      <c r="L6" s="152" t="n">
        <f aca="false">INDEX(DebtReserveTable,MATCH("Ending Balance 4th Quarter",DebtReserveColumn,0),MATCH(L3,DebtReserveRow,0))</f>
        <v>0</v>
      </c>
      <c r="M6" s="152" t="n">
        <f aca="false">INDEX(DebtReserveTable,MATCH("Ending Balance 4th Quarter",DebtReserveColumn,0),MATCH(M3,DebtReserveRow,0))</f>
        <v>0</v>
      </c>
      <c r="N6" s="152" t="n">
        <f aca="false">INDEX(DebtReserveTable,MATCH("Ending Balance 4th Quarter",DebtReserveColumn,0),MATCH(N3,DebtReserveRow,0))</f>
        <v>0</v>
      </c>
      <c r="O6" s="152" t="n">
        <f aca="false">INDEX(DebtReserveTable,MATCH("Ending Balance 4th Quarter",DebtReserveColumn,0),MATCH(O3,DebtReserveRow,0))</f>
        <v>0</v>
      </c>
      <c r="P6" s="152" t="n">
        <f aca="false">INDEX(DebtReserveTable,MATCH("Ending Balance 4th Quarter",DebtReserveColumn,0),MATCH(P3,DebtReserveRow,0))</f>
        <v>0</v>
      </c>
      <c r="Q6" s="152" t="n">
        <f aca="false">INDEX(DebtReserveTable,MATCH("Ending Balance 4th Quarter",DebtReserveColumn,0),MATCH(Q3,DebtReserveRow,0))</f>
        <v>0</v>
      </c>
      <c r="R6" s="152" t="n">
        <f aca="false">INDEX(DebtReserveTable,MATCH("Ending Balance 4th Quarter",DebtReserveColumn,0),MATCH(R3,DebtReserveRow,0))</f>
        <v>0</v>
      </c>
      <c r="S6" s="152" t="n">
        <f aca="false">INDEX(DebtReserveTable,MATCH("Ending Balance 4th Quarter",DebtReserveColumn,0),MATCH(S3,DebtReserveRow,0))</f>
        <v>0</v>
      </c>
      <c r="T6" s="152" t="n">
        <f aca="false">INDEX(DebtReserveTable,MATCH("Ending Balance 4th Quarter",DebtReserveColumn,0),MATCH(T3,DebtReserveRow,0))</f>
        <v>0</v>
      </c>
      <c r="U6" s="152" t="n">
        <f aca="false">INDEX(DebtReserveTable,MATCH("Ending Balance 4th Quarter",DebtReserveColumn,0),MATCH(U3,DebtReserveRow,0))</f>
        <v>0</v>
      </c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</row>
    <row r="7" customFormat="false" ht="11.25" hidden="false" customHeight="false" outlineLevel="0" collapsed="false">
      <c r="A7" s="153" t="s">
        <v>65</v>
      </c>
      <c r="B7" s="136" t="n">
        <f aca="false">INDEX(WC,MATCH("Accounts Receivable",Column,0),MATCH(B$3,Row,0))</f>
        <v>0</v>
      </c>
      <c r="C7" s="136" t="n">
        <f aca="false">INDEX(WC,MATCH("Accounts Receivable",Column,0),MATCH(C$3,Row,0))</f>
        <v>0</v>
      </c>
      <c r="D7" s="136" t="n">
        <f aca="false">INDEX(WC,MATCH("Accounts Receivable",Column,0),MATCH(D$3,Row,0))</f>
        <v>0</v>
      </c>
      <c r="E7" s="136" t="n">
        <f aca="false">INDEX(WC,MATCH("Accounts Receivable",Column,0),MATCH(E$3,Row,0))</f>
        <v>0</v>
      </c>
      <c r="F7" s="136" t="n">
        <f aca="false">INDEX(WC,MATCH("Accounts Receivable",Column,0),MATCH(F$3,Row,0))</f>
        <v>0</v>
      </c>
      <c r="G7" s="136" t="n">
        <f aca="false">INDEX(WC,MATCH("Accounts Receivable",Column,0),MATCH(G$3,Row,0))</f>
        <v>0</v>
      </c>
      <c r="H7" s="136" t="n">
        <f aca="false">INDEX(WC,MATCH("Accounts Receivable",Column,0),MATCH(H$3,Row,0))</f>
        <v>0</v>
      </c>
      <c r="I7" s="136" t="n">
        <f aca="false">INDEX(WC,MATCH("Accounts Receivable",Column,0),MATCH(I$3,Row,0))</f>
        <v>0</v>
      </c>
      <c r="J7" s="136" t="n">
        <f aca="false">INDEX(WC,MATCH("Accounts Receivable",Column,0),MATCH(J$3,Row,0))</f>
        <v>0</v>
      </c>
      <c r="K7" s="136" t="n">
        <f aca="false">INDEX(WC,MATCH("Accounts Receivable",Column,0),MATCH(K$3,Row,0))</f>
        <v>0</v>
      </c>
      <c r="L7" s="136" t="n">
        <f aca="false">INDEX(WC,MATCH("Accounts Receivable",Column,0),MATCH(L$3,Row,0))</f>
        <v>0</v>
      </c>
      <c r="M7" s="136" t="n">
        <f aca="false">INDEX(WC,MATCH("Accounts Receivable",Column,0),MATCH(M$3,Row,0))</f>
        <v>0</v>
      </c>
      <c r="N7" s="136" t="n">
        <f aca="false">INDEX(WC,MATCH("Accounts Receivable",Column,0),MATCH(N$3,Row,0))</f>
        <v>0</v>
      </c>
      <c r="O7" s="136" t="n">
        <f aca="false">INDEX(WC,MATCH("Accounts Receivable",Column,0),MATCH(O$3,Row,0))</f>
        <v>0</v>
      </c>
      <c r="P7" s="136" t="n">
        <f aca="false">INDEX(WC,MATCH("Accounts Receivable",Column,0),MATCH(P$3,Row,0))</f>
        <v>0</v>
      </c>
      <c r="Q7" s="136" t="n">
        <f aca="false">INDEX(WC,MATCH("Accounts Receivable",Column,0),MATCH(Q$3,Row,0))</f>
        <v>0</v>
      </c>
      <c r="R7" s="136" t="n">
        <f aca="false">IF(Tables!$B$21=15,0,INDEX(WC,MATCH("Accounts Receivable",Column,0),MATCH(R$3,Row,0)))</f>
        <v>0</v>
      </c>
      <c r="S7" s="136" t="n">
        <f aca="false">IF(Tables!$B$21=15,0,INDEX(WC,MATCH("Accounts Receivable",Column,0),MATCH(S$3,Row,0)))</f>
        <v>0</v>
      </c>
      <c r="T7" s="136" t="n">
        <f aca="false">IF(Tables!$B$21=15,0,INDEX(WC,MATCH("Accounts Receivable",Column,0),MATCH(T$3,Row,0)))</f>
        <v>0</v>
      </c>
      <c r="U7" s="136" t="n">
        <f aca="false">IF(Tables!$B$21=15,0,INDEX(WC,MATCH("Accounts Receivable",Column,0),MATCH(U$3,Row,0)))</f>
        <v>0</v>
      </c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</row>
    <row r="8" customFormat="false" ht="11.25" hidden="false" customHeight="false" outlineLevel="0" collapsed="false">
      <c r="A8" s="153" t="s">
        <v>66</v>
      </c>
      <c r="B8" s="136" t="n">
        <f aca="false">INDEX(WC,MATCH("Other Current Assets",Column,0),MATCH(B$3,Row,0))</f>
        <v>0</v>
      </c>
      <c r="C8" s="136" t="n">
        <f aca="false">INDEX(WC,MATCH("Other Current Assets",Column,0),MATCH(C$3,Row,0))</f>
        <v>699.835049785932</v>
      </c>
      <c r="D8" s="136" t="n">
        <f aca="false">INDEX(WC,MATCH("Other Current Assets",Column,0),MATCH(D$3,Row,0))</f>
        <v>615.723244808322</v>
      </c>
      <c r="E8" s="136" t="n">
        <f aca="false">INDEX(WC,MATCH("Other Current Assets",Column,0),MATCH(E$3,Row,0))</f>
        <v>555.340927799487</v>
      </c>
      <c r="F8" s="136" t="n">
        <f aca="false">INDEX(WC,MATCH("Other Current Assets",Column,0),MATCH(F$3,Row,0))</f>
        <v>445.984686432954</v>
      </c>
      <c r="G8" s="136" t="n">
        <f aca="false">INDEX(WC,MATCH("Other Current Assets",Column,0),MATCH(G$3,Row,0))</f>
        <v>416.337990247204</v>
      </c>
      <c r="H8" s="136" t="n">
        <f aca="false">INDEX(WC,MATCH("Other Current Assets",Column,0),MATCH(H$3,Row,0))</f>
        <v>431.099712720556</v>
      </c>
      <c r="I8" s="136" t="n">
        <f aca="false">INDEX(WC,MATCH("Other Current Assets",Column,0),MATCH(I$3,Row,0))</f>
        <v>438.83147598778</v>
      </c>
      <c r="J8" s="136" t="n">
        <f aca="false">INDEX(WC,MATCH("Other Current Assets",Column,0),MATCH(J$3,Row,0))</f>
        <v>429.695539717115</v>
      </c>
      <c r="K8" s="136" t="n">
        <f aca="false">INDEX(WC,MATCH("Other Current Assets",Column,0),MATCH(K$3,Row,0))</f>
        <v>445.235386917217</v>
      </c>
      <c r="L8" s="136" t="n">
        <f aca="false">INDEX(WC,MATCH("Other Current Assets",Column,0),MATCH(L$3,Row,0))</f>
        <v>451.058398848083</v>
      </c>
      <c r="M8" s="136" t="n">
        <f aca="false">INDEX(WC,MATCH("Other Current Assets",Column,0),MATCH(M$3,Row,0))</f>
        <v>459.675571343801</v>
      </c>
      <c r="N8" s="136" t="n">
        <f aca="false">INDEX(WC,MATCH("Other Current Assets",Column,0),MATCH(N$3,Row,0))</f>
        <v>441.091535894609</v>
      </c>
      <c r="O8" s="136" t="n">
        <f aca="false">INDEX(WC,MATCH("Other Current Assets",Column,0),MATCH(O$3,Row,0))</f>
        <v>458.492723182892</v>
      </c>
      <c r="P8" s="136" t="n">
        <f aca="false">INDEX(WC,MATCH("Other Current Assets",Column,0),MATCH(P$3,Row,0))</f>
        <v>464.778777467646</v>
      </c>
      <c r="Q8" s="136" t="n">
        <f aca="false">INDEX(WC,MATCH("Other Current Assets",Column,0),MATCH(Q$3,Row,0))</f>
        <v>970.951623667106</v>
      </c>
      <c r="R8" s="136" t="n">
        <f aca="false">IF(Tables!$B$21=15,0,INDEX(WC,MATCH("Other Current Assets",Column,0),MATCH(R$3,Row,0)))</f>
        <v>0</v>
      </c>
      <c r="S8" s="136" t="n">
        <f aca="false">IF(Tables!$B$21=15,0,INDEX(WC,MATCH("Other Current Assets",Column,0),MATCH(S$3,Row,0)))</f>
        <v>0</v>
      </c>
      <c r="T8" s="136" t="n">
        <f aca="false">IF(Tables!$B$21=15,0,INDEX(WC,MATCH("Other Current Assets",Column,0),MATCH(T$3,Row,0)))</f>
        <v>0</v>
      </c>
      <c r="U8" s="136" t="n">
        <f aca="false">IF(Tables!$B$21=15,0,INDEX(WC,MATCH("Other Current Assets",Column,0),MATCH(U$3,Row,0)))</f>
        <v>0</v>
      </c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</row>
    <row r="9" customFormat="false" ht="11.25" hidden="false" customHeight="false" outlineLevel="0" collapsed="false">
      <c r="A9" s="153"/>
      <c r="B9" s="152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</row>
    <row r="10" customFormat="false" ht="11.25" hidden="false" customHeight="false" outlineLevel="0" collapsed="false">
      <c r="A10" s="151"/>
      <c r="B10" s="152"/>
      <c r="C10" s="126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</row>
    <row r="11" customFormat="false" ht="11.25" hidden="false" customHeight="false" outlineLevel="0" collapsed="false">
      <c r="A11" s="155" t="s">
        <v>78</v>
      </c>
      <c r="B11" s="156" t="e">
        <f aca="false">SUM(B5:B10)</f>
        <v>#VALUE!</v>
      </c>
      <c r="C11" s="157" t="e">
        <f aca="false">SUM(C5:C10)</f>
        <v>#VALUE!</v>
      </c>
      <c r="D11" s="157" t="e">
        <f aca="false">SUM(D5:D10)</f>
        <v>#VALUE!</v>
      </c>
      <c r="E11" s="157" t="e">
        <f aca="false">SUM(E5:E10)</f>
        <v>#VALUE!</v>
      </c>
      <c r="F11" s="157" t="e">
        <f aca="false">SUM(F5:F10)</f>
        <v>#VALUE!</v>
      </c>
      <c r="G11" s="157" t="e">
        <f aca="false">SUM(G5:G10)</f>
        <v>#VALUE!</v>
      </c>
      <c r="H11" s="157" t="e">
        <f aca="false">SUM(H5:H10)</f>
        <v>#VALUE!</v>
      </c>
      <c r="I11" s="157" t="e">
        <f aca="false">SUM(I5:I10)</f>
        <v>#VALUE!</v>
      </c>
      <c r="J11" s="157" t="e">
        <f aca="false">SUM(J5:J10)</f>
        <v>#VALUE!</v>
      </c>
      <c r="K11" s="157" t="e">
        <f aca="false">SUM(K5:K10)</f>
        <v>#VALUE!</v>
      </c>
      <c r="L11" s="157" t="e">
        <f aca="false">SUM(L5:L10)</f>
        <v>#VALUE!</v>
      </c>
      <c r="M11" s="157" t="e">
        <f aca="false">SUM(M5:M10)</f>
        <v>#VALUE!</v>
      </c>
      <c r="N11" s="157" t="e">
        <f aca="false">SUM(N5:N10)</f>
        <v>#VALUE!</v>
      </c>
      <c r="O11" s="157" t="e">
        <f aca="false">SUM(O5:O10)</f>
        <v>#VALUE!</v>
      </c>
      <c r="P11" s="157" t="e">
        <f aca="false">SUM(P5:P10)</f>
        <v>#VALUE!</v>
      </c>
      <c r="Q11" s="157" t="e">
        <f aca="false">SUM(Q5:Q10)</f>
        <v>#VALUE!</v>
      </c>
      <c r="R11" s="157" t="n">
        <f aca="false">SUM(R5:R10)</f>
        <v>0</v>
      </c>
      <c r="S11" s="157" t="n">
        <f aca="false">SUM(S5:S10)</f>
        <v>0</v>
      </c>
      <c r="T11" s="157" t="n">
        <f aca="false">SUM(T5:T10)</f>
        <v>0</v>
      </c>
      <c r="U11" s="157" t="n">
        <f aca="false">SUM(U5:U10)</f>
        <v>0</v>
      </c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</row>
    <row r="12" customFormat="false" ht="11.25" hidden="false" customHeight="false" outlineLevel="0" collapsed="false">
      <c r="A12" s="151" t="s">
        <v>79</v>
      </c>
      <c r="B12" s="154"/>
      <c r="C12" s="126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</row>
    <row r="13" customFormat="false" ht="11.25" hidden="false" customHeight="false" outlineLevel="0" collapsed="false">
      <c r="A13" s="153" t="s">
        <v>80</v>
      </c>
      <c r="B13" s="114"/>
      <c r="C13" s="126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4"/>
      <c r="EL13" s="114"/>
      <c r="EM13" s="114"/>
      <c r="EN13" s="114"/>
      <c r="EO13" s="114"/>
      <c r="EP13" s="114"/>
      <c r="EQ13" s="114"/>
      <c r="ER13" s="114"/>
      <c r="ES13" s="114"/>
      <c r="ET13" s="114"/>
      <c r="EU13" s="114"/>
      <c r="EV13" s="114"/>
      <c r="EW13" s="114"/>
      <c r="EX13" s="114"/>
      <c r="EY13" s="114"/>
      <c r="EZ13" s="114"/>
      <c r="FA13" s="114"/>
      <c r="FB13" s="114"/>
      <c r="FC13" s="114"/>
      <c r="FD13" s="114"/>
      <c r="FE13" s="114"/>
      <c r="FF13" s="114"/>
      <c r="FG13" s="114"/>
      <c r="FH13" s="114"/>
      <c r="FI13" s="114"/>
      <c r="FJ13" s="114"/>
      <c r="FK13" s="114"/>
      <c r="FL13" s="114"/>
      <c r="FM13" s="114"/>
      <c r="FN13" s="114"/>
      <c r="FO13" s="114"/>
      <c r="FP13" s="114"/>
      <c r="FQ13" s="114"/>
      <c r="FR13" s="114"/>
      <c r="FS13" s="114"/>
      <c r="FT13" s="114"/>
      <c r="FU13" s="114"/>
      <c r="FV13" s="114"/>
      <c r="FW13" s="114"/>
      <c r="FX13" s="114"/>
      <c r="FY13" s="114"/>
      <c r="FZ13" s="114"/>
      <c r="GA13" s="114"/>
      <c r="GB13" s="114"/>
      <c r="GC13" s="114"/>
      <c r="GD13" s="114"/>
      <c r="GE13" s="114"/>
      <c r="GF13" s="114"/>
      <c r="GG13" s="114"/>
      <c r="GH13" s="114"/>
      <c r="GI13" s="114"/>
      <c r="GJ13" s="114"/>
      <c r="GK13" s="114"/>
      <c r="GL13" s="114"/>
      <c r="GM13" s="114"/>
      <c r="GN13" s="114"/>
      <c r="GO13" s="114"/>
      <c r="GP13" s="114"/>
      <c r="GQ13" s="114"/>
      <c r="GR13" s="114"/>
      <c r="GS13" s="114"/>
      <c r="GT13" s="114"/>
      <c r="GU13" s="114"/>
      <c r="GV13" s="114"/>
      <c r="GW13" s="114"/>
      <c r="GX13" s="114"/>
      <c r="GY13" s="114"/>
      <c r="GZ13" s="114"/>
      <c r="HA13" s="114"/>
      <c r="HB13" s="114"/>
      <c r="HC13" s="114"/>
      <c r="HD13" s="114"/>
      <c r="HE13" s="114"/>
      <c r="HF13" s="114"/>
      <c r="HG13" s="114"/>
      <c r="HH13" s="114"/>
      <c r="HI13" s="114"/>
      <c r="HJ13" s="114"/>
      <c r="HK13" s="114"/>
      <c r="HL13" s="114"/>
      <c r="HM13" s="114"/>
      <c r="HN13" s="114"/>
      <c r="HO13" s="114"/>
      <c r="HP13" s="114"/>
      <c r="HQ13" s="114"/>
      <c r="HR13" s="114"/>
      <c r="HS13" s="114"/>
      <c r="HT13" s="114"/>
      <c r="HU13" s="114"/>
      <c r="HV13" s="114"/>
      <c r="HW13" s="114"/>
      <c r="HX13" s="114"/>
      <c r="HY13" s="114"/>
      <c r="HZ13" s="114"/>
      <c r="IA13" s="114"/>
      <c r="IB13" s="114"/>
      <c r="IC13" s="114"/>
      <c r="ID13" s="114"/>
      <c r="IE13" s="114"/>
      <c r="IF13" s="114"/>
      <c r="IG13" s="114"/>
      <c r="IH13" s="114"/>
      <c r="II13" s="114"/>
      <c r="IJ13" s="114"/>
      <c r="IK13" s="114"/>
      <c r="IL13" s="114"/>
      <c r="IM13" s="114"/>
      <c r="IN13" s="114"/>
      <c r="IO13" s="114"/>
      <c r="IP13" s="114"/>
      <c r="IQ13" s="114"/>
      <c r="IR13" s="114"/>
      <c r="IS13" s="114"/>
      <c r="IT13" s="114"/>
      <c r="IU13" s="114"/>
      <c r="IV13" s="114"/>
      <c r="IW13" s="114"/>
    </row>
    <row r="14" customFormat="false" ht="11.25" hidden="false" customHeight="false" outlineLevel="0" collapsed="false">
      <c r="A14" s="151" t="s">
        <v>81</v>
      </c>
      <c r="B14" s="154"/>
      <c r="C14" s="126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4"/>
      <c r="EL14" s="114"/>
      <c r="EM14" s="114"/>
      <c r="EN14" s="114"/>
      <c r="EO14" s="114"/>
      <c r="EP14" s="114"/>
      <c r="EQ14" s="114"/>
      <c r="ER14" s="114"/>
      <c r="ES14" s="114"/>
      <c r="ET14" s="114"/>
      <c r="EU14" s="114"/>
      <c r="EV14" s="114"/>
      <c r="EW14" s="114"/>
      <c r="EX14" s="114"/>
      <c r="EY14" s="114"/>
      <c r="EZ14" s="114"/>
      <c r="FA14" s="114"/>
      <c r="FB14" s="114"/>
      <c r="FC14" s="114"/>
      <c r="FD14" s="114"/>
      <c r="FE14" s="114"/>
      <c r="FF14" s="114"/>
      <c r="FG14" s="114"/>
      <c r="FH14" s="114"/>
      <c r="FI14" s="114"/>
      <c r="FJ14" s="114"/>
      <c r="FK14" s="114"/>
      <c r="FL14" s="114"/>
      <c r="FM14" s="114"/>
      <c r="FN14" s="114"/>
      <c r="FO14" s="114"/>
      <c r="FP14" s="114"/>
      <c r="FQ14" s="114"/>
      <c r="FR14" s="114"/>
      <c r="FS14" s="114"/>
      <c r="FT14" s="114"/>
      <c r="FU14" s="114"/>
      <c r="FV14" s="114"/>
      <c r="FW14" s="114"/>
      <c r="FX14" s="114"/>
      <c r="FY14" s="114"/>
      <c r="FZ14" s="114"/>
      <c r="GA14" s="114"/>
      <c r="GB14" s="114"/>
      <c r="GC14" s="114"/>
      <c r="GD14" s="114"/>
      <c r="GE14" s="114"/>
      <c r="GF14" s="114"/>
      <c r="GG14" s="114"/>
      <c r="GH14" s="114"/>
      <c r="GI14" s="114"/>
      <c r="GJ14" s="114"/>
      <c r="GK14" s="114"/>
      <c r="GL14" s="114"/>
      <c r="GM14" s="114"/>
      <c r="GN14" s="114"/>
      <c r="GO14" s="114"/>
      <c r="GP14" s="114"/>
      <c r="GQ14" s="114"/>
      <c r="GR14" s="114"/>
      <c r="GS14" s="114"/>
      <c r="GT14" s="114"/>
      <c r="GU14" s="114"/>
      <c r="GV14" s="114"/>
      <c r="GW14" s="114"/>
      <c r="GX14" s="114"/>
      <c r="GY14" s="114"/>
      <c r="GZ14" s="114"/>
      <c r="HA14" s="114"/>
      <c r="HB14" s="114"/>
      <c r="HC14" s="114"/>
      <c r="HD14" s="114"/>
      <c r="HE14" s="114"/>
      <c r="HF14" s="114"/>
      <c r="HG14" s="114"/>
      <c r="HH14" s="114"/>
      <c r="HI14" s="114"/>
      <c r="HJ14" s="114"/>
      <c r="HK14" s="114"/>
      <c r="HL14" s="114"/>
      <c r="HM14" s="114"/>
      <c r="HN14" s="114"/>
      <c r="HO14" s="114"/>
      <c r="HP14" s="114"/>
      <c r="HQ14" s="114"/>
      <c r="HR14" s="114"/>
      <c r="HS14" s="114"/>
      <c r="HT14" s="114"/>
      <c r="HU14" s="114"/>
      <c r="HV14" s="114"/>
      <c r="HW14" s="114"/>
      <c r="HX14" s="114"/>
      <c r="HY14" s="114"/>
      <c r="HZ14" s="114"/>
      <c r="IA14" s="114"/>
      <c r="IB14" s="114"/>
      <c r="IC14" s="114"/>
      <c r="ID14" s="114"/>
      <c r="IE14" s="114"/>
      <c r="IF14" s="114"/>
      <c r="IG14" s="114"/>
      <c r="IH14" s="114"/>
      <c r="II14" s="114"/>
      <c r="IJ14" s="114"/>
      <c r="IK14" s="114"/>
      <c r="IL14" s="114"/>
      <c r="IM14" s="114"/>
      <c r="IN14" s="114"/>
      <c r="IO14" s="114"/>
      <c r="IP14" s="114"/>
      <c r="IQ14" s="114"/>
      <c r="IR14" s="114"/>
      <c r="IS14" s="114"/>
      <c r="IT14" s="114"/>
      <c r="IU14" s="114"/>
      <c r="IV14" s="114"/>
      <c r="IW14" s="114"/>
    </row>
    <row r="15" customFormat="false" ht="11.25" hidden="false" customHeight="false" outlineLevel="0" collapsed="false">
      <c r="A15" s="155" t="s">
        <v>82</v>
      </c>
      <c r="B15" s="157" t="n">
        <f aca="false">SUM(B12:B14)</f>
        <v>0</v>
      </c>
      <c r="C15" s="157" t="n">
        <f aca="false">SUM(C12:C14)</f>
        <v>0</v>
      </c>
      <c r="D15" s="157" t="n">
        <f aca="false">SUM(D12:D14)</f>
        <v>0</v>
      </c>
      <c r="E15" s="157" t="n">
        <f aca="false">SUM(E12:E14)</f>
        <v>0</v>
      </c>
      <c r="F15" s="157" t="n">
        <f aca="false">SUM(F12:F14)</f>
        <v>0</v>
      </c>
      <c r="G15" s="157" t="n">
        <f aca="false">SUM(G12:G14)</f>
        <v>0</v>
      </c>
      <c r="H15" s="157" t="n">
        <f aca="false">SUM(H12:H14)</f>
        <v>0</v>
      </c>
      <c r="I15" s="157" t="n">
        <f aca="false">SUM(I12:I14)</f>
        <v>0</v>
      </c>
      <c r="J15" s="157" t="n">
        <f aca="false">SUM(J12:J14)</f>
        <v>0</v>
      </c>
      <c r="K15" s="157" t="n">
        <f aca="false">SUM(K12:K14)</f>
        <v>0</v>
      </c>
      <c r="L15" s="157" t="n">
        <f aca="false">SUM(L12:L14)</f>
        <v>0</v>
      </c>
      <c r="M15" s="157" t="n">
        <f aca="false">SUM(M12:M14)</f>
        <v>0</v>
      </c>
      <c r="N15" s="157" t="n">
        <f aca="false">SUM(N12:N14)</f>
        <v>0</v>
      </c>
      <c r="O15" s="157" t="n">
        <f aca="false">SUM(O12:O14)</f>
        <v>0</v>
      </c>
      <c r="P15" s="157" t="n">
        <f aca="false">SUM(P12:P14)</f>
        <v>0</v>
      </c>
      <c r="Q15" s="157" t="n">
        <f aca="false">SUM(Q12:Q14)</f>
        <v>0</v>
      </c>
      <c r="R15" s="157" t="n">
        <f aca="false">SUM(R12:R14)</f>
        <v>0</v>
      </c>
      <c r="S15" s="157" t="n">
        <f aca="false">SUM(S12:S14)</f>
        <v>0</v>
      </c>
      <c r="T15" s="157" t="n">
        <f aca="false">SUM(T12:T14)</f>
        <v>0</v>
      </c>
      <c r="U15" s="157" t="n">
        <f aca="false">SUM(U12:U14)</f>
        <v>0</v>
      </c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/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4"/>
      <c r="EL15" s="114"/>
      <c r="EM15" s="114"/>
      <c r="EN15" s="114"/>
      <c r="EO15" s="114"/>
      <c r="EP15" s="114"/>
      <c r="EQ15" s="114"/>
      <c r="ER15" s="114"/>
      <c r="ES15" s="114"/>
      <c r="ET15" s="114"/>
      <c r="EU15" s="114"/>
      <c r="EV15" s="114"/>
      <c r="EW15" s="114"/>
      <c r="EX15" s="114"/>
      <c r="EY15" s="114"/>
      <c r="EZ15" s="114"/>
      <c r="FA15" s="114"/>
      <c r="FB15" s="114"/>
      <c r="FC15" s="114"/>
      <c r="FD15" s="114"/>
      <c r="FE15" s="114"/>
      <c r="FF15" s="114"/>
      <c r="FG15" s="114"/>
      <c r="FH15" s="114"/>
      <c r="FI15" s="114"/>
      <c r="FJ15" s="114"/>
      <c r="FK15" s="114"/>
      <c r="FL15" s="114"/>
      <c r="FM15" s="114"/>
      <c r="FN15" s="114"/>
      <c r="FO15" s="114"/>
      <c r="FP15" s="114"/>
      <c r="FQ15" s="114"/>
      <c r="FR15" s="114"/>
      <c r="FS15" s="114"/>
      <c r="FT15" s="114"/>
      <c r="FU15" s="114"/>
      <c r="FV15" s="114"/>
      <c r="FW15" s="114"/>
      <c r="FX15" s="114"/>
      <c r="FY15" s="114"/>
      <c r="FZ15" s="114"/>
      <c r="GA15" s="114"/>
      <c r="GB15" s="114"/>
      <c r="GC15" s="114"/>
      <c r="GD15" s="114"/>
      <c r="GE15" s="114"/>
      <c r="GF15" s="114"/>
      <c r="GG15" s="114"/>
      <c r="GH15" s="114"/>
      <c r="GI15" s="114"/>
      <c r="GJ15" s="114"/>
      <c r="GK15" s="114"/>
      <c r="GL15" s="114"/>
      <c r="GM15" s="114"/>
      <c r="GN15" s="114"/>
      <c r="GO15" s="114"/>
      <c r="GP15" s="114"/>
      <c r="GQ15" s="114"/>
      <c r="GR15" s="114"/>
      <c r="GS15" s="114"/>
      <c r="GT15" s="114"/>
      <c r="GU15" s="114"/>
      <c r="GV15" s="114"/>
      <c r="GW15" s="114"/>
      <c r="GX15" s="114"/>
      <c r="GY15" s="114"/>
      <c r="GZ15" s="114"/>
      <c r="HA15" s="114"/>
      <c r="HB15" s="114"/>
      <c r="HC15" s="114"/>
      <c r="HD15" s="114"/>
      <c r="HE15" s="114"/>
      <c r="HF15" s="114"/>
      <c r="HG15" s="114"/>
      <c r="HH15" s="114"/>
      <c r="HI15" s="114"/>
      <c r="HJ15" s="114"/>
      <c r="HK15" s="114"/>
      <c r="HL15" s="114"/>
      <c r="HM15" s="114"/>
      <c r="HN15" s="114"/>
      <c r="HO15" s="114"/>
      <c r="HP15" s="114"/>
      <c r="HQ15" s="114"/>
      <c r="HR15" s="114"/>
      <c r="HS15" s="114"/>
      <c r="HT15" s="114"/>
      <c r="HU15" s="114"/>
      <c r="HV15" s="114"/>
      <c r="HW15" s="114"/>
      <c r="HX15" s="114"/>
      <c r="HY15" s="114"/>
      <c r="HZ15" s="114"/>
      <c r="IA15" s="114"/>
      <c r="IB15" s="114"/>
      <c r="IC15" s="114"/>
      <c r="ID15" s="114"/>
      <c r="IE15" s="114"/>
      <c r="IF15" s="114"/>
      <c r="IG15" s="114"/>
      <c r="IH15" s="114"/>
      <c r="II15" s="114"/>
      <c r="IJ15" s="114"/>
      <c r="IK15" s="114"/>
      <c r="IL15" s="114"/>
      <c r="IM15" s="114"/>
      <c r="IN15" s="114"/>
      <c r="IO15" s="114"/>
      <c r="IP15" s="114"/>
      <c r="IQ15" s="114"/>
      <c r="IR15" s="114"/>
      <c r="IS15" s="114"/>
      <c r="IT15" s="114"/>
      <c r="IU15" s="114"/>
      <c r="IV15" s="114"/>
      <c r="IW15" s="114"/>
    </row>
    <row r="16" customFormat="false" ht="11.25" hidden="false" customHeight="false" outlineLevel="0" collapsed="false">
      <c r="A16" s="114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4"/>
      <c r="EL16" s="114"/>
      <c r="EM16" s="114"/>
      <c r="EN16" s="114"/>
      <c r="EO16" s="114"/>
      <c r="EP16" s="114"/>
      <c r="EQ16" s="114"/>
      <c r="ER16" s="114"/>
      <c r="ES16" s="114"/>
      <c r="ET16" s="114"/>
      <c r="EU16" s="114"/>
      <c r="EV16" s="114"/>
      <c r="EW16" s="114"/>
      <c r="EX16" s="114"/>
      <c r="EY16" s="114"/>
      <c r="EZ16" s="114"/>
      <c r="FA16" s="114"/>
      <c r="FB16" s="114"/>
      <c r="FC16" s="114"/>
      <c r="FD16" s="114"/>
      <c r="FE16" s="114"/>
      <c r="FF16" s="114"/>
      <c r="FG16" s="114"/>
      <c r="FH16" s="114"/>
      <c r="FI16" s="114"/>
      <c r="FJ16" s="114"/>
      <c r="FK16" s="114"/>
      <c r="FL16" s="114"/>
      <c r="FM16" s="114"/>
      <c r="FN16" s="114"/>
      <c r="FO16" s="114"/>
      <c r="FP16" s="114"/>
      <c r="FQ16" s="114"/>
      <c r="FR16" s="114"/>
      <c r="FS16" s="114"/>
      <c r="FT16" s="114"/>
      <c r="FU16" s="114"/>
      <c r="FV16" s="114"/>
      <c r="FW16" s="114"/>
      <c r="FX16" s="114"/>
      <c r="FY16" s="114"/>
      <c r="FZ16" s="114"/>
      <c r="GA16" s="114"/>
      <c r="GB16" s="114"/>
      <c r="GC16" s="114"/>
      <c r="GD16" s="114"/>
      <c r="GE16" s="114"/>
      <c r="GF16" s="114"/>
      <c r="GG16" s="114"/>
      <c r="GH16" s="114"/>
      <c r="GI16" s="114"/>
      <c r="GJ16" s="114"/>
      <c r="GK16" s="114"/>
      <c r="GL16" s="114"/>
      <c r="GM16" s="114"/>
      <c r="GN16" s="114"/>
      <c r="GO16" s="114"/>
      <c r="GP16" s="114"/>
      <c r="GQ16" s="114"/>
      <c r="GR16" s="114"/>
      <c r="GS16" s="114"/>
      <c r="GT16" s="114"/>
      <c r="GU16" s="114"/>
      <c r="GV16" s="114"/>
      <c r="GW16" s="114"/>
      <c r="GX16" s="114"/>
      <c r="GY16" s="114"/>
      <c r="GZ16" s="114"/>
      <c r="HA16" s="114"/>
      <c r="HB16" s="114"/>
      <c r="HC16" s="114"/>
      <c r="HD16" s="114"/>
      <c r="HE16" s="114"/>
      <c r="HF16" s="114"/>
      <c r="HG16" s="114"/>
      <c r="HH16" s="114"/>
      <c r="HI16" s="114"/>
      <c r="HJ16" s="114"/>
      <c r="HK16" s="114"/>
      <c r="HL16" s="114"/>
      <c r="HM16" s="114"/>
      <c r="HN16" s="114"/>
      <c r="HO16" s="114"/>
      <c r="HP16" s="114"/>
      <c r="HQ16" s="114"/>
      <c r="HR16" s="114"/>
      <c r="HS16" s="114"/>
      <c r="HT16" s="114"/>
      <c r="HU16" s="114"/>
      <c r="HV16" s="114"/>
      <c r="HW16" s="114"/>
      <c r="HX16" s="114"/>
      <c r="HY16" s="114"/>
      <c r="HZ16" s="114"/>
      <c r="IA16" s="114"/>
      <c r="IB16" s="114"/>
      <c r="IC16" s="114"/>
      <c r="ID16" s="114"/>
      <c r="IE16" s="114"/>
      <c r="IF16" s="114"/>
      <c r="IG16" s="114"/>
      <c r="IH16" s="114"/>
      <c r="II16" s="114"/>
      <c r="IJ16" s="114"/>
      <c r="IK16" s="114"/>
      <c r="IL16" s="114"/>
      <c r="IM16" s="114"/>
      <c r="IN16" s="114"/>
      <c r="IO16" s="114"/>
      <c r="IP16" s="114"/>
      <c r="IQ16" s="114"/>
      <c r="IR16" s="114"/>
      <c r="IS16" s="114"/>
      <c r="IT16" s="114"/>
      <c r="IU16" s="114"/>
      <c r="IV16" s="114"/>
      <c r="IW16" s="114"/>
    </row>
    <row r="17" customFormat="false" ht="11.25" hidden="false" customHeight="false" outlineLevel="0" collapsed="false">
      <c r="A17" s="153" t="s">
        <v>83</v>
      </c>
      <c r="B17" s="126" t="n">
        <f aca="false">Assumptions!$E$5</f>
        <v>466</v>
      </c>
      <c r="C17" s="126" t="n">
        <f aca="false">Assumptions!$E$5</f>
        <v>466</v>
      </c>
      <c r="D17" s="126" t="n">
        <f aca="false">Assumptions!$E$5</f>
        <v>466</v>
      </c>
      <c r="E17" s="126" t="n">
        <f aca="false">Assumptions!$E$5</f>
        <v>466</v>
      </c>
      <c r="F17" s="126" t="n">
        <f aca="false">Assumptions!$E$5</f>
        <v>466</v>
      </c>
      <c r="G17" s="126" t="n">
        <f aca="false">Assumptions!$E$5</f>
        <v>466</v>
      </c>
      <c r="H17" s="126" t="n">
        <f aca="false">Assumptions!$E$5</f>
        <v>466</v>
      </c>
      <c r="I17" s="126" t="n">
        <f aca="false">Assumptions!$E$5</f>
        <v>466</v>
      </c>
      <c r="J17" s="126" t="n">
        <f aca="false">Assumptions!$E$5</f>
        <v>466</v>
      </c>
      <c r="K17" s="126" t="n">
        <f aca="false">Assumptions!$E$5</f>
        <v>466</v>
      </c>
      <c r="L17" s="126" t="n">
        <f aca="false">Assumptions!$E$5</f>
        <v>466</v>
      </c>
      <c r="M17" s="126" t="n">
        <f aca="false">Assumptions!$E$5</f>
        <v>466</v>
      </c>
      <c r="N17" s="126" t="n">
        <f aca="false">Assumptions!$E$5</f>
        <v>466</v>
      </c>
      <c r="O17" s="126" t="n">
        <f aca="false">Assumptions!$E$5</f>
        <v>466</v>
      </c>
      <c r="P17" s="126" t="n">
        <f aca="false">Assumptions!$E$5</f>
        <v>466</v>
      </c>
      <c r="Q17" s="126" t="n">
        <f aca="false">Assumptions!$E$5</f>
        <v>466</v>
      </c>
      <c r="R17" s="126" t="n">
        <f aca="false">IF(Tables!$B$21=15,0,Assumptions!$E$5)</f>
        <v>0</v>
      </c>
      <c r="S17" s="126" t="n">
        <f aca="false">IF(Tables!$B$21=15,0,Assumptions!$E$5)</f>
        <v>0</v>
      </c>
      <c r="T17" s="126" t="n">
        <f aca="false">IF(Tables!$B$21=15,0,Assumptions!$E$5)</f>
        <v>0</v>
      </c>
      <c r="U17" s="126" t="n">
        <f aca="false">IF(Tables!$B$21=15,0,Assumptions!$E$5)</f>
        <v>0</v>
      </c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/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/>
      <c r="CX17" s="114"/>
      <c r="CY17" s="114"/>
      <c r="CZ17" s="114"/>
      <c r="DA17" s="114"/>
      <c r="DB17" s="114"/>
      <c r="DC17" s="114"/>
      <c r="DD17" s="114"/>
      <c r="DE17" s="114"/>
      <c r="DF17" s="114"/>
      <c r="DG17" s="114"/>
      <c r="DH17" s="114"/>
      <c r="DI17" s="114"/>
      <c r="DJ17" s="114"/>
      <c r="DK17" s="114"/>
      <c r="DL17" s="114"/>
      <c r="DM17" s="114"/>
      <c r="DN17" s="114"/>
      <c r="DO17" s="114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4"/>
      <c r="EL17" s="114"/>
      <c r="EM17" s="114"/>
      <c r="EN17" s="114"/>
      <c r="EO17" s="114"/>
      <c r="EP17" s="114"/>
      <c r="EQ17" s="114"/>
      <c r="ER17" s="114"/>
      <c r="ES17" s="114"/>
      <c r="ET17" s="114"/>
      <c r="EU17" s="114"/>
      <c r="EV17" s="114"/>
      <c r="EW17" s="114"/>
      <c r="EX17" s="114"/>
      <c r="EY17" s="114"/>
      <c r="EZ17" s="114"/>
      <c r="FA17" s="114"/>
      <c r="FB17" s="114"/>
      <c r="FC17" s="114"/>
      <c r="FD17" s="114"/>
      <c r="FE17" s="114"/>
      <c r="FF17" s="114"/>
      <c r="FG17" s="114"/>
      <c r="FH17" s="114"/>
      <c r="FI17" s="114"/>
      <c r="FJ17" s="114"/>
      <c r="FK17" s="114"/>
      <c r="FL17" s="114"/>
      <c r="FM17" s="114"/>
      <c r="FN17" s="114"/>
      <c r="FO17" s="114"/>
      <c r="FP17" s="114"/>
      <c r="FQ17" s="114"/>
      <c r="FR17" s="114"/>
      <c r="FS17" s="114"/>
      <c r="FT17" s="114"/>
      <c r="FU17" s="114"/>
      <c r="FV17" s="114"/>
      <c r="FW17" s="114"/>
      <c r="FX17" s="114"/>
      <c r="FY17" s="114"/>
      <c r="FZ17" s="114"/>
      <c r="GA17" s="114"/>
      <c r="GB17" s="114"/>
      <c r="GC17" s="114"/>
      <c r="GD17" s="114"/>
      <c r="GE17" s="114"/>
      <c r="GF17" s="114"/>
      <c r="GG17" s="114"/>
      <c r="GH17" s="114"/>
      <c r="GI17" s="114"/>
      <c r="GJ17" s="114"/>
      <c r="GK17" s="114"/>
      <c r="GL17" s="114"/>
      <c r="GM17" s="114"/>
      <c r="GN17" s="114"/>
      <c r="GO17" s="114"/>
      <c r="GP17" s="114"/>
      <c r="GQ17" s="114"/>
      <c r="GR17" s="114"/>
      <c r="GS17" s="114"/>
      <c r="GT17" s="114"/>
      <c r="GU17" s="114"/>
      <c r="GV17" s="114"/>
      <c r="GW17" s="114"/>
      <c r="GX17" s="114"/>
      <c r="GY17" s="114"/>
      <c r="GZ17" s="114"/>
      <c r="HA17" s="114"/>
      <c r="HB17" s="114"/>
      <c r="HC17" s="114"/>
      <c r="HD17" s="114"/>
      <c r="HE17" s="114"/>
      <c r="HF17" s="114"/>
      <c r="HG17" s="114"/>
      <c r="HH17" s="114"/>
      <c r="HI17" s="114"/>
      <c r="HJ17" s="114"/>
      <c r="HK17" s="114"/>
      <c r="HL17" s="114"/>
      <c r="HM17" s="114"/>
      <c r="HN17" s="114"/>
      <c r="HO17" s="114"/>
      <c r="HP17" s="114"/>
      <c r="HQ17" s="114"/>
      <c r="HR17" s="114"/>
      <c r="HS17" s="114"/>
      <c r="HT17" s="114"/>
      <c r="HU17" s="114"/>
      <c r="HV17" s="114"/>
      <c r="HW17" s="114"/>
      <c r="HX17" s="114"/>
      <c r="HY17" s="114"/>
      <c r="HZ17" s="114"/>
      <c r="IA17" s="114"/>
      <c r="IB17" s="114"/>
      <c r="IC17" s="114"/>
      <c r="ID17" s="114"/>
      <c r="IE17" s="114"/>
      <c r="IF17" s="114"/>
      <c r="IG17" s="114"/>
      <c r="IH17" s="114"/>
      <c r="II17" s="114"/>
      <c r="IJ17" s="114"/>
      <c r="IK17" s="114"/>
      <c r="IL17" s="114"/>
      <c r="IM17" s="114"/>
      <c r="IN17" s="114"/>
      <c r="IO17" s="114"/>
      <c r="IP17" s="114"/>
      <c r="IQ17" s="114"/>
      <c r="IR17" s="114"/>
      <c r="IS17" s="114"/>
      <c r="IT17" s="114"/>
      <c r="IU17" s="114"/>
      <c r="IV17" s="114"/>
      <c r="IW17" s="114"/>
    </row>
    <row r="18" customFormat="false" ht="11.25" hidden="false" customHeight="false" outlineLevel="0" collapsed="false">
      <c r="A18" s="151" t="s">
        <v>84</v>
      </c>
      <c r="B18" s="154" t="n">
        <f aca="false">$B$91</f>
        <v>180064.05066285</v>
      </c>
      <c r="C18" s="154" t="n">
        <f aca="false">$B$91</f>
        <v>180064.05066285</v>
      </c>
      <c r="D18" s="154" t="n">
        <f aca="false">$B$91</f>
        <v>180064.05066285</v>
      </c>
      <c r="E18" s="154" t="n">
        <f aca="false">$B$91+Assumptions!E17</f>
        <v>180064.05066285</v>
      </c>
      <c r="F18" s="154" t="n">
        <f aca="false">$E$18</f>
        <v>180064.05066285</v>
      </c>
      <c r="G18" s="154" t="n">
        <f aca="false">$E$18</f>
        <v>180064.05066285</v>
      </c>
      <c r="H18" s="154" t="n">
        <f aca="false">$E$18</f>
        <v>180064.05066285</v>
      </c>
      <c r="I18" s="154" t="n">
        <f aca="false">$E$18</f>
        <v>180064.05066285</v>
      </c>
      <c r="J18" s="154" t="n">
        <f aca="false">$E$18</f>
        <v>180064.05066285</v>
      </c>
      <c r="K18" s="154" t="n">
        <f aca="false">$E$18</f>
        <v>180064.05066285</v>
      </c>
      <c r="L18" s="154" t="n">
        <f aca="false">$E$18</f>
        <v>180064.05066285</v>
      </c>
      <c r="M18" s="154" t="n">
        <f aca="false">$E$18</f>
        <v>180064.05066285</v>
      </c>
      <c r="N18" s="154" t="n">
        <f aca="false">$E$18</f>
        <v>180064.05066285</v>
      </c>
      <c r="O18" s="154" t="n">
        <f aca="false">$E$18</f>
        <v>180064.05066285</v>
      </c>
      <c r="P18" s="154" t="n">
        <f aca="false">$E$18</f>
        <v>180064.05066285</v>
      </c>
      <c r="Q18" s="154" t="n">
        <f aca="false">$E$18</f>
        <v>180064.05066285</v>
      </c>
      <c r="R18" s="154" t="n">
        <f aca="false">IF(Tables!$B$21=15,0,$E$18)</f>
        <v>0</v>
      </c>
      <c r="S18" s="154" t="n">
        <f aca="false">IF(Tables!$B$21=15,0,$E$18)</f>
        <v>0</v>
      </c>
      <c r="T18" s="154" t="n">
        <f aca="false">IF(Tables!$B$21=15,0,$E$18)</f>
        <v>0</v>
      </c>
      <c r="U18" s="154" t="n">
        <f aca="false">IF(Tables!$B$21=15,0,$E$18)</f>
        <v>0</v>
      </c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4"/>
      <c r="EL18" s="114"/>
      <c r="EM18" s="114"/>
      <c r="EN18" s="114"/>
      <c r="EO18" s="114"/>
      <c r="EP18" s="114"/>
      <c r="EQ18" s="114"/>
      <c r="ER18" s="114"/>
      <c r="ES18" s="114"/>
      <c r="ET18" s="114"/>
      <c r="EU18" s="114"/>
      <c r="EV18" s="114"/>
      <c r="EW18" s="114"/>
      <c r="EX18" s="114"/>
      <c r="EY18" s="114"/>
      <c r="EZ18" s="114"/>
      <c r="FA18" s="114"/>
      <c r="FB18" s="114"/>
      <c r="FC18" s="114"/>
      <c r="FD18" s="114"/>
      <c r="FE18" s="114"/>
      <c r="FF18" s="114"/>
      <c r="FG18" s="114"/>
      <c r="FH18" s="114"/>
      <c r="FI18" s="114"/>
      <c r="FJ18" s="114"/>
      <c r="FK18" s="114"/>
      <c r="FL18" s="114"/>
      <c r="FM18" s="114"/>
      <c r="FN18" s="114"/>
      <c r="FO18" s="114"/>
      <c r="FP18" s="114"/>
      <c r="FQ18" s="114"/>
      <c r="FR18" s="114"/>
      <c r="FS18" s="114"/>
      <c r="FT18" s="114"/>
      <c r="FU18" s="114"/>
      <c r="FV18" s="114"/>
      <c r="FW18" s="114"/>
      <c r="FX18" s="114"/>
      <c r="FY18" s="114"/>
      <c r="FZ18" s="114"/>
      <c r="GA18" s="114"/>
      <c r="GB18" s="114"/>
      <c r="GC18" s="114"/>
      <c r="GD18" s="114"/>
      <c r="GE18" s="114"/>
      <c r="GF18" s="114"/>
      <c r="GG18" s="114"/>
      <c r="GH18" s="114"/>
      <c r="GI18" s="114"/>
      <c r="GJ18" s="114"/>
      <c r="GK18" s="114"/>
      <c r="GL18" s="114"/>
      <c r="GM18" s="114"/>
      <c r="GN18" s="114"/>
      <c r="GO18" s="114"/>
      <c r="GP18" s="114"/>
      <c r="GQ18" s="114"/>
      <c r="GR18" s="114"/>
      <c r="GS18" s="114"/>
      <c r="GT18" s="114"/>
      <c r="GU18" s="114"/>
      <c r="GV18" s="114"/>
      <c r="GW18" s="114"/>
      <c r="GX18" s="114"/>
      <c r="GY18" s="114"/>
      <c r="GZ18" s="114"/>
      <c r="HA18" s="114"/>
      <c r="HB18" s="114"/>
      <c r="HC18" s="114"/>
      <c r="HD18" s="114"/>
      <c r="HE18" s="114"/>
      <c r="HF18" s="114"/>
      <c r="HG18" s="114"/>
      <c r="HH18" s="114"/>
      <c r="HI18" s="114"/>
      <c r="HJ18" s="114"/>
      <c r="HK18" s="114"/>
      <c r="HL18" s="114"/>
      <c r="HM18" s="114"/>
      <c r="HN18" s="114"/>
      <c r="HO18" s="114"/>
      <c r="HP18" s="114"/>
      <c r="HQ18" s="114"/>
      <c r="HR18" s="114"/>
      <c r="HS18" s="114"/>
      <c r="HT18" s="114"/>
      <c r="HU18" s="114"/>
      <c r="HV18" s="114"/>
      <c r="HW18" s="114"/>
      <c r="HX18" s="114"/>
      <c r="HY18" s="114"/>
      <c r="HZ18" s="114"/>
      <c r="IA18" s="114"/>
      <c r="IB18" s="114"/>
      <c r="IC18" s="114"/>
      <c r="ID18" s="114"/>
      <c r="IE18" s="114"/>
      <c r="IF18" s="114"/>
      <c r="IG18" s="114"/>
      <c r="IH18" s="114"/>
      <c r="II18" s="114"/>
      <c r="IJ18" s="114"/>
      <c r="IK18" s="114"/>
      <c r="IL18" s="114"/>
      <c r="IM18" s="114"/>
      <c r="IN18" s="114"/>
      <c r="IO18" s="114"/>
      <c r="IP18" s="114"/>
      <c r="IQ18" s="114"/>
      <c r="IR18" s="114"/>
      <c r="IS18" s="114"/>
      <c r="IT18" s="114"/>
      <c r="IU18" s="114"/>
      <c r="IV18" s="114"/>
      <c r="IW18" s="114"/>
    </row>
    <row r="19" customFormat="false" ht="11.25" hidden="false" customHeight="false" outlineLevel="0" collapsed="false">
      <c r="A19" s="153" t="s">
        <v>85</v>
      </c>
      <c r="B19" s="126" t="n">
        <f aca="false">-INDEX(Income_Statement,MATCH("Depreciation",ISColumn,0),MATCH(YEAR(B3),ISRow,0))</f>
        <v>-1200.427004419</v>
      </c>
      <c r="C19" s="126" t="n">
        <f aca="false">-INDEX(Income_Statement,MATCH("Depreciation",ISColumn,0),MATCH(YEAR(C3),ISRow,0))+B19</f>
        <v>-8402.98903093301</v>
      </c>
      <c r="D19" s="126" t="n">
        <f aca="false">-INDEX(Income_Statement,MATCH("Depreciation",ISColumn,0),MATCH(YEAR(D3),ISRow,0))+C19</f>
        <v>-15605.551057447</v>
      </c>
      <c r="E19" s="126" t="n">
        <f aca="false">-INDEX(Income_Statement,MATCH("Depreciation",ISColumn,0),MATCH(YEAR(E3),ISRow,0))+D19</f>
        <v>-22808.113083961</v>
      </c>
      <c r="F19" s="126" t="n">
        <f aca="false">-INDEX(Income_Statement,MATCH("Depreciation",ISColumn,0),MATCH(YEAR(F3),ISRow,0))+E19</f>
        <v>-30010.675110475</v>
      </c>
      <c r="G19" s="126" t="n">
        <f aca="false">-INDEX(Income_Statement,MATCH("Depreciation",ISColumn,0),MATCH(YEAR(G3),ISRow,0))+F19</f>
        <v>-37213.237136989</v>
      </c>
      <c r="H19" s="126" t="n">
        <f aca="false">-INDEX(Income_Statement,MATCH("Depreciation",ISColumn,0),MATCH(YEAR(H3),ISRow,0))+G19</f>
        <v>-44415.799163503</v>
      </c>
      <c r="I19" s="126" t="n">
        <f aca="false">-INDEX(Income_Statement,MATCH("Depreciation",ISColumn,0),MATCH(YEAR(I3),ISRow,0))+H19</f>
        <v>-51618.3611900171</v>
      </c>
      <c r="J19" s="126" t="n">
        <f aca="false">-INDEX(Income_Statement,MATCH("Depreciation",ISColumn,0),MATCH(YEAR(J3),ISRow,0))+I19</f>
        <v>-58820.9232165311</v>
      </c>
      <c r="K19" s="126" t="n">
        <f aca="false">-INDEX(Income_Statement,MATCH("Depreciation",ISColumn,0),MATCH(YEAR(K3),ISRow,0))+J19</f>
        <v>-66023.4852430451</v>
      </c>
      <c r="L19" s="126" t="n">
        <f aca="false">-INDEX(Income_Statement,MATCH("Depreciation",ISColumn,0),MATCH(YEAR(L3),ISRow,0))+K19</f>
        <v>-73226.0472695591</v>
      </c>
      <c r="M19" s="126" t="n">
        <f aca="false">-INDEX(Income_Statement,MATCH("Depreciation",ISColumn,0),MATCH(YEAR(M3),ISRow,0))+L19</f>
        <v>-80428.6092960731</v>
      </c>
      <c r="N19" s="126" t="n">
        <f aca="false">-INDEX(Income_Statement,MATCH("Depreciation",ISColumn,0),MATCH(YEAR(N3),ISRow,0))+M19</f>
        <v>-87631.1713225871</v>
      </c>
      <c r="O19" s="126" t="n">
        <f aca="false">-INDEX(Income_Statement,MATCH("Depreciation",ISColumn,0),MATCH(YEAR(O3),ISRow,0))+N19</f>
        <v>-94833.7333491011</v>
      </c>
      <c r="P19" s="126" t="n">
        <f aca="false">-INDEX(Income_Statement,MATCH("Depreciation",ISColumn,0),MATCH(YEAR(P3),ISRow,0))+O19</f>
        <v>-102036.295375615</v>
      </c>
      <c r="Q19" s="126" t="n">
        <f aca="false">-INDEX(Income_Statement,MATCH("Depreciation",ISColumn,0),MATCH(YEAR(Q3),ISRow,0))+P19</f>
        <v>-109238.857402129</v>
      </c>
      <c r="R19" s="126" t="n">
        <f aca="false">IF(Tables!$B$21=15,0,-INDEX(Income_Statement,MATCH("Depreciation",ISColumn,0),MATCH(YEAR(R3),ISRow,0))+Q19)</f>
        <v>0</v>
      </c>
      <c r="S19" s="126" t="n">
        <f aca="false">-INDEX(Income_Statement,MATCH("Depreciation",ISColumn,0),MATCH(YEAR(S3),ISRow,0))+R19</f>
        <v>0</v>
      </c>
      <c r="T19" s="126" t="n">
        <f aca="false">-INDEX(Income_Statement,MATCH("Depreciation",ISColumn,0),MATCH(YEAR(T3),ISRow,0))+S19</f>
        <v>0</v>
      </c>
      <c r="U19" s="126" t="n">
        <f aca="false">-INDEX(Income_Statement,MATCH("Depreciation",ISColumn,0),MATCH(YEAR(U3),ISRow,0))+T19</f>
        <v>0</v>
      </c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4"/>
      <c r="EL19" s="114"/>
      <c r="EM19" s="114"/>
      <c r="EN19" s="114"/>
      <c r="EO19" s="114"/>
      <c r="EP19" s="114"/>
      <c r="EQ19" s="114"/>
      <c r="ER19" s="114"/>
      <c r="ES19" s="114"/>
      <c r="ET19" s="114"/>
      <c r="EU19" s="114"/>
      <c r="EV19" s="114"/>
      <c r="EW19" s="114"/>
      <c r="EX19" s="114"/>
      <c r="EY19" s="114"/>
      <c r="EZ19" s="114"/>
      <c r="FA19" s="114"/>
      <c r="FB19" s="114"/>
      <c r="FC19" s="114"/>
      <c r="FD19" s="114"/>
      <c r="FE19" s="114"/>
      <c r="FF19" s="114"/>
      <c r="FG19" s="114"/>
      <c r="FH19" s="114"/>
      <c r="FI19" s="114"/>
      <c r="FJ19" s="114"/>
      <c r="FK19" s="114"/>
      <c r="FL19" s="114"/>
      <c r="FM19" s="114"/>
      <c r="FN19" s="114"/>
      <c r="FO19" s="114"/>
      <c r="FP19" s="114"/>
      <c r="FQ19" s="114"/>
      <c r="FR19" s="114"/>
      <c r="FS19" s="114"/>
      <c r="FT19" s="114"/>
      <c r="FU19" s="114"/>
      <c r="FV19" s="114"/>
      <c r="FW19" s="114"/>
      <c r="FX19" s="114"/>
      <c r="FY19" s="114"/>
      <c r="FZ19" s="114"/>
      <c r="GA19" s="114"/>
      <c r="GB19" s="114"/>
      <c r="GC19" s="114"/>
      <c r="GD19" s="114"/>
      <c r="GE19" s="114"/>
      <c r="GF19" s="114"/>
      <c r="GG19" s="114"/>
      <c r="GH19" s="114"/>
      <c r="GI19" s="114"/>
      <c r="GJ19" s="114"/>
      <c r="GK19" s="114"/>
      <c r="GL19" s="114"/>
      <c r="GM19" s="114"/>
      <c r="GN19" s="114"/>
      <c r="GO19" s="114"/>
      <c r="GP19" s="114"/>
      <c r="GQ19" s="114"/>
      <c r="GR19" s="114"/>
      <c r="GS19" s="114"/>
      <c r="GT19" s="114"/>
      <c r="GU19" s="114"/>
      <c r="GV19" s="114"/>
      <c r="GW19" s="114"/>
      <c r="GX19" s="114"/>
      <c r="GY19" s="114"/>
      <c r="GZ19" s="114"/>
      <c r="HA19" s="114"/>
      <c r="HB19" s="114"/>
      <c r="HC19" s="114"/>
      <c r="HD19" s="114"/>
      <c r="HE19" s="114"/>
      <c r="HF19" s="114"/>
      <c r="HG19" s="114"/>
      <c r="HH19" s="114"/>
      <c r="HI19" s="114"/>
      <c r="HJ19" s="114"/>
      <c r="HK19" s="114"/>
      <c r="HL19" s="114"/>
      <c r="HM19" s="114"/>
      <c r="HN19" s="114"/>
      <c r="HO19" s="114"/>
      <c r="HP19" s="114"/>
      <c r="HQ19" s="114"/>
      <c r="HR19" s="114"/>
      <c r="HS19" s="114"/>
      <c r="HT19" s="114"/>
      <c r="HU19" s="114"/>
      <c r="HV19" s="114"/>
      <c r="HW19" s="114"/>
      <c r="HX19" s="114"/>
      <c r="HY19" s="114"/>
      <c r="HZ19" s="114"/>
      <c r="IA19" s="114"/>
      <c r="IB19" s="114"/>
      <c r="IC19" s="114"/>
      <c r="ID19" s="114"/>
      <c r="IE19" s="114"/>
      <c r="IF19" s="114"/>
      <c r="IG19" s="114"/>
      <c r="IH19" s="114"/>
      <c r="II19" s="114"/>
      <c r="IJ19" s="114"/>
      <c r="IK19" s="114"/>
      <c r="IL19" s="114"/>
      <c r="IM19" s="114"/>
      <c r="IN19" s="114"/>
      <c r="IO19" s="114"/>
      <c r="IP19" s="114"/>
      <c r="IQ19" s="114"/>
      <c r="IR19" s="114"/>
      <c r="IS19" s="114"/>
      <c r="IT19" s="114"/>
      <c r="IU19" s="114"/>
      <c r="IV19" s="114"/>
      <c r="IW19" s="114"/>
    </row>
    <row r="20" customFormat="false" ht="11.25" hidden="false" customHeight="false" outlineLevel="0" collapsed="false">
      <c r="A20" s="151" t="s">
        <v>86</v>
      </c>
      <c r="B20" s="126" t="n">
        <f aca="false">B18+B19</f>
        <v>178863.623658431</v>
      </c>
      <c r="C20" s="126" t="n">
        <f aca="false">C18+C19</f>
        <v>171661.061631917</v>
      </c>
      <c r="D20" s="154" t="n">
        <f aca="false">D18+D19</f>
        <v>164458.499605403</v>
      </c>
      <c r="E20" s="154" t="n">
        <f aca="false">E18+E19</f>
        <v>157255.937578889</v>
      </c>
      <c r="F20" s="154" t="n">
        <f aca="false">F18+F19</f>
        <v>150053.375552375</v>
      </c>
      <c r="G20" s="154" t="n">
        <f aca="false">G18+G19</f>
        <v>142850.813525861</v>
      </c>
      <c r="H20" s="154" t="n">
        <f aca="false">H18+H19</f>
        <v>135648.251499347</v>
      </c>
      <c r="I20" s="154" t="n">
        <f aca="false">I18+I19</f>
        <v>128445.689472833</v>
      </c>
      <c r="J20" s="154" t="n">
        <f aca="false">J18+J19</f>
        <v>121243.127446319</v>
      </c>
      <c r="K20" s="154" t="n">
        <f aca="false">K18+K19</f>
        <v>114040.565419805</v>
      </c>
      <c r="L20" s="154" t="n">
        <f aca="false">L18+L19</f>
        <v>106838.003393291</v>
      </c>
      <c r="M20" s="154" t="n">
        <f aca="false">M18+M19</f>
        <v>99635.4413667771</v>
      </c>
      <c r="N20" s="154" t="n">
        <f aca="false">N18+N19</f>
        <v>92432.8793402631</v>
      </c>
      <c r="O20" s="154" t="n">
        <f aca="false">O18+O19</f>
        <v>85230.3173137491</v>
      </c>
      <c r="P20" s="154" t="n">
        <f aca="false">P18+P19</f>
        <v>78027.7552872351</v>
      </c>
      <c r="Q20" s="154" t="n">
        <f aca="false">Q18+Q19</f>
        <v>70825.1932607211</v>
      </c>
      <c r="R20" s="154" t="n">
        <f aca="false">R18+R19</f>
        <v>0</v>
      </c>
      <c r="S20" s="154" t="n">
        <f aca="false">S18+S19</f>
        <v>0</v>
      </c>
      <c r="T20" s="154" t="n">
        <f aca="false">T18+T19</f>
        <v>0</v>
      </c>
      <c r="U20" s="154" t="n">
        <f aca="false">U18+U19</f>
        <v>0</v>
      </c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4"/>
      <c r="EL20" s="114"/>
      <c r="EM20" s="114"/>
      <c r="EN20" s="114"/>
      <c r="EO20" s="114"/>
      <c r="EP20" s="114"/>
      <c r="EQ20" s="114"/>
      <c r="ER20" s="114"/>
      <c r="ES20" s="114"/>
      <c r="ET20" s="114"/>
      <c r="EU20" s="114"/>
      <c r="EV20" s="114"/>
      <c r="EW20" s="114"/>
      <c r="EX20" s="114"/>
      <c r="EY20" s="114"/>
      <c r="EZ20" s="114"/>
      <c r="FA20" s="114"/>
      <c r="FB20" s="114"/>
      <c r="FC20" s="114"/>
      <c r="FD20" s="114"/>
      <c r="FE20" s="114"/>
      <c r="FF20" s="114"/>
      <c r="FG20" s="114"/>
      <c r="FH20" s="114"/>
      <c r="FI20" s="114"/>
      <c r="FJ20" s="114"/>
      <c r="FK20" s="114"/>
      <c r="FL20" s="114"/>
      <c r="FM20" s="114"/>
      <c r="FN20" s="114"/>
      <c r="FO20" s="114"/>
      <c r="FP20" s="114"/>
      <c r="FQ20" s="114"/>
      <c r="FR20" s="114"/>
      <c r="FS20" s="114"/>
      <c r="FT20" s="114"/>
      <c r="FU20" s="114"/>
      <c r="FV20" s="114"/>
      <c r="FW20" s="114"/>
      <c r="FX20" s="114"/>
      <c r="FY20" s="114"/>
      <c r="FZ20" s="114"/>
      <c r="GA20" s="114"/>
      <c r="GB20" s="114"/>
      <c r="GC20" s="114"/>
      <c r="GD20" s="114"/>
      <c r="GE20" s="114"/>
      <c r="GF20" s="114"/>
      <c r="GG20" s="114"/>
      <c r="GH20" s="114"/>
      <c r="GI20" s="114"/>
      <c r="GJ20" s="114"/>
      <c r="GK20" s="114"/>
      <c r="GL20" s="114"/>
      <c r="GM20" s="114"/>
      <c r="GN20" s="114"/>
      <c r="GO20" s="114"/>
      <c r="GP20" s="114"/>
      <c r="GQ20" s="114"/>
      <c r="GR20" s="114"/>
      <c r="GS20" s="114"/>
      <c r="GT20" s="114"/>
      <c r="GU20" s="114"/>
      <c r="GV20" s="114"/>
      <c r="GW20" s="114"/>
      <c r="GX20" s="114"/>
      <c r="GY20" s="114"/>
      <c r="GZ20" s="114"/>
      <c r="HA20" s="114"/>
      <c r="HB20" s="114"/>
      <c r="HC20" s="114"/>
      <c r="HD20" s="114"/>
      <c r="HE20" s="114"/>
      <c r="HF20" s="114"/>
      <c r="HG20" s="114"/>
      <c r="HH20" s="114"/>
      <c r="HI20" s="114"/>
      <c r="HJ20" s="114"/>
      <c r="HK20" s="114"/>
      <c r="HL20" s="114"/>
      <c r="HM20" s="114"/>
      <c r="HN20" s="114"/>
      <c r="HO20" s="114"/>
      <c r="HP20" s="114"/>
      <c r="HQ20" s="114"/>
      <c r="HR20" s="114"/>
      <c r="HS20" s="114"/>
      <c r="HT20" s="114"/>
      <c r="HU20" s="114"/>
      <c r="HV20" s="114"/>
      <c r="HW20" s="114"/>
      <c r="HX20" s="114"/>
      <c r="HY20" s="114"/>
      <c r="HZ20" s="114"/>
      <c r="IA20" s="114"/>
      <c r="IB20" s="114"/>
      <c r="IC20" s="114"/>
      <c r="ID20" s="114"/>
      <c r="IE20" s="114"/>
      <c r="IF20" s="114"/>
      <c r="IG20" s="114"/>
      <c r="IH20" s="114"/>
      <c r="II20" s="114"/>
      <c r="IJ20" s="114"/>
      <c r="IK20" s="114"/>
      <c r="IL20" s="114"/>
      <c r="IM20" s="114"/>
      <c r="IN20" s="114"/>
      <c r="IO20" s="114"/>
      <c r="IP20" s="114"/>
      <c r="IQ20" s="114"/>
      <c r="IR20" s="114"/>
      <c r="IS20" s="114"/>
      <c r="IT20" s="114"/>
      <c r="IU20" s="114"/>
      <c r="IV20" s="114"/>
      <c r="IW20" s="114"/>
    </row>
    <row r="21" customFormat="false" ht="11.25" hidden="false" customHeight="false" outlineLevel="0" collapsed="false">
      <c r="A21" s="151" t="s">
        <v>87</v>
      </c>
      <c r="B21" s="154"/>
      <c r="C21" s="126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4"/>
      <c r="EL21" s="114"/>
      <c r="EM21" s="114"/>
      <c r="EN21" s="114"/>
      <c r="EO21" s="114"/>
      <c r="EP21" s="114"/>
      <c r="EQ21" s="114"/>
      <c r="ER21" s="114"/>
      <c r="ES21" s="114"/>
      <c r="ET21" s="114"/>
      <c r="EU21" s="114"/>
      <c r="EV21" s="114"/>
      <c r="EW21" s="114"/>
      <c r="EX21" s="114"/>
      <c r="EY21" s="114"/>
      <c r="EZ21" s="114"/>
      <c r="FA21" s="114"/>
      <c r="FB21" s="114"/>
      <c r="FC21" s="114"/>
      <c r="FD21" s="114"/>
      <c r="FE21" s="114"/>
      <c r="FF21" s="114"/>
      <c r="FG21" s="114"/>
      <c r="FH21" s="114"/>
      <c r="FI21" s="114"/>
      <c r="FJ21" s="114"/>
      <c r="FK21" s="114"/>
      <c r="FL21" s="114"/>
      <c r="FM21" s="114"/>
      <c r="FN21" s="114"/>
      <c r="FO21" s="114"/>
      <c r="FP21" s="114"/>
      <c r="FQ21" s="114"/>
      <c r="FR21" s="114"/>
      <c r="FS21" s="114"/>
      <c r="FT21" s="114"/>
      <c r="FU21" s="114"/>
      <c r="FV21" s="114"/>
      <c r="FW21" s="114"/>
      <c r="FX21" s="114"/>
      <c r="FY21" s="114"/>
      <c r="FZ21" s="114"/>
      <c r="GA21" s="114"/>
      <c r="GB21" s="114"/>
      <c r="GC21" s="114"/>
      <c r="GD21" s="114"/>
      <c r="GE21" s="114"/>
      <c r="GF21" s="114"/>
      <c r="GG21" s="114"/>
      <c r="GH21" s="114"/>
      <c r="GI21" s="114"/>
      <c r="GJ21" s="114"/>
      <c r="GK21" s="114"/>
      <c r="GL21" s="114"/>
      <c r="GM21" s="114"/>
      <c r="GN21" s="114"/>
      <c r="GO21" s="114"/>
      <c r="GP21" s="114"/>
      <c r="GQ21" s="114"/>
      <c r="GR21" s="114"/>
      <c r="GS21" s="114"/>
      <c r="GT21" s="114"/>
      <c r="GU21" s="114"/>
      <c r="GV21" s="114"/>
      <c r="GW21" s="114"/>
      <c r="GX21" s="114"/>
      <c r="GY21" s="114"/>
      <c r="GZ21" s="114"/>
      <c r="HA21" s="114"/>
      <c r="HB21" s="114"/>
      <c r="HC21" s="114"/>
      <c r="HD21" s="114"/>
      <c r="HE21" s="114"/>
      <c r="HF21" s="114"/>
      <c r="HG21" s="114"/>
      <c r="HH21" s="114"/>
      <c r="HI21" s="114"/>
      <c r="HJ21" s="114"/>
      <c r="HK21" s="114"/>
      <c r="HL21" s="114"/>
      <c r="HM21" s="114"/>
      <c r="HN21" s="114"/>
      <c r="HO21" s="114"/>
      <c r="HP21" s="114"/>
      <c r="HQ21" s="114"/>
      <c r="HR21" s="114"/>
      <c r="HS21" s="114"/>
      <c r="HT21" s="114"/>
      <c r="HU21" s="114"/>
      <c r="HV21" s="114"/>
      <c r="HW21" s="114"/>
      <c r="HX21" s="114"/>
      <c r="HY21" s="114"/>
      <c r="HZ21" s="114"/>
      <c r="IA21" s="114"/>
      <c r="IB21" s="114"/>
      <c r="IC21" s="114"/>
      <c r="ID21" s="114"/>
      <c r="IE21" s="114"/>
      <c r="IF21" s="114"/>
      <c r="IG21" s="114"/>
      <c r="IH21" s="114"/>
      <c r="II21" s="114"/>
      <c r="IJ21" s="114"/>
      <c r="IK21" s="114"/>
      <c r="IL21" s="114"/>
      <c r="IM21" s="114"/>
      <c r="IN21" s="114"/>
      <c r="IO21" s="114"/>
      <c r="IP21" s="114"/>
      <c r="IQ21" s="114"/>
      <c r="IR21" s="114"/>
      <c r="IS21" s="114"/>
      <c r="IT21" s="114"/>
      <c r="IU21" s="114"/>
      <c r="IV21" s="114"/>
      <c r="IW21" s="114"/>
    </row>
    <row r="22" customFormat="false" ht="12" hidden="false" customHeight="false" outlineLevel="0" collapsed="false">
      <c r="A22" s="158" t="s">
        <v>88</v>
      </c>
      <c r="B22" s="159" t="e">
        <f aca="false">SUM(B11,B15,B17,B20,B21)</f>
        <v>#VALUE!</v>
      </c>
      <c r="C22" s="159" t="e">
        <f aca="false">SUM(C11,C15,C17,C20,C21)</f>
        <v>#VALUE!</v>
      </c>
      <c r="D22" s="159" t="e">
        <f aca="false">SUM(D11,D15,D17,D20,D21)</f>
        <v>#VALUE!</v>
      </c>
      <c r="E22" s="159" t="e">
        <f aca="false">SUM(E11,E15,E17,E20,E21)</f>
        <v>#VALUE!</v>
      </c>
      <c r="F22" s="159" t="e">
        <f aca="false">SUM(F11,F15,F17,F20,F21)</f>
        <v>#VALUE!</v>
      </c>
      <c r="G22" s="159" t="e">
        <f aca="false">SUM(G11,G15,G17,G20,G21)</f>
        <v>#VALUE!</v>
      </c>
      <c r="H22" s="159" t="e">
        <f aca="false">SUM(H11,H15,H17,H20,H21)</f>
        <v>#VALUE!</v>
      </c>
      <c r="I22" s="159" t="e">
        <f aca="false">SUM(I11,I15,I17,I20,I21)</f>
        <v>#VALUE!</v>
      </c>
      <c r="J22" s="159" t="e">
        <f aca="false">SUM(J11,J15,J17,J20,J21)</f>
        <v>#VALUE!</v>
      </c>
      <c r="K22" s="159" t="e">
        <f aca="false">SUM(K11,K15,K17,K20,K21)</f>
        <v>#VALUE!</v>
      </c>
      <c r="L22" s="159" t="e">
        <f aca="false">SUM(L11,L15,L17,L20,L21)</f>
        <v>#VALUE!</v>
      </c>
      <c r="M22" s="159" t="e">
        <f aca="false">SUM(M11,M15,M17,M20,M21)</f>
        <v>#VALUE!</v>
      </c>
      <c r="N22" s="159" t="e">
        <f aca="false">SUM(N11,N15,N17,N20,N21)</f>
        <v>#VALUE!</v>
      </c>
      <c r="O22" s="159" t="e">
        <f aca="false">SUM(O11,O15,O17,O20,O21)</f>
        <v>#VALUE!</v>
      </c>
      <c r="P22" s="159" t="e">
        <f aca="false">SUM(P11,P15,P17,P20,P21)</f>
        <v>#VALUE!</v>
      </c>
      <c r="Q22" s="159" t="e">
        <f aca="false">SUM(Q11,Q15,Q17,Q20,Q21)</f>
        <v>#VALUE!</v>
      </c>
      <c r="R22" s="159" t="n">
        <f aca="false">SUM(R11,R15,R17,R20,R21)</f>
        <v>0</v>
      </c>
      <c r="S22" s="159" t="n">
        <f aca="false">SUM(S11,S15,S17,S20,S21)</f>
        <v>0</v>
      </c>
      <c r="T22" s="159" t="n">
        <f aca="false">SUM(T11,T15,T17,T20,T21)</f>
        <v>0</v>
      </c>
      <c r="U22" s="159" t="n">
        <f aca="false">SUM(U11,U15,U17,U20,U21)</f>
        <v>0</v>
      </c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/>
      <c r="DR22" s="148"/>
      <c r="DS22" s="148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  <c r="EF22" s="148"/>
      <c r="EG22" s="148"/>
      <c r="EH22" s="148"/>
      <c r="EI22" s="148"/>
      <c r="EJ22" s="148"/>
      <c r="EK22" s="148"/>
      <c r="EL22" s="148"/>
      <c r="EM22" s="148"/>
      <c r="EN22" s="148"/>
      <c r="EO22" s="148"/>
      <c r="EP22" s="148"/>
      <c r="EQ22" s="148"/>
      <c r="ER22" s="148"/>
      <c r="ES22" s="148"/>
      <c r="ET22" s="148"/>
      <c r="EU22" s="148"/>
      <c r="EV22" s="148"/>
      <c r="EW22" s="148"/>
      <c r="EX22" s="148"/>
      <c r="EY22" s="148"/>
      <c r="EZ22" s="148"/>
      <c r="FA22" s="148"/>
      <c r="FB22" s="148"/>
      <c r="FC22" s="148"/>
      <c r="FD22" s="148"/>
      <c r="FE22" s="148"/>
      <c r="FF22" s="148"/>
      <c r="FG22" s="148"/>
      <c r="FH22" s="148"/>
      <c r="FI22" s="148"/>
      <c r="FJ22" s="148"/>
      <c r="FK22" s="148"/>
      <c r="FL22" s="148"/>
      <c r="FM22" s="148"/>
      <c r="FN22" s="148"/>
      <c r="FO22" s="148"/>
      <c r="FP22" s="148"/>
      <c r="FQ22" s="148"/>
      <c r="FR22" s="148"/>
      <c r="FS22" s="148"/>
      <c r="FT22" s="148"/>
      <c r="FU22" s="148"/>
      <c r="FV22" s="148"/>
      <c r="FW22" s="148"/>
      <c r="FX22" s="148"/>
      <c r="FY22" s="148"/>
      <c r="FZ22" s="148"/>
      <c r="GA22" s="148"/>
      <c r="GB22" s="148"/>
      <c r="GC22" s="148"/>
      <c r="GD22" s="148"/>
      <c r="GE22" s="148"/>
      <c r="GF22" s="148"/>
      <c r="GG22" s="148"/>
      <c r="GH22" s="148"/>
      <c r="GI22" s="148"/>
      <c r="GJ22" s="148"/>
      <c r="GK22" s="148"/>
      <c r="GL22" s="148"/>
      <c r="GM22" s="148"/>
      <c r="GN22" s="148"/>
      <c r="GO22" s="148"/>
      <c r="GP22" s="148"/>
      <c r="GQ22" s="148"/>
      <c r="GR22" s="148"/>
      <c r="GS22" s="148"/>
      <c r="GT22" s="148"/>
      <c r="GU22" s="148"/>
      <c r="GV22" s="148"/>
      <c r="GW22" s="148"/>
      <c r="GX22" s="148"/>
      <c r="GY22" s="148"/>
      <c r="GZ22" s="148"/>
      <c r="HA22" s="148"/>
      <c r="HB22" s="148"/>
      <c r="HC22" s="148"/>
      <c r="HD22" s="148"/>
      <c r="HE22" s="148"/>
      <c r="HF22" s="148"/>
      <c r="HG22" s="148"/>
      <c r="HH22" s="148"/>
      <c r="HI22" s="148"/>
      <c r="HJ22" s="148"/>
      <c r="HK22" s="148"/>
      <c r="HL22" s="148"/>
      <c r="HM22" s="148"/>
      <c r="HN22" s="148"/>
      <c r="HO22" s="148"/>
      <c r="HP22" s="148"/>
      <c r="HQ22" s="148"/>
      <c r="HR22" s="148"/>
      <c r="HS22" s="148"/>
      <c r="HT22" s="148"/>
      <c r="HU22" s="148"/>
      <c r="HV22" s="148"/>
      <c r="HW22" s="148"/>
      <c r="HX22" s="148"/>
      <c r="HY22" s="148"/>
      <c r="HZ22" s="148"/>
      <c r="IA22" s="148"/>
      <c r="IB22" s="148"/>
      <c r="IC22" s="148"/>
      <c r="ID22" s="148"/>
      <c r="IE22" s="148"/>
      <c r="IF22" s="148"/>
      <c r="IG22" s="148"/>
      <c r="IH22" s="148"/>
      <c r="II22" s="148"/>
      <c r="IJ22" s="148"/>
      <c r="IK22" s="148"/>
      <c r="IL22" s="148"/>
      <c r="IM22" s="148"/>
      <c r="IN22" s="148"/>
      <c r="IO22" s="148"/>
      <c r="IP22" s="148"/>
      <c r="IQ22" s="148"/>
      <c r="IR22" s="148"/>
      <c r="IS22" s="148"/>
      <c r="IT22" s="148"/>
      <c r="IU22" s="148"/>
      <c r="IV22" s="148"/>
      <c r="IW22" s="148"/>
    </row>
    <row r="23" customFormat="false" ht="12" hidden="false" customHeight="true" outlineLevel="0" collapsed="false">
      <c r="A23" s="160"/>
      <c r="B23" s="160"/>
      <c r="C23" s="161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4"/>
      <c r="EL23" s="114"/>
      <c r="EM23" s="114"/>
      <c r="EN23" s="114"/>
      <c r="EO23" s="114"/>
      <c r="EP23" s="114"/>
      <c r="EQ23" s="114"/>
      <c r="ER23" s="114"/>
      <c r="ES23" s="114"/>
      <c r="ET23" s="114"/>
      <c r="EU23" s="114"/>
      <c r="EV23" s="114"/>
      <c r="EW23" s="114"/>
      <c r="EX23" s="114"/>
      <c r="EY23" s="114"/>
      <c r="EZ23" s="114"/>
      <c r="FA23" s="114"/>
      <c r="FB23" s="114"/>
      <c r="FC23" s="114"/>
      <c r="FD23" s="114"/>
      <c r="FE23" s="114"/>
      <c r="FF23" s="114"/>
      <c r="FG23" s="114"/>
      <c r="FH23" s="114"/>
      <c r="FI23" s="114"/>
      <c r="FJ23" s="114"/>
      <c r="FK23" s="114"/>
      <c r="FL23" s="114"/>
      <c r="FM23" s="114"/>
      <c r="FN23" s="114"/>
      <c r="FO23" s="114"/>
      <c r="FP23" s="114"/>
      <c r="FQ23" s="114"/>
      <c r="FR23" s="114"/>
      <c r="FS23" s="114"/>
      <c r="FT23" s="114"/>
      <c r="FU23" s="114"/>
      <c r="FV23" s="114"/>
      <c r="FW23" s="114"/>
      <c r="FX23" s="114"/>
      <c r="FY23" s="114"/>
      <c r="FZ23" s="114"/>
      <c r="GA23" s="114"/>
      <c r="GB23" s="114"/>
      <c r="GC23" s="114"/>
      <c r="GD23" s="114"/>
      <c r="GE23" s="114"/>
      <c r="GF23" s="114"/>
      <c r="GG23" s="114"/>
      <c r="GH23" s="114"/>
      <c r="GI23" s="114"/>
      <c r="GJ23" s="114"/>
      <c r="GK23" s="114"/>
      <c r="GL23" s="114"/>
      <c r="GM23" s="114"/>
      <c r="GN23" s="114"/>
      <c r="GO23" s="114"/>
      <c r="GP23" s="114"/>
      <c r="GQ23" s="114"/>
      <c r="GR23" s="114"/>
      <c r="GS23" s="114"/>
      <c r="GT23" s="114"/>
      <c r="GU23" s="114"/>
      <c r="GV23" s="114"/>
      <c r="GW23" s="114"/>
      <c r="GX23" s="114"/>
      <c r="GY23" s="114"/>
      <c r="GZ23" s="114"/>
      <c r="HA23" s="114"/>
      <c r="HB23" s="114"/>
      <c r="HC23" s="114"/>
      <c r="HD23" s="114"/>
      <c r="HE23" s="114"/>
      <c r="HF23" s="114"/>
      <c r="HG23" s="114"/>
      <c r="HH23" s="114"/>
      <c r="HI23" s="114"/>
      <c r="HJ23" s="114"/>
      <c r="HK23" s="114"/>
      <c r="HL23" s="114"/>
      <c r="HM23" s="114"/>
      <c r="HN23" s="114"/>
      <c r="HO23" s="114"/>
      <c r="HP23" s="114"/>
      <c r="HQ23" s="114"/>
      <c r="HR23" s="114"/>
      <c r="HS23" s="114"/>
      <c r="HT23" s="114"/>
      <c r="HU23" s="114"/>
      <c r="HV23" s="114"/>
      <c r="HW23" s="114"/>
      <c r="HX23" s="114"/>
      <c r="HY23" s="114"/>
      <c r="HZ23" s="114"/>
      <c r="IA23" s="114"/>
      <c r="IB23" s="114"/>
      <c r="IC23" s="114"/>
      <c r="ID23" s="114"/>
      <c r="IE23" s="114"/>
      <c r="IF23" s="114"/>
      <c r="IG23" s="114"/>
      <c r="IH23" s="114"/>
      <c r="II23" s="114"/>
      <c r="IJ23" s="114"/>
      <c r="IK23" s="114"/>
      <c r="IL23" s="114"/>
      <c r="IM23" s="114"/>
      <c r="IN23" s="114"/>
      <c r="IO23" s="114"/>
      <c r="IP23" s="114"/>
      <c r="IQ23" s="114"/>
      <c r="IR23" s="114"/>
      <c r="IS23" s="114"/>
      <c r="IT23" s="114"/>
      <c r="IU23" s="114"/>
      <c r="IV23" s="114"/>
      <c r="IW23" s="114"/>
    </row>
    <row r="24" customFormat="false" ht="12.75" hidden="false" customHeight="false" outlineLevel="0" collapsed="false">
      <c r="A24" s="149" t="s">
        <v>89</v>
      </c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4"/>
      <c r="EL24" s="114"/>
      <c r="EM24" s="114"/>
      <c r="EN24" s="114"/>
      <c r="EO24" s="114"/>
      <c r="EP24" s="114"/>
      <c r="EQ24" s="114"/>
      <c r="ER24" s="114"/>
      <c r="ES24" s="114"/>
      <c r="ET24" s="114"/>
      <c r="EU24" s="114"/>
      <c r="EV24" s="114"/>
      <c r="EW24" s="114"/>
      <c r="EX24" s="114"/>
      <c r="EY24" s="114"/>
      <c r="EZ24" s="114"/>
      <c r="FA24" s="114"/>
      <c r="FB24" s="114"/>
      <c r="FC24" s="114"/>
      <c r="FD24" s="114"/>
      <c r="FE24" s="114"/>
      <c r="FF24" s="114"/>
      <c r="FG24" s="114"/>
      <c r="FH24" s="114"/>
      <c r="FI24" s="114"/>
      <c r="FJ24" s="114"/>
      <c r="FK24" s="114"/>
      <c r="FL24" s="114"/>
      <c r="FM24" s="114"/>
      <c r="FN24" s="114"/>
      <c r="FO24" s="114"/>
      <c r="FP24" s="114"/>
      <c r="FQ24" s="114"/>
      <c r="FR24" s="114"/>
      <c r="FS24" s="114"/>
      <c r="FT24" s="114"/>
      <c r="FU24" s="114"/>
      <c r="FV24" s="114"/>
      <c r="FW24" s="114"/>
      <c r="FX24" s="114"/>
      <c r="FY24" s="114"/>
      <c r="FZ24" s="114"/>
      <c r="GA24" s="114"/>
      <c r="GB24" s="114"/>
      <c r="GC24" s="114"/>
      <c r="GD24" s="114"/>
      <c r="GE24" s="114"/>
      <c r="GF24" s="114"/>
      <c r="GG24" s="114"/>
      <c r="GH24" s="114"/>
      <c r="GI24" s="114"/>
      <c r="GJ24" s="114"/>
      <c r="GK24" s="114"/>
      <c r="GL24" s="114"/>
      <c r="GM24" s="114"/>
      <c r="GN24" s="114"/>
      <c r="GO24" s="114"/>
      <c r="GP24" s="114"/>
      <c r="GQ24" s="114"/>
      <c r="GR24" s="114"/>
      <c r="GS24" s="114"/>
      <c r="GT24" s="114"/>
      <c r="GU24" s="114"/>
      <c r="GV24" s="114"/>
      <c r="GW24" s="114"/>
      <c r="GX24" s="114"/>
      <c r="GY24" s="114"/>
      <c r="GZ24" s="114"/>
      <c r="HA24" s="114"/>
      <c r="HB24" s="114"/>
      <c r="HC24" s="114"/>
      <c r="HD24" s="114"/>
      <c r="HE24" s="114"/>
      <c r="HF24" s="114"/>
      <c r="HG24" s="114"/>
      <c r="HH24" s="114"/>
      <c r="HI24" s="114"/>
      <c r="HJ24" s="114"/>
      <c r="HK24" s="114"/>
      <c r="HL24" s="114"/>
      <c r="HM24" s="114"/>
      <c r="HN24" s="114"/>
      <c r="HO24" s="114"/>
      <c r="HP24" s="114"/>
      <c r="HQ24" s="114"/>
      <c r="HR24" s="114"/>
      <c r="HS24" s="114"/>
      <c r="HT24" s="114"/>
      <c r="HU24" s="114"/>
      <c r="HV24" s="114"/>
      <c r="HW24" s="114"/>
      <c r="HX24" s="114"/>
      <c r="HY24" s="114"/>
      <c r="HZ24" s="114"/>
      <c r="IA24" s="114"/>
      <c r="IB24" s="114"/>
      <c r="IC24" s="114"/>
      <c r="ID24" s="114"/>
      <c r="IE24" s="114"/>
      <c r="IF24" s="114"/>
      <c r="IG24" s="114"/>
      <c r="IH24" s="114"/>
      <c r="II24" s="114"/>
      <c r="IJ24" s="114"/>
      <c r="IK24" s="114"/>
      <c r="IL24" s="114"/>
      <c r="IM24" s="114"/>
      <c r="IN24" s="114"/>
      <c r="IO24" s="114"/>
      <c r="IP24" s="114"/>
      <c r="IQ24" s="114"/>
      <c r="IR24" s="114"/>
      <c r="IS24" s="114"/>
      <c r="IT24" s="114"/>
      <c r="IU24" s="114"/>
      <c r="IV24" s="114"/>
      <c r="IW24" s="114"/>
    </row>
    <row r="25" customFormat="false" ht="11.25" hidden="false" customHeight="false" outlineLevel="0" collapsed="false">
      <c r="A25" s="151" t="s">
        <v>68</v>
      </c>
      <c r="B25" s="136" t="n">
        <f aca="false">INDEX(WC,MATCH("Accounts Payable",Column,0),MATCH(B$3,Row,0))</f>
        <v>223.227114997615</v>
      </c>
      <c r="C25" s="136" t="n">
        <f aca="false">INDEX(WC,MATCH("Accounts Payable",Column,0),MATCH(C$3,Row,0))</f>
        <v>1319.59867331222</v>
      </c>
      <c r="D25" s="136" t="n">
        <f aca="false">INDEX(WC,MATCH("Accounts Payable",Column,0),MATCH(D$3,Row,0))</f>
        <v>1527.22689658806</v>
      </c>
      <c r="E25" s="136" t="n">
        <f aca="false">INDEX(WC,MATCH("Accounts Payable",Column,0),MATCH(E$3,Row,0))</f>
        <v>1561.05554537945</v>
      </c>
      <c r="F25" s="136" t="n">
        <f aca="false">INDEX(WC,MATCH("Accounts Payable",Column,0),MATCH(F$3,Row,0))</f>
        <v>1327.84221264396</v>
      </c>
      <c r="G25" s="136" t="n">
        <f aca="false">INDEX(WC,MATCH("Accounts Payable",Column,0),MATCH(G$3,Row,0))</f>
        <v>1342.68566137409</v>
      </c>
      <c r="H25" s="136" t="n">
        <f aca="false">INDEX(WC,MATCH("Accounts Payable",Column,0),MATCH(H$3,Row,0))</f>
        <v>1361.19386899716</v>
      </c>
      <c r="I25" s="136" t="n">
        <f aca="false">INDEX(WC,MATCH("Accounts Payable",Column,0),MATCH(I$3,Row,0))</f>
        <v>1366.95940650861</v>
      </c>
      <c r="J25" s="136" t="n">
        <f aca="false">INDEX(WC,MATCH("Accounts Payable",Column,0),MATCH(J$3,Row,0))</f>
        <v>1384.13440577312</v>
      </c>
      <c r="K25" s="136" t="n">
        <f aca="false">INDEX(WC,MATCH("Accounts Payable",Column,0),MATCH(K$3,Row,0))</f>
        <v>1422.37174077008</v>
      </c>
      <c r="L25" s="136" t="n">
        <f aca="false">INDEX(WC,MATCH("Accounts Payable",Column,0),MATCH(L$3,Row,0))</f>
        <v>1459.35829034969</v>
      </c>
      <c r="M25" s="136" t="n">
        <f aca="false">INDEX(WC,MATCH("Accounts Payable",Column,0),MATCH(M$3,Row,0))</f>
        <v>1482.88242063429</v>
      </c>
      <c r="N25" s="136" t="n">
        <f aca="false">INDEX(WC,MATCH("Accounts Payable",Column,0),MATCH(N$3,Row,0))</f>
        <v>1347.14687635106</v>
      </c>
      <c r="O25" s="136" t="n">
        <f aca="false">INDEX(WC,MATCH("Accounts Payable",Column,0),MATCH(O$3,Row,0))</f>
        <v>1377.07754490087</v>
      </c>
      <c r="P25" s="136" t="n">
        <f aca="false">INDEX(WC,MATCH("Accounts Payable",Column,0),MATCH(P$3,Row,0))</f>
        <v>1401.64553092581</v>
      </c>
      <c r="Q25" s="136" t="n">
        <f aca="false">INDEX(WC,MATCH("Accounts Payable",Column,0),MATCH(Q$3,Row,0))</f>
        <v>2871.38469317186</v>
      </c>
      <c r="R25" s="136" t="n">
        <f aca="false">IF(Tables!$B$21=15,0,INDEX(WC,MATCH("Accounts Payable",Column,0),MATCH(R$3,Row,0)))</f>
        <v>0</v>
      </c>
      <c r="S25" s="136" t="n">
        <f aca="false">IF(Tables!$B$21=15,0,INDEX(WC,MATCH("Accounts Payable",Column,0),MATCH(S$3,Row,0)))</f>
        <v>0</v>
      </c>
      <c r="T25" s="136" t="n">
        <f aca="false">IF(Tables!$B$21=15,0,INDEX(WC,MATCH("Accounts Payable",Column,0),MATCH(T$3,Row,0)))</f>
        <v>0</v>
      </c>
      <c r="U25" s="136" t="n">
        <f aca="false">IF(Tables!$B$21=15,0,INDEX(WC,MATCH("Accounts Payable",Column,0),MATCH(U$3,Row,0)))</f>
        <v>0</v>
      </c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4"/>
      <c r="EL25" s="114"/>
      <c r="EM25" s="114"/>
      <c r="EN25" s="114"/>
      <c r="EO25" s="114"/>
      <c r="EP25" s="114"/>
      <c r="EQ25" s="114"/>
      <c r="ER25" s="114"/>
      <c r="ES25" s="114"/>
      <c r="ET25" s="114"/>
      <c r="EU25" s="114"/>
      <c r="EV25" s="114"/>
      <c r="EW25" s="114"/>
      <c r="EX25" s="114"/>
      <c r="EY25" s="114"/>
      <c r="EZ25" s="114"/>
      <c r="FA25" s="114"/>
      <c r="FB25" s="114"/>
      <c r="FC25" s="114"/>
      <c r="FD25" s="114"/>
      <c r="FE25" s="114"/>
      <c r="FF25" s="114"/>
      <c r="FG25" s="114"/>
      <c r="FH25" s="114"/>
      <c r="FI25" s="114"/>
      <c r="FJ25" s="114"/>
      <c r="FK25" s="114"/>
      <c r="FL25" s="114"/>
      <c r="FM25" s="114"/>
      <c r="FN25" s="114"/>
      <c r="FO25" s="114"/>
      <c r="FP25" s="114"/>
      <c r="FQ25" s="114"/>
      <c r="FR25" s="114"/>
      <c r="FS25" s="114"/>
      <c r="FT25" s="114"/>
      <c r="FU25" s="114"/>
      <c r="FV25" s="114"/>
      <c r="FW25" s="114"/>
      <c r="FX25" s="114"/>
      <c r="FY25" s="114"/>
      <c r="FZ25" s="114"/>
      <c r="GA25" s="114"/>
      <c r="GB25" s="114"/>
      <c r="GC25" s="114"/>
      <c r="GD25" s="114"/>
      <c r="GE25" s="114"/>
      <c r="GF25" s="114"/>
      <c r="GG25" s="114"/>
      <c r="GH25" s="114"/>
      <c r="GI25" s="114"/>
      <c r="GJ25" s="114"/>
      <c r="GK25" s="114"/>
      <c r="GL25" s="114"/>
      <c r="GM25" s="114"/>
      <c r="GN25" s="114"/>
      <c r="GO25" s="114"/>
      <c r="GP25" s="114"/>
      <c r="GQ25" s="114"/>
      <c r="GR25" s="114"/>
      <c r="GS25" s="114"/>
      <c r="GT25" s="114"/>
      <c r="GU25" s="114"/>
      <c r="GV25" s="114"/>
      <c r="GW25" s="114"/>
      <c r="GX25" s="114"/>
      <c r="GY25" s="114"/>
      <c r="GZ25" s="114"/>
      <c r="HA25" s="114"/>
      <c r="HB25" s="114"/>
      <c r="HC25" s="114"/>
      <c r="HD25" s="114"/>
      <c r="HE25" s="114"/>
      <c r="HF25" s="114"/>
      <c r="HG25" s="114"/>
      <c r="HH25" s="114"/>
      <c r="HI25" s="114"/>
      <c r="HJ25" s="114"/>
      <c r="HK25" s="114"/>
      <c r="HL25" s="114"/>
      <c r="HM25" s="114"/>
      <c r="HN25" s="114"/>
      <c r="HO25" s="114"/>
      <c r="HP25" s="114"/>
      <c r="HQ25" s="114"/>
      <c r="HR25" s="114"/>
      <c r="HS25" s="114"/>
      <c r="HT25" s="114"/>
      <c r="HU25" s="114"/>
      <c r="HV25" s="114"/>
      <c r="HW25" s="114"/>
      <c r="HX25" s="114"/>
      <c r="HY25" s="114"/>
      <c r="HZ25" s="114"/>
      <c r="IA25" s="114"/>
      <c r="IB25" s="114"/>
      <c r="IC25" s="114"/>
      <c r="ID25" s="114"/>
      <c r="IE25" s="114"/>
      <c r="IF25" s="114"/>
      <c r="IG25" s="114"/>
      <c r="IH25" s="114"/>
      <c r="II25" s="114"/>
      <c r="IJ25" s="114"/>
      <c r="IK25" s="114"/>
      <c r="IL25" s="114"/>
      <c r="IM25" s="114"/>
      <c r="IN25" s="114"/>
      <c r="IO25" s="114"/>
      <c r="IP25" s="114"/>
      <c r="IQ25" s="114"/>
      <c r="IR25" s="114"/>
      <c r="IS25" s="114"/>
      <c r="IT25" s="114"/>
      <c r="IU25" s="114"/>
      <c r="IV25" s="114"/>
      <c r="IW25" s="114"/>
    </row>
    <row r="26" customFormat="false" ht="11.25" hidden="false" customHeight="false" outlineLevel="0" collapsed="false">
      <c r="A26" s="153" t="s">
        <v>69</v>
      </c>
      <c r="B26" s="136" t="n">
        <f aca="false">INDEX(WC,MATCH("Accrued Expenses",Column,0),MATCH(B$3,Row,0))</f>
        <v>74.4090383325382</v>
      </c>
      <c r="C26" s="136" t="n">
        <f aca="false">INDEX(WC,MATCH("Accrued Expenses",Column,0),MATCH(C$3,Row,0))</f>
        <v>439.866224437408</v>
      </c>
      <c r="D26" s="136" t="n">
        <f aca="false">INDEX(WC,MATCH("Accrued Expenses",Column,0),MATCH(D$3,Row,0))</f>
        <v>509.07563219602</v>
      </c>
      <c r="E26" s="136" t="n">
        <f aca="false">INDEX(WC,MATCH("Accrued Expenses",Column,0),MATCH(E$3,Row,0))</f>
        <v>520.351848459818</v>
      </c>
      <c r="F26" s="136" t="n">
        <f aca="false">INDEX(WC,MATCH("Accrued Expenses",Column,0),MATCH(F$3,Row,0))</f>
        <v>442.61407088132</v>
      </c>
      <c r="G26" s="136" t="n">
        <f aca="false">INDEX(WC,MATCH("Accrued Expenses",Column,0),MATCH(G$3,Row,0))</f>
        <v>447.561887124698</v>
      </c>
      <c r="H26" s="136" t="n">
        <f aca="false">INDEX(WC,MATCH("Accrued Expenses",Column,0),MATCH(H$3,Row,0))</f>
        <v>453.73128966572</v>
      </c>
      <c r="I26" s="136" t="n">
        <f aca="false">INDEX(WC,MATCH("Accrued Expenses",Column,0),MATCH(I$3,Row,0))</f>
        <v>455.653135502869</v>
      </c>
      <c r="J26" s="136" t="n">
        <f aca="false">INDEX(WC,MATCH("Accrued Expenses",Column,0),MATCH(J$3,Row,0))</f>
        <v>461.378135257708</v>
      </c>
      <c r="K26" s="136" t="n">
        <f aca="false">INDEX(WC,MATCH("Accrued Expenses",Column,0),MATCH(K$3,Row,0))</f>
        <v>474.123913590025</v>
      </c>
      <c r="L26" s="136" t="n">
        <f aca="false">INDEX(WC,MATCH("Accrued Expenses",Column,0),MATCH(L$3,Row,0))</f>
        <v>486.452763449895</v>
      </c>
      <c r="M26" s="136" t="n">
        <f aca="false">INDEX(WC,MATCH("Accrued Expenses",Column,0),MATCH(M$3,Row,0))</f>
        <v>494.294140211431</v>
      </c>
      <c r="N26" s="136" t="n">
        <f aca="false">INDEX(WC,MATCH("Accrued Expenses",Column,0),MATCH(N$3,Row,0))</f>
        <v>449.048958783686</v>
      </c>
      <c r="O26" s="136" t="n">
        <f aca="false">INDEX(WC,MATCH("Accrued Expenses",Column,0),MATCH(O$3,Row,0))</f>
        <v>459.02584830029</v>
      </c>
      <c r="P26" s="136" t="n">
        <f aca="false">INDEX(WC,MATCH("Accrued Expenses",Column,0),MATCH(P$3,Row,0))</f>
        <v>467.215176975269</v>
      </c>
      <c r="Q26" s="136" t="n">
        <f aca="false">INDEX(WC,MATCH("Accrued Expenses",Column,0),MATCH(Q$3,Row,0))</f>
        <v>957.128231057288</v>
      </c>
      <c r="R26" s="136" t="n">
        <f aca="false">IF(Tables!$B$21=15,0,INDEX(WC,MATCH("Accrued Expenses",Column,0),MATCH(R$3,Row,0)))</f>
        <v>0</v>
      </c>
      <c r="S26" s="136" t="n">
        <f aca="false">IF(Tables!$B$21=15,0,INDEX(WC,MATCH("Accrued Expenses",Column,0),MATCH(S$3,Row,0)))</f>
        <v>0</v>
      </c>
      <c r="T26" s="136" t="n">
        <f aca="false">IF(Tables!$B$21=15,0,INDEX(WC,MATCH("Accrued Expenses",Column,0),MATCH(T$3,Row,0)))</f>
        <v>0</v>
      </c>
      <c r="U26" s="136" t="n">
        <f aca="false">IF(Tables!$B$21=15,0,INDEX(WC,MATCH("Accrued Expenses",Column,0),MATCH(U$3,Row,0)))</f>
        <v>0</v>
      </c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4"/>
      <c r="EL26" s="114"/>
      <c r="EM26" s="114"/>
      <c r="EN26" s="114"/>
      <c r="EO26" s="114"/>
      <c r="EP26" s="114"/>
      <c r="EQ26" s="114"/>
      <c r="ER26" s="114"/>
      <c r="ES26" s="114"/>
      <c r="ET26" s="114"/>
      <c r="EU26" s="114"/>
      <c r="EV26" s="114"/>
      <c r="EW26" s="114"/>
      <c r="EX26" s="114"/>
      <c r="EY26" s="114"/>
      <c r="EZ26" s="114"/>
      <c r="FA26" s="114"/>
      <c r="FB26" s="114"/>
      <c r="FC26" s="114"/>
      <c r="FD26" s="114"/>
      <c r="FE26" s="114"/>
      <c r="FF26" s="114"/>
      <c r="FG26" s="114"/>
      <c r="FH26" s="114"/>
      <c r="FI26" s="114"/>
      <c r="FJ26" s="114"/>
      <c r="FK26" s="114"/>
      <c r="FL26" s="114"/>
      <c r="FM26" s="114"/>
      <c r="FN26" s="114"/>
      <c r="FO26" s="114"/>
      <c r="FP26" s="114"/>
      <c r="FQ26" s="114"/>
      <c r="FR26" s="114"/>
      <c r="FS26" s="114"/>
      <c r="FT26" s="114"/>
      <c r="FU26" s="114"/>
      <c r="FV26" s="114"/>
      <c r="FW26" s="114"/>
      <c r="FX26" s="114"/>
      <c r="FY26" s="114"/>
      <c r="FZ26" s="114"/>
      <c r="GA26" s="114"/>
      <c r="GB26" s="114"/>
      <c r="GC26" s="114"/>
      <c r="GD26" s="114"/>
      <c r="GE26" s="114"/>
      <c r="GF26" s="114"/>
      <c r="GG26" s="114"/>
      <c r="GH26" s="114"/>
      <c r="GI26" s="114"/>
      <c r="GJ26" s="114"/>
      <c r="GK26" s="114"/>
      <c r="GL26" s="114"/>
      <c r="GM26" s="114"/>
      <c r="GN26" s="114"/>
      <c r="GO26" s="114"/>
      <c r="GP26" s="114"/>
      <c r="GQ26" s="114"/>
      <c r="GR26" s="114"/>
      <c r="GS26" s="114"/>
      <c r="GT26" s="114"/>
      <c r="GU26" s="114"/>
      <c r="GV26" s="114"/>
      <c r="GW26" s="114"/>
      <c r="GX26" s="114"/>
      <c r="GY26" s="114"/>
      <c r="GZ26" s="114"/>
      <c r="HA26" s="114"/>
      <c r="HB26" s="114"/>
      <c r="HC26" s="114"/>
      <c r="HD26" s="114"/>
      <c r="HE26" s="114"/>
      <c r="HF26" s="114"/>
      <c r="HG26" s="114"/>
      <c r="HH26" s="114"/>
      <c r="HI26" s="114"/>
      <c r="HJ26" s="114"/>
      <c r="HK26" s="114"/>
      <c r="HL26" s="114"/>
      <c r="HM26" s="114"/>
      <c r="HN26" s="114"/>
      <c r="HO26" s="114"/>
      <c r="HP26" s="114"/>
      <c r="HQ26" s="114"/>
      <c r="HR26" s="114"/>
      <c r="HS26" s="114"/>
      <c r="HT26" s="114"/>
      <c r="HU26" s="114"/>
      <c r="HV26" s="114"/>
      <c r="HW26" s="114"/>
      <c r="HX26" s="114"/>
      <c r="HY26" s="114"/>
      <c r="HZ26" s="114"/>
      <c r="IA26" s="114"/>
      <c r="IB26" s="114"/>
      <c r="IC26" s="114"/>
      <c r="ID26" s="114"/>
      <c r="IE26" s="114"/>
      <c r="IF26" s="114"/>
      <c r="IG26" s="114"/>
      <c r="IH26" s="114"/>
      <c r="II26" s="114"/>
      <c r="IJ26" s="114"/>
      <c r="IK26" s="114"/>
      <c r="IL26" s="114"/>
      <c r="IM26" s="114"/>
      <c r="IN26" s="114"/>
      <c r="IO26" s="114"/>
      <c r="IP26" s="114"/>
      <c r="IQ26" s="114"/>
      <c r="IR26" s="114"/>
      <c r="IS26" s="114"/>
      <c r="IT26" s="114"/>
      <c r="IU26" s="114"/>
      <c r="IV26" s="114"/>
      <c r="IW26" s="114"/>
    </row>
    <row r="27" customFormat="false" ht="11.25" hidden="false" customHeight="false" outlineLevel="0" collapsed="false">
      <c r="A27" s="153" t="s">
        <v>90</v>
      </c>
      <c r="B27" s="136" t="e">
        <f aca="false">'Debt Amort'!C42+'Debt Amort'!C93</f>
        <v>#VALUE!</v>
      </c>
      <c r="C27" s="136" t="e">
        <f aca="false">'Debt Amort'!D42+'Debt Amort'!D93</f>
        <v>#VALUE!</v>
      </c>
      <c r="D27" s="136" t="e">
        <f aca="false">'Debt Amort'!E42+'Debt Amort'!E93</f>
        <v>#VALUE!</v>
      </c>
      <c r="E27" s="136" t="e">
        <f aca="false">'Debt Amort'!F42+'Debt Amort'!F93</f>
        <v>#VALUE!</v>
      </c>
      <c r="F27" s="136" t="e">
        <f aca="false">'Debt Amort'!G42+'Debt Amort'!G93</f>
        <v>#VALUE!</v>
      </c>
      <c r="G27" s="136" t="e">
        <f aca="false">'Debt Amort'!H42+'Debt Amort'!H93</f>
        <v>#VALUE!</v>
      </c>
      <c r="H27" s="136" t="e">
        <f aca="false">'Debt Amort'!I42+'Debt Amort'!I93</f>
        <v>#VALUE!</v>
      </c>
      <c r="I27" s="136" t="e">
        <f aca="false">'Debt Amort'!J42+'Debt Amort'!J93</f>
        <v>#VALUE!</v>
      </c>
      <c r="J27" s="136" t="e">
        <f aca="false">'Debt Amort'!K42+'Debt Amort'!K93</f>
        <v>#VALUE!</v>
      </c>
      <c r="K27" s="136" t="e">
        <f aca="false">'Debt Amort'!L42+'Debt Amort'!L93</f>
        <v>#VALUE!</v>
      </c>
      <c r="L27" s="136" t="e">
        <f aca="false">'Debt Amort'!M42+'Debt Amort'!M93</f>
        <v>#VALUE!</v>
      </c>
      <c r="M27" s="136" t="e">
        <f aca="false">'Debt Amort'!N42+'Debt Amort'!N93</f>
        <v>#VALUE!</v>
      </c>
      <c r="N27" s="136" t="e">
        <f aca="false">'Debt Amort'!O42+'Debt Amort'!O93</f>
        <v>#VALUE!</v>
      </c>
      <c r="O27" s="136" t="e">
        <f aca="false">'Debt Amort'!P42+'Debt Amort'!P93</f>
        <v>#VALUE!</v>
      </c>
      <c r="P27" s="136" t="e">
        <f aca="false">'Debt Amort'!Q42+'Debt Amort'!Q93</f>
        <v>#VALUE!</v>
      </c>
      <c r="Q27" s="136" t="e">
        <f aca="false">'Debt Amort'!R42+'Debt Amort'!R93</f>
        <v>#VALUE!</v>
      </c>
      <c r="R27" s="136" t="e">
        <f aca="false">'Debt Amort'!S42+'Debt Amort'!S93</f>
        <v>#VALUE!</v>
      </c>
      <c r="S27" s="136" t="e">
        <f aca="false">'Debt Amort'!T42+'Debt Amort'!T93</f>
        <v>#VALUE!</v>
      </c>
      <c r="T27" s="136" t="e">
        <f aca="false">'Debt Amort'!U42+'Debt Amort'!U93</f>
        <v>#VALUE!</v>
      </c>
      <c r="U27" s="136" t="e">
        <f aca="false">'Debt Amort'!V42+'Debt Amort'!V93</f>
        <v>#VALUE!</v>
      </c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4"/>
      <c r="EL27" s="114"/>
      <c r="EM27" s="114"/>
      <c r="EN27" s="114"/>
      <c r="EO27" s="114"/>
      <c r="EP27" s="114"/>
      <c r="EQ27" s="114"/>
      <c r="ER27" s="114"/>
      <c r="ES27" s="114"/>
      <c r="ET27" s="114"/>
      <c r="EU27" s="114"/>
      <c r="EV27" s="114"/>
      <c r="EW27" s="114"/>
      <c r="EX27" s="114"/>
      <c r="EY27" s="114"/>
      <c r="EZ27" s="114"/>
      <c r="FA27" s="114"/>
      <c r="FB27" s="114"/>
      <c r="FC27" s="114"/>
      <c r="FD27" s="114"/>
      <c r="FE27" s="114"/>
      <c r="FF27" s="114"/>
      <c r="FG27" s="114"/>
      <c r="FH27" s="114"/>
      <c r="FI27" s="114"/>
      <c r="FJ27" s="114"/>
      <c r="FK27" s="114"/>
      <c r="FL27" s="114"/>
      <c r="FM27" s="114"/>
      <c r="FN27" s="114"/>
      <c r="FO27" s="114"/>
      <c r="FP27" s="114"/>
      <c r="FQ27" s="114"/>
      <c r="FR27" s="114"/>
      <c r="FS27" s="114"/>
      <c r="FT27" s="114"/>
      <c r="FU27" s="114"/>
      <c r="FV27" s="114"/>
      <c r="FW27" s="114"/>
      <c r="FX27" s="114"/>
      <c r="FY27" s="114"/>
      <c r="FZ27" s="114"/>
      <c r="GA27" s="114"/>
      <c r="GB27" s="114"/>
      <c r="GC27" s="114"/>
      <c r="GD27" s="114"/>
      <c r="GE27" s="114"/>
      <c r="GF27" s="114"/>
      <c r="GG27" s="114"/>
      <c r="GH27" s="114"/>
      <c r="GI27" s="114"/>
      <c r="GJ27" s="114"/>
      <c r="GK27" s="114"/>
      <c r="GL27" s="114"/>
      <c r="GM27" s="114"/>
      <c r="GN27" s="114"/>
      <c r="GO27" s="114"/>
      <c r="GP27" s="114"/>
      <c r="GQ27" s="114"/>
      <c r="GR27" s="114"/>
      <c r="GS27" s="114"/>
      <c r="GT27" s="114"/>
      <c r="GU27" s="114"/>
      <c r="GV27" s="114"/>
      <c r="GW27" s="114"/>
      <c r="GX27" s="114"/>
      <c r="GY27" s="114"/>
      <c r="GZ27" s="114"/>
      <c r="HA27" s="114"/>
      <c r="HB27" s="114"/>
      <c r="HC27" s="114"/>
      <c r="HD27" s="114"/>
      <c r="HE27" s="114"/>
      <c r="HF27" s="114"/>
      <c r="HG27" s="114"/>
      <c r="HH27" s="114"/>
      <c r="HI27" s="114"/>
      <c r="HJ27" s="114"/>
      <c r="HK27" s="114"/>
      <c r="HL27" s="114"/>
      <c r="HM27" s="114"/>
      <c r="HN27" s="114"/>
      <c r="HO27" s="114"/>
      <c r="HP27" s="114"/>
      <c r="HQ27" s="114"/>
      <c r="HR27" s="114"/>
      <c r="HS27" s="114"/>
      <c r="HT27" s="114"/>
      <c r="HU27" s="114"/>
      <c r="HV27" s="114"/>
      <c r="HW27" s="114"/>
      <c r="HX27" s="114"/>
      <c r="HY27" s="114"/>
      <c r="HZ27" s="114"/>
      <c r="IA27" s="114"/>
      <c r="IB27" s="114"/>
      <c r="IC27" s="114"/>
      <c r="ID27" s="114"/>
      <c r="IE27" s="114"/>
      <c r="IF27" s="114"/>
      <c r="IG27" s="114"/>
      <c r="IH27" s="114"/>
      <c r="II27" s="114"/>
      <c r="IJ27" s="114"/>
      <c r="IK27" s="114"/>
      <c r="IL27" s="114"/>
      <c r="IM27" s="114"/>
      <c r="IN27" s="114"/>
      <c r="IO27" s="114"/>
      <c r="IP27" s="114"/>
      <c r="IQ27" s="114"/>
      <c r="IR27" s="114"/>
      <c r="IS27" s="114"/>
      <c r="IT27" s="114"/>
      <c r="IU27" s="114"/>
      <c r="IV27" s="114"/>
      <c r="IW27" s="114"/>
    </row>
    <row r="28" customFormat="false" ht="11.25" hidden="false" customHeight="false" outlineLevel="0" collapsed="false">
      <c r="A28" s="153" t="s">
        <v>70</v>
      </c>
      <c r="B28" s="136" t="n">
        <f aca="false">INDEX(WC,MATCH("Other Payables",Column,0),MATCH(B$3,Row,0))</f>
        <v>37.2045191662691</v>
      </c>
      <c r="C28" s="136" t="n">
        <f aca="false">INDEX(WC,MATCH("Other Payables",Column,0),MATCH(C$3,Row,0))</f>
        <v>219.933112218704</v>
      </c>
      <c r="D28" s="136" t="n">
        <f aca="false">INDEX(WC,MATCH("Other Payables",Column,0),MATCH(D$3,Row,0))</f>
        <v>254.53781609801</v>
      </c>
      <c r="E28" s="136" t="n">
        <f aca="false">INDEX(WC,MATCH("Other Payables",Column,0),MATCH(E$3,Row,0))</f>
        <v>260.175924229909</v>
      </c>
      <c r="F28" s="136" t="n">
        <f aca="false">INDEX(WC,MATCH("Other Payables",Column,0),MATCH(F$3,Row,0))</f>
        <v>221.30703544066</v>
      </c>
      <c r="G28" s="136" t="n">
        <f aca="false">INDEX(WC,MATCH("Other Payables",Column,0),MATCH(G$3,Row,0))</f>
        <v>223.780943562349</v>
      </c>
      <c r="H28" s="136" t="n">
        <f aca="false">INDEX(WC,MATCH("Other Payables",Column,0),MATCH(H$3,Row,0))</f>
        <v>226.86564483286</v>
      </c>
      <c r="I28" s="136" t="n">
        <f aca="false">INDEX(WC,MATCH("Other Payables",Column,0),MATCH(I$3,Row,0))</f>
        <v>227.826567751434</v>
      </c>
      <c r="J28" s="136" t="n">
        <f aca="false">INDEX(WC,MATCH("Other Payables",Column,0),MATCH(J$3,Row,0))</f>
        <v>230.689067628854</v>
      </c>
      <c r="K28" s="136" t="n">
        <f aca="false">INDEX(WC,MATCH("Other Payables",Column,0),MATCH(K$3,Row,0))</f>
        <v>237.061956795013</v>
      </c>
      <c r="L28" s="136" t="n">
        <f aca="false">INDEX(WC,MATCH("Other Payables",Column,0),MATCH(L$3,Row,0))</f>
        <v>243.226381724948</v>
      </c>
      <c r="M28" s="136" t="n">
        <f aca="false">INDEX(WC,MATCH("Other Payables",Column,0),MATCH(M$3,Row,0))</f>
        <v>247.147070105715</v>
      </c>
      <c r="N28" s="136" t="n">
        <f aca="false">INDEX(WC,MATCH("Other Payables",Column,0),MATCH(N$3,Row,0))</f>
        <v>224.524479391843</v>
      </c>
      <c r="O28" s="136" t="n">
        <f aca="false">INDEX(WC,MATCH("Other Payables",Column,0),MATCH(O$3,Row,0))</f>
        <v>229.512924150145</v>
      </c>
      <c r="P28" s="136" t="n">
        <f aca="false">INDEX(WC,MATCH("Other Payables",Column,0),MATCH(P$3,Row,0))</f>
        <v>233.607588487635</v>
      </c>
      <c r="Q28" s="136" t="n">
        <f aca="false">INDEX(WC,MATCH("Other Payables",Column,0),MATCH(Q$3,Row,0))</f>
        <v>478.564115528644</v>
      </c>
      <c r="R28" s="136" t="n">
        <f aca="false">IF(Tables!$B$21=15,0,INDEX(WC,MATCH("Other Payables",Column,0),MATCH(R$3,Row,0)))</f>
        <v>0</v>
      </c>
      <c r="S28" s="136" t="n">
        <f aca="false">IF(Tables!$B$21=15,0,INDEX(WC,MATCH("Other Payables",Column,0),MATCH(S$3,Row,0)))</f>
        <v>0</v>
      </c>
      <c r="T28" s="136" t="n">
        <f aca="false">IF(Tables!$B$21=15,0,INDEX(WC,MATCH("Other Payables",Column,0),MATCH(T$3,Row,0)))</f>
        <v>0</v>
      </c>
      <c r="U28" s="136" t="n">
        <f aca="false">IF(Tables!$B$21=15,0,INDEX(WC,MATCH("Other Payables",Column,0),MATCH(U$3,Row,0)))</f>
        <v>0</v>
      </c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  <c r="DI28" s="114"/>
      <c r="DJ28" s="114"/>
      <c r="DK28" s="114"/>
      <c r="DL28" s="114"/>
      <c r="DM28" s="114"/>
      <c r="DN28" s="114"/>
      <c r="DO28" s="114"/>
      <c r="DP28" s="114"/>
      <c r="DQ28" s="114"/>
      <c r="DR28" s="114"/>
      <c r="DS28" s="114"/>
      <c r="DT28" s="114"/>
      <c r="DU28" s="114"/>
      <c r="DV28" s="114"/>
      <c r="DW28" s="114"/>
      <c r="DX28" s="114"/>
      <c r="DY28" s="114"/>
      <c r="DZ28" s="114"/>
      <c r="EA28" s="114"/>
      <c r="EB28" s="114"/>
      <c r="EC28" s="114"/>
      <c r="ED28" s="114"/>
      <c r="EE28" s="114"/>
      <c r="EF28" s="114"/>
      <c r="EG28" s="114"/>
      <c r="EH28" s="114"/>
      <c r="EI28" s="114"/>
      <c r="EJ28" s="114"/>
      <c r="EK28" s="114"/>
      <c r="EL28" s="114"/>
      <c r="EM28" s="114"/>
      <c r="EN28" s="114"/>
      <c r="EO28" s="114"/>
      <c r="EP28" s="114"/>
      <c r="EQ28" s="114"/>
      <c r="ER28" s="114"/>
      <c r="ES28" s="114"/>
      <c r="ET28" s="114"/>
      <c r="EU28" s="114"/>
      <c r="EV28" s="114"/>
      <c r="EW28" s="114"/>
      <c r="EX28" s="114"/>
      <c r="EY28" s="114"/>
      <c r="EZ28" s="114"/>
      <c r="FA28" s="114"/>
      <c r="FB28" s="114"/>
      <c r="FC28" s="114"/>
      <c r="FD28" s="114"/>
      <c r="FE28" s="114"/>
      <c r="FF28" s="114"/>
      <c r="FG28" s="114"/>
      <c r="FH28" s="114"/>
      <c r="FI28" s="114"/>
      <c r="FJ28" s="114"/>
      <c r="FK28" s="114"/>
      <c r="FL28" s="114"/>
      <c r="FM28" s="114"/>
      <c r="FN28" s="114"/>
      <c r="FO28" s="114"/>
      <c r="FP28" s="114"/>
      <c r="FQ28" s="114"/>
      <c r="FR28" s="114"/>
      <c r="FS28" s="114"/>
      <c r="FT28" s="114"/>
      <c r="FU28" s="114"/>
      <c r="FV28" s="114"/>
      <c r="FW28" s="114"/>
      <c r="FX28" s="114"/>
      <c r="FY28" s="114"/>
      <c r="FZ28" s="114"/>
      <c r="GA28" s="114"/>
      <c r="GB28" s="114"/>
      <c r="GC28" s="114"/>
      <c r="GD28" s="114"/>
      <c r="GE28" s="114"/>
      <c r="GF28" s="114"/>
      <c r="GG28" s="114"/>
      <c r="GH28" s="114"/>
      <c r="GI28" s="114"/>
      <c r="GJ28" s="114"/>
      <c r="GK28" s="114"/>
      <c r="GL28" s="114"/>
      <c r="GM28" s="114"/>
      <c r="GN28" s="114"/>
      <c r="GO28" s="114"/>
      <c r="GP28" s="114"/>
      <c r="GQ28" s="114"/>
      <c r="GR28" s="114"/>
      <c r="GS28" s="114"/>
      <c r="GT28" s="114"/>
      <c r="GU28" s="114"/>
      <c r="GV28" s="114"/>
      <c r="GW28" s="114"/>
      <c r="GX28" s="114"/>
      <c r="GY28" s="114"/>
      <c r="GZ28" s="114"/>
      <c r="HA28" s="114"/>
      <c r="HB28" s="114"/>
      <c r="HC28" s="114"/>
      <c r="HD28" s="114"/>
      <c r="HE28" s="114"/>
      <c r="HF28" s="114"/>
      <c r="HG28" s="114"/>
      <c r="HH28" s="114"/>
      <c r="HI28" s="114"/>
      <c r="HJ28" s="114"/>
      <c r="HK28" s="114"/>
      <c r="HL28" s="114"/>
      <c r="HM28" s="114"/>
      <c r="HN28" s="114"/>
      <c r="HO28" s="114"/>
      <c r="HP28" s="114"/>
      <c r="HQ28" s="114"/>
      <c r="HR28" s="114"/>
      <c r="HS28" s="114"/>
      <c r="HT28" s="114"/>
      <c r="HU28" s="114"/>
      <c r="HV28" s="114"/>
      <c r="HW28" s="114"/>
      <c r="HX28" s="114"/>
      <c r="HY28" s="114"/>
      <c r="HZ28" s="114"/>
      <c r="IA28" s="114"/>
      <c r="IB28" s="114"/>
      <c r="IC28" s="114"/>
      <c r="ID28" s="114"/>
      <c r="IE28" s="114"/>
      <c r="IF28" s="114"/>
      <c r="IG28" s="114"/>
      <c r="IH28" s="114"/>
      <c r="II28" s="114"/>
      <c r="IJ28" s="114"/>
      <c r="IK28" s="114"/>
      <c r="IL28" s="114"/>
      <c r="IM28" s="114"/>
      <c r="IN28" s="114"/>
      <c r="IO28" s="114"/>
      <c r="IP28" s="114"/>
      <c r="IQ28" s="114"/>
      <c r="IR28" s="114"/>
      <c r="IS28" s="114"/>
      <c r="IT28" s="114"/>
      <c r="IU28" s="114"/>
      <c r="IV28" s="114"/>
      <c r="IW28" s="114"/>
    </row>
    <row r="29" customFormat="false" ht="11.25" hidden="false" customHeight="false" outlineLevel="0" collapsed="false">
      <c r="A29" s="153" t="s">
        <v>91</v>
      </c>
      <c r="B29" s="152" t="e">
        <f aca="false">INDEX(TaxTable,MATCH("Total Cash Taxes",TaxColumn,0),MATCH(YEAR(B3),TaxRow,0))</f>
        <v>#VALUE!</v>
      </c>
      <c r="C29" s="152" t="e">
        <f aca="false">INDEX(TaxTable,MATCH("Total Cash Taxes",TaxColumn,0),MATCH(YEAR(C3),TaxRow,0))</f>
        <v>#VALUE!</v>
      </c>
      <c r="D29" s="152" t="e">
        <f aca="false">INDEX(TaxTable,MATCH("Total Cash Taxes",TaxColumn,0),MATCH(YEAR(D3),TaxRow,0))</f>
        <v>#VALUE!</v>
      </c>
      <c r="E29" s="152" t="e">
        <f aca="false">INDEX(TaxTable,MATCH("Total Cash Taxes",TaxColumn,0),MATCH(YEAR(E3),TaxRow,0))</f>
        <v>#VALUE!</v>
      </c>
      <c r="F29" s="152" t="e">
        <f aca="false">INDEX(TaxTable,MATCH("Total Cash Taxes",TaxColumn,0),MATCH(YEAR(F3),TaxRow,0))</f>
        <v>#VALUE!</v>
      </c>
      <c r="G29" s="152" t="e">
        <f aca="false">INDEX(TaxTable,MATCH("Total Cash Taxes",TaxColumn,0),MATCH(YEAR(G3),TaxRow,0))</f>
        <v>#VALUE!</v>
      </c>
      <c r="H29" s="152" t="e">
        <f aca="false">INDEX(TaxTable,MATCH("Total Cash Taxes",TaxColumn,0),MATCH(YEAR(H3),TaxRow,0))</f>
        <v>#VALUE!</v>
      </c>
      <c r="I29" s="152" t="e">
        <f aca="false">INDEX(TaxTable,MATCH("Total Cash Taxes",TaxColumn,0),MATCH(YEAR(I3),TaxRow,0))</f>
        <v>#VALUE!</v>
      </c>
      <c r="J29" s="152" t="e">
        <f aca="false">INDEX(TaxTable,MATCH("Total Cash Taxes",TaxColumn,0),MATCH(YEAR(J3),TaxRow,0))</f>
        <v>#VALUE!</v>
      </c>
      <c r="K29" s="152" t="e">
        <f aca="false">INDEX(TaxTable,MATCH("Total Cash Taxes",TaxColumn,0),MATCH(YEAR(K3),TaxRow,0))</f>
        <v>#VALUE!</v>
      </c>
      <c r="L29" s="152" t="e">
        <f aca="false">INDEX(TaxTable,MATCH("Total Cash Taxes",TaxColumn,0),MATCH(YEAR(L3),TaxRow,0))</f>
        <v>#VALUE!</v>
      </c>
      <c r="M29" s="152" t="e">
        <f aca="false">INDEX(TaxTable,MATCH("Total Cash Taxes",TaxColumn,0),MATCH(YEAR(M3),TaxRow,0))</f>
        <v>#VALUE!</v>
      </c>
      <c r="N29" s="152" t="e">
        <f aca="false">INDEX(TaxTable,MATCH("Total Cash Taxes",TaxColumn,0),MATCH(YEAR(N3),TaxRow,0))</f>
        <v>#VALUE!</v>
      </c>
      <c r="O29" s="152" t="e">
        <f aca="false">INDEX(TaxTable,MATCH("Total Cash Taxes",TaxColumn,0),MATCH(YEAR(O3),TaxRow,0))</f>
        <v>#VALUE!</v>
      </c>
      <c r="P29" s="152" t="e">
        <f aca="false">INDEX(TaxTable,MATCH("Total Cash Taxes",TaxColumn,0),MATCH(YEAR(P3),TaxRow,0))</f>
        <v>#VALUE!</v>
      </c>
      <c r="Q29" s="152" t="e">
        <f aca="false">INDEX(TaxTable,MATCH("Total Cash Taxes",TaxColumn,0),MATCH(YEAR(Q3),TaxRow,0))</f>
        <v>#VALUE!</v>
      </c>
      <c r="R29" s="152" t="n">
        <f aca="false">IF(Tables!$B$21=15,0,INDEX(TaxTable,MATCH("Total Cash Taxes",TaxColumn,0),MATCH(YEAR(R3),TaxRow,0)))</f>
        <v>0</v>
      </c>
      <c r="S29" s="152" t="n">
        <f aca="false">IF(Tables!$B$21=15,0,INDEX(TaxTable,MATCH("Total Cash Taxes",TaxColumn,0),MATCH(YEAR(S3),TaxRow,0)))</f>
        <v>0</v>
      </c>
      <c r="T29" s="152" t="n">
        <f aca="false">IF(Tables!$B$21=15,0,INDEX(TaxTable,MATCH("Total Cash Taxes",TaxColumn,0),MATCH(YEAR(T3),TaxRow,0)))</f>
        <v>0</v>
      </c>
      <c r="U29" s="152" t="n">
        <f aca="false">IF(Tables!$B$21=15,0,INDEX(TaxTable,MATCH("Total Cash Taxes",TaxColumn,0),MATCH(YEAR(U3),TaxRow,0)))</f>
        <v>0</v>
      </c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  <c r="DI29" s="114"/>
      <c r="DJ29" s="114"/>
      <c r="DK29" s="114"/>
      <c r="DL29" s="114"/>
      <c r="DM29" s="114"/>
      <c r="DN29" s="114"/>
      <c r="DO29" s="114"/>
      <c r="DP29" s="114"/>
      <c r="DQ29" s="114"/>
      <c r="DR29" s="114"/>
      <c r="DS29" s="114"/>
      <c r="DT29" s="114"/>
      <c r="DU29" s="114"/>
      <c r="DV29" s="114"/>
      <c r="DW29" s="114"/>
      <c r="DX29" s="114"/>
      <c r="DY29" s="114"/>
      <c r="DZ29" s="114"/>
      <c r="EA29" s="114"/>
      <c r="EB29" s="114"/>
      <c r="EC29" s="114"/>
      <c r="ED29" s="114"/>
      <c r="EE29" s="114"/>
      <c r="EF29" s="114"/>
      <c r="EG29" s="114"/>
      <c r="EH29" s="114"/>
      <c r="EI29" s="114"/>
      <c r="EJ29" s="114"/>
      <c r="EK29" s="114"/>
      <c r="EL29" s="114"/>
      <c r="EM29" s="114"/>
      <c r="EN29" s="114"/>
      <c r="EO29" s="114"/>
      <c r="EP29" s="114"/>
      <c r="EQ29" s="114"/>
      <c r="ER29" s="114"/>
      <c r="ES29" s="114"/>
      <c r="ET29" s="114"/>
      <c r="EU29" s="114"/>
      <c r="EV29" s="114"/>
      <c r="EW29" s="114"/>
      <c r="EX29" s="114"/>
      <c r="EY29" s="114"/>
      <c r="EZ29" s="114"/>
      <c r="FA29" s="114"/>
      <c r="FB29" s="114"/>
      <c r="FC29" s="114"/>
      <c r="FD29" s="114"/>
      <c r="FE29" s="114"/>
      <c r="FF29" s="114"/>
      <c r="FG29" s="114"/>
      <c r="FH29" s="114"/>
      <c r="FI29" s="114"/>
      <c r="FJ29" s="114"/>
      <c r="FK29" s="114"/>
      <c r="FL29" s="114"/>
      <c r="FM29" s="114"/>
      <c r="FN29" s="114"/>
      <c r="FO29" s="114"/>
      <c r="FP29" s="114"/>
      <c r="FQ29" s="114"/>
      <c r="FR29" s="114"/>
      <c r="FS29" s="114"/>
      <c r="FT29" s="114"/>
      <c r="FU29" s="114"/>
      <c r="FV29" s="114"/>
      <c r="FW29" s="114"/>
      <c r="FX29" s="114"/>
      <c r="FY29" s="114"/>
      <c r="FZ29" s="114"/>
      <c r="GA29" s="114"/>
      <c r="GB29" s="114"/>
      <c r="GC29" s="114"/>
      <c r="GD29" s="114"/>
      <c r="GE29" s="114"/>
      <c r="GF29" s="114"/>
      <c r="GG29" s="114"/>
      <c r="GH29" s="114"/>
      <c r="GI29" s="114"/>
      <c r="GJ29" s="114"/>
      <c r="GK29" s="114"/>
      <c r="GL29" s="114"/>
      <c r="GM29" s="114"/>
      <c r="GN29" s="114"/>
      <c r="GO29" s="114"/>
      <c r="GP29" s="114"/>
      <c r="GQ29" s="114"/>
      <c r="GR29" s="114"/>
      <c r="GS29" s="114"/>
      <c r="GT29" s="114"/>
      <c r="GU29" s="114"/>
      <c r="GV29" s="114"/>
      <c r="GW29" s="114"/>
      <c r="GX29" s="114"/>
      <c r="GY29" s="114"/>
      <c r="GZ29" s="114"/>
      <c r="HA29" s="114"/>
      <c r="HB29" s="114"/>
      <c r="HC29" s="114"/>
      <c r="HD29" s="114"/>
      <c r="HE29" s="114"/>
      <c r="HF29" s="114"/>
      <c r="HG29" s="114"/>
      <c r="HH29" s="114"/>
      <c r="HI29" s="114"/>
      <c r="HJ29" s="114"/>
      <c r="HK29" s="114"/>
      <c r="HL29" s="114"/>
      <c r="HM29" s="114"/>
      <c r="HN29" s="114"/>
      <c r="HO29" s="114"/>
      <c r="HP29" s="114"/>
      <c r="HQ29" s="114"/>
      <c r="HR29" s="114"/>
      <c r="HS29" s="114"/>
      <c r="HT29" s="114"/>
      <c r="HU29" s="114"/>
      <c r="HV29" s="114"/>
      <c r="HW29" s="114"/>
      <c r="HX29" s="114"/>
      <c r="HY29" s="114"/>
      <c r="HZ29" s="114"/>
      <c r="IA29" s="114"/>
      <c r="IB29" s="114"/>
      <c r="IC29" s="114"/>
      <c r="ID29" s="114"/>
      <c r="IE29" s="114"/>
      <c r="IF29" s="114"/>
      <c r="IG29" s="114"/>
      <c r="IH29" s="114"/>
      <c r="II29" s="114"/>
      <c r="IJ29" s="114"/>
      <c r="IK29" s="114"/>
      <c r="IL29" s="114"/>
      <c r="IM29" s="114"/>
      <c r="IN29" s="114"/>
      <c r="IO29" s="114"/>
      <c r="IP29" s="114"/>
      <c r="IQ29" s="114"/>
      <c r="IR29" s="114"/>
      <c r="IS29" s="114"/>
      <c r="IT29" s="114"/>
      <c r="IU29" s="114"/>
      <c r="IV29" s="114"/>
      <c r="IW29" s="114"/>
    </row>
    <row r="30" customFormat="false" ht="11.25" hidden="false" customHeight="false" outlineLevel="0" collapsed="false">
      <c r="A30" s="151"/>
      <c r="B30" s="152"/>
      <c r="C30" s="126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  <c r="DI30" s="114"/>
      <c r="DJ30" s="114"/>
      <c r="DK30" s="114"/>
      <c r="DL30" s="114"/>
      <c r="DM30" s="114"/>
      <c r="DN30" s="114"/>
      <c r="DO30" s="114"/>
      <c r="DP30" s="114"/>
      <c r="DQ30" s="114"/>
      <c r="DR30" s="114"/>
      <c r="DS30" s="114"/>
      <c r="DT30" s="114"/>
      <c r="DU30" s="114"/>
      <c r="DV30" s="114"/>
      <c r="DW30" s="114"/>
      <c r="DX30" s="114"/>
      <c r="DY30" s="114"/>
      <c r="DZ30" s="114"/>
      <c r="EA30" s="114"/>
      <c r="EB30" s="114"/>
      <c r="EC30" s="114"/>
      <c r="ED30" s="114"/>
      <c r="EE30" s="114"/>
      <c r="EF30" s="114"/>
      <c r="EG30" s="114"/>
      <c r="EH30" s="114"/>
      <c r="EI30" s="114"/>
      <c r="EJ30" s="114"/>
      <c r="EK30" s="114"/>
      <c r="EL30" s="114"/>
      <c r="EM30" s="114"/>
      <c r="EN30" s="114"/>
      <c r="EO30" s="114"/>
      <c r="EP30" s="114"/>
      <c r="EQ30" s="114"/>
      <c r="ER30" s="114"/>
      <c r="ES30" s="114"/>
      <c r="ET30" s="114"/>
      <c r="EU30" s="114"/>
      <c r="EV30" s="114"/>
      <c r="EW30" s="114"/>
      <c r="EX30" s="114"/>
      <c r="EY30" s="114"/>
      <c r="EZ30" s="114"/>
      <c r="FA30" s="114"/>
      <c r="FB30" s="114"/>
      <c r="FC30" s="114"/>
      <c r="FD30" s="114"/>
      <c r="FE30" s="114"/>
      <c r="FF30" s="114"/>
      <c r="FG30" s="114"/>
      <c r="FH30" s="114"/>
      <c r="FI30" s="114"/>
      <c r="FJ30" s="114"/>
      <c r="FK30" s="114"/>
      <c r="FL30" s="114"/>
      <c r="FM30" s="114"/>
      <c r="FN30" s="114"/>
      <c r="FO30" s="114"/>
      <c r="FP30" s="114"/>
      <c r="FQ30" s="114"/>
      <c r="FR30" s="114"/>
      <c r="FS30" s="114"/>
      <c r="FT30" s="114"/>
      <c r="FU30" s="114"/>
      <c r="FV30" s="114"/>
      <c r="FW30" s="114"/>
      <c r="FX30" s="114"/>
      <c r="FY30" s="114"/>
      <c r="FZ30" s="114"/>
      <c r="GA30" s="114"/>
      <c r="GB30" s="114"/>
      <c r="GC30" s="114"/>
      <c r="GD30" s="114"/>
      <c r="GE30" s="114"/>
      <c r="GF30" s="114"/>
      <c r="GG30" s="114"/>
      <c r="GH30" s="114"/>
      <c r="GI30" s="114"/>
      <c r="GJ30" s="114"/>
      <c r="GK30" s="114"/>
      <c r="GL30" s="114"/>
      <c r="GM30" s="114"/>
      <c r="GN30" s="114"/>
      <c r="GO30" s="114"/>
      <c r="GP30" s="114"/>
      <c r="GQ30" s="114"/>
      <c r="GR30" s="114"/>
      <c r="GS30" s="114"/>
      <c r="GT30" s="114"/>
      <c r="GU30" s="114"/>
      <c r="GV30" s="114"/>
      <c r="GW30" s="114"/>
      <c r="GX30" s="114"/>
      <c r="GY30" s="114"/>
      <c r="GZ30" s="114"/>
      <c r="HA30" s="114"/>
      <c r="HB30" s="114"/>
      <c r="HC30" s="114"/>
      <c r="HD30" s="114"/>
      <c r="HE30" s="114"/>
      <c r="HF30" s="114"/>
      <c r="HG30" s="114"/>
      <c r="HH30" s="114"/>
      <c r="HI30" s="114"/>
      <c r="HJ30" s="114"/>
      <c r="HK30" s="114"/>
      <c r="HL30" s="114"/>
      <c r="HM30" s="114"/>
      <c r="HN30" s="114"/>
      <c r="HO30" s="114"/>
      <c r="HP30" s="114"/>
      <c r="HQ30" s="114"/>
      <c r="HR30" s="114"/>
      <c r="HS30" s="114"/>
      <c r="HT30" s="114"/>
      <c r="HU30" s="114"/>
      <c r="HV30" s="114"/>
      <c r="HW30" s="114"/>
      <c r="HX30" s="114"/>
      <c r="HY30" s="114"/>
      <c r="HZ30" s="114"/>
      <c r="IA30" s="114"/>
      <c r="IB30" s="114"/>
      <c r="IC30" s="114"/>
      <c r="ID30" s="114"/>
      <c r="IE30" s="114"/>
      <c r="IF30" s="114"/>
      <c r="IG30" s="114"/>
      <c r="IH30" s="114"/>
      <c r="II30" s="114"/>
      <c r="IJ30" s="114"/>
      <c r="IK30" s="114"/>
      <c r="IL30" s="114"/>
      <c r="IM30" s="114"/>
      <c r="IN30" s="114"/>
      <c r="IO30" s="114"/>
      <c r="IP30" s="114"/>
      <c r="IQ30" s="114"/>
      <c r="IR30" s="114"/>
      <c r="IS30" s="114"/>
      <c r="IT30" s="114"/>
      <c r="IU30" s="114"/>
      <c r="IV30" s="114"/>
      <c r="IW30" s="114"/>
    </row>
    <row r="31" customFormat="false" ht="11.25" hidden="false" customHeight="false" outlineLevel="0" collapsed="false">
      <c r="A31" s="155" t="s">
        <v>92</v>
      </c>
      <c r="B31" s="157" t="e">
        <f aca="false">SUM(B25:B30)</f>
        <v>#VALUE!</v>
      </c>
      <c r="C31" s="157" t="e">
        <f aca="false">SUM(C25:C30)</f>
        <v>#VALUE!</v>
      </c>
      <c r="D31" s="157" t="e">
        <f aca="false">SUM(D25:D30)</f>
        <v>#VALUE!</v>
      </c>
      <c r="E31" s="157" t="e">
        <f aca="false">SUM(E25:E30)</f>
        <v>#VALUE!</v>
      </c>
      <c r="F31" s="157" t="e">
        <f aca="false">SUM(F25:F30)</f>
        <v>#VALUE!</v>
      </c>
      <c r="G31" s="157" t="e">
        <f aca="false">SUM(G25:G30)</f>
        <v>#VALUE!</v>
      </c>
      <c r="H31" s="157" t="e">
        <f aca="false">SUM(H25:H30)</f>
        <v>#VALUE!</v>
      </c>
      <c r="I31" s="157" t="e">
        <f aca="false">SUM(I25:I30)</f>
        <v>#VALUE!</v>
      </c>
      <c r="J31" s="157" t="e">
        <f aca="false">SUM(J25:J30)</f>
        <v>#VALUE!</v>
      </c>
      <c r="K31" s="157" t="e">
        <f aca="false">SUM(K25:K30)</f>
        <v>#VALUE!</v>
      </c>
      <c r="L31" s="157" t="e">
        <f aca="false">SUM(L25:L30)</f>
        <v>#VALUE!</v>
      </c>
      <c r="M31" s="157" t="e">
        <f aca="false">SUM(M25:M30)</f>
        <v>#VALUE!</v>
      </c>
      <c r="N31" s="157" t="e">
        <f aca="false">SUM(N25:N30)</f>
        <v>#VALUE!</v>
      </c>
      <c r="O31" s="157" t="e">
        <f aca="false">SUM(O25:O30)</f>
        <v>#VALUE!</v>
      </c>
      <c r="P31" s="157" t="e">
        <f aca="false">SUM(P25:P30)</f>
        <v>#VALUE!</v>
      </c>
      <c r="Q31" s="157" t="e">
        <f aca="false">SUM(Q25:Q30)</f>
        <v>#VALUE!</v>
      </c>
      <c r="R31" s="157" t="e">
        <f aca="false">SUM(R25:R30)</f>
        <v>#VALUE!</v>
      </c>
      <c r="S31" s="157" t="e">
        <f aca="false">SUM(S25:S30)</f>
        <v>#VALUE!</v>
      </c>
      <c r="T31" s="157" t="e">
        <f aca="false">SUM(T25:T30)</f>
        <v>#VALUE!</v>
      </c>
      <c r="U31" s="157" t="e">
        <f aca="false">SUM(U25:U30)</f>
        <v>#VALUE!</v>
      </c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4"/>
      <c r="CA31" s="114"/>
      <c r="CB31" s="114"/>
      <c r="CC31" s="114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4"/>
      <c r="CO31" s="114"/>
      <c r="CP31" s="114"/>
      <c r="CQ31" s="114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4"/>
      <c r="DC31" s="114"/>
      <c r="DD31" s="114"/>
      <c r="DE31" s="114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4"/>
      <c r="DQ31" s="114"/>
      <c r="DR31" s="114"/>
      <c r="DS31" s="114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4"/>
      <c r="EE31" s="114"/>
      <c r="EF31" s="114"/>
      <c r="EG31" s="114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4"/>
      <c r="ES31" s="114"/>
      <c r="ET31" s="114"/>
      <c r="EU31" s="114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4"/>
      <c r="FG31" s="114"/>
      <c r="FH31" s="114"/>
      <c r="FI31" s="114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4"/>
      <c r="FU31" s="114"/>
      <c r="FV31" s="114"/>
      <c r="FW31" s="114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4"/>
      <c r="GI31" s="114"/>
      <c r="GJ31" s="114"/>
      <c r="GK31" s="114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4"/>
      <c r="GW31" s="114"/>
      <c r="GX31" s="114"/>
      <c r="GY31" s="114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4"/>
      <c r="HK31" s="114"/>
      <c r="HL31" s="114"/>
      <c r="HM31" s="114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4"/>
      <c r="HY31" s="114"/>
      <c r="HZ31" s="114"/>
      <c r="IA31" s="114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4"/>
      <c r="IM31" s="114"/>
      <c r="IN31" s="114"/>
      <c r="IO31" s="114"/>
      <c r="IP31" s="114"/>
      <c r="IQ31" s="114"/>
      <c r="IR31" s="114"/>
      <c r="IS31" s="114"/>
      <c r="IT31" s="114"/>
      <c r="IU31" s="114"/>
      <c r="IV31" s="114"/>
      <c r="IW31" s="114"/>
    </row>
    <row r="32" customFormat="false" ht="11.25" hidden="false" customHeight="false" outlineLevel="0" collapsed="false">
      <c r="A32" s="153" t="s">
        <v>93</v>
      </c>
      <c r="B32" s="136" t="e">
        <f aca="false">'Debt Amort'!C41+'Debt Amort'!C92</f>
        <v>#VALUE!</v>
      </c>
      <c r="C32" s="136" t="e">
        <f aca="false">'Debt Amort'!D41+'Debt Amort'!D92</f>
        <v>#VALUE!</v>
      </c>
      <c r="D32" s="136" t="e">
        <f aca="false">'Debt Amort'!E41+'Debt Amort'!E92</f>
        <v>#VALUE!</v>
      </c>
      <c r="E32" s="136" t="e">
        <f aca="false">'Debt Amort'!F41+'Debt Amort'!F92</f>
        <v>#VALUE!</v>
      </c>
      <c r="F32" s="136" t="e">
        <f aca="false">'Debt Amort'!G41+'Debt Amort'!G92</f>
        <v>#VALUE!</v>
      </c>
      <c r="G32" s="136" t="e">
        <f aca="false">'Debt Amort'!H41+'Debt Amort'!H92</f>
        <v>#VALUE!</v>
      </c>
      <c r="H32" s="136" t="e">
        <f aca="false">'Debt Amort'!I41+'Debt Amort'!I92</f>
        <v>#VALUE!</v>
      </c>
      <c r="I32" s="136" t="e">
        <f aca="false">'Debt Amort'!J41+'Debt Amort'!J92</f>
        <v>#VALUE!</v>
      </c>
      <c r="J32" s="136" t="e">
        <f aca="false">'Debt Amort'!K41+'Debt Amort'!K92</f>
        <v>#VALUE!</v>
      </c>
      <c r="K32" s="136" t="e">
        <f aca="false">'Debt Amort'!L41+'Debt Amort'!L92</f>
        <v>#VALUE!</v>
      </c>
      <c r="L32" s="136" t="e">
        <f aca="false">'Debt Amort'!M41+'Debt Amort'!M92</f>
        <v>#VALUE!</v>
      </c>
      <c r="M32" s="136" t="e">
        <f aca="false">'Debt Amort'!N41+'Debt Amort'!N92</f>
        <v>#VALUE!</v>
      </c>
      <c r="N32" s="136" t="e">
        <f aca="false">'Debt Amort'!O41+'Debt Amort'!O92</f>
        <v>#VALUE!</v>
      </c>
      <c r="O32" s="136" t="e">
        <f aca="false">'Debt Amort'!P41+'Debt Amort'!P92</f>
        <v>#VALUE!</v>
      </c>
      <c r="P32" s="136" t="e">
        <f aca="false">'Debt Amort'!Q41+'Debt Amort'!Q92</f>
        <v>#VALUE!</v>
      </c>
      <c r="Q32" s="136" t="e">
        <f aca="false">'Debt Amort'!R41+'Debt Amort'!R92</f>
        <v>#VALUE!</v>
      </c>
      <c r="R32" s="136" t="e">
        <f aca="false">'Debt Amort'!S41+'Debt Amort'!S92</f>
        <v>#VALUE!</v>
      </c>
      <c r="S32" s="136" t="e">
        <f aca="false">'Debt Amort'!T41+'Debt Amort'!T92</f>
        <v>#VALUE!</v>
      </c>
      <c r="T32" s="136" t="e">
        <f aca="false">'Debt Amort'!U41+'Debt Amort'!U92</f>
        <v>#VALUE!</v>
      </c>
      <c r="U32" s="136" t="e">
        <f aca="false">'Debt Amort'!V41+'Debt Amort'!V92</f>
        <v>#VALUE!</v>
      </c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4"/>
      <c r="DD32" s="114"/>
      <c r="DE32" s="114"/>
      <c r="DF32" s="114"/>
      <c r="DG32" s="114"/>
      <c r="DH32" s="114"/>
      <c r="DI32" s="114"/>
      <c r="DJ32" s="114"/>
      <c r="DK32" s="114"/>
      <c r="DL32" s="114"/>
      <c r="DM32" s="114"/>
      <c r="DN32" s="114"/>
      <c r="DO32" s="114"/>
      <c r="DP32" s="114"/>
      <c r="DQ32" s="114"/>
      <c r="DR32" s="114"/>
      <c r="DS32" s="114"/>
      <c r="DT32" s="114"/>
      <c r="DU32" s="114"/>
      <c r="DV32" s="114"/>
      <c r="DW32" s="114"/>
      <c r="DX32" s="114"/>
      <c r="DY32" s="114"/>
      <c r="DZ32" s="114"/>
      <c r="EA32" s="114"/>
      <c r="EB32" s="114"/>
      <c r="EC32" s="114"/>
      <c r="ED32" s="114"/>
      <c r="EE32" s="114"/>
      <c r="EF32" s="114"/>
      <c r="EG32" s="114"/>
      <c r="EH32" s="114"/>
      <c r="EI32" s="114"/>
      <c r="EJ32" s="114"/>
      <c r="EK32" s="114"/>
      <c r="EL32" s="114"/>
      <c r="EM32" s="114"/>
      <c r="EN32" s="114"/>
      <c r="EO32" s="114"/>
      <c r="EP32" s="114"/>
      <c r="EQ32" s="114"/>
      <c r="ER32" s="114"/>
      <c r="ES32" s="114"/>
      <c r="ET32" s="114"/>
      <c r="EU32" s="114"/>
      <c r="EV32" s="114"/>
      <c r="EW32" s="114"/>
      <c r="EX32" s="114"/>
      <c r="EY32" s="114"/>
      <c r="EZ32" s="114"/>
      <c r="FA32" s="114"/>
      <c r="FB32" s="114"/>
      <c r="FC32" s="114"/>
      <c r="FD32" s="114"/>
      <c r="FE32" s="114"/>
      <c r="FF32" s="114"/>
      <c r="FG32" s="114"/>
      <c r="FH32" s="114"/>
      <c r="FI32" s="114"/>
      <c r="FJ32" s="114"/>
      <c r="FK32" s="114"/>
      <c r="FL32" s="114"/>
      <c r="FM32" s="114"/>
      <c r="FN32" s="114"/>
      <c r="FO32" s="114"/>
      <c r="FP32" s="114"/>
      <c r="FQ32" s="114"/>
      <c r="FR32" s="114"/>
      <c r="FS32" s="114"/>
      <c r="FT32" s="114"/>
      <c r="FU32" s="114"/>
      <c r="FV32" s="114"/>
      <c r="FW32" s="114"/>
      <c r="FX32" s="114"/>
      <c r="FY32" s="114"/>
      <c r="FZ32" s="114"/>
      <c r="GA32" s="114"/>
      <c r="GB32" s="114"/>
      <c r="GC32" s="114"/>
      <c r="GD32" s="114"/>
      <c r="GE32" s="114"/>
      <c r="GF32" s="114"/>
      <c r="GG32" s="114"/>
      <c r="GH32" s="114"/>
      <c r="GI32" s="114"/>
      <c r="GJ32" s="114"/>
      <c r="GK32" s="114"/>
      <c r="GL32" s="114"/>
      <c r="GM32" s="114"/>
      <c r="GN32" s="114"/>
      <c r="GO32" s="114"/>
      <c r="GP32" s="114"/>
      <c r="GQ32" s="114"/>
      <c r="GR32" s="114"/>
      <c r="GS32" s="114"/>
      <c r="GT32" s="114"/>
      <c r="GU32" s="114"/>
      <c r="GV32" s="114"/>
      <c r="GW32" s="114"/>
      <c r="GX32" s="114"/>
      <c r="GY32" s="114"/>
      <c r="GZ32" s="114"/>
      <c r="HA32" s="114"/>
      <c r="HB32" s="114"/>
      <c r="HC32" s="114"/>
      <c r="HD32" s="114"/>
      <c r="HE32" s="114"/>
      <c r="HF32" s="114"/>
      <c r="HG32" s="114"/>
      <c r="HH32" s="114"/>
      <c r="HI32" s="114"/>
      <c r="HJ32" s="114"/>
      <c r="HK32" s="114"/>
      <c r="HL32" s="114"/>
      <c r="HM32" s="114"/>
      <c r="HN32" s="114"/>
      <c r="HO32" s="114"/>
      <c r="HP32" s="114"/>
      <c r="HQ32" s="114"/>
      <c r="HR32" s="114"/>
      <c r="HS32" s="114"/>
      <c r="HT32" s="114"/>
      <c r="HU32" s="114"/>
      <c r="HV32" s="114"/>
      <c r="HW32" s="114"/>
      <c r="HX32" s="114"/>
      <c r="HY32" s="114"/>
      <c r="HZ32" s="114"/>
      <c r="IA32" s="114"/>
      <c r="IB32" s="114"/>
      <c r="IC32" s="114"/>
      <c r="ID32" s="114"/>
      <c r="IE32" s="114"/>
      <c r="IF32" s="114"/>
      <c r="IG32" s="114"/>
      <c r="IH32" s="114"/>
      <c r="II32" s="114"/>
      <c r="IJ32" s="114"/>
      <c r="IK32" s="114"/>
      <c r="IL32" s="114"/>
      <c r="IM32" s="114"/>
      <c r="IN32" s="114"/>
      <c r="IO32" s="114"/>
      <c r="IP32" s="114"/>
      <c r="IQ32" s="114"/>
      <c r="IR32" s="114"/>
      <c r="IS32" s="114"/>
      <c r="IT32" s="114"/>
      <c r="IU32" s="114"/>
      <c r="IV32" s="114"/>
      <c r="IW32" s="114"/>
    </row>
    <row r="33" customFormat="false" ht="11.25" hidden="false" customHeight="false" outlineLevel="0" collapsed="false">
      <c r="A33" s="153" t="s">
        <v>94</v>
      </c>
      <c r="B33" s="136" t="e">
        <f aca="false">INDEX(TaxTable,MATCH("Future Tax Liability",TaxColumn,0),MATCH(YEAR(B3),TaxRow,0))</f>
        <v>#VALUE!</v>
      </c>
      <c r="C33" s="136" t="e">
        <f aca="false">INDEX(TaxTable,MATCH("Future Tax Liability",TaxColumn,0),MATCH(YEAR(C3),TaxRow,0))+B33</f>
        <v>#VALUE!</v>
      </c>
      <c r="D33" s="136" t="e">
        <f aca="false">INDEX(TaxTable,MATCH("Future Tax Liability",TaxColumn,0),MATCH(YEAR(D3),TaxRow,0))+C33</f>
        <v>#VALUE!</v>
      </c>
      <c r="E33" s="136" t="e">
        <f aca="false">INDEX(TaxTable,MATCH("Future Tax Liability",TaxColumn,0),MATCH(YEAR(E3),TaxRow,0))+D33</f>
        <v>#VALUE!</v>
      </c>
      <c r="F33" s="136" t="e">
        <f aca="false">INDEX(TaxTable,MATCH("Future Tax Liability",TaxColumn,0),MATCH(YEAR(F3),TaxRow,0))+E33</f>
        <v>#VALUE!</v>
      </c>
      <c r="G33" s="136" t="e">
        <f aca="false">INDEX(TaxTable,MATCH("Future Tax Liability",TaxColumn,0),MATCH(YEAR(G3),TaxRow,0))+F33</f>
        <v>#VALUE!</v>
      </c>
      <c r="H33" s="136" t="e">
        <f aca="false">INDEX(TaxTable,MATCH("Future Tax Liability",TaxColumn,0),MATCH(YEAR(H3),TaxRow,0))+G33</f>
        <v>#VALUE!</v>
      </c>
      <c r="I33" s="136" t="e">
        <f aca="false">INDEX(TaxTable,MATCH("Future Tax Liability",TaxColumn,0),MATCH(YEAR(I3),TaxRow,0))+H33</f>
        <v>#VALUE!</v>
      </c>
      <c r="J33" s="136" t="e">
        <f aca="false">INDEX(TaxTable,MATCH("Future Tax Liability",TaxColumn,0),MATCH(YEAR(J3),TaxRow,0))+I33</f>
        <v>#VALUE!</v>
      </c>
      <c r="K33" s="136" t="e">
        <f aca="false">INDEX(TaxTable,MATCH("Future Tax Liability",TaxColumn,0),MATCH(YEAR(K3),TaxRow,0))+J33</f>
        <v>#VALUE!</v>
      </c>
      <c r="L33" s="136" t="e">
        <f aca="false">INDEX(TaxTable,MATCH("Future Tax Liability",TaxColumn,0),MATCH(YEAR(L3),TaxRow,0))+K33</f>
        <v>#VALUE!</v>
      </c>
      <c r="M33" s="136" t="e">
        <f aca="false">INDEX(TaxTable,MATCH("Future Tax Liability",TaxColumn,0),MATCH(YEAR(M3),TaxRow,0))+L33</f>
        <v>#VALUE!</v>
      </c>
      <c r="N33" s="136" t="e">
        <f aca="false">INDEX(TaxTable,MATCH("Future Tax Liability",TaxColumn,0),MATCH(YEAR(N3),TaxRow,0))+M33</f>
        <v>#VALUE!</v>
      </c>
      <c r="O33" s="136" t="e">
        <f aca="false">INDEX(TaxTable,MATCH("Future Tax Liability",TaxColumn,0),MATCH(YEAR(O3),TaxRow,0))+N33</f>
        <v>#VALUE!</v>
      </c>
      <c r="P33" s="136" t="e">
        <f aca="false">INDEX(TaxTable,MATCH("Future Tax Liability",TaxColumn,0),MATCH(YEAR(P3),TaxRow,0))+O33</f>
        <v>#VALUE!</v>
      </c>
      <c r="Q33" s="136" t="e">
        <f aca="false">INDEX(TaxTable,MATCH("Future Tax Liability",TaxColumn,0),MATCH(YEAR(Q3),TaxRow,0))+P33</f>
        <v>#VALUE!</v>
      </c>
      <c r="R33" s="136" t="n">
        <f aca="false">IF(Tables!$B$21=15,0,INDEX(TaxTable,MATCH("Future Tax Liability",TaxColumn,0),MATCH(YEAR(R3),TaxRow,0))+Q33)</f>
        <v>0</v>
      </c>
      <c r="S33" s="136" t="n">
        <f aca="false">IF(Tables!$B$21=15,0,INDEX(TaxTable,MATCH("Future Tax Liability",TaxColumn,0),MATCH(YEAR(S3),TaxRow,0))+R33)</f>
        <v>0</v>
      </c>
      <c r="T33" s="136" t="n">
        <f aca="false">IF(Tables!$B$21=15,0,INDEX(TaxTable,MATCH("Future Tax Liability",TaxColumn,0),MATCH(YEAR(T3),TaxRow,0))+S33)</f>
        <v>0</v>
      </c>
      <c r="U33" s="136" t="n">
        <f aca="false">IF(Tables!$B$21=15,0,INDEX(TaxTable,MATCH("Future Tax Liability",TaxColumn,0),MATCH(YEAR(U3),TaxRow,0))+T33)</f>
        <v>0</v>
      </c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114"/>
      <c r="CL33" s="114"/>
      <c r="CM33" s="114"/>
      <c r="CN33" s="114"/>
      <c r="CO33" s="114"/>
      <c r="CP33" s="114"/>
      <c r="CQ33" s="114"/>
      <c r="CR33" s="114"/>
      <c r="CS33" s="114"/>
      <c r="CT33" s="114"/>
      <c r="CU33" s="114"/>
      <c r="CV33" s="114"/>
      <c r="CW33" s="114"/>
      <c r="CX33" s="114"/>
      <c r="CY33" s="114"/>
      <c r="CZ33" s="114"/>
      <c r="DA33" s="114"/>
      <c r="DB33" s="114"/>
      <c r="DC33" s="114"/>
      <c r="DD33" s="114"/>
      <c r="DE33" s="114"/>
      <c r="DF33" s="114"/>
      <c r="DG33" s="114"/>
      <c r="DH33" s="114"/>
      <c r="DI33" s="114"/>
      <c r="DJ33" s="114"/>
      <c r="DK33" s="114"/>
      <c r="DL33" s="114"/>
      <c r="DM33" s="114"/>
      <c r="DN33" s="114"/>
      <c r="DO33" s="114"/>
      <c r="DP33" s="114"/>
      <c r="DQ33" s="114"/>
      <c r="DR33" s="114"/>
      <c r="DS33" s="114"/>
      <c r="DT33" s="114"/>
      <c r="DU33" s="114"/>
      <c r="DV33" s="114"/>
      <c r="DW33" s="114"/>
      <c r="DX33" s="114"/>
      <c r="DY33" s="114"/>
      <c r="DZ33" s="114"/>
      <c r="EA33" s="114"/>
      <c r="EB33" s="114"/>
      <c r="EC33" s="114"/>
      <c r="ED33" s="114"/>
      <c r="EE33" s="114"/>
      <c r="EF33" s="114"/>
      <c r="EG33" s="114"/>
      <c r="EH33" s="114"/>
      <c r="EI33" s="114"/>
      <c r="EJ33" s="114"/>
      <c r="EK33" s="114"/>
      <c r="EL33" s="114"/>
      <c r="EM33" s="114"/>
      <c r="EN33" s="114"/>
      <c r="EO33" s="114"/>
      <c r="EP33" s="114"/>
      <c r="EQ33" s="114"/>
      <c r="ER33" s="114"/>
      <c r="ES33" s="114"/>
      <c r="ET33" s="114"/>
      <c r="EU33" s="114"/>
      <c r="EV33" s="114"/>
      <c r="EW33" s="114"/>
      <c r="EX33" s="114"/>
      <c r="EY33" s="114"/>
      <c r="EZ33" s="114"/>
      <c r="FA33" s="114"/>
      <c r="FB33" s="114"/>
      <c r="FC33" s="114"/>
      <c r="FD33" s="114"/>
      <c r="FE33" s="114"/>
      <c r="FF33" s="114"/>
      <c r="FG33" s="114"/>
      <c r="FH33" s="114"/>
      <c r="FI33" s="114"/>
      <c r="FJ33" s="114"/>
      <c r="FK33" s="114"/>
      <c r="FL33" s="114"/>
      <c r="FM33" s="114"/>
      <c r="FN33" s="114"/>
      <c r="FO33" s="114"/>
      <c r="FP33" s="114"/>
      <c r="FQ33" s="114"/>
      <c r="FR33" s="114"/>
      <c r="FS33" s="114"/>
      <c r="FT33" s="114"/>
      <c r="FU33" s="114"/>
      <c r="FV33" s="114"/>
      <c r="FW33" s="114"/>
      <c r="FX33" s="114"/>
      <c r="FY33" s="114"/>
      <c r="FZ33" s="114"/>
      <c r="GA33" s="114"/>
      <c r="GB33" s="114"/>
      <c r="GC33" s="114"/>
      <c r="GD33" s="114"/>
      <c r="GE33" s="114"/>
      <c r="GF33" s="114"/>
      <c r="GG33" s="114"/>
      <c r="GH33" s="114"/>
      <c r="GI33" s="114"/>
      <c r="GJ33" s="114"/>
      <c r="GK33" s="114"/>
      <c r="GL33" s="114"/>
      <c r="GM33" s="114"/>
      <c r="GN33" s="114"/>
      <c r="GO33" s="114"/>
      <c r="GP33" s="114"/>
      <c r="GQ33" s="114"/>
      <c r="GR33" s="114"/>
      <c r="GS33" s="114"/>
      <c r="GT33" s="114"/>
      <c r="GU33" s="114"/>
      <c r="GV33" s="114"/>
      <c r="GW33" s="114"/>
      <c r="GX33" s="114"/>
      <c r="GY33" s="114"/>
      <c r="GZ33" s="114"/>
      <c r="HA33" s="114"/>
      <c r="HB33" s="114"/>
      <c r="HC33" s="114"/>
      <c r="HD33" s="114"/>
      <c r="HE33" s="114"/>
      <c r="HF33" s="114"/>
      <c r="HG33" s="114"/>
      <c r="HH33" s="114"/>
      <c r="HI33" s="114"/>
      <c r="HJ33" s="114"/>
      <c r="HK33" s="114"/>
      <c r="HL33" s="114"/>
      <c r="HM33" s="114"/>
      <c r="HN33" s="114"/>
      <c r="HO33" s="114"/>
      <c r="HP33" s="114"/>
      <c r="HQ33" s="114"/>
      <c r="HR33" s="114"/>
      <c r="HS33" s="114"/>
      <c r="HT33" s="114"/>
      <c r="HU33" s="114"/>
      <c r="HV33" s="114"/>
      <c r="HW33" s="114"/>
      <c r="HX33" s="114"/>
      <c r="HY33" s="114"/>
      <c r="HZ33" s="114"/>
      <c r="IA33" s="114"/>
      <c r="IB33" s="114"/>
      <c r="IC33" s="114"/>
      <c r="ID33" s="114"/>
      <c r="IE33" s="114"/>
      <c r="IF33" s="114"/>
      <c r="IG33" s="114"/>
      <c r="IH33" s="114"/>
      <c r="II33" s="114"/>
      <c r="IJ33" s="114"/>
      <c r="IK33" s="114"/>
      <c r="IL33" s="114"/>
      <c r="IM33" s="114"/>
      <c r="IN33" s="114"/>
      <c r="IO33" s="114"/>
      <c r="IP33" s="114"/>
      <c r="IQ33" s="114"/>
      <c r="IR33" s="114"/>
      <c r="IS33" s="114"/>
      <c r="IT33" s="114"/>
      <c r="IU33" s="114"/>
      <c r="IV33" s="114"/>
      <c r="IW33" s="114"/>
    </row>
    <row r="34" customFormat="false" ht="11.25" hidden="false" customHeight="false" outlineLevel="0" collapsed="false">
      <c r="A34" s="153" t="s">
        <v>95</v>
      </c>
      <c r="B34" s="114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4"/>
      <c r="DS34" s="114"/>
      <c r="DT34" s="114"/>
      <c r="DU34" s="114"/>
      <c r="DV34" s="114"/>
      <c r="DW34" s="114"/>
      <c r="DX34" s="114"/>
      <c r="DY34" s="114"/>
      <c r="DZ34" s="114"/>
      <c r="EA34" s="114"/>
      <c r="EB34" s="114"/>
      <c r="EC34" s="114"/>
      <c r="ED34" s="114"/>
      <c r="EE34" s="114"/>
      <c r="EF34" s="114"/>
      <c r="EG34" s="114"/>
      <c r="EH34" s="114"/>
      <c r="EI34" s="114"/>
      <c r="EJ34" s="114"/>
      <c r="EK34" s="114"/>
      <c r="EL34" s="114"/>
      <c r="EM34" s="114"/>
      <c r="EN34" s="114"/>
      <c r="EO34" s="114"/>
      <c r="EP34" s="114"/>
      <c r="EQ34" s="114"/>
      <c r="ER34" s="114"/>
      <c r="ES34" s="114"/>
      <c r="ET34" s="114"/>
      <c r="EU34" s="114"/>
      <c r="EV34" s="114"/>
      <c r="EW34" s="114"/>
      <c r="EX34" s="114"/>
      <c r="EY34" s="114"/>
      <c r="EZ34" s="114"/>
      <c r="FA34" s="114"/>
      <c r="FB34" s="114"/>
      <c r="FC34" s="114"/>
      <c r="FD34" s="114"/>
      <c r="FE34" s="114"/>
      <c r="FF34" s="114"/>
      <c r="FG34" s="114"/>
      <c r="FH34" s="114"/>
      <c r="FI34" s="114"/>
      <c r="FJ34" s="114"/>
      <c r="FK34" s="114"/>
      <c r="FL34" s="114"/>
      <c r="FM34" s="114"/>
      <c r="FN34" s="114"/>
      <c r="FO34" s="114"/>
      <c r="FP34" s="114"/>
      <c r="FQ34" s="114"/>
      <c r="FR34" s="114"/>
      <c r="FS34" s="114"/>
      <c r="FT34" s="114"/>
      <c r="FU34" s="114"/>
      <c r="FV34" s="114"/>
      <c r="FW34" s="114"/>
      <c r="FX34" s="114"/>
      <c r="FY34" s="114"/>
      <c r="FZ34" s="114"/>
      <c r="GA34" s="114"/>
      <c r="GB34" s="114"/>
      <c r="GC34" s="114"/>
      <c r="GD34" s="114"/>
      <c r="GE34" s="114"/>
      <c r="GF34" s="114"/>
      <c r="GG34" s="114"/>
      <c r="GH34" s="114"/>
      <c r="GI34" s="114"/>
      <c r="GJ34" s="114"/>
      <c r="GK34" s="114"/>
      <c r="GL34" s="114"/>
      <c r="GM34" s="114"/>
      <c r="GN34" s="114"/>
      <c r="GO34" s="114"/>
      <c r="GP34" s="114"/>
      <c r="GQ34" s="114"/>
      <c r="GR34" s="114"/>
      <c r="GS34" s="114"/>
      <c r="GT34" s="114"/>
      <c r="GU34" s="114"/>
      <c r="GV34" s="114"/>
      <c r="GW34" s="114"/>
      <c r="GX34" s="114"/>
      <c r="GY34" s="114"/>
      <c r="GZ34" s="114"/>
      <c r="HA34" s="114"/>
      <c r="HB34" s="114"/>
      <c r="HC34" s="114"/>
      <c r="HD34" s="114"/>
      <c r="HE34" s="114"/>
      <c r="HF34" s="114"/>
      <c r="HG34" s="114"/>
      <c r="HH34" s="114"/>
      <c r="HI34" s="114"/>
      <c r="HJ34" s="114"/>
      <c r="HK34" s="114"/>
      <c r="HL34" s="114"/>
      <c r="HM34" s="114"/>
      <c r="HN34" s="114"/>
      <c r="HO34" s="114"/>
      <c r="HP34" s="114"/>
      <c r="HQ34" s="114"/>
      <c r="HR34" s="114"/>
      <c r="HS34" s="114"/>
      <c r="HT34" s="114"/>
      <c r="HU34" s="114"/>
      <c r="HV34" s="114"/>
      <c r="HW34" s="114"/>
      <c r="HX34" s="114"/>
      <c r="HY34" s="114"/>
      <c r="HZ34" s="114"/>
      <c r="IA34" s="114"/>
      <c r="IB34" s="114"/>
      <c r="IC34" s="114"/>
      <c r="ID34" s="114"/>
      <c r="IE34" s="114"/>
      <c r="IF34" s="114"/>
      <c r="IG34" s="114"/>
      <c r="IH34" s="114"/>
      <c r="II34" s="114"/>
      <c r="IJ34" s="114"/>
      <c r="IK34" s="114"/>
      <c r="IL34" s="114"/>
      <c r="IM34" s="114"/>
      <c r="IN34" s="114"/>
      <c r="IO34" s="114"/>
      <c r="IP34" s="114"/>
      <c r="IQ34" s="114"/>
      <c r="IR34" s="114"/>
      <c r="IS34" s="114"/>
      <c r="IT34" s="114"/>
      <c r="IU34" s="114"/>
      <c r="IV34" s="114"/>
      <c r="IW34" s="114"/>
    </row>
    <row r="35" customFormat="false" ht="11.25" hidden="false" customHeight="false" outlineLevel="0" collapsed="false">
      <c r="A35" s="155" t="s">
        <v>96</v>
      </c>
      <c r="B35" s="157" t="e">
        <f aca="false">SUM(B32:B34)</f>
        <v>#VALUE!</v>
      </c>
      <c r="C35" s="157" t="e">
        <f aca="false">SUM(C32:C34)</f>
        <v>#VALUE!</v>
      </c>
      <c r="D35" s="157" t="e">
        <f aca="false">SUM(D32:D34)</f>
        <v>#VALUE!</v>
      </c>
      <c r="E35" s="157" t="e">
        <f aca="false">SUM(E32:E34)</f>
        <v>#VALUE!</v>
      </c>
      <c r="F35" s="157" t="e">
        <f aca="false">SUM(F32:F34)</f>
        <v>#VALUE!</v>
      </c>
      <c r="G35" s="157" t="e">
        <f aca="false">SUM(G32:G34)</f>
        <v>#VALUE!</v>
      </c>
      <c r="H35" s="157" t="e">
        <f aca="false">SUM(H32:H34)</f>
        <v>#VALUE!</v>
      </c>
      <c r="I35" s="157" t="e">
        <f aca="false">SUM(I32:I34)</f>
        <v>#VALUE!</v>
      </c>
      <c r="J35" s="157" t="e">
        <f aca="false">SUM(J32:J34)</f>
        <v>#VALUE!</v>
      </c>
      <c r="K35" s="157" t="e">
        <f aca="false">SUM(K32:K34)</f>
        <v>#VALUE!</v>
      </c>
      <c r="L35" s="157" t="e">
        <f aca="false">SUM(L32:L34)</f>
        <v>#VALUE!</v>
      </c>
      <c r="M35" s="157" t="e">
        <f aca="false">SUM(M32:M34)</f>
        <v>#VALUE!</v>
      </c>
      <c r="N35" s="157" t="e">
        <f aca="false">SUM(N32:N34)</f>
        <v>#VALUE!</v>
      </c>
      <c r="O35" s="157" t="e">
        <f aca="false">SUM(O32:O34)</f>
        <v>#VALUE!</v>
      </c>
      <c r="P35" s="157" t="e">
        <f aca="false">SUM(P32:P34)</f>
        <v>#VALUE!</v>
      </c>
      <c r="Q35" s="157" t="e">
        <f aca="false">SUM(Q32:Q34)</f>
        <v>#VALUE!</v>
      </c>
      <c r="R35" s="157" t="e">
        <f aca="false">SUM(R32:R34)</f>
        <v>#VALUE!</v>
      </c>
      <c r="S35" s="157" t="e">
        <f aca="false">SUM(S32:S34)</f>
        <v>#VALUE!</v>
      </c>
      <c r="T35" s="157" t="e">
        <f aca="false">SUM(T32:T34)</f>
        <v>#VALUE!</v>
      </c>
      <c r="U35" s="157" t="e">
        <f aca="false">SUM(U32:U34)</f>
        <v>#VALUE!</v>
      </c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14"/>
      <c r="CL35" s="114"/>
      <c r="CM35" s="114"/>
      <c r="CN35" s="114"/>
      <c r="CO35" s="114"/>
      <c r="CP35" s="114"/>
      <c r="CQ35" s="114"/>
      <c r="CR35" s="114"/>
      <c r="CS35" s="114"/>
      <c r="CT35" s="114"/>
      <c r="CU35" s="114"/>
      <c r="CV35" s="114"/>
      <c r="CW35" s="114"/>
      <c r="CX35" s="114"/>
      <c r="CY35" s="114"/>
      <c r="CZ35" s="114"/>
      <c r="DA35" s="114"/>
      <c r="DB35" s="114"/>
      <c r="DC35" s="114"/>
      <c r="DD35" s="114"/>
      <c r="DE35" s="114"/>
      <c r="DF35" s="114"/>
      <c r="DG35" s="114"/>
      <c r="DH35" s="114"/>
      <c r="DI35" s="114"/>
      <c r="DJ35" s="114"/>
      <c r="DK35" s="114"/>
      <c r="DL35" s="114"/>
      <c r="DM35" s="114"/>
      <c r="DN35" s="114"/>
      <c r="DO35" s="114"/>
      <c r="DP35" s="114"/>
      <c r="DQ35" s="114"/>
      <c r="DR35" s="114"/>
      <c r="DS35" s="114"/>
      <c r="DT35" s="114"/>
      <c r="DU35" s="114"/>
      <c r="DV35" s="114"/>
      <c r="DW35" s="114"/>
      <c r="DX35" s="114"/>
      <c r="DY35" s="114"/>
      <c r="DZ35" s="114"/>
      <c r="EA35" s="114"/>
      <c r="EB35" s="114"/>
      <c r="EC35" s="114"/>
      <c r="ED35" s="114"/>
      <c r="EE35" s="114"/>
      <c r="EF35" s="114"/>
      <c r="EG35" s="114"/>
      <c r="EH35" s="114"/>
      <c r="EI35" s="114"/>
      <c r="EJ35" s="114"/>
      <c r="EK35" s="114"/>
      <c r="EL35" s="114"/>
      <c r="EM35" s="114"/>
      <c r="EN35" s="114"/>
      <c r="EO35" s="114"/>
      <c r="EP35" s="114"/>
      <c r="EQ35" s="114"/>
      <c r="ER35" s="114"/>
      <c r="ES35" s="114"/>
      <c r="ET35" s="114"/>
      <c r="EU35" s="114"/>
      <c r="EV35" s="114"/>
      <c r="EW35" s="114"/>
      <c r="EX35" s="114"/>
      <c r="EY35" s="114"/>
      <c r="EZ35" s="114"/>
      <c r="FA35" s="114"/>
      <c r="FB35" s="114"/>
      <c r="FC35" s="114"/>
      <c r="FD35" s="114"/>
      <c r="FE35" s="114"/>
      <c r="FF35" s="114"/>
      <c r="FG35" s="114"/>
      <c r="FH35" s="114"/>
      <c r="FI35" s="114"/>
      <c r="FJ35" s="114"/>
      <c r="FK35" s="114"/>
      <c r="FL35" s="114"/>
      <c r="FM35" s="114"/>
      <c r="FN35" s="114"/>
      <c r="FO35" s="114"/>
      <c r="FP35" s="114"/>
      <c r="FQ35" s="114"/>
      <c r="FR35" s="114"/>
      <c r="FS35" s="114"/>
      <c r="FT35" s="114"/>
      <c r="FU35" s="114"/>
      <c r="FV35" s="114"/>
      <c r="FW35" s="114"/>
      <c r="FX35" s="114"/>
      <c r="FY35" s="114"/>
      <c r="FZ35" s="114"/>
      <c r="GA35" s="114"/>
      <c r="GB35" s="114"/>
      <c r="GC35" s="114"/>
      <c r="GD35" s="114"/>
      <c r="GE35" s="114"/>
      <c r="GF35" s="114"/>
      <c r="GG35" s="114"/>
      <c r="GH35" s="114"/>
      <c r="GI35" s="114"/>
      <c r="GJ35" s="114"/>
      <c r="GK35" s="114"/>
      <c r="GL35" s="114"/>
      <c r="GM35" s="114"/>
      <c r="GN35" s="114"/>
      <c r="GO35" s="114"/>
      <c r="GP35" s="114"/>
      <c r="GQ35" s="114"/>
      <c r="GR35" s="114"/>
      <c r="GS35" s="114"/>
      <c r="GT35" s="114"/>
      <c r="GU35" s="114"/>
      <c r="GV35" s="114"/>
      <c r="GW35" s="114"/>
      <c r="GX35" s="114"/>
      <c r="GY35" s="114"/>
      <c r="GZ35" s="114"/>
      <c r="HA35" s="114"/>
      <c r="HB35" s="114"/>
      <c r="HC35" s="114"/>
      <c r="HD35" s="114"/>
      <c r="HE35" s="114"/>
      <c r="HF35" s="114"/>
      <c r="HG35" s="114"/>
      <c r="HH35" s="114"/>
      <c r="HI35" s="114"/>
      <c r="HJ35" s="114"/>
      <c r="HK35" s="114"/>
      <c r="HL35" s="114"/>
      <c r="HM35" s="114"/>
      <c r="HN35" s="114"/>
      <c r="HO35" s="114"/>
      <c r="HP35" s="114"/>
      <c r="HQ35" s="114"/>
      <c r="HR35" s="114"/>
      <c r="HS35" s="114"/>
      <c r="HT35" s="114"/>
      <c r="HU35" s="114"/>
      <c r="HV35" s="114"/>
      <c r="HW35" s="114"/>
      <c r="HX35" s="114"/>
      <c r="HY35" s="114"/>
      <c r="HZ35" s="114"/>
      <c r="IA35" s="114"/>
      <c r="IB35" s="114"/>
      <c r="IC35" s="114"/>
      <c r="ID35" s="114"/>
      <c r="IE35" s="114"/>
      <c r="IF35" s="114"/>
      <c r="IG35" s="114"/>
      <c r="IH35" s="114"/>
      <c r="II35" s="114"/>
      <c r="IJ35" s="114"/>
      <c r="IK35" s="114"/>
      <c r="IL35" s="114"/>
      <c r="IM35" s="114"/>
      <c r="IN35" s="114"/>
      <c r="IO35" s="114"/>
      <c r="IP35" s="114"/>
      <c r="IQ35" s="114"/>
      <c r="IR35" s="114"/>
      <c r="IS35" s="114"/>
      <c r="IT35" s="114"/>
      <c r="IU35" s="114"/>
      <c r="IV35" s="114"/>
      <c r="IW35" s="114"/>
    </row>
    <row r="36" customFormat="false" ht="8.25" hidden="false" customHeight="true" outlineLevel="0" collapsed="false">
      <c r="A36" s="161"/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4"/>
      <c r="EL36" s="114"/>
      <c r="EM36" s="114"/>
      <c r="EN36" s="114"/>
      <c r="EO36" s="114"/>
      <c r="EP36" s="114"/>
      <c r="EQ36" s="114"/>
      <c r="ER36" s="114"/>
      <c r="ES36" s="114"/>
      <c r="ET36" s="114"/>
      <c r="EU36" s="114"/>
      <c r="EV36" s="114"/>
      <c r="EW36" s="114"/>
      <c r="EX36" s="114"/>
      <c r="EY36" s="114"/>
      <c r="EZ36" s="114"/>
      <c r="FA36" s="114"/>
      <c r="FB36" s="114"/>
      <c r="FC36" s="114"/>
      <c r="FD36" s="114"/>
      <c r="FE36" s="114"/>
      <c r="FF36" s="114"/>
      <c r="FG36" s="114"/>
      <c r="FH36" s="114"/>
      <c r="FI36" s="114"/>
      <c r="FJ36" s="114"/>
      <c r="FK36" s="114"/>
      <c r="FL36" s="114"/>
      <c r="FM36" s="114"/>
      <c r="FN36" s="114"/>
      <c r="FO36" s="114"/>
      <c r="FP36" s="114"/>
      <c r="FQ36" s="114"/>
      <c r="FR36" s="114"/>
      <c r="FS36" s="114"/>
      <c r="FT36" s="114"/>
      <c r="FU36" s="114"/>
      <c r="FV36" s="114"/>
      <c r="FW36" s="114"/>
      <c r="FX36" s="114"/>
      <c r="FY36" s="114"/>
      <c r="FZ36" s="114"/>
      <c r="GA36" s="114"/>
      <c r="GB36" s="114"/>
      <c r="GC36" s="114"/>
      <c r="GD36" s="114"/>
      <c r="GE36" s="114"/>
      <c r="GF36" s="114"/>
      <c r="GG36" s="114"/>
      <c r="GH36" s="114"/>
      <c r="GI36" s="114"/>
      <c r="GJ36" s="114"/>
      <c r="GK36" s="114"/>
      <c r="GL36" s="114"/>
      <c r="GM36" s="114"/>
      <c r="GN36" s="114"/>
      <c r="GO36" s="114"/>
      <c r="GP36" s="114"/>
      <c r="GQ36" s="114"/>
      <c r="GR36" s="114"/>
      <c r="GS36" s="114"/>
      <c r="GT36" s="114"/>
      <c r="GU36" s="114"/>
      <c r="GV36" s="114"/>
      <c r="GW36" s="114"/>
      <c r="GX36" s="114"/>
      <c r="GY36" s="114"/>
      <c r="GZ36" s="114"/>
      <c r="HA36" s="114"/>
      <c r="HB36" s="114"/>
      <c r="HC36" s="114"/>
      <c r="HD36" s="114"/>
      <c r="HE36" s="114"/>
      <c r="HF36" s="114"/>
      <c r="HG36" s="114"/>
      <c r="HH36" s="114"/>
      <c r="HI36" s="114"/>
      <c r="HJ36" s="114"/>
      <c r="HK36" s="114"/>
      <c r="HL36" s="114"/>
      <c r="HM36" s="114"/>
      <c r="HN36" s="114"/>
      <c r="HO36" s="114"/>
      <c r="HP36" s="114"/>
      <c r="HQ36" s="114"/>
      <c r="HR36" s="114"/>
      <c r="HS36" s="114"/>
      <c r="HT36" s="114"/>
      <c r="HU36" s="114"/>
      <c r="HV36" s="114"/>
      <c r="HW36" s="114"/>
      <c r="HX36" s="114"/>
      <c r="HY36" s="114"/>
      <c r="HZ36" s="114"/>
      <c r="IA36" s="114"/>
      <c r="IB36" s="114"/>
      <c r="IC36" s="114"/>
      <c r="ID36" s="114"/>
      <c r="IE36" s="114"/>
      <c r="IF36" s="114"/>
      <c r="IG36" s="114"/>
      <c r="IH36" s="114"/>
      <c r="II36" s="114"/>
      <c r="IJ36" s="114"/>
      <c r="IK36" s="114"/>
      <c r="IL36" s="114"/>
      <c r="IM36" s="114"/>
      <c r="IN36" s="114"/>
      <c r="IO36" s="114"/>
      <c r="IP36" s="114"/>
      <c r="IQ36" s="114"/>
      <c r="IR36" s="114"/>
      <c r="IS36" s="114"/>
      <c r="IT36" s="114"/>
      <c r="IU36" s="114"/>
      <c r="IV36" s="114"/>
      <c r="IW36" s="114"/>
    </row>
    <row r="37" customFormat="false" ht="12.75" hidden="false" customHeight="false" outlineLevel="0" collapsed="false">
      <c r="A37" s="149" t="s">
        <v>97</v>
      </c>
      <c r="B37" s="150"/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4"/>
      <c r="EL37" s="114"/>
      <c r="EM37" s="114"/>
      <c r="EN37" s="114"/>
      <c r="EO37" s="114"/>
      <c r="EP37" s="114"/>
      <c r="EQ37" s="114"/>
      <c r="ER37" s="114"/>
      <c r="ES37" s="114"/>
      <c r="ET37" s="114"/>
      <c r="EU37" s="114"/>
      <c r="EV37" s="114"/>
      <c r="EW37" s="114"/>
      <c r="EX37" s="114"/>
      <c r="EY37" s="114"/>
      <c r="EZ37" s="114"/>
      <c r="FA37" s="114"/>
      <c r="FB37" s="114"/>
      <c r="FC37" s="114"/>
      <c r="FD37" s="114"/>
      <c r="FE37" s="114"/>
      <c r="FF37" s="114"/>
      <c r="FG37" s="114"/>
      <c r="FH37" s="114"/>
      <c r="FI37" s="114"/>
      <c r="FJ37" s="114"/>
      <c r="FK37" s="114"/>
      <c r="FL37" s="114"/>
      <c r="FM37" s="114"/>
      <c r="FN37" s="114"/>
      <c r="FO37" s="114"/>
      <c r="FP37" s="114"/>
      <c r="FQ37" s="114"/>
      <c r="FR37" s="114"/>
      <c r="FS37" s="114"/>
      <c r="FT37" s="114"/>
      <c r="FU37" s="114"/>
      <c r="FV37" s="114"/>
      <c r="FW37" s="114"/>
      <c r="FX37" s="114"/>
      <c r="FY37" s="114"/>
      <c r="FZ37" s="114"/>
      <c r="GA37" s="114"/>
      <c r="GB37" s="114"/>
      <c r="GC37" s="114"/>
      <c r="GD37" s="114"/>
      <c r="GE37" s="114"/>
      <c r="GF37" s="114"/>
      <c r="GG37" s="114"/>
      <c r="GH37" s="114"/>
      <c r="GI37" s="114"/>
      <c r="GJ37" s="114"/>
      <c r="GK37" s="114"/>
      <c r="GL37" s="114"/>
      <c r="GM37" s="114"/>
      <c r="GN37" s="114"/>
      <c r="GO37" s="114"/>
      <c r="GP37" s="114"/>
      <c r="GQ37" s="114"/>
      <c r="GR37" s="114"/>
      <c r="GS37" s="114"/>
      <c r="GT37" s="114"/>
      <c r="GU37" s="114"/>
      <c r="GV37" s="114"/>
      <c r="GW37" s="114"/>
      <c r="GX37" s="114"/>
      <c r="GY37" s="114"/>
      <c r="GZ37" s="114"/>
      <c r="HA37" s="114"/>
      <c r="HB37" s="114"/>
      <c r="HC37" s="114"/>
      <c r="HD37" s="114"/>
      <c r="HE37" s="114"/>
      <c r="HF37" s="114"/>
      <c r="HG37" s="114"/>
      <c r="HH37" s="114"/>
      <c r="HI37" s="114"/>
      <c r="HJ37" s="114"/>
      <c r="HK37" s="114"/>
      <c r="HL37" s="114"/>
      <c r="HM37" s="114"/>
      <c r="HN37" s="114"/>
      <c r="HO37" s="114"/>
      <c r="HP37" s="114"/>
      <c r="HQ37" s="114"/>
      <c r="HR37" s="114"/>
      <c r="HS37" s="114"/>
      <c r="HT37" s="114"/>
      <c r="HU37" s="114"/>
      <c r="HV37" s="114"/>
      <c r="HW37" s="114"/>
      <c r="HX37" s="114"/>
      <c r="HY37" s="114"/>
      <c r="HZ37" s="114"/>
      <c r="IA37" s="114"/>
      <c r="IB37" s="114"/>
      <c r="IC37" s="114"/>
      <c r="ID37" s="114"/>
      <c r="IE37" s="114"/>
      <c r="IF37" s="114"/>
      <c r="IG37" s="114"/>
      <c r="IH37" s="114"/>
      <c r="II37" s="114"/>
      <c r="IJ37" s="114"/>
      <c r="IK37" s="114"/>
      <c r="IL37" s="114"/>
      <c r="IM37" s="114"/>
      <c r="IN37" s="114"/>
      <c r="IO37" s="114"/>
      <c r="IP37" s="114"/>
      <c r="IQ37" s="114"/>
      <c r="IR37" s="114"/>
      <c r="IS37" s="114"/>
      <c r="IT37" s="114"/>
      <c r="IU37" s="114"/>
      <c r="IV37" s="114"/>
      <c r="IW37" s="114"/>
    </row>
    <row r="38" customFormat="false" ht="11.25" hidden="false" customHeight="false" outlineLevel="0" collapsed="false">
      <c r="A38" s="151" t="s">
        <v>98</v>
      </c>
      <c r="B38" s="152"/>
      <c r="C38" s="126"/>
      <c r="D38" s="126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  <c r="DI38" s="114"/>
      <c r="DJ38" s="114"/>
      <c r="DK38" s="114"/>
      <c r="DL38" s="114"/>
      <c r="DM38" s="114"/>
      <c r="DN38" s="114"/>
      <c r="DO38" s="114"/>
      <c r="DP38" s="114"/>
      <c r="DQ38" s="114"/>
      <c r="DR38" s="114"/>
      <c r="DS38" s="114"/>
      <c r="DT38" s="114"/>
      <c r="DU38" s="114"/>
      <c r="DV38" s="114"/>
      <c r="DW38" s="114"/>
      <c r="DX38" s="114"/>
      <c r="DY38" s="114"/>
      <c r="DZ38" s="114"/>
      <c r="EA38" s="114"/>
      <c r="EB38" s="114"/>
      <c r="EC38" s="114"/>
      <c r="ED38" s="114"/>
      <c r="EE38" s="114"/>
      <c r="EF38" s="114"/>
      <c r="EG38" s="114"/>
      <c r="EH38" s="114"/>
      <c r="EI38" s="114"/>
      <c r="EJ38" s="114"/>
      <c r="EK38" s="114"/>
      <c r="EL38" s="114"/>
      <c r="EM38" s="114"/>
      <c r="EN38" s="114"/>
      <c r="EO38" s="114"/>
      <c r="EP38" s="114"/>
      <c r="EQ38" s="114"/>
      <c r="ER38" s="114"/>
      <c r="ES38" s="114"/>
      <c r="ET38" s="114"/>
      <c r="EU38" s="114"/>
      <c r="EV38" s="114"/>
      <c r="EW38" s="114"/>
      <c r="EX38" s="114"/>
      <c r="EY38" s="114"/>
      <c r="EZ38" s="114"/>
      <c r="FA38" s="114"/>
      <c r="FB38" s="114"/>
      <c r="FC38" s="114"/>
      <c r="FD38" s="114"/>
      <c r="FE38" s="114"/>
      <c r="FF38" s="114"/>
      <c r="FG38" s="114"/>
      <c r="FH38" s="114"/>
      <c r="FI38" s="114"/>
      <c r="FJ38" s="114"/>
      <c r="FK38" s="114"/>
      <c r="FL38" s="114"/>
      <c r="FM38" s="114"/>
      <c r="FN38" s="114"/>
      <c r="FO38" s="114"/>
      <c r="FP38" s="114"/>
      <c r="FQ38" s="114"/>
      <c r="FR38" s="114"/>
      <c r="FS38" s="114"/>
      <c r="FT38" s="114"/>
      <c r="FU38" s="114"/>
      <c r="FV38" s="114"/>
      <c r="FW38" s="114"/>
      <c r="FX38" s="114"/>
      <c r="FY38" s="114"/>
      <c r="FZ38" s="114"/>
      <c r="GA38" s="114"/>
      <c r="GB38" s="114"/>
      <c r="GC38" s="114"/>
      <c r="GD38" s="114"/>
      <c r="GE38" s="114"/>
      <c r="GF38" s="114"/>
      <c r="GG38" s="114"/>
      <c r="GH38" s="114"/>
      <c r="GI38" s="114"/>
      <c r="GJ38" s="114"/>
      <c r="GK38" s="114"/>
      <c r="GL38" s="114"/>
      <c r="GM38" s="114"/>
      <c r="GN38" s="114"/>
      <c r="GO38" s="114"/>
      <c r="GP38" s="114"/>
      <c r="GQ38" s="114"/>
      <c r="GR38" s="114"/>
      <c r="GS38" s="114"/>
      <c r="GT38" s="114"/>
      <c r="GU38" s="114"/>
      <c r="GV38" s="114"/>
      <c r="GW38" s="114"/>
      <c r="GX38" s="114"/>
      <c r="GY38" s="114"/>
      <c r="GZ38" s="114"/>
      <c r="HA38" s="114"/>
      <c r="HB38" s="114"/>
      <c r="HC38" s="114"/>
      <c r="HD38" s="114"/>
      <c r="HE38" s="114"/>
      <c r="HF38" s="114"/>
      <c r="HG38" s="114"/>
      <c r="HH38" s="114"/>
      <c r="HI38" s="114"/>
      <c r="HJ38" s="114"/>
      <c r="HK38" s="114"/>
      <c r="HL38" s="114"/>
      <c r="HM38" s="114"/>
      <c r="HN38" s="114"/>
      <c r="HO38" s="114"/>
      <c r="HP38" s="114"/>
      <c r="HQ38" s="114"/>
      <c r="HR38" s="114"/>
      <c r="HS38" s="114"/>
      <c r="HT38" s="114"/>
      <c r="HU38" s="114"/>
      <c r="HV38" s="114"/>
      <c r="HW38" s="114"/>
      <c r="HX38" s="114"/>
      <c r="HY38" s="114"/>
      <c r="HZ38" s="114"/>
      <c r="IA38" s="114"/>
      <c r="IB38" s="114"/>
      <c r="IC38" s="114"/>
      <c r="ID38" s="114"/>
      <c r="IE38" s="114"/>
      <c r="IF38" s="114"/>
      <c r="IG38" s="114"/>
      <c r="IH38" s="114"/>
      <c r="II38" s="114"/>
      <c r="IJ38" s="114"/>
      <c r="IK38" s="114"/>
      <c r="IL38" s="114"/>
      <c r="IM38" s="114"/>
      <c r="IN38" s="114"/>
      <c r="IO38" s="114"/>
      <c r="IP38" s="114"/>
      <c r="IQ38" s="114"/>
      <c r="IR38" s="114"/>
      <c r="IS38" s="114"/>
      <c r="IT38" s="114"/>
      <c r="IU38" s="114"/>
      <c r="IV38" s="114"/>
      <c r="IW38" s="114"/>
    </row>
    <row r="39" customFormat="false" ht="11.25" hidden="false" customHeight="false" outlineLevel="0" collapsed="false">
      <c r="A39" s="153" t="s">
        <v>99</v>
      </c>
      <c r="B39" s="152" t="n">
        <f aca="false">Assumptions!$E$10*Assumptions!$E$33</f>
        <v>121897.846528664</v>
      </c>
      <c r="C39" s="152" t="n">
        <f aca="false">Assumptions!$E$10*Assumptions!$E$33</f>
        <v>121897.846528664</v>
      </c>
      <c r="D39" s="152" t="n">
        <f aca="false">Assumptions!$E$10*Assumptions!$E$33</f>
        <v>121897.846528664</v>
      </c>
      <c r="E39" s="136" t="n">
        <f aca="false">Assumptions!$E$10*Assumptions!$E$33-Cashflow!G57</f>
        <v>121897.846528664</v>
      </c>
      <c r="F39" s="152" t="n">
        <f aca="false">Assumptions!$E$10*Assumptions!$E$33+(Assumptions!$E$14*Assumptions!$E$33)</f>
        <v>121897.846528664</v>
      </c>
      <c r="G39" s="152" t="n">
        <f aca="false">Assumptions!$E$10*Assumptions!$E$33+(Assumptions!$E$14*Assumptions!$E$33)</f>
        <v>121897.846528664</v>
      </c>
      <c r="H39" s="152" t="n">
        <f aca="false">Assumptions!$E$10*Assumptions!$E$33+(Assumptions!$E$14*Assumptions!$E$33)</f>
        <v>121897.846528664</v>
      </c>
      <c r="I39" s="152" t="n">
        <f aca="false">Assumptions!$E$10*Assumptions!$E$33+(Assumptions!$E$14*Assumptions!$E$33)</f>
        <v>121897.846528664</v>
      </c>
      <c r="J39" s="152" t="n">
        <f aca="false">Assumptions!$E$10*Assumptions!$E$33+(Assumptions!$E$14*Assumptions!$E$33)</f>
        <v>121897.846528664</v>
      </c>
      <c r="K39" s="152" t="n">
        <f aca="false">Assumptions!$E$10*Assumptions!$E$33+(Assumptions!$E$14*Assumptions!$E$33)</f>
        <v>121897.846528664</v>
      </c>
      <c r="L39" s="152" t="n">
        <f aca="false">Assumptions!$E$10*Assumptions!$E$33+(Assumptions!$E$14*Assumptions!$E$33)</f>
        <v>121897.846528664</v>
      </c>
      <c r="M39" s="152" t="n">
        <f aca="false">Assumptions!$E$10*Assumptions!$E$33+(Assumptions!$E$14*Assumptions!$E$33)</f>
        <v>121897.846528664</v>
      </c>
      <c r="N39" s="152" t="n">
        <f aca="false">Assumptions!$E$10*Assumptions!$E$33+(Assumptions!$E$14*Assumptions!$E$33)</f>
        <v>121897.846528664</v>
      </c>
      <c r="O39" s="152" t="n">
        <f aca="false">Assumptions!$E$10*Assumptions!$E$33+(Assumptions!$E$14*Assumptions!$E$33)</f>
        <v>121897.846528664</v>
      </c>
      <c r="P39" s="152" t="n">
        <f aca="false">Assumptions!$E$10*Assumptions!$E$33+(Assumptions!$E$14*Assumptions!$E$33)</f>
        <v>121897.846528664</v>
      </c>
      <c r="Q39" s="152" t="n">
        <f aca="false">Assumptions!$E$10*Assumptions!$E$33+(Assumptions!$E$14*Assumptions!$E$33)</f>
        <v>121897.846528664</v>
      </c>
      <c r="R39" s="152" t="n">
        <f aca="false">IF(Tables!$B$21=15,0,Assumptions!$E$10*Assumptions!$E$33+(Assumptions!$E$14*Assumptions!$E$33))</f>
        <v>0</v>
      </c>
      <c r="S39" s="152" t="n">
        <f aca="false">IF(Tables!$B$21=15,0,Assumptions!$E$10*Assumptions!$E$33+(Assumptions!$E$14*Assumptions!$E$33))</f>
        <v>0</v>
      </c>
      <c r="T39" s="152" t="n">
        <f aca="false">IF(Tables!$B$21=15,0,Assumptions!$E$10*Assumptions!$E$33+(Assumptions!$E$14*Assumptions!$E$33))</f>
        <v>0</v>
      </c>
      <c r="U39" s="152" t="n">
        <f aca="false">IF(Tables!$B$21=15,0,Assumptions!$E$10*Assumptions!$E$33+(Assumptions!$E$14*Assumptions!$E$33))</f>
        <v>0</v>
      </c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  <c r="DI39" s="114"/>
      <c r="DJ39" s="114"/>
      <c r="DK39" s="114"/>
      <c r="DL39" s="114"/>
      <c r="DM39" s="114"/>
      <c r="DN39" s="114"/>
      <c r="DO39" s="114"/>
      <c r="DP39" s="114"/>
      <c r="DQ39" s="114"/>
      <c r="DR39" s="114"/>
      <c r="DS39" s="114"/>
      <c r="DT39" s="114"/>
      <c r="DU39" s="114"/>
      <c r="DV39" s="114"/>
      <c r="DW39" s="114"/>
      <c r="DX39" s="114"/>
      <c r="DY39" s="114"/>
      <c r="DZ39" s="114"/>
      <c r="EA39" s="114"/>
      <c r="EB39" s="114"/>
      <c r="EC39" s="114"/>
      <c r="ED39" s="114"/>
      <c r="EE39" s="114"/>
      <c r="EF39" s="114"/>
      <c r="EG39" s="114"/>
      <c r="EH39" s="114"/>
      <c r="EI39" s="114"/>
      <c r="EJ39" s="114"/>
      <c r="EK39" s="114"/>
      <c r="EL39" s="114"/>
      <c r="EM39" s="114"/>
      <c r="EN39" s="114"/>
      <c r="EO39" s="114"/>
      <c r="EP39" s="114"/>
      <c r="EQ39" s="114"/>
      <c r="ER39" s="114"/>
      <c r="ES39" s="114"/>
      <c r="ET39" s="114"/>
      <c r="EU39" s="114"/>
      <c r="EV39" s="114"/>
      <c r="EW39" s="114"/>
      <c r="EX39" s="114"/>
      <c r="EY39" s="114"/>
      <c r="EZ39" s="114"/>
      <c r="FA39" s="114"/>
      <c r="FB39" s="114"/>
      <c r="FC39" s="114"/>
      <c r="FD39" s="114"/>
      <c r="FE39" s="114"/>
      <c r="FF39" s="114"/>
      <c r="FG39" s="114"/>
      <c r="FH39" s="114"/>
      <c r="FI39" s="114"/>
      <c r="FJ39" s="114"/>
      <c r="FK39" s="114"/>
      <c r="FL39" s="114"/>
      <c r="FM39" s="114"/>
      <c r="FN39" s="114"/>
      <c r="FO39" s="114"/>
      <c r="FP39" s="114"/>
      <c r="FQ39" s="114"/>
      <c r="FR39" s="114"/>
      <c r="FS39" s="114"/>
      <c r="FT39" s="114"/>
      <c r="FU39" s="114"/>
      <c r="FV39" s="114"/>
      <c r="FW39" s="114"/>
      <c r="FX39" s="114"/>
      <c r="FY39" s="114"/>
      <c r="FZ39" s="114"/>
      <c r="GA39" s="114"/>
      <c r="GB39" s="114"/>
      <c r="GC39" s="114"/>
      <c r="GD39" s="114"/>
      <c r="GE39" s="114"/>
      <c r="GF39" s="114"/>
      <c r="GG39" s="114"/>
      <c r="GH39" s="114"/>
      <c r="GI39" s="114"/>
      <c r="GJ39" s="114"/>
      <c r="GK39" s="114"/>
      <c r="GL39" s="114"/>
      <c r="GM39" s="114"/>
      <c r="GN39" s="114"/>
      <c r="GO39" s="114"/>
      <c r="GP39" s="114"/>
      <c r="GQ39" s="114"/>
      <c r="GR39" s="114"/>
      <c r="GS39" s="114"/>
      <c r="GT39" s="114"/>
      <c r="GU39" s="114"/>
      <c r="GV39" s="114"/>
      <c r="GW39" s="114"/>
      <c r="GX39" s="114"/>
      <c r="GY39" s="114"/>
      <c r="GZ39" s="114"/>
      <c r="HA39" s="114"/>
      <c r="HB39" s="114"/>
      <c r="HC39" s="114"/>
      <c r="HD39" s="114"/>
      <c r="HE39" s="114"/>
      <c r="HF39" s="114"/>
      <c r="HG39" s="114"/>
      <c r="HH39" s="114"/>
      <c r="HI39" s="114"/>
      <c r="HJ39" s="114"/>
      <c r="HK39" s="114"/>
      <c r="HL39" s="114"/>
      <c r="HM39" s="114"/>
      <c r="HN39" s="114"/>
      <c r="HO39" s="114"/>
      <c r="HP39" s="114"/>
      <c r="HQ39" s="114"/>
      <c r="HR39" s="114"/>
      <c r="HS39" s="114"/>
      <c r="HT39" s="114"/>
      <c r="HU39" s="114"/>
      <c r="HV39" s="114"/>
      <c r="HW39" s="114"/>
      <c r="HX39" s="114"/>
      <c r="HY39" s="114"/>
      <c r="HZ39" s="114"/>
      <c r="IA39" s="114"/>
      <c r="IB39" s="114"/>
      <c r="IC39" s="114"/>
      <c r="ID39" s="114"/>
      <c r="IE39" s="114"/>
      <c r="IF39" s="114"/>
      <c r="IG39" s="114"/>
      <c r="IH39" s="114"/>
      <c r="II39" s="114"/>
      <c r="IJ39" s="114"/>
      <c r="IK39" s="114"/>
      <c r="IL39" s="114"/>
      <c r="IM39" s="114"/>
      <c r="IN39" s="114"/>
      <c r="IO39" s="114"/>
      <c r="IP39" s="114"/>
      <c r="IQ39" s="114"/>
      <c r="IR39" s="114"/>
      <c r="IS39" s="114"/>
      <c r="IT39" s="114"/>
      <c r="IU39" s="114"/>
      <c r="IV39" s="114"/>
      <c r="IW39" s="114"/>
    </row>
    <row r="40" customFormat="false" ht="11.25" hidden="false" customHeight="false" outlineLevel="0" collapsed="false">
      <c r="A40" s="153" t="s">
        <v>100</v>
      </c>
      <c r="B40" s="152" t="e">
        <f aca="false">INDEX(Income_Statement,MATCH("Net Income After Tax",ISColumn,0),MATCH(YEAR(B3),ISRow,0))</f>
        <v>#VALUE!</v>
      </c>
      <c r="C40" s="152" t="e">
        <f aca="false">INDEX(Income_Statement,MATCH("Net Income After Tax",ISColumn,0),MATCH(YEAR(C3),ISRow,0))+B40</f>
        <v>#VALUE!</v>
      </c>
      <c r="D40" s="152" t="e">
        <f aca="false">INDEX(Income_Statement,MATCH("Net Income After Tax",ISColumn,0),MATCH(YEAR(D3),ISRow,0))+C40</f>
        <v>#VALUE!</v>
      </c>
      <c r="E40" s="152" t="e">
        <f aca="false">INDEX(Income_Statement,MATCH("Net Income After Tax",ISColumn,0),MATCH(YEAR(E3),ISRow,0))+D40</f>
        <v>#VALUE!</v>
      </c>
      <c r="F40" s="152" t="e">
        <f aca="false">INDEX(Income_Statement,MATCH("Net Income After Tax",ISColumn,0),MATCH(YEAR(F3),ISRow,0))+E40</f>
        <v>#VALUE!</v>
      </c>
      <c r="G40" s="152" t="e">
        <f aca="false">INDEX(Income_Statement,MATCH("Net Income After Tax",ISColumn,0),MATCH(YEAR(G3),ISRow,0))+F40</f>
        <v>#VALUE!</v>
      </c>
      <c r="H40" s="152" t="e">
        <f aca="false">INDEX(Income_Statement,MATCH("Net Income After Tax",ISColumn,0),MATCH(YEAR(H3),ISRow,0))+G40</f>
        <v>#VALUE!</v>
      </c>
      <c r="I40" s="152" t="e">
        <f aca="false">INDEX(Income_Statement,MATCH("Net Income After Tax",ISColumn,0),MATCH(YEAR(I3),ISRow,0))+H40</f>
        <v>#VALUE!</v>
      </c>
      <c r="J40" s="152" t="e">
        <f aca="false">INDEX(Income_Statement,MATCH("Net Income After Tax",ISColumn,0),MATCH(YEAR(J3),ISRow,0))+I40</f>
        <v>#VALUE!</v>
      </c>
      <c r="K40" s="152" t="e">
        <f aca="false">INDEX(Income_Statement,MATCH("Net Income After Tax",ISColumn,0),MATCH(YEAR(K3),ISRow,0))+J40</f>
        <v>#VALUE!</v>
      </c>
      <c r="L40" s="152" t="e">
        <f aca="false">INDEX(Income_Statement,MATCH("Net Income After Tax",ISColumn,0),MATCH(YEAR(L3),ISRow,0))+K40</f>
        <v>#VALUE!</v>
      </c>
      <c r="M40" s="152" t="e">
        <f aca="false">INDEX(Income_Statement,MATCH("Net Income After Tax",ISColumn,0),MATCH(YEAR(M3),ISRow,0))+L40</f>
        <v>#VALUE!</v>
      </c>
      <c r="N40" s="152" t="e">
        <f aca="false">INDEX(Income_Statement,MATCH("Net Income After Tax",ISColumn,0),MATCH(YEAR(N3),ISRow,0))+M40</f>
        <v>#VALUE!</v>
      </c>
      <c r="O40" s="152" t="e">
        <f aca="false">INDEX(Income_Statement,MATCH("Net Income After Tax",ISColumn,0),MATCH(YEAR(O3),ISRow,0))+N40</f>
        <v>#VALUE!</v>
      </c>
      <c r="P40" s="152" t="e">
        <f aca="false">INDEX(Income_Statement,MATCH("Net Income After Tax",ISColumn,0),MATCH(YEAR(P3),ISRow,0))+O40</f>
        <v>#VALUE!</v>
      </c>
      <c r="Q40" s="152" t="e">
        <f aca="false">INDEX(Income_Statement,MATCH("Net Income After Tax",ISColumn,0),MATCH(YEAR(Q3),ISRow,0))+P40</f>
        <v>#VALUE!</v>
      </c>
      <c r="R40" s="152" t="n">
        <f aca="false">IF(Tables!$B$21=15,0,INDEX(Income_Statement,MATCH("Net Income After Tax",ISColumn,0),MATCH(YEAR(R3),ISRow,0))+Q40)</f>
        <v>0</v>
      </c>
      <c r="S40" s="152" t="n">
        <f aca="false">INDEX(Income_Statement,MATCH("Net Income After Tax",ISColumn,0),MATCH(YEAR(S3),ISRow,0))+R40</f>
        <v>0</v>
      </c>
      <c r="T40" s="152" t="n">
        <f aca="false">INDEX(Income_Statement,MATCH("Net Income After Tax",ISColumn,0),MATCH(YEAR(T3),ISRow,0))+S40</f>
        <v>0</v>
      </c>
      <c r="U40" s="152" t="n">
        <f aca="false">INDEX(Income_Statement,MATCH("Net Income After Tax",ISColumn,0),MATCH(YEAR(U3),ISRow,0))+T40</f>
        <v>0</v>
      </c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4"/>
      <c r="EL40" s="114"/>
      <c r="EM40" s="114"/>
      <c r="EN40" s="114"/>
      <c r="EO40" s="114"/>
      <c r="EP40" s="114"/>
      <c r="EQ40" s="114"/>
      <c r="ER40" s="114"/>
      <c r="ES40" s="114"/>
      <c r="ET40" s="114"/>
      <c r="EU40" s="114"/>
      <c r="EV40" s="114"/>
      <c r="EW40" s="114"/>
      <c r="EX40" s="114"/>
      <c r="EY40" s="114"/>
      <c r="EZ40" s="114"/>
      <c r="FA40" s="114"/>
      <c r="FB40" s="114"/>
      <c r="FC40" s="114"/>
      <c r="FD40" s="114"/>
      <c r="FE40" s="114"/>
      <c r="FF40" s="114"/>
      <c r="FG40" s="114"/>
      <c r="FH40" s="114"/>
      <c r="FI40" s="114"/>
      <c r="FJ40" s="114"/>
      <c r="FK40" s="114"/>
      <c r="FL40" s="114"/>
      <c r="FM40" s="114"/>
      <c r="FN40" s="114"/>
      <c r="FO40" s="114"/>
      <c r="FP40" s="114"/>
      <c r="FQ40" s="114"/>
      <c r="FR40" s="114"/>
      <c r="FS40" s="114"/>
      <c r="FT40" s="114"/>
      <c r="FU40" s="114"/>
      <c r="FV40" s="114"/>
      <c r="FW40" s="114"/>
      <c r="FX40" s="114"/>
      <c r="FY40" s="114"/>
      <c r="FZ40" s="114"/>
      <c r="GA40" s="114"/>
      <c r="GB40" s="114"/>
      <c r="GC40" s="114"/>
      <c r="GD40" s="114"/>
      <c r="GE40" s="114"/>
      <c r="GF40" s="114"/>
      <c r="GG40" s="114"/>
      <c r="GH40" s="114"/>
      <c r="GI40" s="114"/>
      <c r="GJ40" s="114"/>
      <c r="GK40" s="114"/>
      <c r="GL40" s="114"/>
      <c r="GM40" s="114"/>
      <c r="GN40" s="114"/>
      <c r="GO40" s="114"/>
      <c r="GP40" s="114"/>
      <c r="GQ40" s="114"/>
      <c r="GR40" s="114"/>
      <c r="GS40" s="114"/>
      <c r="GT40" s="114"/>
      <c r="GU40" s="114"/>
      <c r="GV40" s="114"/>
      <c r="GW40" s="114"/>
      <c r="GX40" s="114"/>
      <c r="GY40" s="114"/>
      <c r="GZ40" s="114"/>
      <c r="HA40" s="114"/>
      <c r="HB40" s="114"/>
      <c r="HC40" s="114"/>
      <c r="HD40" s="114"/>
      <c r="HE40" s="114"/>
      <c r="HF40" s="114"/>
      <c r="HG40" s="114"/>
      <c r="HH40" s="114"/>
      <c r="HI40" s="114"/>
      <c r="HJ40" s="114"/>
      <c r="HK40" s="114"/>
      <c r="HL40" s="114"/>
      <c r="HM40" s="114"/>
      <c r="HN40" s="114"/>
      <c r="HO40" s="114"/>
      <c r="HP40" s="114"/>
      <c r="HQ40" s="114"/>
      <c r="HR40" s="114"/>
      <c r="HS40" s="114"/>
      <c r="HT40" s="114"/>
      <c r="HU40" s="114"/>
      <c r="HV40" s="114"/>
      <c r="HW40" s="114"/>
      <c r="HX40" s="114"/>
      <c r="HY40" s="114"/>
      <c r="HZ40" s="114"/>
      <c r="IA40" s="114"/>
      <c r="IB40" s="114"/>
      <c r="IC40" s="114"/>
      <c r="ID40" s="114"/>
      <c r="IE40" s="114"/>
      <c r="IF40" s="114"/>
      <c r="IG40" s="114"/>
      <c r="IH40" s="114"/>
      <c r="II40" s="114"/>
      <c r="IJ40" s="114"/>
      <c r="IK40" s="114"/>
      <c r="IL40" s="114"/>
      <c r="IM40" s="114"/>
      <c r="IN40" s="114"/>
      <c r="IO40" s="114"/>
      <c r="IP40" s="114"/>
      <c r="IQ40" s="114"/>
      <c r="IR40" s="114"/>
      <c r="IS40" s="114"/>
      <c r="IT40" s="114"/>
      <c r="IU40" s="114"/>
      <c r="IV40" s="114"/>
      <c r="IW40" s="114"/>
    </row>
    <row r="41" customFormat="false" ht="11.25" hidden="false" customHeight="false" outlineLevel="0" collapsed="false">
      <c r="A41" s="155" t="s">
        <v>101</v>
      </c>
      <c r="B41" s="157" t="e">
        <f aca="false">SUM(B38:B40)</f>
        <v>#VALUE!</v>
      </c>
      <c r="C41" s="157" t="e">
        <f aca="false">SUM(C38:C40)</f>
        <v>#VALUE!</v>
      </c>
      <c r="D41" s="157" t="e">
        <f aca="false">SUM(D38:D40)</f>
        <v>#VALUE!</v>
      </c>
      <c r="E41" s="157" t="e">
        <f aca="false">SUM(E38:E40)</f>
        <v>#VALUE!</v>
      </c>
      <c r="F41" s="157" t="e">
        <f aca="false">SUM(F38:F40)</f>
        <v>#VALUE!</v>
      </c>
      <c r="G41" s="157" t="e">
        <f aca="false">SUM(G38:G40)</f>
        <v>#VALUE!</v>
      </c>
      <c r="H41" s="157" t="e">
        <f aca="false">SUM(H38:H40)</f>
        <v>#VALUE!</v>
      </c>
      <c r="I41" s="157" t="e">
        <f aca="false">SUM(I38:I40)</f>
        <v>#VALUE!</v>
      </c>
      <c r="J41" s="157" t="e">
        <f aca="false">SUM(J38:J40)</f>
        <v>#VALUE!</v>
      </c>
      <c r="K41" s="157" t="e">
        <f aca="false">SUM(K38:K40)</f>
        <v>#VALUE!</v>
      </c>
      <c r="L41" s="157" t="e">
        <f aca="false">SUM(L38:L40)</f>
        <v>#VALUE!</v>
      </c>
      <c r="M41" s="157" t="e">
        <f aca="false">SUM(M38:M40)</f>
        <v>#VALUE!</v>
      </c>
      <c r="N41" s="157" t="e">
        <f aca="false">SUM(N38:N40)</f>
        <v>#VALUE!</v>
      </c>
      <c r="O41" s="157" t="e">
        <f aca="false">SUM(O38:O40)</f>
        <v>#VALUE!</v>
      </c>
      <c r="P41" s="157" t="e">
        <f aca="false">SUM(P38:P40)</f>
        <v>#VALUE!</v>
      </c>
      <c r="Q41" s="157" t="e">
        <f aca="false">SUM(Q38:Q40)</f>
        <v>#VALUE!</v>
      </c>
      <c r="R41" s="157" t="n">
        <f aca="false">SUM(R38:R40)</f>
        <v>0</v>
      </c>
      <c r="S41" s="157" t="n">
        <f aca="false">SUM(S38:S40)</f>
        <v>0</v>
      </c>
      <c r="T41" s="157" t="n">
        <f aca="false">SUM(T38:T40)</f>
        <v>0</v>
      </c>
      <c r="U41" s="157" t="n">
        <f aca="false">SUM(U38:U40)</f>
        <v>0</v>
      </c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4"/>
      <c r="EL41" s="114"/>
      <c r="EM41" s="114"/>
      <c r="EN41" s="114"/>
      <c r="EO41" s="114"/>
      <c r="EP41" s="114"/>
      <c r="EQ41" s="114"/>
      <c r="ER41" s="114"/>
      <c r="ES41" s="114"/>
      <c r="ET41" s="114"/>
      <c r="EU41" s="114"/>
      <c r="EV41" s="114"/>
      <c r="EW41" s="114"/>
      <c r="EX41" s="114"/>
      <c r="EY41" s="114"/>
      <c r="EZ41" s="114"/>
      <c r="FA41" s="114"/>
      <c r="FB41" s="114"/>
      <c r="FC41" s="114"/>
      <c r="FD41" s="114"/>
      <c r="FE41" s="114"/>
      <c r="FF41" s="114"/>
      <c r="FG41" s="114"/>
      <c r="FH41" s="114"/>
      <c r="FI41" s="114"/>
      <c r="FJ41" s="114"/>
      <c r="FK41" s="114"/>
      <c r="FL41" s="114"/>
      <c r="FM41" s="114"/>
      <c r="FN41" s="114"/>
      <c r="FO41" s="114"/>
      <c r="FP41" s="114"/>
      <c r="FQ41" s="114"/>
      <c r="FR41" s="114"/>
      <c r="FS41" s="114"/>
      <c r="FT41" s="114"/>
      <c r="FU41" s="114"/>
      <c r="FV41" s="114"/>
      <c r="FW41" s="114"/>
      <c r="FX41" s="114"/>
      <c r="FY41" s="114"/>
      <c r="FZ41" s="114"/>
      <c r="GA41" s="114"/>
      <c r="GB41" s="114"/>
      <c r="GC41" s="114"/>
      <c r="GD41" s="114"/>
      <c r="GE41" s="114"/>
      <c r="GF41" s="114"/>
      <c r="GG41" s="114"/>
      <c r="GH41" s="114"/>
      <c r="GI41" s="114"/>
      <c r="GJ41" s="114"/>
      <c r="GK41" s="114"/>
      <c r="GL41" s="114"/>
      <c r="GM41" s="114"/>
      <c r="GN41" s="114"/>
      <c r="GO41" s="114"/>
      <c r="GP41" s="114"/>
      <c r="GQ41" s="114"/>
      <c r="GR41" s="114"/>
      <c r="GS41" s="114"/>
      <c r="GT41" s="114"/>
      <c r="GU41" s="114"/>
      <c r="GV41" s="114"/>
      <c r="GW41" s="114"/>
      <c r="GX41" s="114"/>
      <c r="GY41" s="114"/>
      <c r="GZ41" s="114"/>
      <c r="HA41" s="114"/>
      <c r="HB41" s="114"/>
      <c r="HC41" s="114"/>
      <c r="HD41" s="114"/>
      <c r="HE41" s="114"/>
      <c r="HF41" s="114"/>
      <c r="HG41" s="114"/>
      <c r="HH41" s="114"/>
      <c r="HI41" s="114"/>
      <c r="HJ41" s="114"/>
      <c r="HK41" s="114"/>
      <c r="HL41" s="114"/>
      <c r="HM41" s="114"/>
      <c r="HN41" s="114"/>
      <c r="HO41" s="114"/>
      <c r="HP41" s="114"/>
      <c r="HQ41" s="114"/>
      <c r="HR41" s="114"/>
      <c r="HS41" s="114"/>
      <c r="HT41" s="114"/>
      <c r="HU41" s="114"/>
      <c r="HV41" s="114"/>
      <c r="HW41" s="114"/>
      <c r="HX41" s="114"/>
      <c r="HY41" s="114"/>
      <c r="HZ41" s="114"/>
      <c r="IA41" s="114"/>
      <c r="IB41" s="114"/>
      <c r="IC41" s="114"/>
      <c r="ID41" s="114"/>
      <c r="IE41" s="114"/>
      <c r="IF41" s="114"/>
      <c r="IG41" s="114"/>
      <c r="IH41" s="114"/>
      <c r="II41" s="114"/>
      <c r="IJ41" s="114"/>
      <c r="IK41" s="114"/>
      <c r="IL41" s="114"/>
      <c r="IM41" s="114"/>
      <c r="IN41" s="114"/>
      <c r="IO41" s="114"/>
      <c r="IP41" s="114"/>
      <c r="IQ41" s="114"/>
      <c r="IR41" s="114"/>
      <c r="IS41" s="114"/>
      <c r="IT41" s="114"/>
      <c r="IU41" s="114"/>
      <c r="IV41" s="114"/>
      <c r="IW41" s="114"/>
    </row>
    <row r="42" customFormat="false" ht="12" hidden="false" customHeight="false" outlineLevel="0" collapsed="false">
      <c r="A42" s="163" t="s">
        <v>102</v>
      </c>
      <c r="B42" s="164" t="e">
        <f aca="false">B41+B35+B31</f>
        <v>#VALUE!</v>
      </c>
      <c r="C42" s="164" t="e">
        <f aca="false">C41+C35+C31</f>
        <v>#VALUE!</v>
      </c>
      <c r="D42" s="164" t="e">
        <f aca="false">D41+D35+D31</f>
        <v>#VALUE!</v>
      </c>
      <c r="E42" s="164" t="e">
        <f aca="false">E41+E35+E31</f>
        <v>#VALUE!</v>
      </c>
      <c r="F42" s="164" t="e">
        <f aca="false">F41+F35+F31</f>
        <v>#VALUE!</v>
      </c>
      <c r="G42" s="164" t="e">
        <f aca="false">G41+G35+G31</f>
        <v>#VALUE!</v>
      </c>
      <c r="H42" s="164" t="e">
        <f aca="false">H41+H35+H31</f>
        <v>#VALUE!</v>
      </c>
      <c r="I42" s="164" t="e">
        <f aca="false">I41+I35+I31</f>
        <v>#VALUE!</v>
      </c>
      <c r="J42" s="164" t="e">
        <f aca="false">J41+J35+J31</f>
        <v>#VALUE!</v>
      </c>
      <c r="K42" s="164" t="e">
        <f aca="false">K41+K35+K31</f>
        <v>#VALUE!</v>
      </c>
      <c r="L42" s="164" t="e">
        <f aca="false">L41+L35+L31</f>
        <v>#VALUE!</v>
      </c>
      <c r="M42" s="164" t="e">
        <f aca="false">M41+M35+M31</f>
        <v>#VALUE!</v>
      </c>
      <c r="N42" s="164" t="e">
        <f aca="false">N41+N35+N31</f>
        <v>#VALUE!</v>
      </c>
      <c r="O42" s="164" t="e">
        <f aca="false">O41+O35+O31</f>
        <v>#VALUE!</v>
      </c>
      <c r="P42" s="164" t="e">
        <f aca="false">P41+P35+P31</f>
        <v>#VALUE!</v>
      </c>
      <c r="Q42" s="164" t="e">
        <f aca="false">Q41+Q35+Q31</f>
        <v>#VALUE!</v>
      </c>
      <c r="R42" s="164" t="e">
        <f aca="false">R41+R35+R31</f>
        <v>#VALUE!</v>
      </c>
      <c r="S42" s="164" t="e">
        <f aca="false">S41+S35+S31</f>
        <v>#VALUE!</v>
      </c>
      <c r="T42" s="164" t="e">
        <f aca="false">T41+T35+T31</f>
        <v>#VALUE!</v>
      </c>
      <c r="U42" s="164" t="e">
        <f aca="false">U41+U35+U31</f>
        <v>#VALUE!</v>
      </c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  <c r="EF42" s="148"/>
      <c r="EG42" s="148"/>
      <c r="EH42" s="148"/>
      <c r="EI42" s="148"/>
      <c r="EJ42" s="148"/>
      <c r="EK42" s="148"/>
      <c r="EL42" s="148"/>
      <c r="EM42" s="148"/>
      <c r="EN42" s="148"/>
      <c r="EO42" s="148"/>
      <c r="EP42" s="148"/>
      <c r="EQ42" s="148"/>
      <c r="ER42" s="148"/>
      <c r="ES42" s="148"/>
      <c r="ET42" s="148"/>
      <c r="EU42" s="148"/>
      <c r="EV42" s="148"/>
      <c r="EW42" s="148"/>
      <c r="EX42" s="148"/>
      <c r="EY42" s="148"/>
      <c r="EZ42" s="148"/>
      <c r="FA42" s="148"/>
      <c r="FB42" s="148"/>
      <c r="FC42" s="148"/>
      <c r="FD42" s="148"/>
      <c r="FE42" s="148"/>
      <c r="FF42" s="148"/>
      <c r="FG42" s="148"/>
      <c r="FH42" s="148"/>
      <c r="FI42" s="148"/>
      <c r="FJ42" s="148"/>
      <c r="FK42" s="148"/>
      <c r="FL42" s="148"/>
      <c r="FM42" s="148"/>
      <c r="FN42" s="148"/>
      <c r="FO42" s="148"/>
      <c r="FP42" s="148"/>
      <c r="FQ42" s="148"/>
      <c r="FR42" s="148"/>
      <c r="FS42" s="148"/>
      <c r="FT42" s="148"/>
      <c r="FU42" s="148"/>
      <c r="FV42" s="148"/>
      <c r="FW42" s="148"/>
      <c r="FX42" s="148"/>
      <c r="FY42" s="148"/>
      <c r="FZ42" s="148"/>
      <c r="GA42" s="148"/>
      <c r="GB42" s="148"/>
      <c r="GC42" s="148"/>
      <c r="GD42" s="148"/>
      <c r="GE42" s="148"/>
      <c r="GF42" s="148"/>
      <c r="GG42" s="148"/>
      <c r="GH42" s="148"/>
      <c r="GI42" s="148"/>
      <c r="GJ42" s="148"/>
      <c r="GK42" s="148"/>
      <c r="GL42" s="148"/>
      <c r="GM42" s="148"/>
      <c r="GN42" s="148"/>
      <c r="GO42" s="148"/>
      <c r="GP42" s="148"/>
      <c r="GQ42" s="148"/>
      <c r="GR42" s="148"/>
      <c r="GS42" s="148"/>
      <c r="GT42" s="148"/>
      <c r="GU42" s="148"/>
      <c r="GV42" s="148"/>
      <c r="GW42" s="148"/>
      <c r="GX42" s="148"/>
      <c r="GY42" s="148"/>
      <c r="GZ42" s="148"/>
      <c r="HA42" s="148"/>
      <c r="HB42" s="148"/>
      <c r="HC42" s="148"/>
      <c r="HD42" s="148"/>
      <c r="HE42" s="148"/>
      <c r="HF42" s="148"/>
      <c r="HG42" s="148"/>
      <c r="HH42" s="148"/>
      <c r="HI42" s="148"/>
      <c r="HJ42" s="148"/>
      <c r="HK42" s="148"/>
      <c r="HL42" s="148"/>
      <c r="HM42" s="148"/>
      <c r="HN42" s="148"/>
      <c r="HO42" s="148"/>
      <c r="HP42" s="148"/>
      <c r="HQ42" s="148"/>
      <c r="HR42" s="148"/>
      <c r="HS42" s="148"/>
      <c r="HT42" s="148"/>
      <c r="HU42" s="148"/>
      <c r="HV42" s="148"/>
      <c r="HW42" s="148"/>
      <c r="HX42" s="148"/>
      <c r="HY42" s="148"/>
      <c r="HZ42" s="148"/>
      <c r="IA42" s="148"/>
      <c r="IB42" s="148"/>
      <c r="IC42" s="148"/>
      <c r="ID42" s="148"/>
      <c r="IE42" s="148"/>
      <c r="IF42" s="148"/>
      <c r="IG42" s="148"/>
      <c r="IH42" s="148"/>
      <c r="II42" s="148"/>
      <c r="IJ42" s="148"/>
      <c r="IK42" s="148"/>
      <c r="IL42" s="148"/>
      <c r="IM42" s="148"/>
      <c r="IN42" s="148"/>
      <c r="IO42" s="148"/>
      <c r="IP42" s="148"/>
      <c r="IQ42" s="148"/>
      <c r="IR42" s="148"/>
      <c r="IS42" s="148"/>
      <c r="IT42" s="148"/>
      <c r="IU42" s="148"/>
      <c r="IV42" s="148"/>
      <c r="IW42" s="148"/>
    </row>
    <row r="43" customFormat="false" ht="6" hidden="false" customHeight="true" outlineLevel="0" collapsed="false">
      <c r="A43" s="160"/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  <c r="DI43" s="114"/>
      <c r="DJ43" s="114"/>
      <c r="DK43" s="114"/>
      <c r="DL43" s="114"/>
      <c r="DM43" s="114"/>
      <c r="DN43" s="114"/>
      <c r="DO43" s="114"/>
      <c r="DP43" s="114"/>
      <c r="DQ43" s="114"/>
      <c r="DR43" s="114"/>
      <c r="DS43" s="114"/>
      <c r="DT43" s="114"/>
      <c r="DU43" s="114"/>
      <c r="DV43" s="114"/>
      <c r="DW43" s="114"/>
      <c r="DX43" s="114"/>
      <c r="DY43" s="114"/>
      <c r="DZ43" s="114"/>
      <c r="EA43" s="114"/>
      <c r="EB43" s="114"/>
      <c r="EC43" s="114"/>
      <c r="ED43" s="114"/>
      <c r="EE43" s="114"/>
      <c r="EF43" s="114"/>
      <c r="EG43" s="114"/>
      <c r="EH43" s="114"/>
      <c r="EI43" s="114"/>
      <c r="EJ43" s="114"/>
      <c r="EK43" s="114"/>
      <c r="EL43" s="114"/>
      <c r="EM43" s="114"/>
      <c r="EN43" s="114"/>
      <c r="EO43" s="114"/>
      <c r="EP43" s="114"/>
      <c r="EQ43" s="114"/>
      <c r="ER43" s="114"/>
      <c r="ES43" s="114"/>
      <c r="ET43" s="114"/>
      <c r="EU43" s="114"/>
      <c r="EV43" s="114"/>
      <c r="EW43" s="114"/>
      <c r="EX43" s="114"/>
      <c r="EY43" s="114"/>
      <c r="EZ43" s="114"/>
      <c r="FA43" s="114"/>
      <c r="FB43" s="114"/>
      <c r="FC43" s="114"/>
      <c r="FD43" s="114"/>
      <c r="FE43" s="114"/>
      <c r="FF43" s="114"/>
      <c r="FG43" s="114"/>
      <c r="FH43" s="114"/>
      <c r="FI43" s="114"/>
      <c r="FJ43" s="114"/>
      <c r="FK43" s="114"/>
      <c r="FL43" s="114"/>
      <c r="FM43" s="114"/>
      <c r="FN43" s="114"/>
      <c r="FO43" s="114"/>
      <c r="FP43" s="114"/>
      <c r="FQ43" s="114"/>
      <c r="FR43" s="114"/>
      <c r="FS43" s="114"/>
      <c r="FT43" s="114"/>
      <c r="FU43" s="114"/>
      <c r="FV43" s="114"/>
      <c r="FW43" s="114"/>
      <c r="FX43" s="114"/>
      <c r="FY43" s="114"/>
      <c r="FZ43" s="114"/>
      <c r="GA43" s="114"/>
      <c r="GB43" s="114"/>
      <c r="GC43" s="114"/>
      <c r="GD43" s="114"/>
      <c r="GE43" s="114"/>
      <c r="GF43" s="114"/>
      <c r="GG43" s="114"/>
      <c r="GH43" s="114"/>
      <c r="GI43" s="114"/>
      <c r="GJ43" s="114"/>
      <c r="GK43" s="114"/>
      <c r="GL43" s="114"/>
      <c r="GM43" s="114"/>
      <c r="GN43" s="114"/>
      <c r="GO43" s="114"/>
      <c r="GP43" s="114"/>
      <c r="GQ43" s="114"/>
      <c r="GR43" s="114"/>
      <c r="GS43" s="114"/>
      <c r="GT43" s="114"/>
      <c r="GU43" s="114"/>
      <c r="GV43" s="114"/>
      <c r="GW43" s="114"/>
      <c r="GX43" s="114"/>
      <c r="GY43" s="114"/>
      <c r="GZ43" s="114"/>
      <c r="HA43" s="114"/>
      <c r="HB43" s="114"/>
      <c r="HC43" s="114"/>
      <c r="HD43" s="114"/>
      <c r="HE43" s="114"/>
      <c r="HF43" s="114"/>
      <c r="HG43" s="114"/>
      <c r="HH43" s="114"/>
      <c r="HI43" s="114"/>
      <c r="HJ43" s="114"/>
      <c r="HK43" s="114"/>
      <c r="HL43" s="114"/>
      <c r="HM43" s="114"/>
      <c r="HN43" s="114"/>
      <c r="HO43" s="114"/>
      <c r="HP43" s="114"/>
      <c r="HQ43" s="114"/>
      <c r="HR43" s="114"/>
      <c r="HS43" s="114"/>
      <c r="HT43" s="114"/>
      <c r="HU43" s="114"/>
      <c r="HV43" s="114"/>
      <c r="HW43" s="114"/>
      <c r="HX43" s="114"/>
      <c r="HY43" s="114"/>
      <c r="HZ43" s="114"/>
      <c r="IA43" s="114"/>
      <c r="IB43" s="114"/>
      <c r="IC43" s="114"/>
      <c r="ID43" s="114"/>
      <c r="IE43" s="114"/>
      <c r="IF43" s="114"/>
      <c r="IG43" s="114"/>
      <c r="IH43" s="114"/>
      <c r="II43" s="114"/>
      <c r="IJ43" s="114"/>
      <c r="IK43" s="114"/>
      <c r="IL43" s="114"/>
      <c r="IM43" s="114"/>
      <c r="IN43" s="114"/>
      <c r="IO43" s="114"/>
      <c r="IP43" s="114"/>
      <c r="IQ43" s="114"/>
      <c r="IR43" s="114"/>
      <c r="IS43" s="114"/>
      <c r="IT43" s="114"/>
      <c r="IU43" s="114"/>
      <c r="IV43" s="114"/>
      <c r="IW43" s="114"/>
    </row>
    <row r="44" customFormat="false" ht="11.25" hidden="false" customHeight="false" outlineLevel="0" collapsed="false">
      <c r="A44" s="165" t="s">
        <v>103</v>
      </c>
      <c r="B44" s="166" t="e">
        <f aca="false">IF(B$3,B22-B42)</f>
        <v>#VALUE!</v>
      </c>
      <c r="C44" s="166" t="e">
        <f aca="false">IF(C$3,C22-C42)</f>
        <v>#VALUE!</v>
      </c>
      <c r="D44" s="167" t="e">
        <f aca="false">IF(D$3,D22-D42)</f>
        <v>#VALUE!</v>
      </c>
      <c r="E44" s="166" t="e">
        <f aca="false">IF(E$3,E22-E42)</f>
        <v>#VALUE!</v>
      </c>
      <c r="F44" s="166" t="e">
        <f aca="false">IF(F$3,F22-F42)</f>
        <v>#VALUE!</v>
      </c>
      <c r="G44" s="166" t="e">
        <f aca="false">IF(G$3,G22-G42)</f>
        <v>#VALUE!</v>
      </c>
      <c r="H44" s="166" t="e">
        <f aca="false">IF(H$3,H22-H42)</f>
        <v>#VALUE!</v>
      </c>
      <c r="I44" s="166" t="e">
        <f aca="false">IF(I$3,I22-I42)</f>
        <v>#VALUE!</v>
      </c>
      <c r="J44" s="166" t="e">
        <f aca="false">IF(J$3,J22-J42)</f>
        <v>#VALUE!</v>
      </c>
      <c r="K44" s="166" t="e">
        <f aca="false">IF(K$3,K22-K42)</f>
        <v>#VALUE!</v>
      </c>
      <c r="L44" s="166" t="e">
        <f aca="false">IF(L$3,L22-L42)</f>
        <v>#VALUE!</v>
      </c>
      <c r="M44" s="166" t="e">
        <f aca="false">IF(M$3,M22-M42)</f>
        <v>#VALUE!</v>
      </c>
      <c r="N44" s="166" t="e">
        <f aca="false">IF(N$3,N22-N42)</f>
        <v>#VALUE!</v>
      </c>
      <c r="O44" s="166" t="e">
        <f aca="false">IF(O$3,O22-O42)</f>
        <v>#VALUE!</v>
      </c>
      <c r="P44" s="166" t="e">
        <f aca="false">IF(P$3,P22-P42)</f>
        <v>#VALUE!</v>
      </c>
      <c r="Q44" s="166" t="e">
        <f aca="false">IF(Q$3,Q22-Q42)</f>
        <v>#VALUE!</v>
      </c>
      <c r="R44" s="166" t="e">
        <f aca="false">IF(R$3,R22-R42)</f>
        <v>#VALUE!</v>
      </c>
      <c r="S44" s="166" t="e">
        <f aca="false">IF(S$3,S22-S42)</f>
        <v>#VALUE!</v>
      </c>
      <c r="T44" s="166" t="e">
        <f aca="false">IF(T$3,T22-T42)</f>
        <v>#VALUE!</v>
      </c>
      <c r="U44" s="166" t="e">
        <f aca="false">IF(U$3,U22-U42)</f>
        <v>#VALUE!</v>
      </c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  <c r="DI44" s="114"/>
      <c r="DJ44" s="114"/>
      <c r="DK44" s="114"/>
      <c r="DL44" s="114"/>
      <c r="DM44" s="114"/>
      <c r="DN44" s="114"/>
      <c r="DO44" s="114"/>
      <c r="DP44" s="114"/>
      <c r="DQ44" s="114"/>
      <c r="DR44" s="114"/>
      <c r="DS44" s="114"/>
      <c r="DT44" s="114"/>
      <c r="DU44" s="114"/>
      <c r="DV44" s="114"/>
      <c r="DW44" s="114"/>
      <c r="DX44" s="114"/>
      <c r="DY44" s="114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4"/>
      <c r="EL44" s="114"/>
      <c r="EM44" s="114"/>
      <c r="EN44" s="114"/>
      <c r="EO44" s="114"/>
      <c r="EP44" s="114"/>
      <c r="EQ44" s="114"/>
      <c r="ER44" s="114"/>
      <c r="ES44" s="114"/>
      <c r="ET44" s="114"/>
      <c r="EU44" s="114"/>
      <c r="EV44" s="114"/>
      <c r="EW44" s="114"/>
      <c r="EX44" s="114"/>
      <c r="EY44" s="114"/>
      <c r="EZ44" s="114"/>
      <c r="FA44" s="114"/>
      <c r="FB44" s="114"/>
      <c r="FC44" s="114"/>
      <c r="FD44" s="114"/>
      <c r="FE44" s="114"/>
      <c r="FF44" s="114"/>
      <c r="FG44" s="114"/>
      <c r="FH44" s="114"/>
      <c r="FI44" s="114"/>
      <c r="FJ44" s="114"/>
      <c r="FK44" s="114"/>
      <c r="FL44" s="114"/>
      <c r="FM44" s="114"/>
      <c r="FN44" s="114"/>
      <c r="FO44" s="114"/>
      <c r="FP44" s="114"/>
      <c r="FQ44" s="114"/>
      <c r="FR44" s="114"/>
      <c r="FS44" s="114"/>
      <c r="FT44" s="114"/>
      <c r="FU44" s="114"/>
      <c r="FV44" s="114"/>
      <c r="FW44" s="114"/>
      <c r="FX44" s="114"/>
      <c r="FY44" s="114"/>
      <c r="FZ44" s="114"/>
      <c r="GA44" s="114"/>
      <c r="GB44" s="114"/>
      <c r="GC44" s="114"/>
      <c r="GD44" s="114"/>
      <c r="GE44" s="114"/>
      <c r="GF44" s="114"/>
      <c r="GG44" s="114"/>
      <c r="GH44" s="114"/>
      <c r="GI44" s="114"/>
      <c r="GJ44" s="114"/>
      <c r="GK44" s="114"/>
      <c r="GL44" s="114"/>
      <c r="GM44" s="114"/>
      <c r="GN44" s="114"/>
      <c r="GO44" s="114"/>
      <c r="GP44" s="114"/>
      <c r="GQ44" s="114"/>
      <c r="GR44" s="114"/>
      <c r="GS44" s="114"/>
      <c r="GT44" s="114"/>
      <c r="GU44" s="114"/>
      <c r="GV44" s="114"/>
      <c r="GW44" s="114"/>
      <c r="GX44" s="114"/>
      <c r="GY44" s="114"/>
      <c r="GZ44" s="114"/>
      <c r="HA44" s="114"/>
      <c r="HB44" s="114"/>
      <c r="HC44" s="114"/>
      <c r="HD44" s="114"/>
      <c r="HE44" s="114"/>
      <c r="HF44" s="114"/>
      <c r="HG44" s="114"/>
      <c r="HH44" s="114"/>
      <c r="HI44" s="114"/>
      <c r="HJ44" s="114"/>
      <c r="HK44" s="114"/>
      <c r="HL44" s="114"/>
      <c r="HM44" s="114"/>
      <c r="HN44" s="114"/>
      <c r="HO44" s="114"/>
      <c r="HP44" s="114"/>
      <c r="HQ44" s="114"/>
      <c r="HR44" s="114"/>
      <c r="HS44" s="114"/>
      <c r="HT44" s="114"/>
      <c r="HU44" s="114"/>
      <c r="HV44" s="114"/>
      <c r="HW44" s="114"/>
      <c r="HX44" s="114"/>
      <c r="HY44" s="114"/>
      <c r="HZ44" s="114"/>
      <c r="IA44" s="114"/>
      <c r="IB44" s="114"/>
      <c r="IC44" s="114"/>
      <c r="ID44" s="114"/>
      <c r="IE44" s="114"/>
      <c r="IF44" s="114"/>
      <c r="IG44" s="114"/>
      <c r="IH44" s="114"/>
      <c r="II44" s="114"/>
      <c r="IJ44" s="114"/>
      <c r="IK44" s="114"/>
      <c r="IL44" s="114"/>
      <c r="IM44" s="114"/>
      <c r="IN44" s="114"/>
      <c r="IO44" s="114"/>
      <c r="IP44" s="114"/>
      <c r="IQ44" s="114"/>
      <c r="IR44" s="114"/>
      <c r="IS44" s="114"/>
      <c r="IT44" s="114"/>
      <c r="IU44" s="114"/>
      <c r="IV44" s="114"/>
      <c r="IW44" s="114"/>
    </row>
    <row r="45" customFormat="false" ht="11.25" hidden="false" customHeight="false" outlineLevel="0" collapsed="false"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4"/>
      <c r="EL45" s="114"/>
      <c r="EM45" s="114"/>
      <c r="EN45" s="114"/>
      <c r="EO45" s="114"/>
      <c r="EP45" s="114"/>
      <c r="EQ45" s="114"/>
      <c r="ER45" s="114"/>
      <c r="ES45" s="114"/>
      <c r="ET45" s="114"/>
      <c r="EU45" s="114"/>
      <c r="EV45" s="114"/>
      <c r="EW45" s="114"/>
      <c r="EX45" s="114"/>
      <c r="EY45" s="114"/>
      <c r="EZ45" s="114"/>
      <c r="FA45" s="114"/>
      <c r="FB45" s="114"/>
      <c r="FC45" s="114"/>
      <c r="FD45" s="114"/>
      <c r="FE45" s="114"/>
      <c r="FF45" s="114"/>
      <c r="FG45" s="114"/>
      <c r="FH45" s="114"/>
      <c r="FI45" s="114"/>
      <c r="FJ45" s="114"/>
      <c r="FK45" s="114"/>
      <c r="FL45" s="114"/>
      <c r="FM45" s="114"/>
      <c r="FN45" s="114"/>
      <c r="FO45" s="114"/>
      <c r="FP45" s="114"/>
      <c r="FQ45" s="114"/>
      <c r="FR45" s="114"/>
      <c r="FS45" s="114"/>
      <c r="FT45" s="114"/>
      <c r="FU45" s="114"/>
      <c r="FV45" s="114"/>
      <c r="FW45" s="114"/>
      <c r="FX45" s="114"/>
      <c r="FY45" s="114"/>
      <c r="FZ45" s="114"/>
      <c r="GA45" s="114"/>
      <c r="GB45" s="114"/>
      <c r="GC45" s="114"/>
      <c r="GD45" s="114"/>
      <c r="GE45" s="114"/>
      <c r="GF45" s="114"/>
      <c r="GG45" s="114"/>
      <c r="GH45" s="114"/>
      <c r="GI45" s="114"/>
      <c r="GJ45" s="114"/>
      <c r="GK45" s="114"/>
      <c r="GL45" s="114"/>
      <c r="GM45" s="114"/>
      <c r="GN45" s="114"/>
      <c r="GO45" s="114"/>
      <c r="GP45" s="114"/>
      <c r="GQ45" s="114"/>
      <c r="GR45" s="114"/>
      <c r="GS45" s="114"/>
      <c r="GT45" s="114"/>
      <c r="GU45" s="114"/>
      <c r="GV45" s="114"/>
      <c r="GW45" s="114"/>
      <c r="GX45" s="114"/>
      <c r="GY45" s="114"/>
      <c r="GZ45" s="114"/>
      <c r="HA45" s="114"/>
      <c r="HB45" s="114"/>
      <c r="HC45" s="114"/>
      <c r="HD45" s="114"/>
      <c r="HE45" s="114"/>
      <c r="HF45" s="114"/>
      <c r="HG45" s="114"/>
      <c r="HH45" s="114"/>
      <c r="HI45" s="114"/>
      <c r="HJ45" s="114"/>
      <c r="HK45" s="114"/>
      <c r="HL45" s="114"/>
      <c r="HM45" s="114"/>
      <c r="HN45" s="114"/>
      <c r="HO45" s="114"/>
      <c r="HP45" s="114"/>
      <c r="HQ45" s="114"/>
      <c r="HR45" s="114"/>
      <c r="HS45" s="114"/>
      <c r="HT45" s="114"/>
      <c r="HU45" s="114"/>
      <c r="HV45" s="114"/>
      <c r="HW45" s="114"/>
      <c r="HX45" s="114"/>
      <c r="HY45" s="114"/>
      <c r="HZ45" s="114"/>
      <c r="IA45" s="114"/>
      <c r="IB45" s="114"/>
      <c r="IC45" s="114"/>
      <c r="ID45" s="114"/>
      <c r="IE45" s="114"/>
      <c r="IF45" s="114"/>
      <c r="IG45" s="114"/>
      <c r="IH45" s="114"/>
      <c r="II45" s="114"/>
      <c r="IJ45" s="114"/>
      <c r="IK45" s="114"/>
      <c r="IL45" s="114"/>
      <c r="IM45" s="114"/>
      <c r="IN45" s="114"/>
      <c r="IO45" s="114"/>
      <c r="IP45" s="114"/>
      <c r="IQ45" s="114"/>
      <c r="IR45" s="114"/>
      <c r="IS45" s="114"/>
      <c r="IT45" s="114"/>
      <c r="IU45" s="114"/>
      <c r="IV45" s="114"/>
      <c r="IW45" s="114"/>
    </row>
    <row r="46" customFormat="false" ht="11.25" hidden="false" customHeight="false" outlineLevel="0" collapsed="false">
      <c r="C46" s="152"/>
      <c r="D46" s="154"/>
      <c r="E46" s="152"/>
      <c r="G46" s="154"/>
      <c r="S46" s="152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4"/>
      <c r="EL46" s="114"/>
      <c r="EM46" s="114"/>
      <c r="EN46" s="114"/>
      <c r="EO46" s="114"/>
      <c r="EP46" s="114"/>
      <c r="EQ46" s="114"/>
      <c r="ER46" s="114"/>
      <c r="ES46" s="114"/>
      <c r="ET46" s="114"/>
      <c r="EU46" s="114"/>
      <c r="EV46" s="114"/>
      <c r="EW46" s="114"/>
      <c r="EX46" s="114"/>
      <c r="EY46" s="114"/>
      <c r="EZ46" s="114"/>
      <c r="FA46" s="114"/>
      <c r="FB46" s="114"/>
      <c r="FC46" s="114"/>
      <c r="FD46" s="114"/>
      <c r="FE46" s="114"/>
      <c r="FF46" s="114"/>
      <c r="FG46" s="114"/>
      <c r="FH46" s="114"/>
      <c r="FI46" s="114"/>
      <c r="FJ46" s="114"/>
      <c r="FK46" s="114"/>
      <c r="FL46" s="114"/>
      <c r="FM46" s="114"/>
      <c r="FN46" s="114"/>
      <c r="FO46" s="114"/>
      <c r="FP46" s="114"/>
      <c r="FQ46" s="114"/>
      <c r="FR46" s="114"/>
      <c r="FS46" s="114"/>
      <c r="FT46" s="114"/>
      <c r="FU46" s="114"/>
      <c r="FV46" s="114"/>
      <c r="FW46" s="114"/>
      <c r="FX46" s="114"/>
      <c r="FY46" s="114"/>
      <c r="FZ46" s="114"/>
      <c r="GA46" s="114"/>
      <c r="GB46" s="114"/>
      <c r="GC46" s="114"/>
      <c r="GD46" s="114"/>
      <c r="GE46" s="114"/>
      <c r="GF46" s="114"/>
      <c r="GG46" s="114"/>
      <c r="GH46" s="114"/>
      <c r="GI46" s="114"/>
      <c r="GJ46" s="114"/>
      <c r="GK46" s="114"/>
      <c r="GL46" s="114"/>
      <c r="GM46" s="114"/>
      <c r="GN46" s="114"/>
      <c r="GO46" s="114"/>
      <c r="GP46" s="114"/>
      <c r="GQ46" s="114"/>
      <c r="GR46" s="114"/>
      <c r="GS46" s="114"/>
      <c r="GT46" s="114"/>
      <c r="GU46" s="114"/>
      <c r="GV46" s="114"/>
      <c r="GW46" s="114"/>
      <c r="GX46" s="114"/>
      <c r="GY46" s="114"/>
      <c r="GZ46" s="114"/>
      <c r="HA46" s="114"/>
      <c r="HB46" s="114"/>
      <c r="HC46" s="114"/>
      <c r="HD46" s="114"/>
      <c r="HE46" s="114"/>
      <c r="HF46" s="114"/>
      <c r="HG46" s="114"/>
      <c r="HH46" s="114"/>
      <c r="HI46" s="114"/>
      <c r="HJ46" s="114"/>
      <c r="HK46" s="114"/>
      <c r="HL46" s="114"/>
      <c r="HM46" s="114"/>
      <c r="HN46" s="114"/>
      <c r="HO46" s="114"/>
      <c r="HP46" s="114"/>
      <c r="HQ46" s="114"/>
      <c r="HR46" s="114"/>
      <c r="HS46" s="114"/>
      <c r="HT46" s="114"/>
      <c r="HU46" s="114"/>
      <c r="HV46" s="114"/>
      <c r="HW46" s="114"/>
      <c r="HX46" s="114"/>
      <c r="HY46" s="114"/>
      <c r="HZ46" s="114"/>
      <c r="IA46" s="114"/>
      <c r="IB46" s="114"/>
      <c r="IC46" s="114"/>
      <c r="ID46" s="114"/>
      <c r="IE46" s="114"/>
      <c r="IF46" s="114"/>
      <c r="IG46" s="114"/>
      <c r="IH46" s="114"/>
      <c r="II46" s="114"/>
      <c r="IJ46" s="114"/>
      <c r="IK46" s="114"/>
      <c r="IL46" s="114"/>
      <c r="IM46" s="114"/>
      <c r="IN46" s="114"/>
      <c r="IO46" s="114"/>
      <c r="IP46" s="114"/>
      <c r="IQ46" s="114"/>
      <c r="IR46" s="114"/>
      <c r="IS46" s="114"/>
      <c r="IT46" s="114"/>
      <c r="IU46" s="114"/>
      <c r="IV46" s="114"/>
      <c r="IW46" s="114"/>
    </row>
    <row r="47" customFormat="false" ht="11.25" hidden="false" customHeight="false" outlineLevel="0" collapsed="false">
      <c r="C47" s="152"/>
      <c r="D47" s="154"/>
      <c r="E47" s="152"/>
      <c r="G47" s="154"/>
      <c r="S47" s="152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4"/>
      <c r="EL47" s="114"/>
      <c r="EM47" s="114"/>
      <c r="EN47" s="114"/>
      <c r="EO47" s="114"/>
      <c r="EP47" s="114"/>
      <c r="EQ47" s="114"/>
      <c r="ER47" s="114"/>
      <c r="ES47" s="114"/>
      <c r="ET47" s="114"/>
      <c r="EU47" s="114"/>
      <c r="EV47" s="114"/>
      <c r="EW47" s="114"/>
      <c r="EX47" s="114"/>
      <c r="EY47" s="114"/>
      <c r="EZ47" s="114"/>
      <c r="FA47" s="114"/>
      <c r="FB47" s="114"/>
      <c r="FC47" s="114"/>
      <c r="FD47" s="114"/>
      <c r="FE47" s="114"/>
      <c r="FF47" s="114"/>
      <c r="FG47" s="114"/>
      <c r="FH47" s="114"/>
      <c r="FI47" s="114"/>
      <c r="FJ47" s="114"/>
      <c r="FK47" s="114"/>
      <c r="FL47" s="114"/>
      <c r="FM47" s="114"/>
      <c r="FN47" s="114"/>
      <c r="FO47" s="114"/>
      <c r="FP47" s="114"/>
      <c r="FQ47" s="114"/>
      <c r="FR47" s="114"/>
      <c r="FS47" s="114"/>
      <c r="FT47" s="114"/>
      <c r="FU47" s="114"/>
      <c r="FV47" s="114"/>
      <c r="FW47" s="114"/>
      <c r="FX47" s="114"/>
      <c r="FY47" s="114"/>
      <c r="FZ47" s="114"/>
      <c r="GA47" s="114"/>
      <c r="GB47" s="114"/>
      <c r="GC47" s="114"/>
      <c r="GD47" s="114"/>
      <c r="GE47" s="114"/>
      <c r="GF47" s="114"/>
      <c r="GG47" s="114"/>
      <c r="GH47" s="114"/>
      <c r="GI47" s="114"/>
      <c r="GJ47" s="114"/>
      <c r="GK47" s="114"/>
      <c r="GL47" s="114"/>
      <c r="GM47" s="114"/>
      <c r="GN47" s="114"/>
      <c r="GO47" s="114"/>
      <c r="GP47" s="114"/>
      <c r="GQ47" s="114"/>
      <c r="GR47" s="114"/>
      <c r="GS47" s="114"/>
      <c r="GT47" s="114"/>
      <c r="GU47" s="114"/>
      <c r="GV47" s="114"/>
      <c r="GW47" s="114"/>
      <c r="GX47" s="114"/>
      <c r="GY47" s="114"/>
      <c r="GZ47" s="114"/>
      <c r="HA47" s="114"/>
      <c r="HB47" s="114"/>
      <c r="HC47" s="114"/>
      <c r="HD47" s="114"/>
      <c r="HE47" s="114"/>
      <c r="HF47" s="114"/>
      <c r="HG47" s="114"/>
      <c r="HH47" s="114"/>
      <c r="HI47" s="114"/>
      <c r="HJ47" s="114"/>
      <c r="HK47" s="114"/>
      <c r="HL47" s="114"/>
      <c r="HM47" s="114"/>
      <c r="HN47" s="114"/>
      <c r="HO47" s="114"/>
      <c r="HP47" s="114"/>
      <c r="HQ47" s="114"/>
      <c r="HR47" s="114"/>
      <c r="HS47" s="114"/>
      <c r="HT47" s="114"/>
      <c r="HU47" s="114"/>
      <c r="HV47" s="114"/>
      <c r="HW47" s="114"/>
      <c r="HX47" s="114"/>
      <c r="HY47" s="114"/>
      <c r="HZ47" s="114"/>
      <c r="IA47" s="114"/>
      <c r="IB47" s="114"/>
      <c r="IC47" s="114"/>
      <c r="ID47" s="114"/>
      <c r="IE47" s="114"/>
      <c r="IF47" s="114"/>
      <c r="IG47" s="114"/>
      <c r="IH47" s="114"/>
      <c r="II47" s="114"/>
      <c r="IJ47" s="114"/>
      <c r="IK47" s="114"/>
      <c r="IL47" s="114"/>
      <c r="IM47" s="114"/>
      <c r="IN47" s="114"/>
      <c r="IO47" s="114"/>
      <c r="IP47" s="114"/>
      <c r="IQ47" s="114"/>
      <c r="IR47" s="114"/>
      <c r="IS47" s="114"/>
      <c r="IT47" s="114"/>
      <c r="IU47" s="114"/>
      <c r="IV47" s="114"/>
      <c r="IW47" s="114"/>
    </row>
    <row r="48" customFormat="false" ht="11.25" hidden="false" customHeight="false" outlineLevel="0" collapsed="false">
      <c r="C48" s="152"/>
      <c r="D48" s="154"/>
      <c r="E48" s="152"/>
      <c r="G48" s="154"/>
      <c r="S48" s="152"/>
      <c r="V48" s="114"/>
      <c r="W48" s="114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  <c r="DI48" s="114"/>
      <c r="DJ48" s="114"/>
      <c r="DK48" s="114"/>
      <c r="DL48" s="114"/>
      <c r="DM48" s="114"/>
      <c r="DN48" s="114"/>
      <c r="DO48" s="114"/>
      <c r="DP48" s="114"/>
      <c r="DQ48" s="114"/>
      <c r="DR48" s="114"/>
      <c r="DS48" s="114"/>
      <c r="DT48" s="114"/>
      <c r="DU48" s="114"/>
      <c r="DV48" s="114"/>
      <c r="DW48" s="114"/>
      <c r="DX48" s="114"/>
      <c r="DY48" s="114"/>
      <c r="DZ48" s="114"/>
      <c r="EA48" s="114"/>
      <c r="EB48" s="114"/>
      <c r="EC48" s="114"/>
      <c r="ED48" s="114"/>
      <c r="EE48" s="114"/>
      <c r="EF48" s="114"/>
      <c r="EG48" s="114"/>
      <c r="EH48" s="114"/>
      <c r="EI48" s="114"/>
      <c r="EJ48" s="114"/>
      <c r="EK48" s="114"/>
      <c r="EL48" s="114"/>
      <c r="EM48" s="114"/>
      <c r="EN48" s="114"/>
      <c r="EO48" s="114"/>
      <c r="EP48" s="114"/>
      <c r="EQ48" s="114"/>
      <c r="ER48" s="114"/>
      <c r="ES48" s="114"/>
      <c r="ET48" s="114"/>
      <c r="EU48" s="114"/>
      <c r="EV48" s="114"/>
      <c r="EW48" s="114"/>
      <c r="EX48" s="114"/>
      <c r="EY48" s="114"/>
      <c r="EZ48" s="114"/>
      <c r="FA48" s="114"/>
      <c r="FB48" s="114"/>
      <c r="FC48" s="114"/>
      <c r="FD48" s="114"/>
      <c r="FE48" s="114"/>
      <c r="FF48" s="114"/>
      <c r="FG48" s="114"/>
      <c r="FH48" s="114"/>
      <c r="FI48" s="114"/>
      <c r="FJ48" s="114"/>
      <c r="FK48" s="114"/>
      <c r="FL48" s="114"/>
      <c r="FM48" s="114"/>
      <c r="FN48" s="114"/>
      <c r="FO48" s="114"/>
      <c r="FP48" s="114"/>
      <c r="FQ48" s="114"/>
      <c r="FR48" s="114"/>
      <c r="FS48" s="114"/>
      <c r="FT48" s="114"/>
      <c r="FU48" s="114"/>
      <c r="FV48" s="114"/>
      <c r="FW48" s="114"/>
      <c r="FX48" s="114"/>
      <c r="FY48" s="114"/>
      <c r="FZ48" s="114"/>
      <c r="GA48" s="114"/>
      <c r="GB48" s="114"/>
      <c r="GC48" s="114"/>
      <c r="GD48" s="114"/>
      <c r="GE48" s="114"/>
      <c r="GF48" s="114"/>
      <c r="GG48" s="114"/>
      <c r="GH48" s="114"/>
      <c r="GI48" s="114"/>
      <c r="GJ48" s="114"/>
      <c r="GK48" s="114"/>
      <c r="GL48" s="114"/>
      <c r="GM48" s="114"/>
      <c r="GN48" s="114"/>
      <c r="GO48" s="114"/>
      <c r="GP48" s="114"/>
      <c r="GQ48" s="114"/>
      <c r="GR48" s="114"/>
      <c r="GS48" s="114"/>
      <c r="GT48" s="114"/>
      <c r="GU48" s="114"/>
      <c r="GV48" s="114"/>
      <c r="GW48" s="114"/>
      <c r="GX48" s="114"/>
      <c r="GY48" s="114"/>
      <c r="GZ48" s="114"/>
      <c r="HA48" s="114"/>
      <c r="HB48" s="114"/>
      <c r="HC48" s="114"/>
      <c r="HD48" s="114"/>
      <c r="HE48" s="114"/>
      <c r="HF48" s="114"/>
      <c r="HG48" s="114"/>
      <c r="HH48" s="114"/>
      <c r="HI48" s="114"/>
      <c r="HJ48" s="114"/>
      <c r="HK48" s="114"/>
      <c r="HL48" s="114"/>
      <c r="HM48" s="114"/>
      <c r="HN48" s="114"/>
      <c r="HO48" s="114"/>
      <c r="HP48" s="114"/>
      <c r="HQ48" s="114"/>
      <c r="HR48" s="114"/>
      <c r="HS48" s="114"/>
      <c r="HT48" s="114"/>
      <c r="HU48" s="114"/>
      <c r="HV48" s="114"/>
      <c r="HW48" s="114"/>
      <c r="HX48" s="114"/>
      <c r="HY48" s="114"/>
      <c r="HZ48" s="114"/>
      <c r="IA48" s="114"/>
      <c r="IB48" s="114"/>
      <c r="IC48" s="114"/>
      <c r="ID48" s="114"/>
      <c r="IE48" s="114"/>
      <c r="IF48" s="114"/>
      <c r="IG48" s="114"/>
      <c r="IH48" s="114"/>
      <c r="II48" s="114"/>
      <c r="IJ48" s="114"/>
      <c r="IK48" s="114"/>
      <c r="IL48" s="114"/>
      <c r="IM48" s="114"/>
      <c r="IN48" s="114"/>
      <c r="IO48" s="114"/>
      <c r="IP48" s="114"/>
      <c r="IQ48" s="114"/>
      <c r="IR48" s="114"/>
      <c r="IS48" s="114"/>
      <c r="IT48" s="114"/>
      <c r="IU48" s="114"/>
      <c r="IV48" s="114"/>
      <c r="IW48" s="114"/>
    </row>
    <row r="49" customFormat="false" ht="11.25" hidden="false" customHeight="false" outlineLevel="0" collapsed="false">
      <c r="A49" s="168" t="s">
        <v>104</v>
      </c>
      <c r="E49" s="152"/>
      <c r="F49" s="152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4"/>
      <c r="EL49" s="114"/>
      <c r="EM49" s="114"/>
      <c r="EN49" s="114"/>
      <c r="EO49" s="114"/>
      <c r="EP49" s="114"/>
      <c r="EQ49" s="114"/>
      <c r="ER49" s="114"/>
      <c r="ES49" s="114"/>
      <c r="ET49" s="114"/>
      <c r="EU49" s="114"/>
      <c r="EV49" s="114"/>
      <c r="EW49" s="114"/>
      <c r="EX49" s="114"/>
      <c r="EY49" s="114"/>
      <c r="EZ49" s="114"/>
      <c r="FA49" s="114"/>
      <c r="FB49" s="114"/>
      <c r="FC49" s="114"/>
      <c r="FD49" s="114"/>
      <c r="FE49" s="114"/>
      <c r="FF49" s="114"/>
      <c r="FG49" s="114"/>
      <c r="FH49" s="114"/>
      <c r="FI49" s="114"/>
      <c r="FJ49" s="114"/>
      <c r="FK49" s="114"/>
      <c r="FL49" s="114"/>
      <c r="FM49" s="114"/>
      <c r="FN49" s="114"/>
      <c r="FO49" s="114"/>
      <c r="FP49" s="114"/>
      <c r="FQ49" s="114"/>
      <c r="FR49" s="114"/>
      <c r="FS49" s="114"/>
      <c r="FT49" s="114"/>
      <c r="FU49" s="114"/>
      <c r="FV49" s="114"/>
      <c r="FW49" s="114"/>
      <c r="FX49" s="114"/>
      <c r="FY49" s="114"/>
      <c r="FZ49" s="114"/>
      <c r="GA49" s="114"/>
      <c r="GB49" s="114"/>
      <c r="GC49" s="114"/>
      <c r="GD49" s="114"/>
      <c r="GE49" s="114"/>
      <c r="GF49" s="114"/>
      <c r="GG49" s="114"/>
      <c r="GH49" s="114"/>
      <c r="GI49" s="114"/>
      <c r="GJ49" s="114"/>
      <c r="GK49" s="114"/>
      <c r="GL49" s="114"/>
      <c r="GM49" s="114"/>
      <c r="GN49" s="114"/>
      <c r="GO49" s="114"/>
      <c r="GP49" s="114"/>
      <c r="GQ49" s="114"/>
      <c r="GR49" s="114"/>
      <c r="GS49" s="114"/>
      <c r="GT49" s="114"/>
      <c r="GU49" s="114"/>
      <c r="GV49" s="114"/>
      <c r="GW49" s="114"/>
      <c r="GX49" s="114"/>
      <c r="GY49" s="114"/>
      <c r="GZ49" s="114"/>
      <c r="HA49" s="114"/>
      <c r="HB49" s="114"/>
      <c r="HC49" s="114"/>
      <c r="HD49" s="114"/>
      <c r="HE49" s="114"/>
      <c r="HF49" s="114"/>
      <c r="HG49" s="114"/>
      <c r="HH49" s="114"/>
      <c r="HI49" s="114"/>
      <c r="HJ49" s="114"/>
      <c r="HK49" s="114"/>
      <c r="HL49" s="114"/>
      <c r="HM49" s="114"/>
      <c r="HN49" s="114"/>
      <c r="HO49" s="114"/>
      <c r="HP49" s="114"/>
      <c r="HQ49" s="114"/>
      <c r="HR49" s="114"/>
      <c r="HS49" s="114"/>
      <c r="HT49" s="114"/>
      <c r="HU49" s="114"/>
      <c r="HV49" s="114"/>
      <c r="HW49" s="114"/>
      <c r="HX49" s="114"/>
      <c r="HY49" s="114"/>
      <c r="HZ49" s="114"/>
      <c r="IA49" s="114"/>
      <c r="IB49" s="114"/>
      <c r="IC49" s="114"/>
      <c r="ID49" s="114"/>
      <c r="IE49" s="114"/>
      <c r="IF49" s="114"/>
      <c r="IG49" s="114"/>
      <c r="IH49" s="114"/>
      <c r="II49" s="114"/>
      <c r="IJ49" s="114"/>
      <c r="IK49" s="114"/>
      <c r="IL49" s="114"/>
      <c r="IM49" s="114"/>
      <c r="IN49" s="114"/>
      <c r="IO49" s="114"/>
      <c r="IP49" s="114"/>
      <c r="IQ49" s="114"/>
      <c r="IR49" s="114"/>
      <c r="IS49" s="114"/>
      <c r="IT49" s="114"/>
      <c r="IU49" s="114"/>
      <c r="IV49" s="114"/>
      <c r="IW49" s="114"/>
    </row>
    <row r="50" customFormat="false" ht="11.25" hidden="false" customHeight="false" outlineLevel="0" collapsed="false">
      <c r="A50" s="169" t="s">
        <v>90</v>
      </c>
      <c r="B50" s="170" t="e">
        <f aca="false">B27</f>
        <v>#VALUE!</v>
      </c>
      <c r="C50" s="170" t="e">
        <f aca="false">C27</f>
        <v>#VALUE!</v>
      </c>
      <c r="D50" s="170" t="e">
        <f aca="false">D27</f>
        <v>#VALUE!</v>
      </c>
      <c r="E50" s="170" t="e">
        <f aca="false">E27</f>
        <v>#VALUE!</v>
      </c>
      <c r="F50" s="170" t="e">
        <f aca="false">F27</f>
        <v>#VALUE!</v>
      </c>
      <c r="G50" s="170" t="e">
        <f aca="false">G27</f>
        <v>#VALUE!</v>
      </c>
      <c r="H50" s="170" t="e">
        <f aca="false">H27</f>
        <v>#VALUE!</v>
      </c>
      <c r="I50" s="170" t="e">
        <f aca="false">I27</f>
        <v>#VALUE!</v>
      </c>
      <c r="J50" s="170" t="e">
        <f aca="false">J27</f>
        <v>#VALUE!</v>
      </c>
      <c r="K50" s="170" t="e">
        <f aca="false">K27</f>
        <v>#VALUE!</v>
      </c>
      <c r="L50" s="170" t="e">
        <f aca="false">L27</f>
        <v>#VALUE!</v>
      </c>
      <c r="M50" s="170" t="e">
        <f aca="false">M27</f>
        <v>#VALUE!</v>
      </c>
      <c r="N50" s="170" t="e">
        <f aca="false">N27</f>
        <v>#VALUE!</v>
      </c>
      <c r="O50" s="170" t="e">
        <f aca="false">O27</f>
        <v>#VALUE!</v>
      </c>
      <c r="P50" s="170" t="e">
        <f aca="false">P27</f>
        <v>#VALUE!</v>
      </c>
      <c r="Q50" s="170" t="e">
        <f aca="false">Q27</f>
        <v>#VALUE!</v>
      </c>
      <c r="R50" s="170" t="e">
        <f aca="false">R27</f>
        <v>#VALUE!</v>
      </c>
      <c r="S50" s="170" t="e">
        <f aca="false">S27</f>
        <v>#VALUE!</v>
      </c>
      <c r="T50" s="170" t="e">
        <f aca="false">T27</f>
        <v>#VALUE!</v>
      </c>
      <c r="U50" s="170" t="e">
        <f aca="false">U27</f>
        <v>#VALUE!</v>
      </c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  <c r="DI50" s="114"/>
      <c r="DJ50" s="114"/>
      <c r="DK50" s="114"/>
      <c r="DL50" s="114"/>
      <c r="DM50" s="114"/>
      <c r="DN50" s="114"/>
      <c r="DO50" s="114"/>
      <c r="DP50" s="114"/>
      <c r="DQ50" s="114"/>
      <c r="DR50" s="114"/>
      <c r="DS50" s="114"/>
      <c r="DT50" s="114"/>
      <c r="DU50" s="114"/>
      <c r="DV50" s="114"/>
      <c r="DW50" s="114"/>
      <c r="DX50" s="114"/>
      <c r="DY50" s="114"/>
      <c r="DZ50" s="114"/>
      <c r="EA50" s="114"/>
      <c r="EB50" s="114"/>
      <c r="EC50" s="114"/>
      <c r="ED50" s="114"/>
      <c r="EE50" s="114"/>
      <c r="EF50" s="114"/>
      <c r="EG50" s="114"/>
      <c r="EH50" s="114"/>
      <c r="EI50" s="114"/>
      <c r="EJ50" s="114"/>
      <c r="EK50" s="114"/>
      <c r="EL50" s="114"/>
      <c r="EM50" s="114"/>
      <c r="EN50" s="114"/>
      <c r="EO50" s="114"/>
      <c r="EP50" s="114"/>
      <c r="EQ50" s="114"/>
      <c r="ER50" s="114"/>
      <c r="ES50" s="114"/>
      <c r="ET50" s="114"/>
      <c r="EU50" s="114"/>
      <c r="EV50" s="114"/>
      <c r="EW50" s="114"/>
      <c r="EX50" s="114"/>
      <c r="EY50" s="114"/>
      <c r="EZ50" s="114"/>
      <c r="FA50" s="114"/>
      <c r="FB50" s="114"/>
      <c r="FC50" s="114"/>
      <c r="FD50" s="114"/>
      <c r="FE50" s="114"/>
      <c r="FF50" s="114"/>
      <c r="FG50" s="114"/>
      <c r="FH50" s="114"/>
      <c r="FI50" s="114"/>
      <c r="FJ50" s="114"/>
      <c r="FK50" s="114"/>
      <c r="FL50" s="114"/>
      <c r="FM50" s="114"/>
      <c r="FN50" s="114"/>
      <c r="FO50" s="114"/>
      <c r="FP50" s="114"/>
      <c r="FQ50" s="114"/>
      <c r="FR50" s="114"/>
      <c r="FS50" s="114"/>
      <c r="FT50" s="114"/>
      <c r="FU50" s="114"/>
      <c r="FV50" s="114"/>
      <c r="FW50" s="114"/>
      <c r="FX50" s="114"/>
      <c r="FY50" s="114"/>
      <c r="FZ50" s="114"/>
      <c r="GA50" s="114"/>
      <c r="GB50" s="114"/>
      <c r="GC50" s="114"/>
      <c r="GD50" s="114"/>
      <c r="GE50" s="114"/>
      <c r="GF50" s="114"/>
      <c r="GG50" s="114"/>
      <c r="GH50" s="114"/>
      <c r="GI50" s="114"/>
      <c r="GJ50" s="114"/>
      <c r="GK50" s="114"/>
      <c r="GL50" s="114"/>
      <c r="GM50" s="114"/>
      <c r="GN50" s="114"/>
      <c r="GO50" s="114"/>
      <c r="GP50" s="114"/>
      <c r="GQ50" s="114"/>
      <c r="GR50" s="114"/>
      <c r="GS50" s="114"/>
      <c r="GT50" s="114"/>
      <c r="GU50" s="114"/>
      <c r="GV50" s="114"/>
      <c r="GW50" s="114"/>
      <c r="GX50" s="114"/>
      <c r="GY50" s="114"/>
      <c r="GZ50" s="114"/>
      <c r="HA50" s="114"/>
      <c r="HB50" s="114"/>
      <c r="HC50" s="114"/>
      <c r="HD50" s="114"/>
      <c r="HE50" s="114"/>
      <c r="HF50" s="114"/>
      <c r="HG50" s="114"/>
      <c r="HH50" s="114"/>
      <c r="HI50" s="114"/>
      <c r="HJ50" s="114"/>
      <c r="HK50" s="114"/>
      <c r="HL50" s="114"/>
      <c r="HM50" s="114"/>
      <c r="HN50" s="114"/>
      <c r="HO50" s="114"/>
      <c r="HP50" s="114"/>
      <c r="HQ50" s="114"/>
      <c r="HR50" s="114"/>
      <c r="HS50" s="114"/>
      <c r="HT50" s="114"/>
      <c r="HU50" s="114"/>
      <c r="HV50" s="114"/>
      <c r="HW50" s="114"/>
      <c r="HX50" s="114"/>
      <c r="HY50" s="114"/>
      <c r="HZ50" s="114"/>
      <c r="IA50" s="114"/>
      <c r="IB50" s="114"/>
      <c r="IC50" s="114"/>
      <c r="ID50" s="114"/>
      <c r="IE50" s="114"/>
      <c r="IF50" s="114"/>
      <c r="IG50" s="114"/>
      <c r="IH50" s="114"/>
      <c r="II50" s="114"/>
      <c r="IJ50" s="114"/>
      <c r="IK50" s="114"/>
      <c r="IL50" s="114"/>
      <c r="IM50" s="114"/>
      <c r="IN50" s="114"/>
      <c r="IO50" s="114"/>
      <c r="IP50" s="114"/>
      <c r="IQ50" s="114"/>
      <c r="IR50" s="114"/>
      <c r="IS50" s="114"/>
      <c r="IT50" s="114"/>
      <c r="IU50" s="114"/>
      <c r="IV50" s="114"/>
      <c r="IW50" s="114"/>
    </row>
    <row r="51" customFormat="false" ht="11.25" hidden="false" customHeight="false" outlineLevel="0" collapsed="false">
      <c r="A51" s="169" t="s">
        <v>93</v>
      </c>
      <c r="B51" s="170" t="e">
        <f aca="false">B32</f>
        <v>#VALUE!</v>
      </c>
      <c r="C51" s="170" t="e">
        <f aca="false">C32</f>
        <v>#VALUE!</v>
      </c>
      <c r="D51" s="170" t="e">
        <f aca="false">D32</f>
        <v>#VALUE!</v>
      </c>
      <c r="E51" s="170" t="e">
        <f aca="false">E32</f>
        <v>#VALUE!</v>
      </c>
      <c r="F51" s="170" t="e">
        <f aca="false">F32</f>
        <v>#VALUE!</v>
      </c>
      <c r="G51" s="170" t="e">
        <f aca="false">G32</f>
        <v>#VALUE!</v>
      </c>
      <c r="H51" s="170" t="e">
        <f aca="false">H32</f>
        <v>#VALUE!</v>
      </c>
      <c r="I51" s="170" t="e">
        <f aca="false">I32</f>
        <v>#VALUE!</v>
      </c>
      <c r="J51" s="170" t="e">
        <f aca="false">J32</f>
        <v>#VALUE!</v>
      </c>
      <c r="K51" s="170" t="e">
        <f aca="false">K32</f>
        <v>#VALUE!</v>
      </c>
      <c r="L51" s="170" t="e">
        <f aca="false">L32</f>
        <v>#VALUE!</v>
      </c>
      <c r="M51" s="170" t="e">
        <f aca="false">M32</f>
        <v>#VALUE!</v>
      </c>
      <c r="N51" s="170" t="e">
        <f aca="false">N32</f>
        <v>#VALUE!</v>
      </c>
      <c r="O51" s="170" t="e">
        <f aca="false">O32</f>
        <v>#VALUE!</v>
      </c>
      <c r="P51" s="170" t="e">
        <f aca="false">P32</f>
        <v>#VALUE!</v>
      </c>
      <c r="Q51" s="170" t="e">
        <f aca="false">Q32</f>
        <v>#VALUE!</v>
      </c>
      <c r="R51" s="170" t="e">
        <f aca="false">R32</f>
        <v>#VALUE!</v>
      </c>
      <c r="S51" s="170" t="e">
        <f aca="false">S32</f>
        <v>#VALUE!</v>
      </c>
      <c r="T51" s="170" t="e">
        <f aca="false">T32</f>
        <v>#VALUE!</v>
      </c>
      <c r="U51" s="170" t="e">
        <f aca="false">U32</f>
        <v>#VALUE!</v>
      </c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  <c r="DI51" s="114"/>
      <c r="DJ51" s="114"/>
      <c r="DK51" s="114"/>
      <c r="DL51" s="114"/>
      <c r="DM51" s="114"/>
      <c r="DN51" s="114"/>
      <c r="DO51" s="114"/>
      <c r="DP51" s="114"/>
      <c r="DQ51" s="114"/>
      <c r="DR51" s="114"/>
      <c r="DS51" s="114"/>
      <c r="DT51" s="114"/>
      <c r="DU51" s="114"/>
      <c r="DV51" s="114"/>
      <c r="DW51" s="114"/>
      <c r="DX51" s="114"/>
      <c r="DY51" s="114"/>
      <c r="DZ51" s="114"/>
      <c r="EA51" s="114"/>
      <c r="EB51" s="114"/>
      <c r="EC51" s="114"/>
      <c r="ED51" s="114"/>
      <c r="EE51" s="114"/>
      <c r="EF51" s="114"/>
      <c r="EG51" s="114"/>
      <c r="EH51" s="114"/>
      <c r="EI51" s="114"/>
      <c r="EJ51" s="114"/>
      <c r="EK51" s="114"/>
      <c r="EL51" s="114"/>
      <c r="EM51" s="114"/>
      <c r="EN51" s="114"/>
      <c r="EO51" s="114"/>
      <c r="EP51" s="114"/>
      <c r="EQ51" s="114"/>
      <c r="ER51" s="114"/>
      <c r="ES51" s="114"/>
      <c r="ET51" s="114"/>
      <c r="EU51" s="114"/>
      <c r="EV51" s="114"/>
      <c r="EW51" s="114"/>
      <c r="EX51" s="114"/>
      <c r="EY51" s="114"/>
      <c r="EZ51" s="114"/>
      <c r="FA51" s="114"/>
      <c r="FB51" s="114"/>
      <c r="FC51" s="114"/>
      <c r="FD51" s="114"/>
      <c r="FE51" s="114"/>
      <c r="FF51" s="114"/>
      <c r="FG51" s="114"/>
      <c r="FH51" s="114"/>
      <c r="FI51" s="114"/>
      <c r="FJ51" s="114"/>
      <c r="FK51" s="114"/>
      <c r="FL51" s="114"/>
      <c r="FM51" s="114"/>
      <c r="FN51" s="114"/>
      <c r="FO51" s="114"/>
      <c r="FP51" s="114"/>
      <c r="FQ51" s="114"/>
      <c r="FR51" s="114"/>
      <c r="FS51" s="114"/>
      <c r="FT51" s="114"/>
      <c r="FU51" s="114"/>
      <c r="FV51" s="114"/>
      <c r="FW51" s="114"/>
      <c r="FX51" s="114"/>
      <c r="FY51" s="114"/>
      <c r="FZ51" s="114"/>
      <c r="GA51" s="114"/>
      <c r="GB51" s="114"/>
      <c r="GC51" s="114"/>
      <c r="GD51" s="114"/>
      <c r="GE51" s="114"/>
      <c r="GF51" s="114"/>
      <c r="GG51" s="114"/>
      <c r="GH51" s="114"/>
      <c r="GI51" s="114"/>
      <c r="GJ51" s="114"/>
      <c r="GK51" s="114"/>
      <c r="GL51" s="114"/>
      <c r="GM51" s="114"/>
      <c r="GN51" s="114"/>
      <c r="GO51" s="114"/>
      <c r="GP51" s="114"/>
      <c r="GQ51" s="114"/>
      <c r="GR51" s="114"/>
      <c r="GS51" s="114"/>
      <c r="GT51" s="114"/>
      <c r="GU51" s="114"/>
      <c r="GV51" s="114"/>
      <c r="GW51" s="114"/>
      <c r="GX51" s="114"/>
      <c r="GY51" s="114"/>
      <c r="GZ51" s="114"/>
      <c r="HA51" s="114"/>
      <c r="HB51" s="114"/>
      <c r="HC51" s="114"/>
      <c r="HD51" s="114"/>
      <c r="HE51" s="114"/>
      <c r="HF51" s="114"/>
      <c r="HG51" s="114"/>
      <c r="HH51" s="114"/>
      <c r="HI51" s="114"/>
      <c r="HJ51" s="114"/>
      <c r="HK51" s="114"/>
      <c r="HL51" s="114"/>
      <c r="HM51" s="114"/>
      <c r="HN51" s="114"/>
      <c r="HO51" s="114"/>
      <c r="HP51" s="114"/>
      <c r="HQ51" s="114"/>
      <c r="HR51" s="114"/>
      <c r="HS51" s="114"/>
      <c r="HT51" s="114"/>
      <c r="HU51" s="114"/>
      <c r="HV51" s="114"/>
      <c r="HW51" s="114"/>
      <c r="HX51" s="114"/>
      <c r="HY51" s="114"/>
      <c r="HZ51" s="114"/>
      <c r="IA51" s="114"/>
      <c r="IB51" s="114"/>
      <c r="IC51" s="114"/>
      <c r="ID51" s="114"/>
      <c r="IE51" s="114"/>
      <c r="IF51" s="114"/>
      <c r="IG51" s="114"/>
      <c r="IH51" s="114"/>
      <c r="II51" s="114"/>
      <c r="IJ51" s="114"/>
      <c r="IK51" s="114"/>
      <c r="IL51" s="114"/>
      <c r="IM51" s="114"/>
      <c r="IN51" s="114"/>
      <c r="IO51" s="114"/>
      <c r="IP51" s="114"/>
      <c r="IQ51" s="114"/>
      <c r="IR51" s="114"/>
      <c r="IS51" s="114"/>
      <c r="IT51" s="114"/>
      <c r="IU51" s="114"/>
      <c r="IV51" s="114"/>
      <c r="IW51" s="114"/>
    </row>
    <row r="52" customFormat="false" ht="11.25" hidden="false" customHeight="false" outlineLevel="0" collapsed="false">
      <c r="A52" s="169" t="s">
        <v>105</v>
      </c>
      <c r="B52" s="170" t="e">
        <f aca="false">B33</f>
        <v>#VALUE!</v>
      </c>
      <c r="C52" s="170" t="e">
        <f aca="false">C33</f>
        <v>#VALUE!</v>
      </c>
      <c r="D52" s="170" t="e">
        <f aca="false">D33</f>
        <v>#VALUE!</v>
      </c>
      <c r="E52" s="170" t="e">
        <f aca="false">E33</f>
        <v>#VALUE!</v>
      </c>
      <c r="F52" s="170" t="e">
        <f aca="false">F33</f>
        <v>#VALUE!</v>
      </c>
      <c r="G52" s="170" t="e">
        <f aca="false">G33</f>
        <v>#VALUE!</v>
      </c>
      <c r="H52" s="170" t="e">
        <f aca="false">H33</f>
        <v>#VALUE!</v>
      </c>
      <c r="I52" s="170" t="e">
        <f aca="false">I33</f>
        <v>#VALUE!</v>
      </c>
      <c r="J52" s="170" t="e">
        <f aca="false">J33</f>
        <v>#VALUE!</v>
      </c>
      <c r="K52" s="170" t="e">
        <f aca="false">K33</f>
        <v>#VALUE!</v>
      </c>
      <c r="L52" s="170" t="e">
        <f aca="false">L33</f>
        <v>#VALUE!</v>
      </c>
      <c r="M52" s="170" t="e">
        <f aca="false">M33</f>
        <v>#VALUE!</v>
      </c>
      <c r="N52" s="170" t="e">
        <f aca="false">N33</f>
        <v>#VALUE!</v>
      </c>
      <c r="O52" s="170" t="e">
        <f aca="false">O33</f>
        <v>#VALUE!</v>
      </c>
      <c r="P52" s="170" t="e">
        <f aca="false">P33</f>
        <v>#VALUE!</v>
      </c>
      <c r="Q52" s="170" t="e">
        <f aca="false">Q33</f>
        <v>#VALUE!</v>
      </c>
      <c r="R52" s="170" t="n">
        <f aca="false">R33</f>
        <v>0</v>
      </c>
      <c r="S52" s="170" t="n">
        <f aca="false">S33</f>
        <v>0</v>
      </c>
      <c r="T52" s="170" t="n">
        <f aca="false">T33</f>
        <v>0</v>
      </c>
      <c r="U52" s="170" t="n">
        <f aca="false">U33</f>
        <v>0</v>
      </c>
      <c r="V52" s="114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  <c r="DI52" s="114"/>
      <c r="DJ52" s="114"/>
      <c r="DK52" s="114"/>
      <c r="DL52" s="114"/>
      <c r="DM52" s="114"/>
      <c r="DN52" s="114"/>
      <c r="DO52" s="114"/>
      <c r="DP52" s="114"/>
      <c r="DQ52" s="114"/>
      <c r="DR52" s="114"/>
      <c r="DS52" s="114"/>
      <c r="DT52" s="114"/>
      <c r="DU52" s="114"/>
      <c r="DV52" s="114"/>
      <c r="DW52" s="114"/>
      <c r="DX52" s="114"/>
      <c r="DY52" s="114"/>
      <c r="DZ52" s="114"/>
      <c r="EA52" s="114"/>
      <c r="EB52" s="114"/>
      <c r="EC52" s="114"/>
      <c r="ED52" s="114"/>
      <c r="EE52" s="114"/>
      <c r="EF52" s="114"/>
      <c r="EG52" s="114"/>
      <c r="EH52" s="114"/>
      <c r="EI52" s="114"/>
      <c r="EJ52" s="114"/>
      <c r="EK52" s="114"/>
      <c r="EL52" s="114"/>
      <c r="EM52" s="114"/>
      <c r="EN52" s="114"/>
      <c r="EO52" s="114"/>
      <c r="EP52" s="114"/>
      <c r="EQ52" s="114"/>
      <c r="ER52" s="114"/>
      <c r="ES52" s="114"/>
      <c r="ET52" s="114"/>
      <c r="EU52" s="114"/>
      <c r="EV52" s="114"/>
      <c r="EW52" s="114"/>
      <c r="EX52" s="114"/>
      <c r="EY52" s="114"/>
      <c r="EZ52" s="114"/>
      <c r="FA52" s="114"/>
      <c r="FB52" s="114"/>
      <c r="FC52" s="114"/>
      <c r="FD52" s="114"/>
      <c r="FE52" s="114"/>
      <c r="FF52" s="114"/>
      <c r="FG52" s="114"/>
      <c r="FH52" s="114"/>
      <c r="FI52" s="114"/>
      <c r="FJ52" s="114"/>
      <c r="FK52" s="114"/>
      <c r="FL52" s="114"/>
      <c r="FM52" s="114"/>
      <c r="FN52" s="114"/>
      <c r="FO52" s="114"/>
      <c r="FP52" s="114"/>
      <c r="FQ52" s="114"/>
      <c r="FR52" s="114"/>
      <c r="FS52" s="114"/>
      <c r="FT52" s="114"/>
      <c r="FU52" s="114"/>
      <c r="FV52" s="114"/>
      <c r="FW52" s="114"/>
      <c r="FX52" s="114"/>
      <c r="FY52" s="114"/>
      <c r="FZ52" s="114"/>
      <c r="GA52" s="114"/>
      <c r="GB52" s="114"/>
      <c r="GC52" s="114"/>
      <c r="GD52" s="114"/>
      <c r="GE52" s="114"/>
      <c r="GF52" s="114"/>
      <c r="GG52" s="114"/>
      <c r="GH52" s="114"/>
      <c r="GI52" s="114"/>
      <c r="GJ52" s="114"/>
      <c r="GK52" s="114"/>
      <c r="GL52" s="114"/>
      <c r="GM52" s="114"/>
      <c r="GN52" s="114"/>
      <c r="GO52" s="114"/>
      <c r="GP52" s="114"/>
      <c r="GQ52" s="114"/>
      <c r="GR52" s="114"/>
      <c r="GS52" s="114"/>
      <c r="GT52" s="114"/>
      <c r="GU52" s="114"/>
      <c r="GV52" s="114"/>
      <c r="GW52" s="114"/>
      <c r="GX52" s="114"/>
      <c r="GY52" s="114"/>
      <c r="GZ52" s="114"/>
      <c r="HA52" s="114"/>
      <c r="HB52" s="114"/>
      <c r="HC52" s="114"/>
      <c r="HD52" s="114"/>
      <c r="HE52" s="114"/>
      <c r="HF52" s="114"/>
      <c r="HG52" s="114"/>
      <c r="HH52" s="114"/>
      <c r="HI52" s="114"/>
      <c r="HJ52" s="114"/>
      <c r="HK52" s="114"/>
      <c r="HL52" s="114"/>
      <c r="HM52" s="114"/>
      <c r="HN52" s="114"/>
      <c r="HO52" s="114"/>
      <c r="HP52" s="114"/>
      <c r="HQ52" s="114"/>
      <c r="HR52" s="114"/>
      <c r="HS52" s="114"/>
      <c r="HT52" s="114"/>
      <c r="HU52" s="114"/>
      <c r="HV52" s="114"/>
      <c r="HW52" s="114"/>
      <c r="HX52" s="114"/>
      <c r="HY52" s="114"/>
      <c r="HZ52" s="114"/>
      <c r="IA52" s="114"/>
      <c r="IB52" s="114"/>
      <c r="IC52" s="114"/>
      <c r="ID52" s="114"/>
      <c r="IE52" s="114"/>
      <c r="IF52" s="114"/>
      <c r="IG52" s="114"/>
      <c r="IH52" s="114"/>
      <c r="II52" s="114"/>
      <c r="IJ52" s="114"/>
      <c r="IK52" s="114"/>
      <c r="IL52" s="114"/>
      <c r="IM52" s="114"/>
      <c r="IN52" s="114"/>
      <c r="IO52" s="114"/>
      <c r="IP52" s="114"/>
      <c r="IQ52" s="114"/>
      <c r="IR52" s="114"/>
      <c r="IS52" s="114"/>
      <c r="IT52" s="114"/>
      <c r="IU52" s="114"/>
      <c r="IV52" s="114"/>
      <c r="IW52" s="114"/>
    </row>
    <row r="53" customFormat="false" ht="11.25" hidden="false" customHeight="false" outlineLevel="0" collapsed="false">
      <c r="A53" s="169" t="s">
        <v>99</v>
      </c>
      <c r="B53" s="170" t="n">
        <f aca="false">B39</f>
        <v>121897.846528664</v>
      </c>
      <c r="C53" s="170" t="n">
        <f aca="false">C39</f>
        <v>121897.846528664</v>
      </c>
      <c r="D53" s="170" t="n">
        <f aca="false">D39</f>
        <v>121897.846528664</v>
      </c>
      <c r="E53" s="170" t="n">
        <f aca="false">E39</f>
        <v>121897.846528664</v>
      </c>
      <c r="F53" s="170" t="n">
        <f aca="false">F39</f>
        <v>121897.846528664</v>
      </c>
      <c r="G53" s="170" t="n">
        <f aca="false">G39</f>
        <v>121897.846528664</v>
      </c>
      <c r="H53" s="170" t="n">
        <f aca="false">H39</f>
        <v>121897.846528664</v>
      </c>
      <c r="I53" s="170" t="n">
        <f aca="false">I39</f>
        <v>121897.846528664</v>
      </c>
      <c r="J53" s="170" t="n">
        <f aca="false">J39</f>
        <v>121897.846528664</v>
      </c>
      <c r="K53" s="170" t="n">
        <f aca="false">K39</f>
        <v>121897.846528664</v>
      </c>
      <c r="L53" s="170" t="n">
        <f aca="false">L39</f>
        <v>121897.846528664</v>
      </c>
      <c r="M53" s="170" t="n">
        <f aca="false">M39</f>
        <v>121897.846528664</v>
      </c>
      <c r="N53" s="170" t="n">
        <f aca="false">N39</f>
        <v>121897.846528664</v>
      </c>
      <c r="O53" s="170" t="n">
        <f aca="false">O39</f>
        <v>121897.846528664</v>
      </c>
      <c r="P53" s="170" t="n">
        <f aca="false">P39</f>
        <v>121897.846528664</v>
      </c>
      <c r="Q53" s="170" t="n">
        <f aca="false">Q39</f>
        <v>121897.846528664</v>
      </c>
      <c r="R53" s="170" t="n">
        <f aca="false">R39</f>
        <v>0</v>
      </c>
      <c r="S53" s="170" t="n">
        <f aca="false">S39</f>
        <v>0</v>
      </c>
      <c r="T53" s="170" t="n">
        <f aca="false">T39</f>
        <v>0</v>
      </c>
      <c r="U53" s="170" t="n">
        <f aca="false">U39</f>
        <v>0</v>
      </c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14"/>
      <c r="DM53" s="114"/>
      <c r="DN53" s="114"/>
      <c r="DO53" s="114"/>
      <c r="DP53" s="114"/>
      <c r="DQ53" s="114"/>
      <c r="DR53" s="114"/>
      <c r="DS53" s="114"/>
      <c r="DT53" s="114"/>
      <c r="DU53" s="114"/>
      <c r="DV53" s="114"/>
      <c r="DW53" s="114"/>
      <c r="DX53" s="114"/>
      <c r="DY53" s="114"/>
      <c r="DZ53" s="114"/>
      <c r="EA53" s="114"/>
      <c r="EB53" s="114"/>
      <c r="EC53" s="114"/>
      <c r="ED53" s="114"/>
      <c r="EE53" s="114"/>
      <c r="EF53" s="114"/>
      <c r="EG53" s="114"/>
      <c r="EH53" s="114"/>
      <c r="EI53" s="114"/>
      <c r="EJ53" s="114"/>
      <c r="EK53" s="114"/>
      <c r="EL53" s="114"/>
      <c r="EM53" s="114"/>
      <c r="EN53" s="114"/>
      <c r="EO53" s="114"/>
      <c r="EP53" s="114"/>
      <c r="EQ53" s="114"/>
      <c r="ER53" s="114"/>
      <c r="ES53" s="114"/>
      <c r="ET53" s="114"/>
      <c r="EU53" s="114"/>
      <c r="EV53" s="114"/>
      <c r="EW53" s="114"/>
      <c r="EX53" s="114"/>
      <c r="EY53" s="114"/>
      <c r="EZ53" s="114"/>
      <c r="FA53" s="114"/>
      <c r="FB53" s="114"/>
      <c r="FC53" s="114"/>
      <c r="FD53" s="114"/>
      <c r="FE53" s="114"/>
      <c r="FF53" s="114"/>
      <c r="FG53" s="114"/>
      <c r="FH53" s="114"/>
      <c r="FI53" s="114"/>
      <c r="FJ53" s="114"/>
      <c r="FK53" s="114"/>
      <c r="FL53" s="114"/>
      <c r="FM53" s="114"/>
      <c r="FN53" s="114"/>
      <c r="FO53" s="114"/>
      <c r="FP53" s="114"/>
      <c r="FQ53" s="114"/>
      <c r="FR53" s="114"/>
      <c r="FS53" s="114"/>
      <c r="FT53" s="114"/>
      <c r="FU53" s="114"/>
      <c r="FV53" s="114"/>
      <c r="FW53" s="114"/>
      <c r="FX53" s="114"/>
      <c r="FY53" s="114"/>
      <c r="FZ53" s="114"/>
      <c r="GA53" s="114"/>
      <c r="GB53" s="114"/>
      <c r="GC53" s="114"/>
      <c r="GD53" s="114"/>
      <c r="GE53" s="114"/>
      <c r="GF53" s="114"/>
      <c r="GG53" s="114"/>
      <c r="GH53" s="114"/>
      <c r="GI53" s="114"/>
      <c r="GJ53" s="114"/>
      <c r="GK53" s="114"/>
      <c r="GL53" s="114"/>
      <c r="GM53" s="114"/>
      <c r="GN53" s="114"/>
      <c r="GO53" s="114"/>
      <c r="GP53" s="114"/>
      <c r="GQ53" s="114"/>
      <c r="GR53" s="114"/>
      <c r="GS53" s="114"/>
      <c r="GT53" s="114"/>
      <c r="GU53" s="114"/>
      <c r="GV53" s="114"/>
      <c r="GW53" s="114"/>
      <c r="GX53" s="114"/>
      <c r="GY53" s="114"/>
      <c r="GZ53" s="114"/>
      <c r="HA53" s="114"/>
      <c r="HB53" s="114"/>
      <c r="HC53" s="114"/>
      <c r="HD53" s="114"/>
      <c r="HE53" s="114"/>
      <c r="HF53" s="114"/>
      <c r="HG53" s="114"/>
      <c r="HH53" s="114"/>
      <c r="HI53" s="114"/>
      <c r="HJ53" s="114"/>
      <c r="HK53" s="114"/>
      <c r="HL53" s="114"/>
      <c r="HM53" s="114"/>
      <c r="HN53" s="114"/>
      <c r="HO53" s="114"/>
      <c r="HP53" s="114"/>
      <c r="HQ53" s="114"/>
      <c r="HR53" s="114"/>
      <c r="HS53" s="114"/>
      <c r="HT53" s="114"/>
      <c r="HU53" s="114"/>
      <c r="HV53" s="114"/>
      <c r="HW53" s="114"/>
      <c r="HX53" s="114"/>
      <c r="HY53" s="114"/>
      <c r="HZ53" s="114"/>
      <c r="IA53" s="114"/>
      <c r="IB53" s="114"/>
      <c r="IC53" s="114"/>
      <c r="ID53" s="114"/>
      <c r="IE53" s="114"/>
      <c r="IF53" s="114"/>
      <c r="IG53" s="114"/>
      <c r="IH53" s="114"/>
      <c r="II53" s="114"/>
      <c r="IJ53" s="114"/>
      <c r="IK53" s="114"/>
      <c r="IL53" s="114"/>
      <c r="IM53" s="114"/>
      <c r="IN53" s="114"/>
      <c r="IO53" s="114"/>
      <c r="IP53" s="114"/>
      <c r="IQ53" s="114"/>
      <c r="IR53" s="114"/>
      <c r="IS53" s="114"/>
      <c r="IT53" s="114"/>
      <c r="IU53" s="114"/>
      <c r="IV53" s="114"/>
      <c r="IW53" s="114"/>
    </row>
    <row r="54" customFormat="false" ht="11.25" hidden="false" customHeight="false" outlineLevel="0" collapsed="false">
      <c r="A54" s="169" t="s">
        <v>100</v>
      </c>
      <c r="B54" s="170" t="e">
        <f aca="false">B40</f>
        <v>#VALUE!</v>
      </c>
      <c r="C54" s="170" t="e">
        <f aca="false">C40</f>
        <v>#VALUE!</v>
      </c>
      <c r="D54" s="170" t="e">
        <f aca="false">D40</f>
        <v>#VALUE!</v>
      </c>
      <c r="E54" s="170" t="e">
        <f aca="false">E40</f>
        <v>#VALUE!</v>
      </c>
      <c r="F54" s="170" t="e">
        <f aca="false">F40</f>
        <v>#VALUE!</v>
      </c>
      <c r="G54" s="170" t="e">
        <f aca="false">G40</f>
        <v>#VALUE!</v>
      </c>
      <c r="H54" s="170" t="e">
        <f aca="false">H40</f>
        <v>#VALUE!</v>
      </c>
      <c r="I54" s="170" t="e">
        <f aca="false">I40</f>
        <v>#VALUE!</v>
      </c>
      <c r="J54" s="170" t="e">
        <f aca="false">J40</f>
        <v>#VALUE!</v>
      </c>
      <c r="K54" s="170" t="e">
        <f aca="false">K40</f>
        <v>#VALUE!</v>
      </c>
      <c r="L54" s="170" t="e">
        <f aca="false">L40</f>
        <v>#VALUE!</v>
      </c>
      <c r="M54" s="170" t="e">
        <f aca="false">M40</f>
        <v>#VALUE!</v>
      </c>
      <c r="N54" s="170" t="e">
        <f aca="false">N40</f>
        <v>#VALUE!</v>
      </c>
      <c r="O54" s="170" t="e">
        <f aca="false">O40</f>
        <v>#VALUE!</v>
      </c>
      <c r="P54" s="170" t="e">
        <f aca="false">P40</f>
        <v>#VALUE!</v>
      </c>
      <c r="Q54" s="170" t="e">
        <f aca="false">Q40</f>
        <v>#VALUE!</v>
      </c>
      <c r="R54" s="170" t="n">
        <f aca="false">R40</f>
        <v>0</v>
      </c>
      <c r="S54" s="170" t="n">
        <f aca="false">S40</f>
        <v>0</v>
      </c>
      <c r="T54" s="170" t="n">
        <f aca="false">T40</f>
        <v>0</v>
      </c>
      <c r="U54" s="170" t="n">
        <f aca="false">U40</f>
        <v>0</v>
      </c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  <c r="DI54" s="114"/>
      <c r="DJ54" s="114"/>
      <c r="DK54" s="114"/>
      <c r="DL54" s="114"/>
      <c r="DM54" s="114"/>
      <c r="DN54" s="114"/>
      <c r="DO54" s="114"/>
      <c r="DP54" s="114"/>
      <c r="DQ54" s="114"/>
      <c r="DR54" s="114"/>
      <c r="DS54" s="114"/>
      <c r="DT54" s="114"/>
      <c r="DU54" s="114"/>
      <c r="DV54" s="114"/>
      <c r="DW54" s="114"/>
      <c r="DX54" s="114"/>
      <c r="DY54" s="114"/>
      <c r="DZ54" s="114"/>
      <c r="EA54" s="114"/>
      <c r="EB54" s="114"/>
      <c r="EC54" s="114"/>
      <c r="ED54" s="114"/>
      <c r="EE54" s="114"/>
      <c r="EF54" s="114"/>
      <c r="EG54" s="114"/>
      <c r="EH54" s="114"/>
      <c r="EI54" s="114"/>
      <c r="EJ54" s="114"/>
      <c r="EK54" s="114"/>
      <c r="EL54" s="114"/>
      <c r="EM54" s="114"/>
      <c r="EN54" s="114"/>
      <c r="EO54" s="114"/>
      <c r="EP54" s="114"/>
      <c r="EQ54" s="114"/>
      <c r="ER54" s="114"/>
      <c r="ES54" s="114"/>
      <c r="ET54" s="114"/>
      <c r="EU54" s="114"/>
      <c r="EV54" s="114"/>
      <c r="EW54" s="114"/>
      <c r="EX54" s="114"/>
      <c r="EY54" s="114"/>
      <c r="EZ54" s="114"/>
      <c r="FA54" s="114"/>
      <c r="FB54" s="114"/>
      <c r="FC54" s="114"/>
      <c r="FD54" s="114"/>
      <c r="FE54" s="114"/>
      <c r="FF54" s="114"/>
      <c r="FG54" s="114"/>
      <c r="FH54" s="114"/>
      <c r="FI54" s="114"/>
      <c r="FJ54" s="114"/>
      <c r="FK54" s="114"/>
      <c r="FL54" s="114"/>
      <c r="FM54" s="114"/>
      <c r="FN54" s="114"/>
      <c r="FO54" s="114"/>
      <c r="FP54" s="114"/>
      <c r="FQ54" s="114"/>
      <c r="FR54" s="114"/>
      <c r="FS54" s="114"/>
      <c r="FT54" s="114"/>
      <c r="FU54" s="114"/>
      <c r="FV54" s="114"/>
      <c r="FW54" s="114"/>
      <c r="FX54" s="114"/>
      <c r="FY54" s="114"/>
      <c r="FZ54" s="114"/>
      <c r="GA54" s="114"/>
      <c r="GB54" s="114"/>
      <c r="GC54" s="114"/>
      <c r="GD54" s="114"/>
      <c r="GE54" s="114"/>
      <c r="GF54" s="114"/>
      <c r="GG54" s="114"/>
      <c r="GH54" s="114"/>
      <c r="GI54" s="114"/>
      <c r="GJ54" s="114"/>
      <c r="GK54" s="114"/>
      <c r="GL54" s="114"/>
      <c r="GM54" s="114"/>
      <c r="GN54" s="114"/>
      <c r="GO54" s="114"/>
      <c r="GP54" s="114"/>
      <c r="GQ54" s="114"/>
      <c r="GR54" s="114"/>
      <c r="GS54" s="114"/>
      <c r="GT54" s="114"/>
      <c r="GU54" s="114"/>
      <c r="GV54" s="114"/>
      <c r="GW54" s="114"/>
      <c r="GX54" s="114"/>
      <c r="GY54" s="114"/>
      <c r="GZ54" s="114"/>
      <c r="HA54" s="114"/>
      <c r="HB54" s="114"/>
      <c r="HC54" s="114"/>
      <c r="HD54" s="114"/>
      <c r="HE54" s="114"/>
      <c r="HF54" s="114"/>
      <c r="HG54" s="114"/>
      <c r="HH54" s="114"/>
      <c r="HI54" s="114"/>
      <c r="HJ54" s="114"/>
      <c r="HK54" s="114"/>
      <c r="HL54" s="114"/>
      <c r="HM54" s="114"/>
      <c r="HN54" s="114"/>
      <c r="HO54" s="114"/>
      <c r="HP54" s="114"/>
      <c r="HQ54" s="114"/>
      <c r="HR54" s="114"/>
      <c r="HS54" s="114"/>
      <c r="HT54" s="114"/>
      <c r="HU54" s="114"/>
      <c r="HV54" s="114"/>
      <c r="HW54" s="114"/>
      <c r="HX54" s="114"/>
      <c r="HY54" s="114"/>
      <c r="HZ54" s="114"/>
      <c r="IA54" s="114"/>
      <c r="IB54" s="114"/>
      <c r="IC54" s="114"/>
      <c r="ID54" s="114"/>
      <c r="IE54" s="114"/>
      <c r="IF54" s="114"/>
      <c r="IG54" s="114"/>
      <c r="IH54" s="114"/>
      <c r="II54" s="114"/>
      <c r="IJ54" s="114"/>
      <c r="IK54" s="114"/>
      <c r="IL54" s="114"/>
      <c r="IM54" s="114"/>
      <c r="IN54" s="114"/>
      <c r="IO54" s="114"/>
      <c r="IP54" s="114"/>
      <c r="IQ54" s="114"/>
      <c r="IR54" s="114"/>
      <c r="IS54" s="114"/>
      <c r="IT54" s="114"/>
      <c r="IU54" s="114"/>
      <c r="IV54" s="114"/>
      <c r="IW54" s="114"/>
    </row>
    <row r="55" customFormat="false" ht="11.25" hidden="false" customHeight="false" outlineLevel="0" collapsed="false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14"/>
      <c r="W55" s="114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  <c r="DI55" s="114"/>
      <c r="DJ55" s="114"/>
      <c r="DK55" s="114"/>
      <c r="DL55" s="114"/>
      <c r="DM55" s="114"/>
      <c r="DN55" s="114"/>
      <c r="DO55" s="114"/>
      <c r="DP55" s="114"/>
      <c r="DQ55" s="114"/>
      <c r="DR55" s="114"/>
      <c r="DS55" s="114"/>
      <c r="DT55" s="114"/>
      <c r="DU55" s="114"/>
      <c r="DV55" s="114"/>
      <c r="DW55" s="114"/>
      <c r="DX55" s="114"/>
      <c r="DY55" s="114"/>
      <c r="DZ55" s="114"/>
      <c r="EA55" s="114"/>
      <c r="EB55" s="114"/>
      <c r="EC55" s="114"/>
      <c r="ED55" s="114"/>
      <c r="EE55" s="114"/>
      <c r="EF55" s="114"/>
      <c r="EG55" s="114"/>
      <c r="EH55" s="114"/>
      <c r="EI55" s="114"/>
      <c r="EJ55" s="114"/>
      <c r="EK55" s="114"/>
      <c r="EL55" s="114"/>
      <c r="EM55" s="114"/>
      <c r="EN55" s="114"/>
      <c r="EO55" s="114"/>
      <c r="EP55" s="114"/>
      <c r="EQ55" s="114"/>
      <c r="ER55" s="114"/>
      <c r="ES55" s="114"/>
      <c r="ET55" s="114"/>
      <c r="EU55" s="114"/>
      <c r="EV55" s="114"/>
      <c r="EW55" s="114"/>
      <c r="EX55" s="114"/>
      <c r="EY55" s="114"/>
      <c r="EZ55" s="114"/>
      <c r="FA55" s="114"/>
      <c r="FB55" s="114"/>
      <c r="FC55" s="114"/>
      <c r="FD55" s="114"/>
      <c r="FE55" s="114"/>
      <c r="FF55" s="114"/>
      <c r="FG55" s="114"/>
      <c r="FH55" s="114"/>
      <c r="FI55" s="114"/>
      <c r="FJ55" s="114"/>
      <c r="FK55" s="114"/>
      <c r="FL55" s="114"/>
      <c r="FM55" s="114"/>
      <c r="FN55" s="114"/>
      <c r="FO55" s="114"/>
      <c r="FP55" s="114"/>
      <c r="FQ55" s="114"/>
      <c r="FR55" s="114"/>
      <c r="FS55" s="114"/>
      <c r="FT55" s="114"/>
      <c r="FU55" s="114"/>
      <c r="FV55" s="114"/>
      <c r="FW55" s="114"/>
      <c r="FX55" s="114"/>
      <c r="FY55" s="114"/>
      <c r="FZ55" s="114"/>
      <c r="GA55" s="114"/>
      <c r="GB55" s="114"/>
      <c r="GC55" s="114"/>
      <c r="GD55" s="114"/>
      <c r="GE55" s="114"/>
      <c r="GF55" s="114"/>
      <c r="GG55" s="114"/>
      <c r="GH55" s="114"/>
      <c r="GI55" s="114"/>
      <c r="GJ55" s="114"/>
      <c r="GK55" s="114"/>
      <c r="GL55" s="114"/>
      <c r="GM55" s="114"/>
      <c r="GN55" s="114"/>
      <c r="GO55" s="114"/>
      <c r="GP55" s="114"/>
      <c r="GQ55" s="114"/>
      <c r="GR55" s="114"/>
      <c r="GS55" s="114"/>
      <c r="GT55" s="114"/>
      <c r="GU55" s="114"/>
      <c r="GV55" s="114"/>
      <c r="GW55" s="114"/>
      <c r="GX55" s="114"/>
      <c r="GY55" s="114"/>
      <c r="GZ55" s="114"/>
      <c r="HA55" s="114"/>
      <c r="HB55" s="114"/>
      <c r="HC55" s="114"/>
      <c r="HD55" s="114"/>
      <c r="HE55" s="114"/>
      <c r="HF55" s="114"/>
      <c r="HG55" s="114"/>
      <c r="HH55" s="114"/>
      <c r="HI55" s="114"/>
      <c r="HJ55" s="114"/>
      <c r="HK55" s="114"/>
      <c r="HL55" s="114"/>
      <c r="HM55" s="114"/>
      <c r="HN55" s="114"/>
      <c r="HO55" s="114"/>
      <c r="HP55" s="114"/>
      <c r="HQ55" s="114"/>
      <c r="HR55" s="114"/>
      <c r="HS55" s="114"/>
      <c r="HT55" s="114"/>
      <c r="HU55" s="114"/>
      <c r="HV55" s="114"/>
      <c r="HW55" s="114"/>
      <c r="HX55" s="114"/>
      <c r="HY55" s="114"/>
      <c r="HZ55" s="114"/>
      <c r="IA55" s="114"/>
      <c r="IB55" s="114"/>
      <c r="IC55" s="114"/>
      <c r="ID55" s="114"/>
      <c r="IE55" s="114"/>
      <c r="IF55" s="114"/>
      <c r="IG55" s="114"/>
      <c r="IH55" s="114"/>
      <c r="II55" s="114"/>
      <c r="IJ55" s="114"/>
      <c r="IK55" s="114"/>
      <c r="IL55" s="114"/>
      <c r="IM55" s="114"/>
      <c r="IN55" s="114"/>
      <c r="IO55" s="114"/>
      <c r="IP55" s="114"/>
      <c r="IQ55" s="114"/>
      <c r="IR55" s="114"/>
      <c r="IS55" s="114"/>
      <c r="IT55" s="114"/>
      <c r="IU55" s="114"/>
      <c r="IV55" s="114"/>
      <c r="IW55" s="114"/>
    </row>
    <row r="56" customFormat="false" ht="11.25" hidden="false" customHeight="false" outlineLevel="0" collapsed="false">
      <c r="A56" s="171" t="s">
        <v>106</v>
      </c>
      <c r="B56" s="172" t="e">
        <f aca="false">SUM(B50:B55)</f>
        <v>#VALUE!</v>
      </c>
      <c r="C56" s="173" t="e">
        <f aca="false">SUM(C49:C55)</f>
        <v>#VALUE!</v>
      </c>
      <c r="D56" s="173" t="e">
        <f aca="false">SUM(D49:D55)</f>
        <v>#VALUE!</v>
      </c>
      <c r="E56" s="173" t="e">
        <f aca="false">SUM(E49:E55)</f>
        <v>#VALUE!</v>
      </c>
      <c r="F56" s="173" t="e">
        <f aca="false">SUM(F49:F55)</f>
        <v>#VALUE!</v>
      </c>
      <c r="G56" s="173" t="e">
        <f aca="false">SUM(G49:G55)</f>
        <v>#VALUE!</v>
      </c>
      <c r="H56" s="173" t="e">
        <f aca="false">SUM(H49:H55)</f>
        <v>#VALUE!</v>
      </c>
      <c r="I56" s="173" t="e">
        <f aca="false">SUM(I49:I55)</f>
        <v>#VALUE!</v>
      </c>
      <c r="J56" s="173" t="e">
        <f aca="false">SUM(J49:J55)</f>
        <v>#VALUE!</v>
      </c>
      <c r="K56" s="173" t="e">
        <f aca="false">SUM(K49:K55)</f>
        <v>#VALUE!</v>
      </c>
      <c r="L56" s="173" t="e">
        <f aca="false">SUM(L49:L55)</f>
        <v>#VALUE!</v>
      </c>
      <c r="M56" s="173" t="e">
        <f aca="false">SUM(M49:M55)</f>
        <v>#VALUE!</v>
      </c>
      <c r="N56" s="173" t="e">
        <f aca="false">SUM(N49:N55)</f>
        <v>#VALUE!</v>
      </c>
      <c r="O56" s="173" t="e">
        <f aca="false">SUM(O49:O55)</f>
        <v>#VALUE!</v>
      </c>
      <c r="P56" s="173" t="e">
        <f aca="false">SUM(P49:P55)</f>
        <v>#VALUE!</v>
      </c>
      <c r="Q56" s="173" t="e">
        <f aca="false">SUM(Q49:Q55)</f>
        <v>#VALUE!</v>
      </c>
      <c r="R56" s="173" t="e">
        <f aca="false">SUM(R49:R55)</f>
        <v>#VALUE!</v>
      </c>
      <c r="S56" s="173" t="e">
        <f aca="false">SUM(S49:S55)</f>
        <v>#VALUE!</v>
      </c>
      <c r="T56" s="173" t="e">
        <f aca="false">SUM(T49:T55)</f>
        <v>#VALUE!</v>
      </c>
      <c r="U56" s="173" t="e">
        <f aca="false">SUM(U49:U55)</f>
        <v>#VALUE!</v>
      </c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  <c r="DI56" s="114"/>
      <c r="DJ56" s="114"/>
      <c r="DK56" s="114"/>
      <c r="DL56" s="114"/>
      <c r="DM56" s="114"/>
      <c r="DN56" s="114"/>
      <c r="DO56" s="114"/>
      <c r="DP56" s="114"/>
      <c r="DQ56" s="114"/>
      <c r="DR56" s="114"/>
      <c r="DS56" s="114"/>
      <c r="DT56" s="114"/>
      <c r="DU56" s="114"/>
      <c r="DV56" s="114"/>
      <c r="DW56" s="114"/>
      <c r="DX56" s="114"/>
      <c r="DY56" s="114"/>
      <c r="DZ56" s="114"/>
      <c r="EA56" s="114"/>
      <c r="EB56" s="114"/>
      <c r="EC56" s="114"/>
      <c r="ED56" s="114"/>
      <c r="EE56" s="114"/>
      <c r="EF56" s="114"/>
      <c r="EG56" s="114"/>
      <c r="EH56" s="114"/>
      <c r="EI56" s="114"/>
      <c r="EJ56" s="114"/>
      <c r="EK56" s="114"/>
      <c r="EL56" s="114"/>
      <c r="EM56" s="114"/>
      <c r="EN56" s="114"/>
      <c r="EO56" s="114"/>
      <c r="EP56" s="114"/>
      <c r="EQ56" s="114"/>
      <c r="ER56" s="114"/>
      <c r="ES56" s="114"/>
      <c r="ET56" s="114"/>
      <c r="EU56" s="114"/>
      <c r="EV56" s="114"/>
      <c r="EW56" s="114"/>
      <c r="EX56" s="114"/>
      <c r="EY56" s="114"/>
      <c r="EZ56" s="114"/>
      <c r="FA56" s="114"/>
      <c r="FB56" s="114"/>
      <c r="FC56" s="114"/>
      <c r="FD56" s="114"/>
      <c r="FE56" s="114"/>
      <c r="FF56" s="114"/>
      <c r="FG56" s="114"/>
      <c r="FH56" s="114"/>
      <c r="FI56" s="114"/>
      <c r="FJ56" s="114"/>
      <c r="FK56" s="114"/>
      <c r="FL56" s="114"/>
      <c r="FM56" s="114"/>
      <c r="FN56" s="114"/>
      <c r="FO56" s="114"/>
      <c r="FP56" s="114"/>
      <c r="FQ56" s="114"/>
      <c r="FR56" s="114"/>
      <c r="FS56" s="114"/>
      <c r="FT56" s="114"/>
      <c r="FU56" s="114"/>
      <c r="FV56" s="114"/>
      <c r="FW56" s="114"/>
      <c r="FX56" s="114"/>
      <c r="FY56" s="114"/>
      <c r="FZ56" s="114"/>
      <c r="GA56" s="114"/>
      <c r="GB56" s="114"/>
      <c r="GC56" s="114"/>
      <c r="GD56" s="114"/>
      <c r="GE56" s="114"/>
      <c r="GF56" s="114"/>
      <c r="GG56" s="114"/>
      <c r="GH56" s="114"/>
      <c r="GI56" s="114"/>
      <c r="GJ56" s="114"/>
      <c r="GK56" s="114"/>
      <c r="GL56" s="114"/>
      <c r="GM56" s="114"/>
      <c r="GN56" s="114"/>
      <c r="GO56" s="114"/>
      <c r="GP56" s="114"/>
      <c r="GQ56" s="114"/>
      <c r="GR56" s="114"/>
      <c r="GS56" s="114"/>
      <c r="GT56" s="114"/>
      <c r="GU56" s="114"/>
      <c r="GV56" s="114"/>
      <c r="GW56" s="114"/>
      <c r="GX56" s="114"/>
      <c r="GY56" s="114"/>
      <c r="GZ56" s="114"/>
      <c r="HA56" s="114"/>
      <c r="HB56" s="114"/>
      <c r="HC56" s="114"/>
      <c r="HD56" s="114"/>
      <c r="HE56" s="114"/>
      <c r="HF56" s="114"/>
      <c r="HG56" s="114"/>
      <c r="HH56" s="114"/>
      <c r="HI56" s="114"/>
      <c r="HJ56" s="114"/>
      <c r="HK56" s="114"/>
      <c r="HL56" s="114"/>
      <c r="HM56" s="114"/>
      <c r="HN56" s="114"/>
      <c r="HO56" s="114"/>
      <c r="HP56" s="114"/>
      <c r="HQ56" s="114"/>
      <c r="HR56" s="114"/>
      <c r="HS56" s="114"/>
      <c r="HT56" s="114"/>
      <c r="HU56" s="114"/>
      <c r="HV56" s="114"/>
      <c r="HW56" s="114"/>
      <c r="HX56" s="114"/>
      <c r="HY56" s="114"/>
      <c r="HZ56" s="114"/>
      <c r="IA56" s="114"/>
      <c r="IB56" s="114"/>
      <c r="IC56" s="114"/>
      <c r="ID56" s="114"/>
      <c r="IE56" s="114"/>
      <c r="IF56" s="114"/>
      <c r="IG56" s="114"/>
      <c r="IH56" s="114"/>
      <c r="II56" s="114"/>
      <c r="IJ56" s="114"/>
      <c r="IK56" s="114"/>
      <c r="IL56" s="114"/>
      <c r="IM56" s="114"/>
      <c r="IN56" s="114"/>
      <c r="IO56" s="114"/>
      <c r="IP56" s="114"/>
      <c r="IQ56" s="114"/>
      <c r="IR56" s="114"/>
      <c r="IS56" s="114"/>
      <c r="IT56" s="114"/>
      <c r="IU56" s="114"/>
      <c r="IV56" s="114"/>
      <c r="IW56" s="114"/>
    </row>
    <row r="57" customFormat="false" ht="11.25" hidden="false" customHeight="false" outlineLevel="0" collapsed="false"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4"/>
      <c r="EL57" s="114"/>
      <c r="EM57" s="114"/>
      <c r="EN57" s="114"/>
      <c r="EO57" s="114"/>
      <c r="EP57" s="114"/>
      <c r="EQ57" s="114"/>
      <c r="ER57" s="114"/>
      <c r="ES57" s="114"/>
      <c r="ET57" s="114"/>
      <c r="EU57" s="114"/>
      <c r="EV57" s="114"/>
      <c r="EW57" s="114"/>
      <c r="EX57" s="114"/>
      <c r="EY57" s="114"/>
      <c r="EZ57" s="114"/>
      <c r="FA57" s="114"/>
      <c r="FB57" s="114"/>
      <c r="FC57" s="114"/>
      <c r="FD57" s="114"/>
      <c r="FE57" s="114"/>
      <c r="FF57" s="114"/>
      <c r="FG57" s="114"/>
      <c r="FH57" s="114"/>
      <c r="FI57" s="114"/>
      <c r="FJ57" s="114"/>
      <c r="FK57" s="114"/>
      <c r="FL57" s="114"/>
      <c r="FM57" s="114"/>
      <c r="FN57" s="114"/>
      <c r="FO57" s="114"/>
      <c r="FP57" s="114"/>
      <c r="FQ57" s="114"/>
      <c r="FR57" s="114"/>
      <c r="FS57" s="114"/>
      <c r="FT57" s="114"/>
      <c r="FU57" s="114"/>
      <c r="FV57" s="114"/>
      <c r="FW57" s="114"/>
      <c r="FX57" s="114"/>
      <c r="FY57" s="114"/>
      <c r="FZ57" s="114"/>
      <c r="GA57" s="114"/>
      <c r="GB57" s="114"/>
      <c r="GC57" s="114"/>
      <c r="GD57" s="114"/>
      <c r="GE57" s="114"/>
      <c r="GF57" s="114"/>
      <c r="GG57" s="114"/>
      <c r="GH57" s="114"/>
      <c r="GI57" s="114"/>
      <c r="GJ57" s="114"/>
      <c r="GK57" s="114"/>
      <c r="GL57" s="114"/>
      <c r="GM57" s="114"/>
      <c r="GN57" s="114"/>
      <c r="GO57" s="114"/>
      <c r="GP57" s="114"/>
      <c r="GQ57" s="114"/>
      <c r="GR57" s="114"/>
      <c r="GS57" s="114"/>
      <c r="GT57" s="114"/>
      <c r="GU57" s="114"/>
      <c r="GV57" s="114"/>
      <c r="GW57" s="114"/>
      <c r="GX57" s="114"/>
      <c r="GY57" s="114"/>
      <c r="GZ57" s="114"/>
      <c r="HA57" s="114"/>
      <c r="HB57" s="114"/>
      <c r="HC57" s="114"/>
      <c r="HD57" s="114"/>
      <c r="HE57" s="114"/>
      <c r="HF57" s="114"/>
      <c r="HG57" s="114"/>
      <c r="HH57" s="114"/>
      <c r="HI57" s="114"/>
      <c r="HJ57" s="114"/>
      <c r="HK57" s="114"/>
      <c r="HL57" s="114"/>
      <c r="HM57" s="114"/>
      <c r="HN57" s="114"/>
      <c r="HO57" s="114"/>
      <c r="HP57" s="114"/>
      <c r="HQ57" s="114"/>
      <c r="HR57" s="114"/>
      <c r="HS57" s="114"/>
      <c r="HT57" s="114"/>
      <c r="HU57" s="114"/>
      <c r="HV57" s="114"/>
      <c r="HW57" s="114"/>
      <c r="HX57" s="114"/>
      <c r="HY57" s="114"/>
      <c r="HZ57" s="114"/>
      <c r="IA57" s="114"/>
      <c r="IB57" s="114"/>
      <c r="IC57" s="114"/>
      <c r="ID57" s="114"/>
      <c r="IE57" s="114"/>
      <c r="IF57" s="114"/>
      <c r="IG57" s="114"/>
      <c r="IH57" s="114"/>
      <c r="II57" s="114"/>
      <c r="IJ57" s="114"/>
      <c r="IK57" s="114"/>
      <c r="IL57" s="114"/>
      <c r="IM57" s="114"/>
      <c r="IN57" s="114"/>
      <c r="IO57" s="114"/>
      <c r="IP57" s="114"/>
      <c r="IQ57" s="114"/>
      <c r="IR57" s="114"/>
      <c r="IS57" s="114"/>
      <c r="IT57" s="114"/>
      <c r="IU57" s="114"/>
      <c r="IV57" s="114"/>
      <c r="IW57" s="114"/>
    </row>
    <row r="58" customFormat="false" ht="11.25" hidden="false" customHeight="false" outlineLevel="0" collapsed="false"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4"/>
      <c r="EL58" s="114"/>
      <c r="EM58" s="114"/>
      <c r="EN58" s="114"/>
      <c r="EO58" s="114"/>
      <c r="EP58" s="114"/>
      <c r="EQ58" s="114"/>
      <c r="ER58" s="114"/>
      <c r="ES58" s="114"/>
      <c r="ET58" s="114"/>
      <c r="EU58" s="114"/>
      <c r="EV58" s="114"/>
      <c r="EW58" s="114"/>
      <c r="EX58" s="114"/>
      <c r="EY58" s="114"/>
      <c r="EZ58" s="114"/>
      <c r="FA58" s="114"/>
      <c r="FB58" s="114"/>
      <c r="FC58" s="114"/>
      <c r="FD58" s="114"/>
      <c r="FE58" s="114"/>
      <c r="FF58" s="114"/>
      <c r="FG58" s="114"/>
      <c r="FH58" s="114"/>
      <c r="FI58" s="114"/>
      <c r="FJ58" s="114"/>
      <c r="FK58" s="114"/>
      <c r="FL58" s="114"/>
      <c r="FM58" s="114"/>
      <c r="FN58" s="114"/>
      <c r="FO58" s="114"/>
      <c r="FP58" s="114"/>
      <c r="FQ58" s="114"/>
      <c r="FR58" s="114"/>
      <c r="FS58" s="114"/>
      <c r="FT58" s="114"/>
      <c r="FU58" s="114"/>
      <c r="FV58" s="114"/>
      <c r="FW58" s="114"/>
      <c r="FX58" s="114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114"/>
      <c r="GJ58" s="114"/>
      <c r="GK58" s="114"/>
      <c r="GL58" s="114"/>
      <c r="GM58" s="114"/>
      <c r="GN58" s="114"/>
      <c r="GO58" s="114"/>
      <c r="GP58" s="114"/>
      <c r="GQ58" s="114"/>
      <c r="GR58" s="114"/>
      <c r="GS58" s="114"/>
      <c r="GT58" s="114"/>
      <c r="GU58" s="114"/>
      <c r="GV58" s="114"/>
      <c r="GW58" s="114"/>
      <c r="GX58" s="114"/>
      <c r="GY58" s="114"/>
      <c r="GZ58" s="114"/>
      <c r="HA58" s="114"/>
      <c r="HB58" s="114"/>
      <c r="HC58" s="114"/>
      <c r="HD58" s="114"/>
      <c r="HE58" s="114"/>
      <c r="HF58" s="114"/>
      <c r="HG58" s="114"/>
      <c r="HH58" s="114"/>
      <c r="HI58" s="114"/>
      <c r="HJ58" s="114"/>
      <c r="HK58" s="114"/>
      <c r="HL58" s="114"/>
      <c r="HM58" s="114"/>
      <c r="HN58" s="114"/>
      <c r="HO58" s="114"/>
      <c r="HP58" s="114"/>
      <c r="HQ58" s="114"/>
      <c r="HR58" s="114"/>
      <c r="HS58" s="114"/>
      <c r="HT58" s="114"/>
      <c r="HU58" s="114"/>
      <c r="HV58" s="114"/>
      <c r="HW58" s="114"/>
      <c r="HX58" s="114"/>
      <c r="HY58" s="114"/>
      <c r="HZ58" s="114"/>
      <c r="IA58" s="114"/>
      <c r="IB58" s="114"/>
      <c r="IC58" s="114"/>
      <c r="ID58" s="114"/>
      <c r="IE58" s="114"/>
      <c r="IF58" s="114"/>
      <c r="IG58" s="114"/>
      <c r="IH58" s="114"/>
      <c r="II58" s="114"/>
      <c r="IJ58" s="114"/>
      <c r="IK58" s="114"/>
      <c r="IL58" s="114"/>
      <c r="IM58" s="114"/>
      <c r="IN58" s="114"/>
      <c r="IO58" s="114"/>
      <c r="IP58" s="114"/>
      <c r="IQ58" s="114"/>
      <c r="IR58" s="114"/>
      <c r="IS58" s="114"/>
      <c r="IT58" s="114"/>
      <c r="IU58" s="114"/>
      <c r="IV58" s="114"/>
      <c r="IW58" s="114"/>
    </row>
    <row r="59" customFormat="false" ht="11.25" hidden="false" customHeight="false" outlineLevel="0" collapsed="false">
      <c r="A59" s="174" t="s">
        <v>107</v>
      </c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  <c r="DI59" s="114"/>
      <c r="DJ59" s="114"/>
      <c r="DK59" s="114"/>
      <c r="DL59" s="114"/>
      <c r="DM59" s="114"/>
      <c r="DN59" s="114"/>
      <c r="DO59" s="114"/>
      <c r="DP59" s="114"/>
      <c r="DQ59" s="114"/>
      <c r="DR59" s="114"/>
      <c r="DS59" s="114"/>
      <c r="DT59" s="114"/>
      <c r="DU59" s="114"/>
      <c r="DV59" s="114"/>
      <c r="DW59" s="114"/>
      <c r="DX59" s="114"/>
      <c r="DY59" s="114"/>
      <c r="DZ59" s="114"/>
      <c r="EA59" s="114"/>
      <c r="EB59" s="114"/>
      <c r="EC59" s="114"/>
      <c r="ED59" s="114"/>
      <c r="EE59" s="114"/>
      <c r="EF59" s="114"/>
      <c r="EG59" s="114"/>
      <c r="EH59" s="114"/>
      <c r="EI59" s="114"/>
      <c r="EJ59" s="114"/>
      <c r="EK59" s="114"/>
      <c r="EL59" s="114"/>
      <c r="EM59" s="114"/>
      <c r="EN59" s="114"/>
      <c r="EO59" s="114"/>
      <c r="EP59" s="114"/>
      <c r="EQ59" s="114"/>
      <c r="ER59" s="114"/>
      <c r="ES59" s="114"/>
      <c r="ET59" s="114"/>
      <c r="EU59" s="114"/>
      <c r="EV59" s="114"/>
      <c r="EW59" s="114"/>
      <c r="EX59" s="114"/>
      <c r="EY59" s="114"/>
      <c r="EZ59" s="114"/>
      <c r="FA59" s="114"/>
      <c r="FB59" s="114"/>
      <c r="FC59" s="114"/>
      <c r="FD59" s="114"/>
      <c r="FE59" s="114"/>
      <c r="FF59" s="114"/>
      <c r="FG59" s="114"/>
      <c r="FH59" s="114"/>
      <c r="FI59" s="114"/>
      <c r="FJ59" s="114"/>
      <c r="FK59" s="114"/>
      <c r="FL59" s="114"/>
      <c r="FM59" s="114"/>
      <c r="FN59" s="114"/>
      <c r="FO59" s="114"/>
      <c r="FP59" s="114"/>
      <c r="FQ59" s="114"/>
      <c r="FR59" s="114"/>
      <c r="FS59" s="114"/>
      <c r="FT59" s="114"/>
      <c r="FU59" s="114"/>
      <c r="FV59" s="114"/>
      <c r="FW59" s="114"/>
      <c r="FX59" s="114"/>
      <c r="FY59" s="114"/>
      <c r="FZ59" s="114"/>
      <c r="GA59" s="114"/>
      <c r="GB59" s="114"/>
      <c r="GC59" s="114"/>
      <c r="GD59" s="114"/>
      <c r="GE59" s="114"/>
      <c r="GF59" s="114"/>
      <c r="GG59" s="114"/>
      <c r="GH59" s="114"/>
      <c r="GI59" s="114"/>
      <c r="GJ59" s="114"/>
      <c r="GK59" s="114"/>
      <c r="GL59" s="114"/>
      <c r="GM59" s="114"/>
      <c r="GN59" s="114"/>
      <c r="GO59" s="114"/>
      <c r="GP59" s="114"/>
      <c r="GQ59" s="114"/>
      <c r="GR59" s="114"/>
      <c r="GS59" s="114"/>
      <c r="GT59" s="114"/>
      <c r="GU59" s="114"/>
      <c r="GV59" s="114"/>
      <c r="GW59" s="114"/>
      <c r="GX59" s="114"/>
      <c r="GY59" s="114"/>
      <c r="GZ59" s="114"/>
      <c r="HA59" s="114"/>
      <c r="HB59" s="114"/>
      <c r="HC59" s="114"/>
      <c r="HD59" s="114"/>
      <c r="HE59" s="114"/>
      <c r="HF59" s="114"/>
      <c r="HG59" s="114"/>
      <c r="HH59" s="114"/>
      <c r="HI59" s="114"/>
      <c r="HJ59" s="114"/>
      <c r="HK59" s="114"/>
      <c r="HL59" s="114"/>
      <c r="HM59" s="114"/>
      <c r="HN59" s="114"/>
      <c r="HO59" s="114"/>
      <c r="HP59" s="114"/>
      <c r="HQ59" s="114"/>
      <c r="HR59" s="114"/>
      <c r="HS59" s="114"/>
      <c r="HT59" s="114"/>
      <c r="HU59" s="114"/>
      <c r="HV59" s="114"/>
      <c r="HW59" s="114"/>
      <c r="HX59" s="114"/>
      <c r="HY59" s="114"/>
      <c r="HZ59" s="114"/>
      <c r="IA59" s="114"/>
      <c r="IB59" s="114"/>
      <c r="IC59" s="114"/>
      <c r="ID59" s="114"/>
      <c r="IE59" s="114"/>
      <c r="IF59" s="114"/>
      <c r="IG59" s="114"/>
      <c r="IH59" s="114"/>
      <c r="II59" s="114"/>
      <c r="IJ59" s="114"/>
      <c r="IK59" s="114"/>
      <c r="IL59" s="114"/>
      <c r="IM59" s="114"/>
      <c r="IN59" s="114"/>
      <c r="IO59" s="114"/>
      <c r="IP59" s="114"/>
      <c r="IQ59" s="114"/>
      <c r="IR59" s="114"/>
      <c r="IS59" s="114"/>
      <c r="IT59" s="114"/>
      <c r="IU59" s="114"/>
      <c r="IV59" s="114"/>
      <c r="IW59" s="114"/>
    </row>
    <row r="60" customFormat="false" ht="11.25" hidden="false" customHeight="false" outlineLevel="0" collapsed="false"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  <c r="DI60" s="114"/>
      <c r="DJ60" s="114"/>
      <c r="DK60" s="114"/>
      <c r="DL60" s="114"/>
      <c r="DM60" s="114"/>
      <c r="DN60" s="114"/>
      <c r="DO60" s="114"/>
      <c r="DP60" s="114"/>
      <c r="DQ60" s="114"/>
      <c r="DR60" s="114"/>
      <c r="DS60" s="114"/>
      <c r="DT60" s="114"/>
      <c r="DU60" s="114"/>
      <c r="DV60" s="114"/>
      <c r="DW60" s="114"/>
      <c r="DX60" s="114"/>
      <c r="DY60" s="114"/>
      <c r="DZ60" s="114"/>
      <c r="EA60" s="114"/>
      <c r="EB60" s="114"/>
      <c r="EC60" s="114"/>
      <c r="ED60" s="114"/>
      <c r="EE60" s="114"/>
      <c r="EF60" s="114"/>
      <c r="EG60" s="114"/>
      <c r="EH60" s="114"/>
      <c r="EI60" s="114"/>
      <c r="EJ60" s="114"/>
      <c r="EK60" s="114"/>
      <c r="EL60" s="114"/>
      <c r="EM60" s="114"/>
      <c r="EN60" s="114"/>
      <c r="EO60" s="114"/>
      <c r="EP60" s="114"/>
      <c r="EQ60" s="114"/>
      <c r="ER60" s="114"/>
      <c r="ES60" s="114"/>
      <c r="ET60" s="114"/>
      <c r="EU60" s="114"/>
      <c r="EV60" s="114"/>
      <c r="EW60" s="114"/>
      <c r="EX60" s="114"/>
      <c r="EY60" s="114"/>
      <c r="EZ60" s="114"/>
      <c r="FA60" s="114"/>
      <c r="FB60" s="114"/>
      <c r="FC60" s="114"/>
      <c r="FD60" s="114"/>
      <c r="FE60" s="114"/>
      <c r="FF60" s="114"/>
      <c r="FG60" s="114"/>
      <c r="FH60" s="114"/>
      <c r="FI60" s="114"/>
      <c r="FJ60" s="114"/>
      <c r="FK60" s="114"/>
      <c r="FL60" s="114"/>
      <c r="FM60" s="114"/>
      <c r="FN60" s="114"/>
      <c r="FO60" s="114"/>
      <c r="FP60" s="114"/>
      <c r="FQ60" s="114"/>
      <c r="FR60" s="114"/>
      <c r="FS60" s="114"/>
      <c r="FT60" s="114"/>
      <c r="FU60" s="114"/>
      <c r="FV60" s="114"/>
      <c r="FW60" s="114"/>
      <c r="FX60" s="114"/>
      <c r="FY60" s="114"/>
      <c r="FZ60" s="114"/>
      <c r="GA60" s="114"/>
      <c r="GB60" s="114"/>
      <c r="GC60" s="114"/>
      <c r="GD60" s="114"/>
      <c r="GE60" s="114"/>
      <c r="GF60" s="114"/>
      <c r="GG60" s="114"/>
      <c r="GH60" s="114"/>
      <c r="GI60" s="114"/>
      <c r="GJ60" s="114"/>
      <c r="GK60" s="114"/>
      <c r="GL60" s="114"/>
      <c r="GM60" s="114"/>
      <c r="GN60" s="114"/>
      <c r="GO60" s="114"/>
      <c r="GP60" s="114"/>
      <c r="GQ60" s="114"/>
      <c r="GR60" s="114"/>
      <c r="GS60" s="114"/>
      <c r="GT60" s="114"/>
      <c r="GU60" s="114"/>
      <c r="GV60" s="114"/>
      <c r="GW60" s="114"/>
      <c r="GX60" s="114"/>
      <c r="GY60" s="114"/>
      <c r="GZ60" s="114"/>
      <c r="HA60" s="114"/>
      <c r="HB60" s="114"/>
      <c r="HC60" s="114"/>
      <c r="HD60" s="114"/>
      <c r="HE60" s="114"/>
      <c r="HF60" s="114"/>
      <c r="HG60" s="114"/>
      <c r="HH60" s="114"/>
      <c r="HI60" s="114"/>
      <c r="HJ60" s="114"/>
      <c r="HK60" s="114"/>
      <c r="HL60" s="114"/>
      <c r="HM60" s="114"/>
      <c r="HN60" s="114"/>
      <c r="HO60" s="114"/>
      <c r="HP60" s="114"/>
      <c r="HQ60" s="114"/>
      <c r="HR60" s="114"/>
      <c r="HS60" s="114"/>
      <c r="HT60" s="114"/>
      <c r="HU60" s="114"/>
      <c r="HV60" s="114"/>
      <c r="HW60" s="114"/>
      <c r="HX60" s="114"/>
      <c r="HY60" s="114"/>
      <c r="HZ60" s="114"/>
      <c r="IA60" s="114"/>
      <c r="IB60" s="114"/>
      <c r="IC60" s="114"/>
      <c r="ID60" s="114"/>
      <c r="IE60" s="114"/>
      <c r="IF60" s="114"/>
      <c r="IG60" s="114"/>
      <c r="IH60" s="114"/>
      <c r="II60" s="114"/>
      <c r="IJ60" s="114"/>
      <c r="IK60" s="114"/>
      <c r="IL60" s="114"/>
      <c r="IM60" s="114"/>
      <c r="IN60" s="114"/>
      <c r="IO60" s="114"/>
      <c r="IP60" s="114"/>
      <c r="IQ60" s="114"/>
      <c r="IR60" s="114"/>
      <c r="IS60" s="114"/>
      <c r="IT60" s="114"/>
      <c r="IU60" s="114"/>
      <c r="IV60" s="114"/>
      <c r="IW60" s="114"/>
    </row>
    <row r="61" customFormat="false" ht="11.25" hidden="false" customHeight="false" outlineLevel="0" collapsed="false">
      <c r="A61" s="142" t="s">
        <v>108</v>
      </c>
      <c r="B61" s="154" t="n">
        <f aca="false">SUM(B6:B8)</f>
        <v>0</v>
      </c>
      <c r="C61" s="154" t="n">
        <f aca="false">SUM(C6:C8)-SUM(B6:B8)</f>
        <v>699.835049785932</v>
      </c>
      <c r="D61" s="154" t="n">
        <f aca="false">SUM(D6:D8)-SUM(C6:C8)</f>
        <v>-84.1118049776098</v>
      </c>
      <c r="E61" s="154" t="n">
        <f aca="false">SUM(E6:E8)-SUM(D6:D8)</f>
        <v>-60.3823170088347</v>
      </c>
      <c r="F61" s="154" t="n">
        <f aca="false">SUM(F6:F8)-SUM(E6:E8)</f>
        <v>-109.356241366533</v>
      </c>
      <c r="G61" s="154" t="n">
        <f aca="false">SUM(G6:G8)-SUM(F6:F8)</f>
        <v>-29.6466961857491</v>
      </c>
      <c r="H61" s="154" t="n">
        <f aca="false">SUM(H6:H8)-SUM(G6:G8)</f>
        <v>14.7617224733511</v>
      </c>
      <c r="I61" s="154" t="n">
        <f aca="false">SUM(I6:I8)-SUM(H6:H8)</f>
        <v>7.73176326722467</v>
      </c>
      <c r="J61" s="154" t="n">
        <f aca="false">SUM(J6:J8)-SUM(I6:I8)</f>
        <v>-9.13593627066535</v>
      </c>
      <c r="K61" s="154" t="n">
        <f aca="false">SUM(K6:K8)-SUM(J6:J8)</f>
        <v>15.5398472001021</v>
      </c>
      <c r="L61" s="154" t="n">
        <f aca="false">SUM(L6:L8)-SUM(K6:K8)</f>
        <v>5.82301193086579</v>
      </c>
      <c r="M61" s="154" t="n">
        <f aca="false">SUM(M6:M8)-SUM(L6:L8)</f>
        <v>8.61717249571825</v>
      </c>
      <c r="N61" s="154" t="n">
        <f aca="false">SUM(N6:N8)-SUM(M6:M8)</f>
        <v>-18.5840354491921</v>
      </c>
      <c r="O61" s="154" t="n">
        <f aca="false">SUM(O6:O8)-SUM(N6:N8)</f>
        <v>17.4011872882834</v>
      </c>
      <c r="P61" s="154" t="n">
        <f aca="false">SUM(P6:P8)-SUM(O6:O8)</f>
        <v>6.28605428475368</v>
      </c>
      <c r="Q61" s="154" t="n">
        <f aca="false">SUM(Q6:Q8)-SUM(P6:P8)</f>
        <v>506.17284619946</v>
      </c>
      <c r="R61" s="154" t="n">
        <f aca="false">SUM(R6:R8)-SUM(Q6:Q8)</f>
        <v>-970.951623667106</v>
      </c>
      <c r="S61" s="154" t="n">
        <f aca="false">SUM(S6:S8)-SUM(R6:R8)</f>
        <v>0</v>
      </c>
      <c r="T61" s="154" t="n">
        <f aca="false">SUM(T6:T8)-SUM(S6:S8)</f>
        <v>0</v>
      </c>
      <c r="U61" s="154" t="n">
        <f aca="false">SUM(U6:U8)-SUM(T6:T8)</f>
        <v>0</v>
      </c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4"/>
      <c r="EL61" s="114"/>
      <c r="EM61" s="114"/>
      <c r="EN61" s="114"/>
      <c r="EO61" s="114"/>
      <c r="EP61" s="114"/>
      <c r="EQ61" s="114"/>
      <c r="ER61" s="114"/>
      <c r="ES61" s="114"/>
      <c r="ET61" s="114"/>
      <c r="EU61" s="114"/>
      <c r="EV61" s="114"/>
      <c r="EW61" s="114"/>
      <c r="EX61" s="114"/>
      <c r="EY61" s="114"/>
      <c r="EZ61" s="114"/>
      <c r="FA61" s="114"/>
      <c r="FB61" s="114"/>
      <c r="FC61" s="114"/>
      <c r="FD61" s="114"/>
      <c r="FE61" s="114"/>
      <c r="FF61" s="114"/>
      <c r="FG61" s="114"/>
      <c r="FH61" s="114"/>
      <c r="FI61" s="114"/>
      <c r="FJ61" s="114"/>
      <c r="FK61" s="114"/>
      <c r="FL61" s="114"/>
      <c r="FM61" s="114"/>
      <c r="FN61" s="114"/>
      <c r="FO61" s="114"/>
      <c r="FP61" s="114"/>
      <c r="FQ61" s="114"/>
      <c r="FR61" s="114"/>
      <c r="FS61" s="114"/>
      <c r="FT61" s="114"/>
      <c r="FU61" s="114"/>
      <c r="FV61" s="114"/>
      <c r="FW61" s="114"/>
      <c r="FX61" s="114"/>
      <c r="FY61" s="114"/>
      <c r="FZ61" s="114"/>
      <c r="GA61" s="114"/>
      <c r="GB61" s="114"/>
      <c r="GC61" s="114"/>
      <c r="GD61" s="114"/>
      <c r="GE61" s="114"/>
      <c r="GF61" s="114"/>
      <c r="GG61" s="114"/>
      <c r="GH61" s="114"/>
      <c r="GI61" s="114"/>
      <c r="GJ61" s="114"/>
      <c r="GK61" s="114"/>
      <c r="GL61" s="114"/>
      <c r="GM61" s="114"/>
      <c r="GN61" s="114"/>
      <c r="GO61" s="114"/>
      <c r="GP61" s="114"/>
      <c r="GQ61" s="114"/>
      <c r="GR61" s="114"/>
      <c r="GS61" s="114"/>
      <c r="GT61" s="114"/>
      <c r="GU61" s="114"/>
      <c r="GV61" s="114"/>
      <c r="GW61" s="114"/>
      <c r="GX61" s="114"/>
      <c r="GY61" s="114"/>
      <c r="GZ61" s="114"/>
      <c r="HA61" s="114"/>
      <c r="HB61" s="114"/>
      <c r="HC61" s="114"/>
      <c r="HD61" s="114"/>
      <c r="HE61" s="114"/>
      <c r="HF61" s="114"/>
      <c r="HG61" s="114"/>
      <c r="HH61" s="114"/>
      <c r="HI61" s="114"/>
      <c r="HJ61" s="114"/>
      <c r="HK61" s="114"/>
      <c r="HL61" s="114"/>
      <c r="HM61" s="114"/>
      <c r="HN61" s="114"/>
      <c r="HO61" s="114"/>
      <c r="HP61" s="114"/>
      <c r="HQ61" s="114"/>
      <c r="HR61" s="114"/>
      <c r="HS61" s="114"/>
      <c r="HT61" s="114"/>
      <c r="HU61" s="114"/>
      <c r="HV61" s="114"/>
      <c r="HW61" s="114"/>
      <c r="HX61" s="114"/>
      <c r="HY61" s="114"/>
      <c r="HZ61" s="114"/>
      <c r="IA61" s="114"/>
      <c r="IB61" s="114"/>
      <c r="IC61" s="114"/>
      <c r="ID61" s="114"/>
      <c r="IE61" s="114"/>
      <c r="IF61" s="114"/>
      <c r="IG61" s="114"/>
      <c r="IH61" s="114"/>
      <c r="II61" s="114"/>
      <c r="IJ61" s="114"/>
      <c r="IK61" s="114"/>
      <c r="IL61" s="114"/>
      <c r="IM61" s="114"/>
      <c r="IN61" s="114"/>
      <c r="IO61" s="114"/>
      <c r="IP61" s="114"/>
      <c r="IQ61" s="114"/>
      <c r="IR61" s="114"/>
      <c r="IS61" s="114"/>
      <c r="IT61" s="114"/>
      <c r="IU61" s="114"/>
      <c r="IV61" s="114"/>
      <c r="IW61" s="114"/>
    </row>
    <row r="62" customFormat="false" ht="11.25" hidden="false" customHeight="false" outlineLevel="0" collapsed="false">
      <c r="A62" s="142" t="s">
        <v>109</v>
      </c>
      <c r="B62" s="154" t="e">
        <f aca="false">SUM(B25:B28)</f>
        <v>#VALUE!</v>
      </c>
      <c r="C62" s="154" t="e">
        <f aca="false">SUM(C25:C28)-SUM(B25:B28)</f>
        <v>#VALUE!</v>
      </c>
      <c r="D62" s="154" t="e">
        <f aca="false">SUM(D25:D28)-SUM(C25:C28)</f>
        <v>#VALUE!</v>
      </c>
      <c r="E62" s="154" t="e">
        <f aca="false">SUM(E25:E28)-SUM(D25:D28)</f>
        <v>#VALUE!</v>
      </c>
      <c r="F62" s="154" t="e">
        <f aca="false">SUM(F25:F28)-SUM(E25:E28)</f>
        <v>#VALUE!</v>
      </c>
      <c r="G62" s="154" t="e">
        <f aca="false">SUM(G25:G28)-SUM(F25:F28)</f>
        <v>#VALUE!</v>
      </c>
      <c r="H62" s="154" t="e">
        <f aca="false">SUM(H25:H28)-SUM(G25:G28)</f>
        <v>#VALUE!</v>
      </c>
      <c r="I62" s="154" t="e">
        <f aca="false">SUM(I25:I28)-SUM(H25:H28)</f>
        <v>#VALUE!</v>
      </c>
      <c r="J62" s="154" t="e">
        <f aca="false">SUM(J25:J28)-SUM(I25:I28)</f>
        <v>#VALUE!</v>
      </c>
      <c r="K62" s="154" t="e">
        <f aca="false">SUM(K25:K28)-SUM(J25:J28)</f>
        <v>#VALUE!</v>
      </c>
      <c r="L62" s="154" t="e">
        <f aca="false">SUM(L25:L28)-SUM(K25:K28)</f>
        <v>#VALUE!</v>
      </c>
      <c r="M62" s="154" t="e">
        <f aca="false">SUM(M25:M28)-SUM(L25:L28)</f>
        <v>#VALUE!</v>
      </c>
      <c r="N62" s="154" t="e">
        <f aca="false">SUM(N25:N28)-SUM(M25:M28)</f>
        <v>#VALUE!</v>
      </c>
      <c r="O62" s="154" t="e">
        <f aca="false">SUM(O25:O28)-SUM(N25:N28)</f>
        <v>#VALUE!</v>
      </c>
      <c r="P62" s="154" t="e">
        <f aca="false">SUM(P25:P28)-SUM(O25:O28)</f>
        <v>#VALUE!</v>
      </c>
      <c r="Q62" s="154" t="e">
        <f aca="false">SUM(Q25:Q28)-SUM(P25:P28)</f>
        <v>#VALUE!</v>
      </c>
      <c r="R62" s="154" t="e">
        <f aca="false">SUM(R25:R28)-SUM(Q25:Q28)</f>
        <v>#VALUE!</v>
      </c>
      <c r="S62" s="154" t="e">
        <f aca="false">SUM(S25:S28)-SUM(R25:R28)</f>
        <v>#VALUE!</v>
      </c>
      <c r="T62" s="154" t="e">
        <f aca="false">SUM(T25:T28)-SUM(S25:S28)</f>
        <v>#VALUE!</v>
      </c>
      <c r="U62" s="154" t="e">
        <f aca="false">SUM(U25:U28)-SUM(T25:T28)</f>
        <v>#VALUE!</v>
      </c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4"/>
      <c r="EL62" s="114"/>
      <c r="EM62" s="114"/>
      <c r="EN62" s="114"/>
      <c r="EO62" s="114"/>
      <c r="EP62" s="114"/>
      <c r="EQ62" s="114"/>
      <c r="ER62" s="114"/>
      <c r="ES62" s="114"/>
      <c r="ET62" s="114"/>
      <c r="EU62" s="114"/>
      <c r="EV62" s="114"/>
      <c r="EW62" s="114"/>
      <c r="EX62" s="114"/>
      <c r="EY62" s="114"/>
      <c r="EZ62" s="114"/>
      <c r="FA62" s="114"/>
      <c r="FB62" s="114"/>
      <c r="FC62" s="114"/>
      <c r="FD62" s="114"/>
      <c r="FE62" s="114"/>
      <c r="FF62" s="114"/>
      <c r="FG62" s="114"/>
      <c r="FH62" s="114"/>
      <c r="FI62" s="114"/>
      <c r="FJ62" s="114"/>
      <c r="FK62" s="114"/>
      <c r="FL62" s="114"/>
      <c r="FM62" s="114"/>
      <c r="FN62" s="114"/>
      <c r="FO62" s="114"/>
      <c r="FP62" s="114"/>
      <c r="FQ62" s="114"/>
      <c r="FR62" s="114"/>
      <c r="FS62" s="114"/>
      <c r="FT62" s="114"/>
      <c r="FU62" s="114"/>
      <c r="FV62" s="114"/>
      <c r="FW62" s="114"/>
      <c r="FX62" s="114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114"/>
      <c r="GJ62" s="114"/>
      <c r="GK62" s="114"/>
      <c r="GL62" s="114"/>
      <c r="GM62" s="114"/>
      <c r="GN62" s="114"/>
      <c r="GO62" s="114"/>
      <c r="GP62" s="114"/>
      <c r="GQ62" s="114"/>
      <c r="GR62" s="114"/>
      <c r="GS62" s="114"/>
      <c r="GT62" s="114"/>
      <c r="GU62" s="114"/>
      <c r="GV62" s="114"/>
      <c r="GW62" s="114"/>
      <c r="GX62" s="114"/>
      <c r="GY62" s="114"/>
      <c r="GZ62" s="114"/>
      <c r="HA62" s="114"/>
      <c r="HB62" s="114"/>
      <c r="HC62" s="114"/>
      <c r="HD62" s="114"/>
      <c r="HE62" s="114"/>
      <c r="HF62" s="114"/>
      <c r="HG62" s="114"/>
      <c r="HH62" s="114"/>
      <c r="HI62" s="114"/>
      <c r="HJ62" s="114"/>
      <c r="HK62" s="114"/>
      <c r="HL62" s="114"/>
      <c r="HM62" s="114"/>
      <c r="HN62" s="114"/>
      <c r="HO62" s="114"/>
      <c r="HP62" s="114"/>
      <c r="HQ62" s="114"/>
      <c r="HR62" s="114"/>
      <c r="HS62" s="114"/>
      <c r="HT62" s="114"/>
      <c r="HU62" s="114"/>
      <c r="HV62" s="114"/>
      <c r="HW62" s="114"/>
      <c r="HX62" s="114"/>
      <c r="HY62" s="114"/>
      <c r="HZ62" s="114"/>
      <c r="IA62" s="114"/>
      <c r="IB62" s="114"/>
      <c r="IC62" s="114"/>
      <c r="ID62" s="114"/>
      <c r="IE62" s="114"/>
      <c r="IF62" s="114"/>
      <c r="IG62" s="114"/>
      <c r="IH62" s="114"/>
      <c r="II62" s="114"/>
      <c r="IJ62" s="114"/>
      <c r="IK62" s="114"/>
      <c r="IL62" s="114"/>
      <c r="IM62" s="114"/>
      <c r="IN62" s="114"/>
      <c r="IO62" s="114"/>
      <c r="IP62" s="114"/>
      <c r="IQ62" s="114"/>
      <c r="IR62" s="114"/>
      <c r="IS62" s="114"/>
      <c r="IT62" s="114"/>
      <c r="IU62" s="114"/>
      <c r="IV62" s="114"/>
      <c r="IW62" s="114"/>
    </row>
    <row r="63" customFormat="false" ht="11.25" hidden="false" customHeight="false" outlineLevel="0" collapsed="false">
      <c r="A63" s="142" t="s">
        <v>110</v>
      </c>
      <c r="B63" s="175" t="n">
        <f aca="false">B18+B17</f>
        <v>180530.05066285</v>
      </c>
      <c r="C63" s="175" t="n">
        <f aca="false">(C18-B18)+(C17-B17)</f>
        <v>0</v>
      </c>
      <c r="D63" s="175" t="n">
        <f aca="false">(D18-C18)+(D17-C17)</f>
        <v>0</v>
      </c>
      <c r="E63" s="175" t="n">
        <f aca="false">(E18-D18)+(E17-D17)</f>
        <v>0</v>
      </c>
      <c r="F63" s="175" t="n">
        <f aca="false">(F18-E18)+(F17-E17)</f>
        <v>0</v>
      </c>
      <c r="G63" s="175" t="n">
        <f aca="false">(G18-F18)+(G17-F17)</f>
        <v>0</v>
      </c>
      <c r="H63" s="175" t="n">
        <f aca="false">(H18-G18)+(H17-G17)</f>
        <v>0</v>
      </c>
      <c r="I63" s="175" t="n">
        <f aca="false">(I18-H18)+(I17-H17)</f>
        <v>0</v>
      </c>
      <c r="J63" s="175" t="n">
        <f aca="false">(J18-I18)+(J17-I17)</f>
        <v>0</v>
      </c>
      <c r="K63" s="175" t="n">
        <f aca="false">(K18-J18)+(K17-J17)</f>
        <v>0</v>
      </c>
      <c r="L63" s="175" t="n">
        <f aca="false">(L18-K18)+(L17-K17)</f>
        <v>0</v>
      </c>
      <c r="M63" s="175" t="n">
        <f aca="false">(M18-L18)+(M17-L17)</f>
        <v>0</v>
      </c>
      <c r="N63" s="175" t="n">
        <f aca="false">(N18-M18)+(N17-M17)</f>
        <v>0</v>
      </c>
      <c r="O63" s="175" t="n">
        <f aca="false">(O18-N18)+(O17-N17)</f>
        <v>0</v>
      </c>
      <c r="P63" s="175" t="n">
        <f aca="false">(P18-O18)+(P17-O17)</f>
        <v>0</v>
      </c>
      <c r="Q63" s="175" t="n">
        <f aca="false">(Q18-P18)+(Q17-P17)</f>
        <v>0</v>
      </c>
      <c r="R63" s="175" t="n">
        <f aca="false">(R18-Q18)+(R17-Q17)</f>
        <v>-180530.05066285</v>
      </c>
      <c r="S63" s="175" t="n">
        <f aca="false">(S18-R18)+(S17-R17)</f>
        <v>0</v>
      </c>
      <c r="T63" s="175" t="n">
        <f aca="false">(T18-S18)+(T17-S17)</f>
        <v>0</v>
      </c>
      <c r="U63" s="175" t="n">
        <f aca="false">(U18-T18)+(U17-T17)</f>
        <v>0</v>
      </c>
      <c r="V63" s="114"/>
      <c r="W63" s="114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114"/>
      <c r="ES63" s="114"/>
      <c r="ET63" s="114"/>
      <c r="EU63" s="114"/>
      <c r="EV63" s="114"/>
      <c r="EW63" s="114"/>
      <c r="EX63" s="114"/>
      <c r="EY63" s="114"/>
      <c r="EZ63" s="114"/>
      <c r="FA63" s="114"/>
      <c r="FB63" s="114"/>
      <c r="FC63" s="114"/>
      <c r="FD63" s="114"/>
      <c r="FE63" s="114"/>
      <c r="FF63" s="114"/>
      <c r="FG63" s="114"/>
      <c r="FH63" s="114"/>
      <c r="FI63" s="114"/>
      <c r="FJ63" s="114"/>
      <c r="FK63" s="114"/>
      <c r="FL63" s="114"/>
      <c r="FM63" s="114"/>
      <c r="FN63" s="114"/>
      <c r="FO63" s="114"/>
      <c r="FP63" s="114"/>
      <c r="FQ63" s="114"/>
      <c r="FR63" s="114"/>
      <c r="FS63" s="114"/>
      <c r="FT63" s="114"/>
      <c r="FU63" s="114"/>
      <c r="FV63" s="114"/>
      <c r="FW63" s="114"/>
      <c r="FX63" s="114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114"/>
      <c r="GJ63" s="114"/>
      <c r="GK63" s="114"/>
      <c r="GL63" s="114"/>
      <c r="GM63" s="114"/>
      <c r="GN63" s="114"/>
      <c r="GO63" s="114"/>
      <c r="GP63" s="114"/>
      <c r="GQ63" s="114"/>
      <c r="GR63" s="114"/>
      <c r="GS63" s="114"/>
      <c r="GT63" s="114"/>
      <c r="GU63" s="114"/>
      <c r="GV63" s="114"/>
      <c r="GW63" s="114"/>
      <c r="GX63" s="114"/>
      <c r="GY63" s="114"/>
      <c r="GZ63" s="114"/>
      <c r="HA63" s="114"/>
      <c r="HB63" s="114"/>
      <c r="HC63" s="114"/>
      <c r="HD63" s="114"/>
      <c r="HE63" s="114"/>
      <c r="HF63" s="114"/>
      <c r="HG63" s="114"/>
      <c r="HH63" s="114"/>
      <c r="HI63" s="114"/>
      <c r="HJ63" s="114"/>
      <c r="HK63" s="114"/>
      <c r="HL63" s="114"/>
      <c r="HM63" s="114"/>
      <c r="HN63" s="114"/>
      <c r="HO63" s="114"/>
      <c r="HP63" s="114"/>
      <c r="HQ63" s="114"/>
      <c r="HR63" s="114"/>
      <c r="HS63" s="114"/>
      <c r="HT63" s="114"/>
      <c r="HU63" s="114"/>
      <c r="HV63" s="114"/>
      <c r="HW63" s="114"/>
      <c r="HX63" s="114"/>
      <c r="HY63" s="114"/>
      <c r="HZ63" s="114"/>
      <c r="IA63" s="114"/>
      <c r="IB63" s="114"/>
      <c r="IC63" s="114"/>
      <c r="ID63" s="114"/>
      <c r="IE63" s="114"/>
      <c r="IF63" s="114"/>
      <c r="IG63" s="114"/>
      <c r="IH63" s="114"/>
      <c r="II63" s="114"/>
      <c r="IJ63" s="114"/>
      <c r="IK63" s="114"/>
      <c r="IL63" s="114"/>
      <c r="IM63" s="114"/>
      <c r="IN63" s="114"/>
      <c r="IO63" s="114"/>
      <c r="IP63" s="114"/>
      <c r="IQ63" s="114"/>
      <c r="IR63" s="114"/>
      <c r="IS63" s="114"/>
      <c r="IT63" s="114"/>
      <c r="IU63" s="114"/>
      <c r="IV63" s="114"/>
      <c r="IW63" s="114"/>
    </row>
    <row r="64" customFormat="false" ht="11.25" hidden="false" customHeight="false" outlineLevel="0" collapsed="false">
      <c r="A64" s="142" t="s">
        <v>111</v>
      </c>
      <c r="B64" s="154" t="e">
        <f aca="false">B32</f>
        <v>#VALUE!</v>
      </c>
      <c r="C64" s="154" t="e">
        <f aca="false">C32-B32</f>
        <v>#VALUE!</v>
      </c>
      <c r="D64" s="154" t="e">
        <f aca="false">D32-C32</f>
        <v>#VALUE!</v>
      </c>
      <c r="E64" s="154" t="e">
        <f aca="false">E32-D32</f>
        <v>#VALUE!</v>
      </c>
      <c r="F64" s="154" t="e">
        <f aca="false">F32-E32</f>
        <v>#VALUE!</v>
      </c>
      <c r="G64" s="154" t="e">
        <f aca="false">G32-F32</f>
        <v>#VALUE!</v>
      </c>
      <c r="H64" s="154" t="e">
        <f aca="false">H32-G32</f>
        <v>#VALUE!</v>
      </c>
      <c r="I64" s="154" t="e">
        <f aca="false">I32-H32</f>
        <v>#VALUE!</v>
      </c>
      <c r="J64" s="154" t="e">
        <f aca="false">J32-I32</f>
        <v>#VALUE!</v>
      </c>
      <c r="K64" s="154" t="e">
        <f aca="false">K32-J32</f>
        <v>#VALUE!</v>
      </c>
      <c r="L64" s="154" t="e">
        <f aca="false">L32-K32</f>
        <v>#VALUE!</v>
      </c>
      <c r="M64" s="154" t="e">
        <f aca="false">M32-L32</f>
        <v>#VALUE!</v>
      </c>
      <c r="N64" s="154" t="e">
        <f aca="false">N32-M32</f>
        <v>#VALUE!</v>
      </c>
      <c r="O64" s="154" t="e">
        <f aca="false">O32-N32</f>
        <v>#VALUE!</v>
      </c>
      <c r="P64" s="154" t="e">
        <f aca="false">P32-O32</f>
        <v>#VALUE!</v>
      </c>
      <c r="Q64" s="154" t="e">
        <f aca="false">Q32-P32</f>
        <v>#VALUE!</v>
      </c>
      <c r="R64" s="154" t="e">
        <f aca="false">R32-Q32</f>
        <v>#VALUE!</v>
      </c>
      <c r="S64" s="154" t="e">
        <f aca="false">S32-R32</f>
        <v>#VALUE!</v>
      </c>
      <c r="T64" s="154" t="e">
        <f aca="false">T32-S32</f>
        <v>#VALUE!</v>
      </c>
      <c r="U64" s="154" t="e">
        <f aca="false">U32-T32</f>
        <v>#VALUE!</v>
      </c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4"/>
      <c r="EL64" s="114"/>
      <c r="EM64" s="114"/>
      <c r="EN64" s="114"/>
      <c r="EO64" s="114"/>
      <c r="EP64" s="114"/>
      <c r="EQ64" s="114"/>
      <c r="ER64" s="114"/>
      <c r="ES64" s="114"/>
      <c r="ET64" s="114"/>
      <c r="EU64" s="114"/>
      <c r="EV64" s="114"/>
      <c r="EW64" s="114"/>
      <c r="EX64" s="114"/>
      <c r="EY64" s="114"/>
      <c r="EZ64" s="114"/>
      <c r="FA64" s="114"/>
      <c r="FB64" s="114"/>
      <c r="FC64" s="114"/>
      <c r="FD64" s="114"/>
      <c r="FE64" s="114"/>
      <c r="FF64" s="114"/>
      <c r="FG64" s="114"/>
      <c r="FH64" s="114"/>
      <c r="FI64" s="114"/>
      <c r="FJ64" s="114"/>
      <c r="FK64" s="114"/>
      <c r="FL64" s="114"/>
      <c r="FM64" s="114"/>
      <c r="FN64" s="114"/>
      <c r="FO64" s="114"/>
      <c r="FP64" s="114"/>
      <c r="FQ64" s="114"/>
      <c r="FR64" s="114"/>
      <c r="FS64" s="114"/>
      <c r="FT64" s="114"/>
      <c r="FU64" s="114"/>
      <c r="FV64" s="114"/>
      <c r="FW64" s="114"/>
      <c r="FX64" s="114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114"/>
      <c r="GJ64" s="114"/>
      <c r="GK64" s="114"/>
      <c r="GL64" s="114"/>
      <c r="GM64" s="114"/>
      <c r="GN64" s="114"/>
      <c r="GO64" s="114"/>
      <c r="GP64" s="114"/>
      <c r="GQ64" s="114"/>
      <c r="GR64" s="114"/>
      <c r="GS64" s="114"/>
      <c r="GT64" s="114"/>
      <c r="GU64" s="114"/>
      <c r="GV64" s="114"/>
      <c r="GW64" s="114"/>
      <c r="GX64" s="114"/>
      <c r="GY64" s="114"/>
      <c r="GZ64" s="114"/>
      <c r="HA64" s="114"/>
      <c r="HB64" s="114"/>
      <c r="HC64" s="114"/>
      <c r="HD64" s="114"/>
      <c r="HE64" s="114"/>
      <c r="HF64" s="114"/>
      <c r="HG64" s="114"/>
      <c r="HH64" s="114"/>
      <c r="HI64" s="114"/>
      <c r="HJ64" s="114"/>
      <c r="HK64" s="114"/>
      <c r="HL64" s="114"/>
      <c r="HM64" s="114"/>
      <c r="HN64" s="114"/>
      <c r="HO64" s="114"/>
      <c r="HP64" s="114"/>
      <c r="HQ64" s="114"/>
      <c r="HR64" s="114"/>
      <c r="HS64" s="114"/>
      <c r="HT64" s="114"/>
      <c r="HU64" s="114"/>
      <c r="HV64" s="114"/>
      <c r="HW64" s="114"/>
      <c r="HX64" s="114"/>
      <c r="HY64" s="114"/>
      <c r="HZ64" s="114"/>
      <c r="IA64" s="114"/>
      <c r="IB64" s="114"/>
      <c r="IC64" s="114"/>
      <c r="ID64" s="114"/>
      <c r="IE64" s="114"/>
      <c r="IF64" s="114"/>
      <c r="IG64" s="114"/>
      <c r="IH64" s="114"/>
      <c r="II64" s="114"/>
      <c r="IJ64" s="114"/>
      <c r="IK64" s="114"/>
      <c r="IL64" s="114"/>
      <c r="IM64" s="114"/>
      <c r="IN64" s="114"/>
      <c r="IO64" s="114"/>
      <c r="IP64" s="114"/>
      <c r="IQ64" s="114"/>
      <c r="IR64" s="114"/>
      <c r="IS64" s="114"/>
      <c r="IT64" s="114"/>
      <c r="IU64" s="114"/>
      <c r="IV64" s="114"/>
      <c r="IW64" s="114"/>
    </row>
    <row r="65" customFormat="false" ht="11.25" hidden="false" customHeight="false" outlineLevel="0" collapsed="false">
      <c r="A65" s="142" t="s">
        <v>112</v>
      </c>
      <c r="B65" s="154" t="n">
        <f aca="false">B39</f>
        <v>121897.846528664</v>
      </c>
      <c r="C65" s="154" t="n">
        <f aca="false">C39-B39</f>
        <v>0</v>
      </c>
      <c r="D65" s="154" t="n">
        <f aca="false">D39-C39</f>
        <v>0</v>
      </c>
      <c r="E65" s="154" t="n">
        <f aca="false">E39-D39</f>
        <v>0</v>
      </c>
      <c r="F65" s="154" t="n">
        <f aca="false">F39-E39</f>
        <v>0</v>
      </c>
      <c r="G65" s="154" t="n">
        <f aca="false">G39-F39</f>
        <v>0</v>
      </c>
      <c r="H65" s="154" t="n">
        <f aca="false">H39-G39</f>
        <v>0</v>
      </c>
      <c r="I65" s="154" t="n">
        <f aca="false">I39-H39</f>
        <v>0</v>
      </c>
      <c r="J65" s="154" t="n">
        <f aca="false">J39-I39</f>
        <v>0</v>
      </c>
      <c r="K65" s="154" t="n">
        <f aca="false">K39-J39</f>
        <v>0</v>
      </c>
      <c r="L65" s="154" t="n">
        <f aca="false">L39-K39</f>
        <v>0</v>
      </c>
      <c r="M65" s="154" t="n">
        <f aca="false">M39-L39</f>
        <v>0</v>
      </c>
      <c r="N65" s="154" t="n">
        <f aca="false">N39-M39</f>
        <v>0</v>
      </c>
      <c r="O65" s="154" t="n">
        <f aca="false">O39-N39</f>
        <v>0</v>
      </c>
      <c r="P65" s="154" t="n">
        <f aca="false">P39-O39</f>
        <v>0</v>
      </c>
      <c r="Q65" s="154" t="n">
        <f aca="false">Q39-P39</f>
        <v>0</v>
      </c>
      <c r="R65" s="154" t="n">
        <f aca="false">R39-Q39</f>
        <v>-121897.846528664</v>
      </c>
      <c r="S65" s="154" t="n">
        <f aca="false">S39-R39</f>
        <v>0</v>
      </c>
      <c r="T65" s="154" t="n">
        <f aca="false">T39-S39</f>
        <v>0</v>
      </c>
      <c r="U65" s="154" t="n">
        <f aca="false">U39-T39</f>
        <v>0</v>
      </c>
      <c r="V65" s="114"/>
      <c r="W65" s="114"/>
      <c r="X65" s="114"/>
      <c r="Y65" s="114"/>
      <c r="Z65" s="114"/>
      <c r="AA65" s="114"/>
      <c r="AB65" s="114"/>
      <c r="AC65" s="114"/>
      <c r="AD65" s="114"/>
      <c r="AE65" s="114"/>
      <c r="AF65" s="114"/>
      <c r="AG65" s="114"/>
      <c r="AH65" s="114"/>
      <c r="AI65" s="114"/>
      <c r="AJ65" s="114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4"/>
      <c r="EL65" s="114"/>
      <c r="EM65" s="114"/>
      <c r="EN65" s="114"/>
      <c r="EO65" s="114"/>
      <c r="EP65" s="114"/>
      <c r="EQ65" s="114"/>
      <c r="ER65" s="114"/>
      <c r="ES65" s="114"/>
      <c r="ET65" s="114"/>
      <c r="EU65" s="114"/>
      <c r="EV65" s="114"/>
      <c r="EW65" s="114"/>
      <c r="EX65" s="114"/>
      <c r="EY65" s="114"/>
      <c r="EZ65" s="114"/>
      <c r="FA65" s="114"/>
      <c r="FB65" s="114"/>
      <c r="FC65" s="114"/>
      <c r="FD65" s="114"/>
      <c r="FE65" s="114"/>
      <c r="FF65" s="114"/>
      <c r="FG65" s="114"/>
      <c r="FH65" s="114"/>
      <c r="FI65" s="114"/>
      <c r="FJ65" s="114"/>
      <c r="FK65" s="114"/>
      <c r="FL65" s="114"/>
      <c r="FM65" s="114"/>
      <c r="FN65" s="114"/>
      <c r="FO65" s="114"/>
      <c r="FP65" s="114"/>
      <c r="FQ65" s="114"/>
      <c r="FR65" s="114"/>
      <c r="FS65" s="114"/>
      <c r="FT65" s="114"/>
      <c r="FU65" s="114"/>
      <c r="FV65" s="114"/>
      <c r="FW65" s="114"/>
      <c r="FX65" s="114"/>
      <c r="FY65" s="114"/>
      <c r="FZ65" s="114"/>
      <c r="GA65" s="114"/>
      <c r="GB65" s="114"/>
      <c r="GC65" s="114"/>
      <c r="GD65" s="114"/>
      <c r="GE65" s="114"/>
      <c r="GF65" s="114"/>
      <c r="GG65" s="114"/>
      <c r="GH65" s="114"/>
      <c r="GI65" s="114"/>
      <c r="GJ65" s="114"/>
      <c r="GK65" s="114"/>
      <c r="GL65" s="114"/>
      <c r="GM65" s="114"/>
      <c r="GN65" s="114"/>
      <c r="GO65" s="114"/>
      <c r="GP65" s="114"/>
      <c r="GQ65" s="114"/>
      <c r="GR65" s="114"/>
      <c r="GS65" s="114"/>
      <c r="GT65" s="114"/>
      <c r="GU65" s="114"/>
      <c r="GV65" s="114"/>
      <c r="GW65" s="114"/>
      <c r="GX65" s="114"/>
      <c r="GY65" s="114"/>
      <c r="GZ65" s="114"/>
      <c r="HA65" s="114"/>
      <c r="HB65" s="114"/>
      <c r="HC65" s="114"/>
      <c r="HD65" s="114"/>
      <c r="HE65" s="114"/>
      <c r="HF65" s="114"/>
      <c r="HG65" s="114"/>
      <c r="HH65" s="114"/>
      <c r="HI65" s="114"/>
      <c r="HJ65" s="114"/>
      <c r="HK65" s="114"/>
      <c r="HL65" s="114"/>
      <c r="HM65" s="114"/>
      <c r="HN65" s="114"/>
      <c r="HO65" s="114"/>
      <c r="HP65" s="114"/>
      <c r="HQ65" s="114"/>
      <c r="HR65" s="114"/>
      <c r="HS65" s="114"/>
      <c r="HT65" s="114"/>
      <c r="HU65" s="114"/>
      <c r="HV65" s="114"/>
      <c r="HW65" s="114"/>
      <c r="HX65" s="114"/>
      <c r="HY65" s="114"/>
      <c r="HZ65" s="114"/>
      <c r="IA65" s="114"/>
      <c r="IB65" s="114"/>
      <c r="IC65" s="114"/>
      <c r="ID65" s="114"/>
      <c r="IE65" s="114"/>
      <c r="IF65" s="114"/>
      <c r="IG65" s="114"/>
      <c r="IH65" s="114"/>
      <c r="II65" s="114"/>
      <c r="IJ65" s="114"/>
      <c r="IK65" s="114"/>
      <c r="IL65" s="114"/>
      <c r="IM65" s="114"/>
      <c r="IN65" s="114"/>
      <c r="IO65" s="114"/>
      <c r="IP65" s="114"/>
      <c r="IQ65" s="114"/>
      <c r="IR65" s="114"/>
      <c r="IS65" s="114"/>
      <c r="IT65" s="114"/>
      <c r="IU65" s="114"/>
      <c r="IV65" s="114"/>
      <c r="IW65" s="114"/>
    </row>
    <row r="66" customFormat="false" ht="11.25" hidden="false" customHeight="false" outlineLevel="0" collapsed="false">
      <c r="V66" s="114"/>
      <c r="W66" s="114"/>
      <c r="X66" s="114"/>
      <c r="Y66" s="114"/>
      <c r="Z66" s="114"/>
      <c r="AA66" s="114"/>
      <c r="AB66" s="114"/>
      <c r="AC66" s="114"/>
      <c r="AD66" s="114"/>
      <c r="AE66" s="114"/>
      <c r="AF66" s="114"/>
      <c r="AG66" s="114"/>
      <c r="AH66" s="114"/>
      <c r="AI66" s="114"/>
      <c r="AJ66" s="114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4"/>
      <c r="EL66" s="114"/>
      <c r="EM66" s="114"/>
      <c r="EN66" s="114"/>
      <c r="EO66" s="114"/>
      <c r="EP66" s="114"/>
      <c r="EQ66" s="114"/>
      <c r="ER66" s="114"/>
      <c r="ES66" s="114"/>
      <c r="ET66" s="114"/>
      <c r="EU66" s="114"/>
      <c r="EV66" s="114"/>
      <c r="EW66" s="114"/>
      <c r="EX66" s="114"/>
      <c r="EY66" s="114"/>
      <c r="EZ66" s="114"/>
      <c r="FA66" s="114"/>
      <c r="FB66" s="114"/>
      <c r="FC66" s="114"/>
      <c r="FD66" s="114"/>
      <c r="FE66" s="114"/>
      <c r="FF66" s="114"/>
      <c r="FG66" s="114"/>
      <c r="FH66" s="114"/>
      <c r="FI66" s="114"/>
      <c r="FJ66" s="114"/>
      <c r="FK66" s="114"/>
      <c r="FL66" s="114"/>
      <c r="FM66" s="114"/>
      <c r="FN66" s="114"/>
      <c r="FO66" s="114"/>
      <c r="FP66" s="114"/>
      <c r="FQ66" s="114"/>
      <c r="FR66" s="114"/>
      <c r="FS66" s="114"/>
      <c r="FT66" s="114"/>
      <c r="FU66" s="114"/>
      <c r="FV66" s="114"/>
      <c r="FW66" s="114"/>
      <c r="FX66" s="114"/>
      <c r="FY66" s="114"/>
      <c r="FZ66" s="114"/>
      <c r="GA66" s="114"/>
      <c r="GB66" s="114"/>
      <c r="GC66" s="114"/>
      <c r="GD66" s="114"/>
      <c r="GE66" s="114"/>
      <c r="GF66" s="114"/>
      <c r="GG66" s="114"/>
      <c r="GH66" s="114"/>
      <c r="GI66" s="114"/>
      <c r="GJ66" s="114"/>
      <c r="GK66" s="114"/>
      <c r="GL66" s="114"/>
      <c r="GM66" s="114"/>
      <c r="GN66" s="114"/>
      <c r="GO66" s="114"/>
      <c r="GP66" s="114"/>
      <c r="GQ66" s="114"/>
      <c r="GR66" s="114"/>
      <c r="GS66" s="114"/>
      <c r="GT66" s="114"/>
      <c r="GU66" s="114"/>
      <c r="GV66" s="114"/>
      <c r="GW66" s="114"/>
      <c r="GX66" s="114"/>
      <c r="GY66" s="114"/>
      <c r="GZ66" s="114"/>
      <c r="HA66" s="114"/>
      <c r="HB66" s="114"/>
      <c r="HC66" s="114"/>
      <c r="HD66" s="114"/>
      <c r="HE66" s="114"/>
      <c r="HF66" s="114"/>
      <c r="HG66" s="114"/>
      <c r="HH66" s="114"/>
      <c r="HI66" s="114"/>
      <c r="HJ66" s="114"/>
      <c r="HK66" s="114"/>
      <c r="HL66" s="114"/>
      <c r="HM66" s="114"/>
      <c r="HN66" s="114"/>
      <c r="HO66" s="114"/>
      <c r="HP66" s="114"/>
      <c r="HQ66" s="114"/>
      <c r="HR66" s="114"/>
      <c r="HS66" s="114"/>
      <c r="HT66" s="114"/>
      <c r="HU66" s="114"/>
      <c r="HV66" s="114"/>
      <c r="HW66" s="114"/>
      <c r="HX66" s="114"/>
      <c r="HY66" s="114"/>
      <c r="HZ66" s="114"/>
      <c r="IA66" s="114"/>
      <c r="IB66" s="114"/>
      <c r="IC66" s="114"/>
      <c r="ID66" s="114"/>
      <c r="IE66" s="114"/>
      <c r="IF66" s="114"/>
      <c r="IG66" s="114"/>
      <c r="IH66" s="114"/>
      <c r="II66" s="114"/>
      <c r="IJ66" s="114"/>
      <c r="IK66" s="114"/>
      <c r="IL66" s="114"/>
      <c r="IM66" s="114"/>
      <c r="IN66" s="114"/>
      <c r="IO66" s="114"/>
      <c r="IP66" s="114"/>
      <c r="IQ66" s="114"/>
      <c r="IR66" s="114"/>
      <c r="IS66" s="114"/>
      <c r="IT66" s="114"/>
      <c r="IU66" s="114"/>
      <c r="IV66" s="114"/>
      <c r="IW66" s="114"/>
    </row>
    <row r="67" customFormat="false" ht="11.25" hidden="false" customHeight="false" outlineLevel="0" collapsed="false"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  <c r="AI67" s="114"/>
      <c r="AJ67" s="114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4"/>
      <c r="EL67" s="114"/>
      <c r="EM67" s="114"/>
      <c r="EN67" s="114"/>
      <c r="EO67" s="114"/>
      <c r="EP67" s="114"/>
      <c r="EQ67" s="114"/>
      <c r="ER67" s="114"/>
      <c r="ES67" s="114"/>
      <c r="ET67" s="114"/>
      <c r="EU67" s="114"/>
      <c r="EV67" s="114"/>
      <c r="EW67" s="114"/>
      <c r="EX67" s="114"/>
      <c r="EY67" s="114"/>
      <c r="EZ67" s="114"/>
      <c r="FA67" s="114"/>
      <c r="FB67" s="114"/>
      <c r="FC67" s="114"/>
      <c r="FD67" s="114"/>
      <c r="FE67" s="114"/>
      <c r="FF67" s="114"/>
      <c r="FG67" s="114"/>
      <c r="FH67" s="114"/>
      <c r="FI67" s="114"/>
      <c r="FJ67" s="114"/>
      <c r="FK67" s="114"/>
      <c r="FL67" s="114"/>
      <c r="FM67" s="114"/>
      <c r="FN67" s="114"/>
      <c r="FO67" s="114"/>
      <c r="FP67" s="114"/>
      <c r="FQ67" s="114"/>
      <c r="FR67" s="114"/>
      <c r="FS67" s="114"/>
      <c r="FT67" s="114"/>
      <c r="FU67" s="114"/>
      <c r="FV67" s="114"/>
      <c r="FW67" s="114"/>
      <c r="FX67" s="114"/>
      <c r="FY67" s="114"/>
      <c r="FZ67" s="114"/>
      <c r="GA67" s="114"/>
      <c r="GB67" s="114"/>
      <c r="GC67" s="114"/>
      <c r="GD67" s="114"/>
      <c r="GE67" s="114"/>
      <c r="GF67" s="114"/>
      <c r="GG67" s="114"/>
      <c r="GH67" s="114"/>
      <c r="GI67" s="114"/>
      <c r="GJ67" s="114"/>
      <c r="GK67" s="114"/>
      <c r="GL67" s="114"/>
      <c r="GM67" s="114"/>
      <c r="GN67" s="114"/>
      <c r="GO67" s="114"/>
      <c r="GP67" s="114"/>
      <c r="GQ67" s="114"/>
      <c r="GR67" s="114"/>
      <c r="GS67" s="114"/>
      <c r="GT67" s="114"/>
      <c r="GU67" s="114"/>
      <c r="GV67" s="114"/>
      <c r="GW67" s="114"/>
      <c r="GX67" s="114"/>
      <c r="GY67" s="114"/>
      <c r="GZ67" s="114"/>
      <c r="HA67" s="114"/>
      <c r="HB67" s="114"/>
      <c r="HC67" s="114"/>
      <c r="HD67" s="114"/>
      <c r="HE67" s="114"/>
      <c r="HF67" s="114"/>
      <c r="HG67" s="114"/>
      <c r="HH67" s="114"/>
      <c r="HI67" s="114"/>
      <c r="HJ67" s="114"/>
      <c r="HK67" s="114"/>
      <c r="HL67" s="114"/>
      <c r="HM67" s="114"/>
      <c r="HN67" s="114"/>
      <c r="HO67" s="114"/>
      <c r="HP67" s="114"/>
      <c r="HQ67" s="114"/>
      <c r="HR67" s="114"/>
      <c r="HS67" s="114"/>
      <c r="HT67" s="114"/>
      <c r="HU67" s="114"/>
      <c r="HV67" s="114"/>
      <c r="HW67" s="114"/>
      <c r="HX67" s="114"/>
      <c r="HY67" s="114"/>
      <c r="HZ67" s="114"/>
      <c r="IA67" s="114"/>
      <c r="IB67" s="114"/>
      <c r="IC67" s="114"/>
      <c r="ID67" s="114"/>
      <c r="IE67" s="114"/>
      <c r="IF67" s="114"/>
      <c r="IG67" s="114"/>
      <c r="IH67" s="114"/>
      <c r="II67" s="114"/>
      <c r="IJ67" s="114"/>
      <c r="IK67" s="114"/>
      <c r="IL67" s="114"/>
      <c r="IM67" s="114"/>
      <c r="IN67" s="114"/>
      <c r="IO67" s="114"/>
      <c r="IP67" s="114"/>
      <c r="IQ67" s="114"/>
      <c r="IR67" s="114"/>
      <c r="IS67" s="114"/>
      <c r="IT67" s="114"/>
      <c r="IU67" s="114"/>
      <c r="IV67" s="114"/>
      <c r="IW67" s="114"/>
    </row>
    <row r="68" customFormat="false" ht="11.25" hidden="false" customHeight="false" outlineLevel="0" collapsed="false">
      <c r="B68" s="176"/>
      <c r="C68" s="176"/>
      <c r="V68" s="114"/>
      <c r="W68" s="114"/>
      <c r="X68" s="114"/>
      <c r="Y68" s="114"/>
      <c r="Z68" s="114"/>
      <c r="AA68" s="114"/>
      <c r="AB68" s="114"/>
      <c r="AC68" s="114"/>
      <c r="AD68" s="114"/>
      <c r="AE68" s="114"/>
      <c r="AF68" s="114"/>
      <c r="AG68" s="114"/>
      <c r="AH68" s="114"/>
      <c r="AI68" s="114"/>
      <c r="AJ68" s="114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4"/>
      <c r="EL68" s="114"/>
      <c r="EM68" s="114"/>
      <c r="EN68" s="114"/>
      <c r="EO68" s="114"/>
      <c r="EP68" s="114"/>
      <c r="EQ68" s="114"/>
      <c r="ER68" s="114"/>
      <c r="ES68" s="114"/>
      <c r="ET68" s="114"/>
      <c r="EU68" s="114"/>
      <c r="EV68" s="114"/>
      <c r="EW68" s="114"/>
      <c r="EX68" s="114"/>
      <c r="EY68" s="114"/>
      <c r="EZ68" s="114"/>
      <c r="FA68" s="114"/>
      <c r="FB68" s="114"/>
      <c r="FC68" s="114"/>
      <c r="FD68" s="114"/>
      <c r="FE68" s="114"/>
      <c r="FF68" s="114"/>
      <c r="FG68" s="114"/>
      <c r="FH68" s="114"/>
      <c r="FI68" s="114"/>
      <c r="FJ68" s="114"/>
      <c r="FK68" s="114"/>
      <c r="FL68" s="114"/>
      <c r="FM68" s="114"/>
      <c r="FN68" s="114"/>
      <c r="FO68" s="114"/>
      <c r="FP68" s="114"/>
      <c r="FQ68" s="114"/>
      <c r="FR68" s="114"/>
      <c r="FS68" s="114"/>
      <c r="FT68" s="114"/>
      <c r="FU68" s="114"/>
      <c r="FV68" s="114"/>
      <c r="FW68" s="114"/>
      <c r="FX68" s="114"/>
      <c r="FY68" s="114"/>
      <c r="FZ68" s="114"/>
      <c r="GA68" s="114"/>
      <c r="GB68" s="114"/>
      <c r="GC68" s="114"/>
      <c r="GD68" s="114"/>
      <c r="GE68" s="114"/>
      <c r="GF68" s="114"/>
      <c r="GG68" s="114"/>
      <c r="GH68" s="114"/>
      <c r="GI68" s="114"/>
      <c r="GJ68" s="114"/>
      <c r="GK68" s="114"/>
      <c r="GL68" s="114"/>
      <c r="GM68" s="114"/>
      <c r="GN68" s="114"/>
      <c r="GO68" s="114"/>
      <c r="GP68" s="114"/>
      <c r="GQ68" s="114"/>
      <c r="GR68" s="114"/>
      <c r="GS68" s="114"/>
      <c r="GT68" s="114"/>
      <c r="GU68" s="114"/>
      <c r="GV68" s="114"/>
      <c r="GW68" s="114"/>
      <c r="GX68" s="114"/>
      <c r="GY68" s="114"/>
      <c r="GZ68" s="114"/>
      <c r="HA68" s="114"/>
      <c r="HB68" s="114"/>
      <c r="HC68" s="114"/>
      <c r="HD68" s="114"/>
      <c r="HE68" s="114"/>
      <c r="HF68" s="114"/>
      <c r="HG68" s="114"/>
      <c r="HH68" s="114"/>
      <c r="HI68" s="114"/>
      <c r="HJ68" s="114"/>
      <c r="HK68" s="114"/>
      <c r="HL68" s="114"/>
      <c r="HM68" s="114"/>
      <c r="HN68" s="114"/>
      <c r="HO68" s="114"/>
      <c r="HP68" s="114"/>
      <c r="HQ68" s="114"/>
      <c r="HR68" s="114"/>
      <c r="HS68" s="114"/>
      <c r="HT68" s="114"/>
      <c r="HU68" s="114"/>
      <c r="HV68" s="114"/>
      <c r="HW68" s="114"/>
      <c r="HX68" s="114"/>
      <c r="HY68" s="114"/>
      <c r="HZ68" s="114"/>
      <c r="IA68" s="114"/>
      <c r="IB68" s="114"/>
      <c r="IC68" s="114"/>
      <c r="ID68" s="114"/>
      <c r="IE68" s="114"/>
      <c r="IF68" s="114"/>
      <c r="IG68" s="114"/>
      <c r="IH68" s="114"/>
      <c r="II68" s="114"/>
      <c r="IJ68" s="114"/>
      <c r="IK68" s="114"/>
      <c r="IL68" s="114"/>
      <c r="IM68" s="114"/>
      <c r="IN68" s="114"/>
      <c r="IO68" s="114"/>
      <c r="IP68" s="114"/>
      <c r="IQ68" s="114"/>
      <c r="IR68" s="114"/>
      <c r="IS68" s="114"/>
      <c r="IT68" s="114"/>
      <c r="IU68" s="114"/>
      <c r="IV68" s="114"/>
      <c r="IW68" s="114"/>
    </row>
    <row r="69" customFormat="false" ht="11.25" hidden="false" customHeight="false" outlineLevel="0" collapsed="false">
      <c r="B69" s="176"/>
      <c r="C69" s="176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  <c r="GZ69" s="114"/>
      <c r="HA69" s="114"/>
      <c r="HB69" s="114"/>
      <c r="HC69" s="114"/>
      <c r="HD69" s="114"/>
      <c r="HE69" s="114"/>
      <c r="HF69" s="114"/>
      <c r="HG69" s="114"/>
      <c r="HH69" s="114"/>
      <c r="HI69" s="114"/>
      <c r="HJ69" s="114"/>
      <c r="HK69" s="114"/>
      <c r="HL69" s="114"/>
      <c r="HM69" s="114"/>
      <c r="HN69" s="114"/>
      <c r="HO69" s="114"/>
      <c r="HP69" s="114"/>
      <c r="HQ69" s="114"/>
      <c r="HR69" s="114"/>
      <c r="HS69" s="114"/>
      <c r="HT69" s="114"/>
      <c r="HU69" s="114"/>
      <c r="HV69" s="114"/>
      <c r="HW69" s="114"/>
      <c r="HX69" s="114"/>
      <c r="HY69" s="114"/>
      <c r="HZ69" s="114"/>
      <c r="IA69" s="114"/>
      <c r="IB69" s="114"/>
      <c r="IC69" s="114"/>
      <c r="ID69" s="114"/>
      <c r="IE69" s="114"/>
      <c r="IF69" s="114"/>
      <c r="IG69" s="114"/>
      <c r="IH69" s="114"/>
      <c r="II69" s="114"/>
      <c r="IJ69" s="114"/>
      <c r="IK69" s="114"/>
      <c r="IL69" s="114"/>
      <c r="IM69" s="114"/>
      <c r="IN69" s="114"/>
      <c r="IO69" s="114"/>
      <c r="IP69" s="114"/>
      <c r="IQ69" s="114"/>
      <c r="IR69" s="114"/>
      <c r="IS69" s="114"/>
      <c r="IT69" s="114"/>
      <c r="IU69" s="114"/>
      <c r="IV69" s="114"/>
      <c r="IW69" s="114"/>
    </row>
    <row r="70" customFormat="false" ht="11.25" hidden="false" customHeight="false" outlineLevel="0" collapsed="false">
      <c r="B70" s="176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77"/>
      <c r="T70" s="177"/>
      <c r="U70" s="177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  <c r="GZ70" s="114"/>
      <c r="HA70" s="114"/>
      <c r="HB70" s="114"/>
      <c r="HC70" s="114"/>
      <c r="HD70" s="114"/>
      <c r="HE70" s="114"/>
      <c r="HF70" s="114"/>
      <c r="HG70" s="114"/>
      <c r="HH70" s="114"/>
      <c r="HI70" s="114"/>
      <c r="HJ70" s="114"/>
      <c r="HK70" s="114"/>
      <c r="HL70" s="114"/>
      <c r="HM70" s="114"/>
      <c r="HN70" s="114"/>
      <c r="HO70" s="114"/>
      <c r="HP70" s="114"/>
      <c r="HQ70" s="114"/>
      <c r="HR70" s="114"/>
      <c r="HS70" s="114"/>
      <c r="HT70" s="114"/>
      <c r="HU70" s="114"/>
      <c r="HV70" s="114"/>
      <c r="HW70" s="114"/>
      <c r="HX70" s="114"/>
      <c r="HY70" s="114"/>
      <c r="HZ70" s="114"/>
      <c r="IA70" s="114"/>
      <c r="IB70" s="114"/>
      <c r="IC70" s="114"/>
      <c r="ID70" s="114"/>
      <c r="IE70" s="114"/>
      <c r="IF70" s="114"/>
      <c r="IG70" s="114"/>
      <c r="IH70" s="114"/>
      <c r="II70" s="114"/>
      <c r="IJ70" s="114"/>
      <c r="IK70" s="114"/>
      <c r="IL70" s="114"/>
      <c r="IM70" s="114"/>
      <c r="IN70" s="114"/>
      <c r="IO70" s="114"/>
      <c r="IP70" s="114"/>
      <c r="IQ70" s="114"/>
      <c r="IR70" s="114"/>
      <c r="IS70" s="114"/>
      <c r="IT70" s="114"/>
      <c r="IU70" s="114"/>
      <c r="IV70" s="114"/>
      <c r="IW70" s="114"/>
    </row>
    <row r="71" customFormat="false" ht="11.25" hidden="false" customHeight="false" outlineLevel="0" collapsed="false">
      <c r="B71" s="176"/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  <c r="GZ71" s="114"/>
      <c r="HA71" s="114"/>
      <c r="HB71" s="114"/>
      <c r="HC71" s="114"/>
      <c r="HD71" s="114"/>
      <c r="HE71" s="114"/>
      <c r="HF71" s="114"/>
      <c r="HG71" s="114"/>
      <c r="HH71" s="114"/>
      <c r="HI71" s="114"/>
      <c r="HJ71" s="114"/>
      <c r="HK71" s="114"/>
      <c r="HL71" s="114"/>
      <c r="HM71" s="114"/>
      <c r="HN71" s="114"/>
      <c r="HO71" s="114"/>
      <c r="HP71" s="114"/>
      <c r="HQ71" s="114"/>
      <c r="HR71" s="114"/>
      <c r="HS71" s="114"/>
      <c r="HT71" s="114"/>
      <c r="HU71" s="114"/>
      <c r="HV71" s="114"/>
      <c r="HW71" s="114"/>
      <c r="HX71" s="114"/>
      <c r="HY71" s="114"/>
      <c r="HZ71" s="114"/>
      <c r="IA71" s="114"/>
      <c r="IB71" s="114"/>
      <c r="IC71" s="114"/>
      <c r="ID71" s="114"/>
      <c r="IE71" s="114"/>
      <c r="IF71" s="114"/>
      <c r="IG71" s="114"/>
      <c r="IH71" s="114"/>
      <c r="II71" s="114"/>
      <c r="IJ71" s="114"/>
      <c r="IK71" s="114"/>
      <c r="IL71" s="114"/>
      <c r="IM71" s="114"/>
      <c r="IN71" s="114"/>
      <c r="IO71" s="114"/>
      <c r="IP71" s="114"/>
      <c r="IQ71" s="114"/>
      <c r="IR71" s="114"/>
      <c r="IS71" s="114"/>
      <c r="IT71" s="114"/>
      <c r="IU71" s="114"/>
      <c r="IV71" s="114"/>
      <c r="IW71" s="114"/>
    </row>
    <row r="72" customFormat="false" ht="11.25" hidden="false" customHeight="false" outlineLevel="0" collapsed="false">
      <c r="B72" s="176"/>
      <c r="C72" s="178"/>
      <c r="D72" s="178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</row>
    <row r="73" customFormat="false" ht="11.25" hidden="false" customHeight="false" outlineLevel="0" collapsed="false">
      <c r="B73" s="176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</row>
    <row r="74" customFormat="false" ht="11.25" hidden="false" customHeight="false" outlineLevel="0" collapsed="false">
      <c r="B74" s="176"/>
      <c r="C74" s="178"/>
      <c r="D74" s="178"/>
      <c r="E74" s="178"/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</row>
    <row r="75" customFormat="false" ht="11.25" hidden="false" customHeight="false" outlineLevel="0" collapsed="false">
      <c r="B75" s="176"/>
      <c r="C75" s="178"/>
      <c r="D75" s="178"/>
      <c r="E75" s="178"/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</row>
    <row r="76" customFormat="false" ht="11.25" hidden="false" customHeight="false" outlineLevel="0" collapsed="false">
      <c r="B76" s="176"/>
      <c r="C76" s="178"/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</row>
    <row r="77" customFormat="false" ht="11.25" hidden="false" customHeight="false" outlineLevel="0" collapsed="false">
      <c r="B77" s="176"/>
      <c r="C77" s="178"/>
      <c r="D77" s="178"/>
      <c r="E77" s="178"/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</row>
    <row r="78" customFormat="false" ht="11.25" hidden="false" customHeight="false" outlineLevel="0" collapsed="false">
      <c r="B78" s="176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</row>
    <row r="79" customFormat="false" ht="11.25" hidden="false" customHeight="false" outlineLevel="0" collapsed="false">
      <c r="C79" s="154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54"/>
      <c r="T79" s="154"/>
      <c r="U79" s="154"/>
    </row>
    <row r="80" customFormat="false" ht="11.25" hidden="false" customHeight="false" outlineLevel="0" collapsed="false">
      <c r="C80" s="180"/>
      <c r="D80" s="180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</row>
    <row r="81" customFormat="false" ht="11.25" hidden="false" customHeight="false" outlineLevel="0" collapsed="false"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</row>
    <row r="84" customFormat="false" ht="12.75" hidden="false" customHeight="false" outlineLevel="0" collapsed="false">
      <c r="A84" s="0" t="s">
        <v>113</v>
      </c>
      <c r="B84" s="0"/>
      <c r="C84" s="181" t="n">
        <f aca="false">Assumptions!E10-Assumptions!E5</f>
        <v>180064.05066285</v>
      </c>
      <c r="D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</row>
    <row r="85" customFormat="false" ht="12.75" hidden="false" customHeight="false" outlineLevel="0" collapsed="false">
      <c r="A85" s="0" t="s">
        <v>114</v>
      </c>
      <c r="B85" s="0"/>
      <c r="C85" s="0" t="n">
        <f aca="false">Assumptions!H15</f>
        <v>25</v>
      </c>
      <c r="D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</row>
    <row r="86" customFormat="false" ht="12.75" hidden="false" customHeight="false" outlineLevel="0" collapsed="false">
      <c r="A86" s="89" t="s">
        <v>115</v>
      </c>
      <c r="B86" s="89"/>
      <c r="C86" s="182" t="n">
        <f aca="false">Assumptions!E17</f>
        <v>0</v>
      </c>
      <c r="D86" s="182" t="n">
        <f aca="false">C86/C85</f>
        <v>0</v>
      </c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</row>
    <row r="87" customFormat="false" ht="12.75" hidden="false" customHeight="false" outlineLevel="0" collapsed="false">
      <c r="A87" s="0"/>
      <c r="C87" s="0"/>
      <c r="D87" s="0"/>
      <c r="E87" s="0"/>
      <c r="F87" s="0"/>
      <c r="G87" s="0"/>
      <c r="H87" s="181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</row>
    <row r="88" customFormat="false" ht="12.75" hidden="false" customHeight="false" outlineLevel="0" collapsed="false">
      <c r="A88" s="0"/>
      <c r="B88" s="9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</row>
    <row r="89" customFormat="false" ht="12.75" hidden="false" customHeight="false" outlineLevel="0" collapsed="false">
      <c r="A89" s="9" t="s">
        <v>116</v>
      </c>
      <c r="B89" s="183" t="n">
        <v>1</v>
      </c>
      <c r="C89" s="183" t="n">
        <f aca="false">B89+1</f>
        <v>2</v>
      </c>
      <c r="D89" s="183" t="n">
        <f aca="false">C89+1</f>
        <v>3</v>
      </c>
      <c r="E89" s="183" t="n">
        <f aca="false">D89+1</f>
        <v>4</v>
      </c>
      <c r="F89" s="183" t="n">
        <f aca="false">E89+1</f>
        <v>5</v>
      </c>
      <c r="G89" s="183" t="n">
        <f aca="false">F89+1</f>
        <v>6</v>
      </c>
      <c r="H89" s="183" t="n">
        <f aca="false">G89+1</f>
        <v>7</v>
      </c>
      <c r="I89" s="183" t="n">
        <f aca="false">H89+1</f>
        <v>8</v>
      </c>
      <c r="J89" s="183" t="n">
        <f aca="false">I89+1</f>
        <v>9</v>
      </c>
      <c r="K89" s="183" t="n">
        <f aca="false">J89+1</f>
        <v>10</v>
      </c>
      <c r="L89" s="183" t="n">
        <f aca="false">K89+1</f>
        <v>11</v>
      </c>
      <c r="M89" s="183" t="n">
        <f aca="false">L89+1</f>
        <v>12</v>
      </c>
      <c r="N89" s="183" t="n">
        <f aca="false">M89+1</f>
        <v>13</v>
      </c>
      <c r="O89" s="183" t="n">
        <f aca="false">N89+1</f>
        <v>14</v>
      </c>
      <c r="P89" s="183" t="n">
        <f aca="false">O89+1</f>
        <v>15</v>
      </c>
      <c r="Q89" s="183" t="n">
        <f aca="false">P89+1</f>
        <v>16</v>
      </c>
      <c r="R89" s="183" t="n">
        <f aca="false">Q89+1</f>
        <v>17</v>
      </c>
      <c r="S89" s="183" t="n">
        <f aca="false">R89+1</f>
        <v>18</v>
      </c>
      <c r="T89" s="183" t="n">
        <f aca="false">S89+1</f>
        <v>19</v>
      </c>
      <c r="U89" s="183" t="n">
        <f aca="false">T89+1</f>
        <v>20</v>
      </c>
      <c r="V89" s="0"/>
      <c r="W89" s="0"/>
      <c r="X89" s="0"/>
      <c r="Y89" s="0"/>
      <c r="Z89" s="0"/>
      <c r="AA89" s="0"/>
    </row>
    <row r="90" customFormat="false" ht="12.75" hidden="false" customHeight="false" outlineLevel="0" collapsed="false">
      <c r="A90" s="0"/>
      <c r="B90" s="184" t="n">
        <f aca="false">B3</f>
        <v>36891</v>
      </c>
      <c r="C90" s="184" t="n">
        <f aca="false">C3</f>
        <v>37256</v>
      </c>
      <c r="D90" s="185" t="n">
        <f aca="false">D3</f>
        <v>37621</v>
      </c>
      <c r="E90" s="185" t="n">
        <f aca="false">E3</f>
        <v>37986</v>
      </c>
      <c r="F90" s="185" t="n">
        <f aca="false">F3</f>
        <v>38352</v>
      </c>
      <c r="G90" s="185" t="n">
        <f aca="false">G3</f>
        <v>38717</v>
      </c>
      <c r="H90" s="185" t="n">
        <f aca="false">H3</f>
        <v>39082</v>
      </c>
      <c r="I90" s="185" t="n">
        <f aca="false">I3</f>
        <v>39447</v>
      </c>
      <c r="J90" s="185" t="n">
        <f aca="false">J3</f>
        <v>39813</v>
      </c>
      <c r="K90" s="185" t="n">
        <f aca="false">K3</f>
        <v>40178</v>
      </c>
      <c r="L90" s="185" t="n">
        <f aca="false">L3</f>
        <v>40543</v>
      </c>
      <c r="M90" s="185" t="n">
        <f aca="false">M3</f>
        <v>40908</v>
      </c>
      <c r="N90" s="185" t="n">
        <f aca="false">N3</f>
        <v>41274</v>
      </c>
      <c r="O90" s="185" t="n">
        <f aca="false">O3</f>
        <v>41639</v>
      </c>
      <c r="P90" s="185" t="n">
        <f aca="false">P3</f>
        <v>42004</v>
      </c>
      <c r="Q90" s="185" t="n">
        <f aca="false">Q3</f>
        <v>42369</v>
      </c>
      <c r="R90" s="185" t="n">
        <f aca="false">R3</f>
        <v>42735</v>
      </c>
      <c r="S90" s="185" t="n">
        <f aca="false">S3</f>
        <v>43100</v>
      </c>
      <c r="T90" s="185" t="n">
        <f aca="false">T3</f>
        <v>43465</v>
      </c>
      <c r="U90" s="185" t="n">
        <f aca="false">U3</f>
        <v>43830</v>
      </c>
      <c r="V90" s="0"/>
      <c r="W90" s="0"/>
      <c r="X90" s="0"/>
      <c r="Y90" s="0"/>
      <c r="Z90" s="0"/>
      <c r="AA90" s="0"/>
    </row>
    <row r="91" customFormat="false" ht="12.75" hidden="false" customHeight="false" outlineLevel="0" collapsed="false">
      <c r="A91" s="0" t="s">
        <v>117</v>
      </c>
      <c r="B91" s="186" t="n">
        <f aca="false">C84</f>
        <v>180064.05066285</v>
      </c>
      <c r="C91" s="181" t="n">
        <f aca="false">B93</f>
        <v>178863.623658431</v>
      </c>
      <c r="D91" s="181" t="n">
        <f aca="false">C93</f>
        <v>171661.061631917</v>
      </c>
      <c r="E91" s="187" t="n">
        <f aca="false">D93</f>
        <v>164458.499605403</v>
      </c>
      <c r="F91" s="181" t="n">
        <f aca="false">E93+C86</f>
        <v>157255.937578889</v>
      </c>
      <c r="G91" s="181" t="n">
        <f aca="false">F93</f>
        <v>150053.375552375</v>
      </c>
      <c r="H91" s="181" t="n">
        <f aca="false">G93</f>
        <v>142850.813525861</v>
      </c>
      <c r="I91" s="181" t="n">
        <f aca="false">H93</f>
        <v>135648.251499347</v>
      </c>
      <c r="J91" s="181" t="n">
        <f aca="false">I93</f>
        <v>128445.689472833</v>
      </c>
      <c r="K91" s="181" t="n">
        <f aca="false">J93</f>
        <v>121243.127446319</v>
      </c>
      <c r="L91" s="181" t="n">
        <f aca="false">K93</f>
        <v>114040.565419805</v>
      </c>
      <c r="M91" s="181" t="n">
        <f aca="false">L93</f>
        <v>106838.003393291</v>
      </c>
      <c r="N91" s="181" t="n">
        <f aca="false">M93</f>
        <v>99635.4413667771</v>
      </c>
      <c r="O91" s="181" t="n">
        <f aca="false">N93</f>
        <v>92432.8793402631</v>
      </c>
      <c r="P91" s="181" t="n">
        <f aca="false">O93</f>
        <v>85230.3173137491</v>
      </c>
      <c r="Q91" s="181" t="n">
        <f aca="false">P93</f>
        <v>78027.7552872351</v>
      </c>
      <c r="R91" s="181" t="n">
        <f aca="false">Q93</f>
        <v>70825.1932607211</v>
      </c>
      <c r="S91" s="181" t="n">
        <f aca="false">R93</f>
        <v>63622.6312342071</v>
      </c>
      <c r="T91" s="181" t="n">
        <f aca="false">S93</f>
        <v>56420.0692076931</v>
      </c>
      <c r="U91" s="181" t="n">
        <f aca="false">T93</f>
        <v>49217.5071811791</v>
      </c>
      <c r="V91" s="0"/>
      <c r="W91" s="0"/>
      <c r="X91" s="0"/>
      <c r="Y91" s="0"/>
      <c r="Z91" s="0"/>
      <c r="AA91" s="0"/>
    </row>
    <row r="92" customFormat="false" ht="12.75" hidden="false" customHeight="false" outlineLevel="0" collapsed="false">
      <c r="A92" s="0" t="s">
        <v>118</v>
      </c>
      <c r="B92" s="186" t="n">
        <f aca="false">(C84/C85)/12*Assumptions!E51</f>
        <v>1200.427004419</v>
      </c>
      <c r="C92" s="186" t="n">
        <f aca="false">MIN(C91,$C$84/$C$85)</f>
        <v>7202.56202651401</v>
      </c>
      <c r="D92" s="186" t="n">
        <f aca="false">IF(Tables!$B$21=2,(($C$84/$C$85)/2),MIN(D91,$C$84/$C$85))</f>
        <v>7202.56202651401</v>
      </c>
      <c r="E92" s="186" t="n">
        <f aca="false">IF(Tables!$B$21=2,(($C$84/$C$85)/2),MIN(E91,$C$84/$C$85))</f>
        <v>7202.56202651401</v>
      </c>
      <c r="F92" s="188" t="n">
        <f aca="false">IF(Tables!$B$21=2,(($C$84/$C$85)/2),MIN(F91,$C$84/$C$85))+$D$86</f>
        <v>7202.56202651401</v>
      </c>
      <c r="G92" s="188" t="n">
        <f aca="false">IF(Tables!$B$21=2,(($C$84/$C$85)/2),MIN(G91,$C$84/$C$85))+$D$86</f>
        <v>7202.56202651401</v>
      </c>
      <c r="H92" s="188" t="n">
        <f aca="false">IF(Tables!$B$21=2,(($C$84/$C$85)/2),MIN(H91,$C$84/$C$85))+$D$86</f>
        <v>7202.56202651401</v>
      </c>
      <c r="I92" s="188" t="n">
        <f aca="false">IF(Tables!$B$21=2,(($C$84/$C$85)/2),MIN(I91,$C$84/$C$85))+$D$86</f>
        <v>7202.56202651401</v>
      </c>
      <c r="J92" s="188" t="n">
        <f aca="false">IF(Tables!$B$21=2,(($C$84/$C$85)/2),MIN(J91,$C$84/$C$85))+$D$86</f>
        <v>7202.56202651401</v>
      </c>
      <c r="K92" s="188" t="n">
        <f aca="false">IF(Tables!$B$21=2,(($C$84/$C$85)/2),MIN(K91,$C$84/$C$85))+$D$86</f>
        <v>7202.56202651401</v>
      </c>
      <c r="L92" s="188" t="n">
        <f aca="false">IF(Tables!$B$21=2,(($C$84/$C$85)/2),MIN(L91,$C$84/$C$85))+$D$86</f>
        <v>7202.56202651401</v>
      </c>
      <c r="M92" s="188" t="n">
        <f aca="false">IF(Tables!$B$21=2,(($C$84/$C$85)/2),MIN(M91,$C$84/$C$85))+$D$86</f>
        <v>7202.56202651401</v>
      </c>
      <c r="N92" s="188" t="n">
        <f aca="false">IF(Tables!$B$21=2,(($C$84/$C$85)/2),MIN(N91,$C$84/$C$85))+$D$86</f>
        <v>7202.56202651401</v>
      </c>
      <c r="O92" s="188" t="n">
        <f aca="false">IF(Tables!$B$21=2,(($C$84/$C$85)/2),MIN(O91,$C$84/$C$85))+$D$86</f>
        <v>7202.56202651401</v>
      </c>
      <c r="P92" s="188" t="n">
        <f aca="false">IF(Tables!$B$21=2,(($C$84/$C$85)/2),MIN(P91,$C$84/$C$85))+$D$86</f>
        <v>7202.56202651401</v>
      </c>
      <c r="Q92" s="188" t="n">
        <f aca="false">IF(Tables!$B$21=2,(($C$84/$C$85)/2),MIN(Q91,$C$84/$C$85))+$D$86</f>
        <v>7202.56202651401</v>
      </c>
      <c r="R92" s="188" t="n">
        <f aca="false">IF(Tables!$B$21=2,(($C$84/$C$85)/2),MIN(R91,$C$84/$C$85))+$D$86</f>
        <v>7202.56202651401</v>
      </c>
      <c r="S92" s="188" t="n">
        <f aca="false">IF(Tables!$B$21=2,(($C$84/$C$85)/2),MIN(S91,$C$84/$C$85))+$D$86</f>
        <v>7202.56202651401</v>
      </c>
      <c r="T92" s="188" t="n">
        <f aca="false">IF(Tables!$B$21=2,(($C$84/$C$85)/2),MIN(T91,$C$84/$C$85))+$D$86</f>
        <v>7202.56202651401</v>
      </c>
      <c r="U92" s="188" t="n">
        <f aca="false">IF(Tables!$B$21=2,(($C$84/$C$85)/2),MIN(U91,$C$84/$C$85))+$D$86</f>
        <v>7202.56202651401</v>
      </c>
      <c r="V92" s="0"/>
      <c r="W92" s="0"/>
      <c r="X92" s="0"/>
      <c r="Y92" s="0"/>
      <c r="Z92" s="0"/>
      <c r="AA92" s="0"/>
    </row>
    <row r="93" customFormat="false" ht="13.5" hidden="false" customHeight="false" outlineLevel="0" collapsed="false">
      <c r="A93" s="0" t="s">
        <v>119</v>
      </c>
      <c r="B93" s="189" t="n">
        <f aca="false">B91-B92</f>
        <v>178863.623658431</v>
      </c>
      <c r="C93" s="189" t="n">
        <f aca="false">C91-C92</f>
        <v>171661.061631917</v>
      </c>
      <c r="D93" s="189" t="n">
        <f aca="false">D91-D92</f>
        <v>164458.499605403</v>
      </c>
      <c r="E93" s="189" t="n">
        <f aca="false">E91-E92</f>
        <v>157255.937578889</v>
      </c>
      <c r="F93" s="189" t="n">
        <f aca="false">F91-F92</f>
        <v>150053.375552375</v>
      </c>
      <c r="G93" s="189" t="n">
        <f aca="false">G91-G92</f>
        <v>142850.813525861</v>
      </c>
      <c r="H93" s="189" t="n">
        <f aca="false">H91-H92</f>
        <v>135648.251499347</v>
      </c>
      <c r="I93" s="189" t="n">
        <f aca="false">I91-I92</f>
        <v>128445.689472833</v>
      </c>
      <c r="J93" s="189" t="n">
        <f aca="false">J91-J92</f>
        <v>121243.127446319</v>
      </c>
      <c r="K93" s="189" t="n">
        <f aca="false">K91-K92</f>
        <v>114040.565419805</v>
      </c>
      <c r="L93" s="189" t="n">
        <f aca="false">L91-L92</f>
        <v>106838.003393291</v>
      </c>
      <c r="M93" s="189" t="n">
        <f aca="false">M91-M92</f>
        <v>99635.4413667771</v>
      </c>
      <c r="N93" s="189" t="n">
        <f aca="false">N91-N92</f>
        <v>92432.8793402631</v>
      </c>
      <c r="O93" s="189" t="n">
        <f aca="false">O91-O92</f>
        <v>85230.3173137491</v>
      </c>
      <c r="P93" s="189" t="n">
        <f aca="false">P91-P92</f>
        <v>78027.7552872351</v>
      </c>
      <c r="Q93" s="189" t="n">
        <f aca="false">Q91-Q92</f>
        <v>70825.1932607211</v>
      </c>
      <c r="R93" s="189" t="n">
        <f aca="false">R91-R92</f>
        <v>63622.6312342071</v>
      </c>
      <c r="S93" s="189" t="n">
        <f aca="false">S91-S92</f>
        <v>56420.0692076931</v>
      </c>
      <c r="T93" s="189" t="n">
        <f aca="false">T91-T92</f>
        <v>49217.5071811791</v>
      </c>
      <c r="U93" s="189" t="n">
        <f aca="false">U91-U92</f>
        <v>42014.9451546651</v>
      </c>
      <c r="V93" s="0"/>
      <c r="W93" s="0"/>
      <c r="X93" s="0"/>
      <c r="Y93" s="0"/>
      <c r="Z93" s="0"/>
      <c r="AA93" s="0"/>
    </row>
    <row r="94" customFormat="false" ht="13.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</row>
    <row r="19999" customFormat="false" ht="12.75" hidden="false" customHeight="false" outlineLevel="0" collapsed="false"/>
    <row r="20000" customFormat="false" ht="12.75" hidden="false" customHeight="false" outlineLevel="0" collapsed="false"/>
    <row r="20001" customFormat="false" ht="12.75" hidden="false" customHeight="false" outlineLevel="0" collapsed="false"/>
    <row r="20002" customFormat="false" ht="12.75" hidden="false" customHeight="false" outlineLevel="0" collapsed="false"/>
  </sheetData>
  <printOptions headings="false" gridLines="false" gridLinesSet="true" horizontalCentered="true" verticalCentered="false"/>
  <pageMargins left="0.747916666666667" right="0.747916666666667" top="0.984027777777778" bottom="0.729861111111111" header="0.511811023622047" footer="0.25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>&amp;LI:CES\IS\KChaney\Power\Omers\New Models\&amp;F
&amp;D
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6" activeCellId="0" sqref="B1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36.42"/>
    <col collapsed="false" customWidth="true" hidden="false" outlineLevel="0" max="2" min="2" style="0" width="9.28"/>
    <col collapsed="false" customWidth="true" hidden="false" outlineLevel="0" max="3" min="3" style="142" width="11.7"/>
    <col collapsed="false" customWidth="true" hidden="false" outlineLevel="0" max="4" min="4" style="142" width="12.56"/>
    <col collapsed="false" customWidth="true" hidden="false" outlineLevel="0" max="16" min="5" style="142" width="11.7"/>
    <col collapsed="false" customWidth="true" hidden="false" outlineLevel="0" max="17" min="17" style="142" width="12.56"/>
    <col collapsed="false" customWidth="true" hidden="false" outlineLevel="0" max="18" min="18" style="142" width="11.28"/>
    <col collapsed="false" customWidth="true" hidden="false" outlineLevel="0" max="20" min="19" style="142" width="12.56"/>
    <col collapsed="false" customWidth="true" hidden="false" outlineLevel="0" max="27" min="21" style="142" width="11.7"/>
    <col collapsed="false" customWidth="false" hidden="false" outlineLevel="0" max="257" min="28" style="142" width="9.14"/>
  </cols>
  <sheetData>
    <row r="1" customFormat="false" ht="20.25" hidden="false" customHeight="false" outlineLevel="0" collapsed="false">
      <c r="A1" s="143" t="s">
        <v>120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  <c r="IU1" s="114"/>
      <c r="IV1" s="114"/>
      <c r="IW1" s="114"/>
    </row>
    <row r="2" customFormat="false" ht="11.25" hidden="false" customHeight="false" outlineLevel="0" collapsed="false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  <c r="IU2" s="114"/>
      <c r="IV2" s="114"/>
      <c r="IW2" s="114"/>
    </row>
    <row r="3" customFormat="false" ht="12" hidden="false" customHeight="false" outlineLevel="0" collapsed="false">
      <c r="A3" s="114"/>
      <c r="B3" s="190" t="n">
        <f aca="false">BS!B3</f>
        <v>36891</v>
      </c>
      <c r="C3" s="191" t="n">
        <f aca="false">BS!C3</f>
        <v>37256</v>
      </c>
      <c r="D3" s="191" t="n">
        <f aca="false">BS!D3</f>
        <v>37621</v>
      </c>
      <c r="E3" s="191" t="n">
        <f aca="false">BS!E3</f>
        <v>37986</v>
      </c>
      <c r="F3" s="191" t="n">
        <f aca="false">BS!F3</f>
        <v>38352</v>
      </c>
      <c r="G3" s="191" t="n">
        <f aca="false">BS!G3</f>
        <v>38717</v>
      </c>
      <c r="H3" s="191" t="n">
        <f aca="false">BS!H3</f>
        <v>39082</v>
      </c>
      <c r="I3" s="191" t="n">
        <f aca="false">BS!I3</f>
        <v>39447</v>
      </c>
      <c r="J3" s="191" t="n">
        <f aca="false">BS!J3</f>
        <v>39813</v>
      </c>
      <c r="K3" s="191" t="n">
        <f aca="false">BS!K3</f>
        <v>40178</v>
      </c>
      <c r="L3" s="191" t="n">
        <f aca="false">BS!L3</f>
        <v>40543</v>
      </c>
      <c r="M3" s="191" t="n">
        <f aca="false">BS!M3</f>
        <v>40908</v>
      </c>
      <c r="N3" s="191" t="n">
        <f aca="false">BS!N3</f>
        <v>41274</v>
      </c>
      <c r="O3" s="191" t="n">
        <f aca="false">BS!O3</f>
        <v>41639</v>
      </c>
      <c r="P3" s="191" t="n">
        <f aca="false">BS!P3</f>
        <v>42004</v>
      </c>
      <c r="Q3" s="191" t="n">
        <f aca="false">BS!Q3</f>
        <v>42369</v>
      </c>
      <c r="R3" s="191" t="n">
        <f aca="false">BS!R3</f>
        <v>42735</v>
      </c>
      <c r="S3" s="191" t="n">
        <f aca="false">BS!S3</f>
        <v>43100</v>
      </c>
      <c r="T3" s="191" t="n">
        <f aca="false">BS!T3</f>
        <v>43465</v>
      </c>
      <c r="U3" s="191" t="n">
        <f aca="false">BS!U3</f>
        <v>43830</v>
      </c>
      <c r="V3" s="191" t="e">
        <f aca="false">#REF!</f>
        <v>#REF!</v>
      </c>
      <c r="W3" s="191" t="e">
        <f aca="false">#REF!</f>
        <v>#REF!</v>
      </c>
      <c r="X3" s="191" t="e">
        <f aca="false">#REF!</f>
        <v>#REF!</v>
      </c>
      <c r="Y3" s="191" t="e">
        <f aca="false">#REF!</f>
        <v>#REF!</v>
      </c>
      <c r="Z3" s="191" t="e">
        <f aca="false">#REF!</f>
        <v>#REF!</v>
      </c>
      <c r="AA3" s="191" t="e">
        <f aca="false">#REF!</f>
        <v>#REF!</v>
      </c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</row>
    <row r="4" customFormat="false" ht="13.5" hidden="false" customHeight="false" outlineLevel="0" collapsed="false">
      <c r="A4" s="192" t="s">
        <v>121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</row>
    <row r="5" customFormat="false" ht="11.25" hidden="false" customHeight="false" outlineLevel="0" collapsed="false">
      <c r="A5" s="151" t="s">
        <v>122</v>
      </c>
      <c r="B5" s="154" t="e">
        <f aca="false">IS!C23</f>
        <v>#VALUE!</v>
      </c>
      <c r="C5" s="154" t="e">
        <f aca="false">IS!D23</f>
        <v>#VALUE!</v>
      </c>
      <c r="D5" s="154" t="e">
        <f aca="false">IS!E23</f>
        <v>#VALUE!</v>
      </c>
      <c r="E5" s="154" t="e">
        <f aca="false">IS!F23</f>
        <v>#VALUE!</v>
      </c>
      <c r="F5" s="154" t="e">
        <f aca="false">IS!G23</f>
        <v>#VALUE!</v>
      </c>
      <c r="G5" s="154" t="e">
        <f aca="false">IS!H23</f>
        <v>#VALUE!</v>
      </c>
      <c r="H5" s="154" t="e">
        <f aca="false">IS!I23</f>
        <v>#VALUE!</v>
      </c>
      <c r="I5" s="154" t="e">
        <f aca="false">IS!J23</f>
        <v>#VALUE!</v>
      </c>
      <c r="J5" s="154" t="e">
        <f aca="false">IS!K23</f>
        <v>#VALUE!</v>
      </c>
      <c r="K5" s="154" t="e">
        <f aca="false">IS!L23</f>
        <v>#VALUE!</v>
      </c>
      <c r="L5" s="154" t="e">
        <f aca="false">IS!M23</f>
        <v>#VALUE!</v>
      </c>
      <c r="M5" s="154" t="e">
        <f aca="false">IS!N23</f>
        <v>#VALUE!</v>
      </c>
      <c r="N5" s="154" t="e">
        <f aca="false">IS!O23</f>
        <v>#VALUE!</v>
      </c>
      <c r="O5" s="154" t="e">
        <f aca="false">IS!P23</f>
        <v>#VALUE!</v>
      </c>
      <c r="P5" s="154" t="e">
        <f aca="false">IS!Q23</f>
        <v>#VALUE!</v>
      </c>
      <c r="Q5" s="154" t="e">
        <f aca="false">IS!R23</f>
        <v>#VALUE!</v>
      </c>
      <c r="R5" s="154" t="n">
        <f aca="false">IS!S23</f>
        <v>0</v>
      </c>
      <c r="S5" s="154" t="n">
        <f aca="false">IS!T23</f>
        <v>0</v>
      </c>
      <c r="T5" s="154" t="n">
        <f aca="false">IS!U23</f>
        <v>0</v>
      </c>
      <c r="U5" s="154" t="n">
        <f aca="false">IS!V23</f>
        <v>0</v>
      </c>
      <c r="V5" s="154" t="n">
        <f aca="false">IS!W23</f>
        <v>0</v>
      </c>
      <c r="W5" s="154" t="n">
        <f aca="false">IS!X23</f>
        <v>0</v>
      </c>
      <c r="X5" s="154" t="n">
        <f aca="false">IS!Y23</f>
        <v>0</v>
      </c>
      <c r="Y5" s="154" t="n">
        <f aca="false">IS!Z23</f>
        <v>0</v>
      </c>
      <c r="Z5" s="154" t="n">
        <f aca="false">IS!AA23</f>
        <v>0</v>
      </c>
      <c r="AA5" s="154" t="n">
        <f aca="false">IS!AB23</f>
        <v>0</v>
      </c>
    </row>
    <row r="6" customFormat="false" ht="11.25" hidden="false" customHeight="false" outlineLevel="0" collapsed="false">
      <c r="A6" s="151" t="s">
        <v>123</v>
      </c>
      <c r="B6" s="154" t="e">
        <f aca="false">B40</f>
        <v>#VALUE!</v>
      </c>
      <c r="C6" s="154" t="e">
        <f aca="false">C40+BS!C29-BS!B29</f>
        <v>#VALUE!</v>
      </c>
      <c r="D6" s="154" t="e">
        <f aca="false">D40+BS!D29-BS!C29</f>
        <v>#VALUE!</v>
      </c>
      <c r="E6" s="154" t="e">
        <f aca="false">E40+BS!E29-BS!D29</f>
        <v>#VALUE!</v>
      </c>
      <c r="F6" s="154" t="e">
        <f aca="false">F40+BS!F29-BS!E29</f>
        <v>#VALUE!</v>
      </c>
      <c r="G6" s="154" t="e">
        <f aca="false">G40+BS!G29-BS!F29</f>
        <v>#VALUE!</v>
      </c>
      <c r="H6" s="154" t="e">
        <f aca="false">H40+BS!H29-BS!G29</f>
        <v>#VALUE!</v>
      </c>
      <c r="I6" s="154" t="e">
        <f aca="false">I40+BS!I29-BS!H29</f>
        <v>#VALUE!</v>
      </c>
      <c r="J6" s="154" t="e">
        <f aca="false">J40+BS!J29-BS!I29</f>
        <v>#VALUE!</v>
      </c>
      <c r="K6" s="154" t="e">
        <f aca="false">K40+BS!K29-BS!J29</f>
        <v>#VALUE!</v>
      </c>
      <c r="L6" s="154" t="e">
        <f aca="false">L40+BS!L29-BS!K29</f>
        <v>#VALUE!</v>
      </c>
      <c r="M6" s="154" t="e">
        <f aca="false">M40+BS!M29-BS!L29</f>
        <v>#VALUE!</v>
      </c>
      <c r="N6" s="154" t="e">
        <f aca="false">N40+BS!N29-BS!M29</f>
        <v>#VALUE!</v>
      </c>
      <c r="O6" s="154" t="e">
        <f aca="false">O40+BS!O29-BS!N29</f>
        <v>#VALUE!</v>
      </c>
      <c r="P6" s="154" t="e">
        <f aca="false">P40+BS!P29-BS!O29</f>
        <v>#VALUE!</v>
      </c>
      <c r="Q6" s="154" t="e">
        <f aca="false">Q40+BS!Q29-BS!P29</f>
        <v>#VALUE!</v>
      </c>
      <c r="R6" s="154" t="e">
        <f aca="false">R40+BS!R29-BS!Q29</f>
        <v>#VALUE!</v>
      </c>
      <c r="S6" s="154" t="n">
        <f aca="false">S40+BS!S29-BS!R29</f>
        <v>0</v>
      </c>
      <c r="T6" s="154" t="n">
        <f aca="false">T40+BS!T29-BS!S29</f>
        <v>0</v>
      </c>
      <c r="U6" s="154" t="n">
        <f aca="false">U40+BS!U29-BS!T29</f>
        <v>0</v>
      </c>
      <c r="V6" s="154" t="n">
        <f aca="false">V40+BS!V29-BS!U29</f>
        <v>0</v>
      </c>
      <c r="W6" s="154" t="n">
        <f aca="false">W40+BS!W29-BS!V29</f>
        <v>0</v>
      </c>
      <c r="X6" s="154" t="n">
        <f aca="false">X40+BS!X29-BS!W29</f>
        <v>0</v>
      </c>
      <c r="Y6" s="154" t="n">
        <f aca="false">Y40+BS!Y29-BS!X29</f>
        <v>0</v>
      </c>
      <c r="Z6" s="154" t="n">
        <f aca="false">Z40+BS!Z29-BS!Y29</f>
        <v>0</v>
      </c>
      <c r="AA6" s="154" t="n">
        <f aca="false">AA40+BS!AA29-BS!Z29</f>
        <v>0</v>
      </c>
    </row>
    <row r="7" customFormat="false" ht="11.25" hidden="false" customHeight="false" outlineLevel="0" collapsed="false">
      <c r="A7" s="151" t="s">
        <v>124</v>
      </c>
      <c r="B7" s="154" t="e">
        <f aca="false">B51</f>
        <v>#VALUE!</v>
      </c>
      <c r="C7" s="154" t="e">
        <f aca="false">C51</f>
        <v>#VALUE!</v>
      </c>
      <c r="D7" s="154" t="e">
        <f aca="false">D51</f>
        <v>#VALUE!</v>
      </c>
      <c r="E7" s="154" t="e">
        <f aca="false">E51</f>
        <v>#VALUE!</v>
      </c>
      <c r="F7" s="154" t="e">
        <f aca="false">F51</f>
        <v>#VALUE!</v>
      </c>
      <c r="G7" s="154" t="e">
        <f aca="false">G51</f>
        <v>#VALUE!</v>
      </c>
      <c r="H7" s="154" t="e">
        <f aca="false">H51</f>
        <v>#VALUE!</v>
      </c>
      <c r="I7" s="154" t="e">
        <f aca="false">I51</f>
        <v>#VALUE!</v>
      </c>
      <c r="J7" s="154" t="e">
        <f aca="false">J51</f>
        <v>#VALUE!</v>
      </c>
      <c r="K7" s="154" t="e">
        <f aca="false">K51</f>
        <v>#VALUE!</v>
      </c>
      <c r="L7" s="154" t="e">
        <f aca="false">L51</f>
        <v>#VALUE!</v>
      </c>
      <c r="M7" s="154" t="e">
        <f aca="false">M51</f>
        <v>#VALUE!</v>
      </c>
      <c r="N7" s="154" t="e">
        <f aca="false">N51</f>
        <v>#VALUE!</v>
      </c>
      <c r="O7" s="154" t="e">
        <f aca="false">O51</f>
        <v>#VALUE!</v>
      </c>
      <c r="P7" s="154" t="e">
        <f aca="false">P51</f>
        <v>#VALUE!</v>
      </c>
      <c r="Q7" s="154" t="e">
        <f aca="false">Q51</f>
        <v>#VALUE!</v>
      </c>
      <c r="R7" s="154" t="e">
        <f aca="false">R51</f>
        <v>#VALUE!</v>
      </c>
      <c r="S7" s="154" t="e">
        <f aca="false">S51</f>
        <v>#VALUE!</v>
      </c>
      <c r="T7" s="154" t="e">
        <f aca="false">T51</f>
        <v>#VALUE!</v>
      </c>
      <c r="U7" s="154" t="e">
        <f aca="false">U51</f>
        <v>#VALUE!</v>
      </c>
      <c r="V7" s="154" t="e">
        <f aca="false">V51</f>
        <v>#REF!</v>
      </c>
      <c r="W7" s="154" t="e">
        <f aca="false">W51</f>
        <v>#REF!</v>
      </c>
      <c r="X7" s="154" t="e">
        <f aca="false">X51</f>
        <v>#REF!</v>
      </c>
      <c r="Y7" s="154" t="e">
        <f aca="false">Y51</f>
        <v>#REF!</v>
      </c>
      <c r="Z7" s="154" t="e">
        <f aca="false">Z51</f>
        <v>#REF!</v>
      </c>
      <c r="AA7" s="154" t="e">
        <f aca="false">AA51</f>
        <v>#REF!</v>
      </c>
    </row>
    <row r="9" customFormat="false" ht="11.25" hidden="false" customHeight="false" outlineLevel="0" collapsed="false">
      <c r="A9" s="193" t="s">
        <v>125</v>
      </c>
      <c r="B9" s="194" t="e">
        <f aca="false">SUM(B5:B8)</f>
        <v>#VALUE!</v>
      </c>
      <c r="C9" s="194" t="e">
        <f aca="false">SUM(C5:C8)</f>
        <v>#VALUE!</v>
      </c>
      <c r="D9" s="194" t="e">
        <f aca="false">SUM(D5:D8)</f>
        <v>#VALUE!</v>
      </c>
      <c r="E9" s="194" t="e">
        <f aca="false">SUM(E5:E8)</f>
        <v>#VALUE!</v>
      </c>
      <c r="F9" s="194" t="e">
        <f aca="false">SUM(F5:F8)</f>
        <v>#VALUE!</v>
      </c>
      <c r="G9" s="194" t="e">
        <f aca="false">SUM(G5:G8)</f>
        <v>#VALUE!</v>
      </c>
      <c r="H9" s="194" t="e">
        <f aca="false">SUM(H5:H8)</f>
        <v>#VALUE!</v>
      </c>
      <c r="I9" s="194" t="e">
        <f aca="false">SUM(I5:I8)</f>
        <v>#VALUE!</v>
      </c>
      <c r="J9" s="194" t="e">
        <f aca="false">SUM(J5:J8)</f>
        <v>#VALUE!</v>
      </c>
      <c r="K9" s="194" t="e">
        <f aca="false">SUM(K5:K8)</f>
        <v>#VALUE!</v>
      </c>
      <c r="L9" s="194" t="e">
        <f aca="false">SUM(L5:L8)</f>
        <v>#VALUE!</v>
      </c>
      <c r="M9" s="194" t="e">
        <f aca="false">SUM(M5:M8)</f>
        <v>#VALUE!</v>
      </c>
      <c r="N9" s="194" t="e">
        <f aca="false">SUM(N5:N8)</f>
        <v>#VALUE!</v>
      </c>
      <c r="O9" s="194" t="e">
        <f aca="false">SUM(O5:O8)</f>
        <v>#VALUE!</v>
      </c>
      <c r="P9" s="194" t="e">
        <f aca="false">SUM(P5:P8)</f>
        <v>#VALUE!</v>
      </c>
      <c r="Q9" s="194" t="e">
        <f aca="false">SUM(Q5:Q8)</f>
        <v>#VALUE!</v>
      </c>
      <c r="R9" s="194" t="e">
        <f aca="false">SUM(R5:R8)</f>
        <v>#VALUE!</v>
      </c>
      <c r="S9" s="194" t="e">
        <f aca="false">SUM(S5:S8)</f>
        <v>#VALUE!</v>
      </c>
      <c r="T9" s="194" t="e">
        <f aca="false">SUM(T5:T8)</f>
        <v>#VALUE!</v>
      </c>
      <c r="U9" s="194" t="e">
        <f aca="false">SUM(U5:U8)</f>
        <v>#VALUE!</v>
      </c>
      <c r="V9" s="194" t="e">
        <f aca="false">SUM(V5:V8)</f>
        <v>#REF!</v>
      </c>
      <c r="W9" s="194" t="e">
        <f aca="false">SUM(W5:W8)</f>
        <v>#REF!</v>
      </c>
      <c r="X9" s="194" t="e">
        <f aca="false">SUM(X5:X8)</f>
        <v>#REF!</v>
      </c>
      <c r="Y9" s="194" t="e">
        <f aca="false">SUM(Y5:Y8)</f>
        <v>#REF!</v>
      </c>
      <c r="Z9" s="194" t="e">
        <f aca="false">SUM(Z5:Z8)</f>
        <v>#REF!</v>
      </c>
      <c r="AA9" s="194" t="e">
        <f aca="false">SUM(AA5:AA8)</f>
        <v>#REF!</v>
      </c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  <c r="IW9" s="195"/>
    </row>
    <row r="10" customFormat="false" ht="11.25" hidden="false" customHeight="true" outlineLevel="0" collapsed="false">
      <c r="A10" s="192" t="s">
        <v>126</v>
      </c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</row>
    <row r="11" customFormat="false" ht="11.25" hidden="false" customHeight="true" outlineLevel="0" collapsed="false">
      <c r="A11" s="151" t="s">
        <v>127</v>
      </c>
      <c r="B11" s="126" t="n">
        <f aca="false">-BS!B18-BS!B17</f>
        <v>-180530.05066285</v>
      </c>
      <c r="C11" s="196" t="n">
        <f aca="false">SUM(BS!B17:B18)-SUM(BS!C17:C18)</f>
        <v>0</v>
      </c>
      <c r="D11" s="196" t="n">
        <f aca="false">SUM(BS!C17:C18)-SUM(BS!D17:D18)</f>
        <v>0</v>
      </c>
      <c r="E11" s="196" t="n">
        <f aca="false">SUM(BS!D17:D18)-SUM(BS!E17:E18)</f>
        <v>0</v>
      </c>
      <c r="F11" s="196" t="n">
        <f aca="false">SUM(BS!E17:E18)-SUM(BS!F17:F18)</f>
        <v>0</v>
      </c>
      <c r="G11" s="196" t="n">
        <f aca="false">SUM(BS!F17:F18)-SUM(BS!G17:G18)</f>
        <v>0</v>
      </c>
      <c r="H11" s="196" t="n">
        <f aca="false">SUM(BS!G17:G18)-SUM(BS!H17:H18)</f>
        <v>0</v>
      </c>
      <c r="I11" s="196" t="n">
        <f aca="false">SUM(BS!H17:H18)-SUM(BS!I17:I18)</f>
        <v>0</v>
      </c>
      <c r="J11" s="196" t="n">
        <f aca="false">SUM(BS!I17:I18)-SUM(BS!J17:J18)</f>
        <v>0</v>
      </c>
      <c r="K11" s="196" t="n">
        <f aca="false">SUM(BS!J17:J18)-SUM(BS!K17:K18)</f>
        <v>0</v>
      </c>
      <c r="L11" s="196" t="n">
        <f aca="false">SUM(BS!K17:K18)-SUM(BS!L17:L18)</f>
        <v>0</v>
      </c>
      <c r="M11" s="196" t="n">
        <f aca="false">SUM(BS!L17:L18)-SUM(BS!M17:M18)</f>
        <v>0</v>
      </c>
      <c r="N11" s="196" t="n">
        <f aca="false">SUM(BS!M17:M18)-SUM(BS!N17:N18)</f>
        <v>0</v>
      </c>
      <c r="O11" s="196" t="n">
        <f aca="false">SUM(BS!N17:N18)-SUM(BS!O17:O18)</f>
        <v>0</v>
      </c>
      <c r="P11" s="196" t="n">
        <f aca="false">SUM(BS!O17:O18)-SUM(BS!P17:P18)</f>
        <v>0</v>
      </c>
      <c r="Q11" s="196" t="n">
        <f aca="false">SUM(BS!P17:P18)-SUM(BS!Q17:Q18)</f>
        <v>0</v>
      </c>
      <c r="R11" s="196" t="n">
        <f aca="false">SUM(BS!Q17:Q18)-SUM(BS!R17:R18)</f>
        <v>180530.05066285</v>
      </c>
      <c r="S11" s="196" t="n">
        <f aca="false">SUM(BS!R17:R18)-SUM(BS!S17:S18)</f>
        <v>0</v>
      </c>
      <c r="T11" s="196" t="n">
        <f aca="false">SUM(BS!S17:S18)-SUM(BS!T17:T18)</f>
        <v>0</v>
      </c>
      <c r="U11" s="196" t="n">
        <f aca="false">SUM(BS!T17:T18)-SUM(BS!U17:U18)</f>
        <v>0</v>
      </c>
      <c r="V11" s="196" t="n">
        <f aca="false">SUM(BS!U17:U18)-SUM(BS!V17:V18)</f>
        <v>0</v>
      </c>
      <c r="W11" s="196" t="n">
        <f aca="false">SUM(BS!V17:V18)-SUM(BS!W17:W18)</f>
        <v>0</v>
      </c>
      <c r="X11" s="196" t="n">
        <f aca="false">SUM(BS!W17:W18)-SUM(BS!X17:X18)</f>
        <v>0</v>
      </c>
      <c r="Y11" s="196" t="n">
        <f aca="false">SUM(BS!X17:X18)-SUM(BS!Y17:Y18)</f>
        <v>0</v>
      </c>
      <c r="Z11" s="196" t="n">
        <f aca="false">SUM(BS!Y17:Y18)-SUM(BS!Z17:Z18)</f>
        <v>0</v>
      </c>
      <c r="AA11" s="196" t="n">
        <f aca="false">SUM(BS!Z17:Z18)-SUM(BS!AA17:AA18)</f>
        <v>0</v>
      </c>
    </row>
    <row r="12" customFormat="false" ht="11.25" hidden="false" customHeight="true" outlineLevel="0" collapsed="false">
      <c r="A12" s="151"/>
      <c r="B12" s="126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</row>
    <row r="13" customFormat="false" ht="11.25" hidden="false" customHeight="false" outlineLevel="0" collapsed="false">
      <c r="A13" s="193" t="s">
        <v>128</v>
      </c>
      <c r="B13" s="157" t="n">
        <f aca="false">SUM(B11:B12)</f>
        <v>-180530.05066285</v>
      </c>
      <c r="C13" s="157" t="n">
        <f aca="false">SUM(C11:C12)</f>
        <v>0</v>
      </c>
      <c r="D13" s="157" t="n">
        <f aca="false">SUM(D11:D12)</f>
        <v>0</v>
      </c>
      <c r="E13" s="157" t="n">
        <f aca="false">SUM(E11:E12)</f>
        <v>0</v>
      </c>
      <c r="F13" s="157" t="n">
        <f aca="false">SUM(F11:F12)</f>
        <v>0</v>
      </c>
      <c r="G13" s="157" t="n">
        <f aca="false">SUM(G11:G12)</f>
        <v>0</v>
      </c>
      <c r="H13" s="157" t="n">
        <f aca="false">SUM(H11:H12)</f>
        <v>0</v>
      </c>
      <c r="I13" s="157" t="n">
        <f aca="false">SUM(I11:I12)</f>
        <v>0</v>
      </c>
      <c r="J13" s="157" t="n">
        <f aca="false">SUM(J11:J12)</f>
        <v>0</v>
      </c>
      <c r="K13" s="157" t="n">
        <f aca="false">SUM(K11:K12)</f>
        <v>0</v>
      </c>
      <c r="L13" s="157" t="n">
        <f aca="false">SUM(L11:L12)</f>
        <v>0</v>
      </c>
      <c r="M13" s="157" t="n">
        <f aca="false">SUM(M11:M12)</f>
        <v>0</v>
      </c>
      <c r="N13" s="157" t="n">
        <f aca="false">SUM(N11:N12)</f>
        <v>0</v>
      </c>
      <c r="O13" s="157" t="n">
        <f aca="false">SUM(O11:O12)</f>
        <v>0</v>
      </c>
      <c r="P13" s="157" t="n">
        <f aca="false">SUM(P11:P12)</f>
        <v>0</v>
      </c>
      <c r="Q13" s="157" t="n">
        <f aca="false">SUM(Q11:Q12)</f>
        <v>0</v>
      </c>
      <c r="R13" s="157" t="n">
        <f aca="false">SUM(R11:R12)</f>
        <v>180530.05066285</v>
      </c>
      <c r="S13" s="157" t="n">
        <f aca="false">SUM(S11:S12)</f>
        <v>0</v>
      </c>
      <c r="T13" s="157" t="n">
        <f aca="false">SUM(T11:T12)</f>
        <v>0</v>
      </c>
      <c r="U13" s="157" t="n">
        <f aca="false">SUM(U11:U12)</f>
        <v>0</v>
      </c>
      <c r="V13" s="157" t="n">
        <f aca="false">SUM(V11:V12)</f>
        <v>0</v>
      </c>
      <c r="W13" s="157" t="n">
        <f aca="false">SUM(W11:W12)</f>
        <v>0</v>
      </c>
      <c r="X13" s="157" t="n">
        <f aca="false">SUM(X11:X12)</f>
        <v>0</v>
      </c>
      <c r="Y13" s="157" t="n">
        <f aca="false">SUM(Y11:Y12)</f>
        <v>0</v>
      </c>
      <c r="Z13" s="157" t="n">
        <f aca="false">SUM(Z11:Z12)</f>
        <v>0</v>
      </c>
      <c r="AA13" s="157" t="n">
        <f aca="false">SUM(AA11:AA12)</f>
        <v>0</v>
      </c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  <c r="GG13" s="155"/>
      <c r="GH13" s="155"/>
      <c r="GI13" s="155"/>
      <c r="GJ13" s="155"/>
      <c r="GK13" s="155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  <c r="HF13" s="155"/>
      <c r="HG13" s="155"/>
      <c r="HH13" s="155"/>
      <c r="HI13" s="155"/>
      <c r="HJ13" s="155"/>
      <c r="HK13" s="155"/>
      <c r="HL13" s="155"/>
      <c r="HM13" s="155"/>
      <c r="HN13" s="155"/>
      <c r="HO13" s="155"/>
      <c r="HP13" s="155"/>
      <c r="HQ13" s="155"/>
      <c r="HR13" s="155"/>
      <c r="HS13" s="155"/>
      <c r="HT13" s="155"/>
      <c r="HU13" s="155"/>
      <c r="HV13" s="155"/>
      <c r="HW13" s="155"/>
      <c r="HX13" s="155"/>
      <c r="HY13" s="155"/>
      <c r="HZ13" s="155"/>
      <c r="IA13" s="155"/>
      <c r="IB13" s="155"/>
      <c r="IC13" s="155"/>
      <c r="ID13" s="155"/>
      <c r="IE13" s="155"/>
      <c r="IF13" s="155"/>
      <c r="IG13" s="155"/>
      <c r="IH13" s="155"/>
      <c r="II13" s="155"/>
      <c r="IJ13" s="155"/>
      <c r="IK13" s="155"/>
      <c r="IL13" s="155"/>
      <c r="IM13" s="155"/>
      <c r="IN13" s="155"/>
      <c r="IO13" s="155"/>
      <c r="IP13" s="155"/>
      <c r="IQ13" s="155"/>
      <c r="IR13" s="155"/>
      <c r="IS13" s="155"/>
      <c r="IT13" s="155"/>
      <c r="IU13" s="155"/>
      <c r="IV13" s="155"/>
      <c r="IW13" s="155"/>
    </row>
    <row r="14" customFormat="false" ht="12" hidden="false" customHeight="true" outlineLevel="0" collapsed="false">
      <c r="A14" s="192" t="s">
        <v>129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</row>
    <row r="15" customFormat="false" ht="12" hidden="false" customHeight="true" outlineLevel="0" collapsed="false">
      <c r="A15" s="192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</row>
    <row r="16" customFormat="false" ht="11.25" hidden="false" customHeight="false" outlineLevel="0" collapsed="false">
      <c r="A16" s="151" t="s">
        <v>130</v>
      </c>
      <c r="B16" s="154" t="e">
        <f aca="false">BS!B32</f>
        <v>#VALUE!</v>
      </c>
      <c r="C16" s="154" t="e">
        <f aca="false">BS!C32-BS!B32</f>
        <v>#VALUE!</v>
      </c>
      <c r="D16" s="126" t="e">
        <f aca="false">-BS!C32+BS!D32</f>
        <v>#VALUE!</v>
      </c>
      <c r="E16" s="154" t="e">
        <f aca="false">-BS!D32+BS!E32</f>
        <v>#VALUE!</v>
      </c>
      <c r="F16" s="154" t="e">
        <f aca="false">-BS!E32+BS!F32</f>
        <v>#VALUE!</v>
      </c>
      <c r="G16" s="154" t="e">
        <f aca="false">-BS!F32+BS!G32</f>
        <v>#VALUE!</v>
      </c>
      <c r="H16" s="154" t="e">
        <f aca="false">-BS!G32+BS!H32</f>
        <v>#VALUE!</v>
      </c>
      <c r="I16" s="154" t="e">
        <f aca="false">-BS!H32+BS!I32</f>
        <v>#VALUE!</v>
      </c>
      <c r="J16" s="154" t="e">
        <f aca="false">-BS!I32+BS!J32</f>
        <v>#VALUE!</v>
      </c>
      <c r="K16" s="154" t="e">
        <f aca="false">-BS!J32+BS!K32</f>
        <v>#VALUE!</v>
      </c>
      <c r="L16" s="154" t="e">
        <f aca="false">-BS!K32+BS!L32</f>
        <v>#VALUE!</v>
      </c>
      <c r="M16" s="154" t="e">
        <f aca="false">-BS!L32+BS!M32</f>
        <v>#VALUE!</v>
      </c>
      <c r="N16" s="154" t="e">
        <f aca="false">-BS!M32+BS!N32</f>
        <v>#VALUE!</v>
      </c>
      <c r="O16" s="154" t="e">
        <f aca="false">-BS!N32+BS!O32</f>
        <v>#VALUE!</v>
      </c>
      <c r="P16" s="154" t="e">
        <f aca="false">-BS!O32+BS!P32</f>
        <v>#VALUE!</v>
      </c>
      <c r="Q16" s="154" t="e">
        <f aca="false">-BS!P32+BS!Q32</f>
        <v>#VALUE!</v>
      </c>
      <c r="R16" s="154" t="e">
        <f aca="false">-BS!Q32+BS!R32</f>
        <v>#VALUE!</v>
      </c>
      <c r="S16" s="154" t="e">
        <f aca="false">-BS!R32+BS!S32</f>
        <v>#VALUE!</v>
      </c>
      <c r="T16" s="154" t="e">
        <f aca="false">-BS!S32+BS!T32</f>
        <v>#VALUE!</v>
      </c>
      <c r="U16" s="154" t="e">
        <f aca="false">-BS!T32+BS!U32</f>
        <v>#VALUE!</v>
      </c>
      <c r="V16" s="154" t="e">
        <f aca="false">-BS!U32+#REF!</f>
        <v>#VALUE!</v>
      </c>
      <c r="W16" s="154" t="e">
        <f aca="false">-#REF!+#REF!</f>
        <v>#REF!</v>
      </c>
      <c r="X16" s="154" t="e">
        <f aca="false">-#REF!+#REF!</f>
        <v>#REF!</v>
      </c>
      <c r="Y16" s="154" t="e">
        <f aca="false">-#REF!+#REF!</f>
        <v>#REF!</v>
      </c>
      <c r="Z16" s="154" t="e">
        <f aca="false">-#REF!+#REF!</f>
        <v>#REF!</v>
      </c>
      <c r="AA16" s="154" t="e">
        <f aca="false">-#REF!+#REF!</f>
        <v>#REF!</v>
      </c>
    </row>
    <row r="17" customFormat="false" ht="11.25" hidden="true" customHeight="false" outlineLevel="0" collapsed="false">
      <c r="A17" s="151" t="s">
        <v>131</v>
      </c>
      <c r="B17" s="154"/>
      <c r="C17" s="154" t="n">
        <f aca="false">+BS!C34</f>
        <v>0</v>
      </c>
      <c r="D17" s="154" t="n">
        <f aca="false">-BS!C34+BS!D34</f>
        <v>0</v>
      </c>
      <c r="E17" s="154" t="n">
        <f aca="false">-BS!D34+BS!E34</f>
        <v>0</v>
      </c>
      <c r="F17" s="154" t="n">
        <f aca="false">-BS!E34+BS!F34</f>
        <v>0</v>
      </c>
      <c r="G17" s="154" t="n">
        <f aca="false">-BS!F34+BS!G34</f>
        <v>0</v>
      </c>
      <c r="H17" s="154" t="n">
        <f aca="false">-BS!G34+BS!H34</f>
        <v>0</v>
      </c>
      <c r="I17" s="154" t="n">
        <f aca="false">-BS!H34+BS!I34</f>
        <v>0</v>
      </c>
      <c r="J17" s="154" t="n">
        <f aca="false">-BS!I34+BS!J34</f>
        <v>0</v>
      </c>
      <c r="K17" s="154" t="n">
        <f aca="false">-BS!J34+BS!K34</f>
        <v>0</v>
      </c>
      <c r="L17" s="154" t="n">
        <f aca="false">-BS!K34+BS!L34</f>
        <v>0</v>
      </c>
      <c r="M17" s="154" t="n">
        <f aca="false">-BS!L34+BS!M34</f>
        <v>0</v>
      </c>
      <c r="N17" s="154" t="n">
        <f aca="false">-BS!M34+BS!N34</f>
        <v>0</v>
      </c>
      <c r="O17" s="154" t="n">
        <f aca="false">-BS!N34+BS!O34</f>
        <v>0</v>
      </c>
      <c r="P17" s="154" t="n">
        <f aca="false">-BS!O34+BS!P34</f>
        <v>0</v>
      </c>
      <c r="Q17" s="154" t="n">
        <f aca="false">-BS!P34+BS!Q34</f>
        <v>0</v>
      </c>
      <c r="R17" s="154" t="n">
        <f aca="false">-BS!Q34+BS!R34</f>
        <v>0</v>
      </c>
      <c r="S17" s="154" t="n">
        <f aca="false">-BS!R34+BS!S34</f>
        <v>0</v>
      </c>
      <c r="T17" s="154" t="n">
        <f aca="false">-BS!S34+BS!T34</f>
        <v>0</v>
      </c>
      <c r="U17" s="154" t="n">
        <f aca="false">-BS!T34+BS!U34</f>
        <v>0</v>
      </c>
      <c r="V17" s="154" t="e">
        <f aca="false">-BS!U34+#REF!</f>
        <v>#REF!</v>
      </c>
      <c r="W17" s="154" t="e">
        <f aca="false">-#REF!+#REF!</f>
        <v>#REF!</v>
      </c>
      <c r="X17" s="154" t="e">
        <f aca="false">-#REF!+#REF!</f>
        <v>#REF!</v>
      </c>
      <c r="Y17" s="154" t="e">
        <f aca="false">-#REF!+#REF!</f>
        <v>#REF!</v>
      </c>
      <c r="Z17" s="154" t="e">
        <f aca="false">-#REF!+#REF!</f>
        <v>#REF!</v>
      </c>
      <c r="AA17" s="154" t="e">
        <f aca="false">-#REF!+#REF!</f>
        <v>#REF!</v>
      </c>
    </row>
    <row r="18" customFormat="false" ht="11.25" hidden="true" customHeight="false" outlineLevel="0" collapsed="false">
      <c r="A18" s="151" t="s">
        <v>132</v>
      </c>
      <c r="B18" s="154"/>
      <c r="C18" s="154" t="n">
        <f aca="false">+BS!C38</f>
        <v>0</v>
      </c>
      <c r="D18" s="154" t="n">
        <f aca="false">-BS!C38+BS!D38</f>
        <v>0</v>
      </c>
      <c r="E18" s="154" t="n">
        <f aca="false">-BS!D38+BS!E38</f>
        <v>0</v>
      </c>
      <c r="F18" s="154" t="n">
        <f aca="false">-BS!E38+BS!F38</f>
        <v>0</v>
      </c>
      <c r="G18" s="154" t="n">
        <f aca="false">-BS!F38+BS!G38</f>
        <v>0</v>
      </c>
      <c r="H18" s="154" t="n">
        <f aca="false">-BS!G38+BS!H38</f>
        <v>0</v>
      </c>
      <c r="I18" s="154" t="n">
        <f aca="false">-BS!H38+BS!I38</f>
        <v>0</v>
      </c>
      <c r="J18" s="154" t="n">
        <f aca="false">-BS!I38+BS!J38</f>
        <v>0</v>
      </c>
      <c r="K18" s="154" t="n">
        <f aca="false">-BS!J38+BS!K38</f>
        <v>0</v>
      </c>
      <c r="L18" s="154" t="n">
        <f aca="false">-BS!K38+BS!L38</f>
        <v>0</v>
      </c>
      <c r="M18" s="154" t="n">
        <f aca="false">-BS!L38+BS!M38</f>
        <v>0</v>
      </c>
      <c r="N18" s="154" t="n">
        <f aca="false">-BS!M38+BS!N38</f>
        <v>0</v>
      </c>
      <c r="O18" s="154" t="n">
        <f aca="false">-BS!N38+BS!O38</f>
        <v>0</v>
      </c>
      <c r="P18" s="154" t="n">
        <f aca="false">-BS!O38+BS!P38</f>
        <v>0</v>
      </c>
      <c r="Q18" s="154" t="n">
        <f aca="false">-BS!P38+BS!Q38</f>
        <v>0</v>
      </c>
      <c r="R18" s="154" t="n">
        <f aca="false">-BS!Q38+BS!R38</f>
        <v>0</v>
      </c>
      <c r="S18" s="154" t="n">
        <f aca="false">-BS!R38+BS!S38</f>
        <v>0</v>
      </c>
      <c r="T18" s="154" t="n">
        <f aca="false">-BS!S38+BS!T38</f>
        <v>0</v>
      </c>
      <c r="U18" s="154" t="n">
        <f aca="false">-BS!T38+BS!U38</f>
        <v>0</v>
      </c>
      <c r="V18" s="154" t="e">
        <f aca="false">-BS!U38+#REF!</f>
        <v>#REF!</v>
      </c>
      <c r="W18" s="154" t="e">
        <f aca="false">-#REF!+#REF!</f>
        <v>#REF!</v>
      </c>
      <c r="X18" s="154" t="e">
        <f aca="false">-#REF!+#REF!</f>
        <v>#REF!</v>
      </c>
      <c r="Y18" s="154" t="e">
        <f aca="false">-#REF!+#REF!</f>
        <v>#REF!</v>
      </c>
      <c r="Z18" s="154" t="e">
        <f aca="false">-#REF!+#REF!</f>
        <v>#REF!</v>
      </c>
      <c r="AA18" s="154" t="e">
        <f aca="false">-#REF!+#REF!</f>
        <v>#REF!</v>
      </c>
    </row>
    <row r="19" customFormat="false" ht="11.25" hidden="false" customHeight="false" outlineLevel="0" collapsed="false">
      <c r="A19" s="151" t="s">
        <v>112</v>
      </c>
      <c r="B19" s="154" t="n">
        <f aca="false">BS!B39</f>
        <v>121897.846528664</v>
      </c>
      <c r="C19" s="154" t="n">
        <f aca="false">BS!C39-BS!B39</f>
        <v>0</v>
      </c>
      <c r="D19" s="154" t="n">
        <f aca="false">-BS!C39+BS!D39</f>
        <v>0</v>
      </c>
      <c r="E19" s="196" t="n">
        <f aca="false">-BS!D39+BS!E39</f>
        <v>0</v>
      </c>
      <c r="F19" s="154" t="n">
        <f aca="false">-BS!E39+BS!F39</f>
        <v>0</v>
      </c>
      <c r="G19" s="154" t="n">
        <f aca="false">-BS!F39+BS!G39</f>
        <v>0</v>
      </c>
      <c r="H19" s="154" t="n">
        <f aca="false">-BS!G39+BS!H39</f>
        <v>0</v>
      </c>
      <c r="I19" s="154" t="n">
        <f aca="false">-BS!H39+BS!I39</f>
        <v>0</v>
      </c>
      <c r="J19" s="154" t="n">
        <f aca="false">-BS!I39+BS!J39</f>
        <v>0</v>
      </c>
      <c r="K19" s="154" t="n">
        <f aca="false">-BS!J39+BS!K39</f>
        <v>0</v>
      </c>
      <c r="L19" s="154" t="n">
        <f aca="false">-BS!K39+BS!L39</f>
        <v>0</v>
      </c>
      <c r="M19" s="154" t="n">
        <f aca="false">-BS!L39+BS!M39</f>
        <v>0</v>
      </c>
      <c r="N19" s="154" t="n">
        <f aca="false">-BS!M39+BS!N39</f>
        <v>0</v>
      </c>
      <c r="O19" s="154" t="n">
        <f aca="false">-BS!N39+BS!O39</f>
        <v>0</v>
      </c>
      <c r="P19" s="154" t="n">
        <f aca="false">-BS!O39+BS!P39</f>
        <v>0</v>
      </c>
      <c r="Q19" s="154" t="n">
        <f aca="false">-BS!P39+BS!Q39</f>
        <v>0</v>
      </c>
      <c r="R19" s="154" t="n">
        <f aca="false">-BS!Q39+BS!R39</f>
        <v>-121897.846528664</v>
      </c>
      <c r="S19" s="154" t="n">
        <f aca="false">-BS!R39+BS!S39</f>
        <v>0</v>
      </c>
      <c r="T19" s="154" t="n">
        <f aca="false">-BS!S39+BS!T39</f>
        <v>0</v>
      </c>
      <c r="U19" s="154" t="n">
        <f aca="false">-BS!T39+BS!U39</f>
        <v>0</v>
      </c>
      <c r="V19" s="154" t="e">
        <f aca="false">-BS!U39+#REF!</f>
        <v>#REF!</v>
      </c>
      <c r="W19" s="154" t="e">
        <f aca="false">-#REF!+#REF!</f>
        <v>#REF!</v>
      </c>
      <c r="X19" s="154" t="e">
        <f aca="false">-#REF!+#REF!</f>
        <v>#REF!</v>
      </c>
      <c r="Y19" s="154" t="e">
        <f aca="false">-#REF!+#REF!</f>
        <v>#REF!</v>
      </c>
      <c r="Z19" s="154" t="e">
        <f aca="false">-#REF!+#REF!</f>
        <v>#REF!</v>
      </c>
      <c r="AA19" s="154" t="e">
        <f aca="false">-#REF!+#REF!</f>
        <v>#REF!</v>
      </c>
    </row>
    <row r="20" customFormat="false" ht="11.25" hidden="false" customHeight="false" outlineLevel="0" collapsed="false">
      <c r="A20" s="151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</row>
    <row r="21" customFormat="false" ht="11.25" hidden="false" customHeight="false" outlineLevel="0" collapsed="false">
      <c r="A21" s="193" t="s">
        <v>133</v>
      </c>
      <c r="B21" s="157" t="e">
        <f aca="false">SUM(B16:B19)</f>
        <v>#VALUE!</v>
      </c>
      <c r="C21" s="157" t="e">
        <f aca="false">SUM(C16:C19)</f>
        <v>#VALUE!</v>
      </c>
      <c r="D21" s="157" t="e">
        <f aca="false">SUM(D16:D19)</f>
        <v>#VALUE!</v>
      </c>
      <c r="E21" s="157" t="e">
        <f aca="false">SUM(E16:E19)</f>
        <v>#VALUE!</v>
      </c>
      <c r="F21" s="157" t="e">
        <f aca="false">SUM(F16:F19)</f>
        <v>#VALUE!</v>
      </c>
      <c r="G21" s="157" t="e">
        <f aca="false">SUM(G16:G19)</f>
        <v>#VALUE!</v>
      </c>
      <c r="H21" s="157" t="e">
        <f aca="false">SUM(H16:H19)</f>
        <v>#VALUE!</v>
      </c>
      <c r="I21" s="157" t="e">
        <f aca="false">SUM(I16:I19)</f>
        <v>#VALUE!</v>
      </c>
      <c r="J21" s="157" t="e">
        <f aca="false">SUM(J16:J19)</f>
        <v>#VALUE!</v>
      </c>
      <c r="K21" s="157" t="e">
        <f aca="false">SUM(K16:K19)</f>
        <v>#VALUE!</v>
      </c>
      <c r="L21" s="157" t="e">
        <f aca="false">SUM(L16:L19)</f>
        <v>#VALUE!</v>
      </c>
      <c r="M21" s="157" t="e">
        <f aca="false">SUM(M16:M19)</f>
        <v>#VALUE!</v>
      </c>
      <c r="N21" s="157" t="e">
        <f aca="false">SUM(N16:N19)</f>
        <v>#VALUE!</v>
      </c>
      <c r="O21" s="157" t="e">
        <f aca="false">SUM(O16:O19)</f>
        <v>#VALUE!</v>
      </c>
      <c r="P21" s="157" t="e">
        <f aca="false">SUM(P16:P19)</f>
        <v>#VALUE!</v>
      </c>
      <c r="Q21" s="157" t="e">
        <f aca="false">SUM(Q16:Q19)</f>
        <v>#VALUE!</v>
      </c>
      <c r="R21" s="157" t="e">
        <f aca="false">SUM(R16:R19)</f>
        <v>#VALUE!</v>
      </c>
      <c r="S21" s="157" t="e">
        <f aca="false">SUM(S16:S19)</f>
        <v>#VALUE!</v>
      </c>
      <c r="T21" s="157" t="e">
        <f aca="false">SUM(T16:T19)</f>
        <v>#VALUE!</v>
      </c>
      <c r="U21" s="157" t="e">
        <f aca="false">SUM(U16:U19)</f>
        <v>#VALUE!</v>
      </c>
      <c r="V21" s="157" t="e">
        <f aca="false">SUM(V16:V19)</f>
        <v>#VALUE!</v>
      </c>
      <c r="W21" s="157" t="e">
        <f aca="false">SUM(W16:W19)</f>
        <v>#REF!</v>
      </c>
      <c r="X21" s="157" t="e">
        <f aca="false">SUM(X16:X19)</f>
        <v>#REF!</v>
      </c>
      <c r="Y21" s="157" t="e">
        <f aca="false">SUM(Y16:Y19)</f>
        <v>#REF!</v>
      </c>
      <c r="Z21" s="157" t="e">
        <f aca="false">SUM(Z16:Z19)</f>
        <v>#REF!</v>
      </c>
      <c r="AA21" s="157" t="e">
        <f aca="false">SUM(AA16:AA19)</f>
        <v>#REF!</v>
      </c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  <c r="IS21" s="155"/>
      <c r="IT21" s="155"/>
      <c r="IU21" s="155"/>
      <c r="IV21" s="155"/>
      <c r="IW21" s="155"/>
    </row>
    <row r="23" customFormat="false" ht="11.25" hidden="false" customHeight="false" outlineLevel="0" collapsed="false">
      <c r="A23" s="193" t="s">
        <v>134</v>
      </c>
      <c r="B23" s="157" t="e">
        <f aca="false">B9+B13+B21</f>
        <v>#VALUE!</v>
      </c>
      <c r="C23" s="157" t="e">
        <f aca="false">C9+C13+C21</f>
        <v>#VALUE!</v>
      </c>
      <c r="D23" s="157" t="e">
        <f aca="false">D9+D13+D21</f>
        <v>#VALUE!</v>
      </c>
      <c r="E23" s="157" t="e">
        <f aca="false">E9+E13+E21</f>
        <v>#VALUE!</v>
      </c>
      <c r="F23" s="157" t="e">
        <f aca="false">F9+F13+F21</f>
        <v>#VALUE!</v>
      </c>
      <c r="G23" s="157" t="e">
        <f aca="false">G9+G13+G21</f>
        <v>#VALUE!</v>
      </c>
      <c r="H23" s="157" t="e">
        <f aca="false">H9+H13+H21</f>
        <v>#VALUE!</v>
      </c>
      <c r="I23" s="157" t="e">
        <f aca="false">I9+I13+I21</f>
        <v>#VALUE!</v>
      </c>
      <c r="J23" s="157" t="e">
        <f aca="false">J9+J13+J21</f>
        <v>#VALUE!</v>
      </c>
      <c r="K23" s="157" t="e">
        <f aca="false">K9+K13+K21</f>
        <v>#VALUE!</v>
      </c>
      <c r="L23" s="157" t="e">
        <f aca="false">L9+L13+L21</f>
        <v>#VALUE!</v>
      </c>
      <c r="M23" s="157" t="e">
        <f aca="false">M9+M13+M21</f>
        <v>#VALUE!</v>
      </c>
      <c r="N23" s="157" t="e">
        <f aca="false">N9+N13+N21</f>
        <v>#VALUE!</v>
      </c>
      <c r="O23" s="157" t="e">
        <f aca="false">O9+O13+O21</f>
        <v>#VALUE!</v>
      </c>
      <c r="P23" s="157" t="e">
        <f aca="false">P9+P13+P21</f>
        <v>#VALUE!</v>
      </c>
      <c r="Q23" s="157" t="e">
        <f aca="false">Q9+Q13+Q21</f>
        <v>#VALUE!</v>
      </c>
      <c r="R23" s="157" t="e">
        <f aca="false">R9+R13+R21</f>
        <v>#VALUE!</v>
      </c>
      <c r="S23" s="157" t="e">
        <f aca="false">S9+S13+S21</f>
        <v>#VALUE!</v>
      </c>
      <c r="T23" s="157" t="e">
        <f aca="false">T9+T13+T21</f>
        <v>#VALUE!</v>
      </c>
      <c r="U23" s="157" t="e">
        <f aca="false">U9+U13+U21</f>
        <v>#VALUE!</v>
      </c>
      <c r="V23" s="157" t="e">
        <f aca="false">V9+V13+V21</f>
        <v>#REF!</v>
      </c>
      <c r="W23" s="157" t="e">
        <f aca="false">W9+W13+W21</f>
        <v>#REF!</v>
      </c>
      <c r="X23" s="157" t="e">
        <f aca="false">X9+X13+X21</f>
        <v>#REF!</v>
      </c>
      <c r="Y23" s="157" t="e">
        <f aca="false">Y9+Y13+Y21</f>
        <v>#REF!</v>
      </c>
      <c r="Z23" s="157" t="e">
        <f aca="false">Z9+Z13+Z21</f>
        <v>#REF!</v>
      </c>
      <c r="AA23" s="157" t="e">
        <f aca="false">AA9+AA13+AA21</f>
        <v>#REF!</v>
      </c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  <c r="IS23" s="155"/>
      <c r="IT23" s="155"/>
      <c r="IU23" s="155"/>
      <c r="IV23" s="155"/>
      <c r="IW23" s="155"/>
    </row>
    <row r="25" customFormat="false" ht="11.25" hidden="false" customHeight="false" outlineLevel="0" collapsed="false">
      <c r="A25" s="151" t="s">
        <v>135</v>
      </c>
      <c r="B25" s="154" t="n">
        <v>0</v>
      </c>
      <c r="C25" s="154" t="e">
        <f aca="false">B26</f>
        <v>#VALUE!</v>
      </c>
      <c r="D25" s="154" t="e">
        <f aca="false">C26</f>
        <v>#VALUE!</v>
      </c>
      <c r="E25" s="154" t="e">
        <f aca="false">D26</f>
        <v>#VALUE!</v>
      </c>
      <c r="F25" s="154" t="e">
        <f aca="false">E26</f>
        <v>#VALUE!</v>
      </c>
      <c r="G25" s="154" t="e">
        <f aca="false">F26</f>
        <v>#VALUE!</v>
      </c>
      <c r="H25" s="154" t="e">
        <f aca="false">G26</f>
        <v>#VALUE!</v>
      </c>
      <c r="I25" s="154" t="e">
        <f aca="false">H26</f>
        <v>#VALUE!</v>
      </c>
      <c r="J25" s="154" t="e">
        <f aca="false">I26</f>
        <v>#VALUE!</v>
      </c>
      <c r="K25" s="154" t="e">
        <f aca="false">J26</f>
        <v>#VALUE!</v>
      </c>
      <c r="L25" s="154" t="e">
        <f aca="false">K26</f>
        <v>#VALUE!</v>
      </c>
      <c r="M25" s="154" t="e">
        <f aca="false">L26</f>
        <v>#VALUE!</v>
      </c>
      <c r="N25" s="154" t="e">
        <f aca="false">M26</f>
        <v>#VALUE!</v>
      </c>
      <c r="O25" s="154" t="e">
        <f aca="false">N26</f>
        <v>#VALUE!</v>
      </c>
      <c r="P25" s="154" t="e">
        <f aca="false">O26</f>
        <v>#VALUE!</v>
      </c>
      <c r="Q25" s="154" t="e">
        <f aca="false">P26</f>
        <v>#VALUE!</v>
      </c>
      <c r="R25" s="154" t="e">
        <f aca="false">Q26</f>
        <v>#VALUE!</v>
      </c>
      <c r="S25" s="154" t="e">
        <f aca="false">R26</f>
        <v>#VALUE!</v>
      </c>
      <c r="T25" s="154" t="e">
        <f aca="false">S26</f>
        <v>#VALUE!</v>
      </c>
      <c r="U25" s="154" t="e">
        <f aca="false">T26</f>
        <v>#VALUE!</v>
      </c>
      <c r="V25" s="154" t="e">
        <f aca="false">U26</f>
        <v>#VALUE!</v>
      </c>
      <c r="W25" s="154" t="e">
        <f aca="false">V26</f>
        <v>#VALUE!</v>
      </c>
      <c r="X25" s="154" t="e">
        <f aca="false">W26</f>
        <v>#VALUE!</v>
      </c>
      <c r="Y25" s="154" t="e">
        <f aca="false">X26</f>
        <v>#VALUE!</v>
      </c>
      <c r="Z25" s="154" t="e">
        <f aca="false">Y26</f>
        <v>#VALUE!</v>
      </c>
      <c r="AA25" s="154" t="e">
        <f aca="false">Z26</f>
        <v>#VALUE!</v>
      </c>
    </row>
    <row r="26" customFormat="false" ht="11.25" hidden="false" customHeight="true" outlineLevel="0" collapsed="false">
      <c r="A26" s="151" t="s">
        <v>136</v>
      </c>
      <c r="B26" s="154" t="e">
        <f aca="false">B23+B25</f>
        <v>#VALUE!</v>
      </c>
      <c r="C26" s="154" t="e">
        <f aca="false">C23+C25</f>
        <v>#VALUE!</v>
      </c>
      <c r="D26" s="154" t="e">
        <f aca="false">D23+D25</f>
        <v>#VALUE!</v>
      </c>
      <c r="E26" s="154" t="e">
        <f aca="false">E23+E25</f>
        <v>#VALUE!</v>
      </c>
      <c r="F26" s="154" t="e">
        <f aca="false">F23+F25</f>
        <v>#VALUE!</v>
      </c>
      <c r="G26" s="154" t="e">
        <f aca="false">G23+G25</f>
        <v>#VALUE!</v>
      </c>
      <c r="H26" s="154" t="e">
        <f aca="false">H23+H25</f>
        <v>#VALUE!</v>
      </c>
      <c r="I26" s="154" t="e">
        <f aca="false">I23+I25</f>
        <v>#VALUE!</v>
      </c>
      <c r="J26" s="154" t="e">
        <f aca="false">J23+J25</f>
        <v>#VALUE!</v>
      </c>
      <c r="K26" s="154" t="e">
        <f aca="false">K23+K25</f>
        <v>#VALUE!</v>
      </c>
      <c r="L26" s="154" t="e">
        <f aca="false">L23+L25</f>
        <v>#VALUE!</v>
      </c>
      <c r="M26" s="154" t="e">
        <f aca="false">M23+M25</f>
        <v>#VALUE!</v>
      </c>
      <c r="N26" s="154" t="e">
        <f aca="false">N23+N25</f>
        <v>#VALUE!</v>
      </c>
      <c r="O26" s="154" t="e">
        <f aca="false">O23+O25</f>
        <v>#VALUE!</v>
      </c>
      <c r="P26" s="154" t="e">
        <f aca="false">P23+P25</f>
        <v>#VALUE!</v>
      </c>
      <c r="Q26" s="154" t="e">
        <f aca="false">Q23+Q25</f>
        <v>#VALUE!</v>
      </c>
      <c r="R26" s="154" t="e">
        <f aca="false">R23+R25</f>
        <v>#VALUE!</v>
      </c>
      <c r="S26" s="154" t="e">
        <f aca="false">S23+S25</f>
        <v>#VALUE!</v>
      </c>
      <c r="T26" s="154" t="e">
        <f aca="false">T23+T25</f>
        <v>#VALUE!</v>
      </c>
      <c r="U26" s="154" t="e">
        <f aca="false">U23+U25</f>
        <v>#VALUE!</v>
      </c>
      <c r="V26" s="154" t="e">
        <f aca="false">V23+V25</f>
        <v>#VALUE!</v>
      </c>
      <c r="W26" s="154" t="e">
        <f aca="false">W23+W25</f>
        <v>#VALUE!</v>
      </c>
      <c r="X26" s="154" t="e">
        <f aca="false">X23+X25</f>
        <v>#VALUE!</v>
      </c>
      <c r="Y26" s="154" t="e">
        <f aca="false">Y23+Y25</f>
        <v>#VALUE!</v>
      </c>
      <c r="Z26" s="154" t="e">
        <f aca="false">Z23+Z25</f>
        <v>#VALUE!</v>
      </c>
      <c r="AA26" s="154" t="e">
        <f aca="false">AA23+AA25</f>
        <v>#VALUE!</v>
      </c>
    </row>
    <row r="28" customFormat="false" ht="12.75" hidden="false" customHeight="false" outlineLevel="0" collapsed="false">
      <c r="A28" s="195"/>
      <c r="B28" s="110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  <c r="DF28" s="195"/>
      <c r="DG28" s="195"/>
      <c r="DH28" s="195"/>
      <c r="DI28" s="195"/>
      <c r="DJ28" s="195"/>
      <c r="DK28" s="195"/>
      <c r="DL28" s="195"/>
      <c r="DM28" s="195"/>
      <c r="DN28" s="195"/>
      <c r="DO28" s="195"/>
      <c r="DP28" s="195"/>
      <c r="DQ28" s="195"/>
      <c r="DR28" s="195"/>
      <c r="DS28" s="195"/>
      <c r="DT28" s="195"/>
      <c r="DU28" s="195"/>
      <c r="DV28" s="195"/>
      <c r="DW28" s="195"/>
      <c r="DX28" s="195"/>
      <c r="DY28" s="195"/>
      <c r="DZ28" s="195"/>
      <c r="EA28" s="195"/>
      <c r="EB28" s="195"/>
      <c r="EC28" s="195"/>
      <c r="ED28" s="195"/>
      <c r="EE28" s="195"/>
      <c r="EF28" s="195"/>
      <c r="EG28" s="195"/>
      <c r="EH28" s="195"/>
      <c r="EI28" s="195"/>
      <c r="EJ28" s="195"/>
      <c r="EK28" s="195"/>
      <c r="EL28" s="195"/>
      <c r="EM28" s="195"/>
      <c r="EN28" s="195"/>
      <c r="EO28" s="195"/>
      <c r="EP28" s="195"/>
      <c r="EQ28" s="195"/>
      <c r="ER28" s="195"/>
      <c r="ES28" s="195"/>
      <c r="ET28" s="195"/>
      <c r="EU28" s="195"/>
      <c r="EV28" s="195"/>
      <c r="EW28" s="195"/>
      <c r="EX28" s="195"/>
      <c r="EY28" s="195"/>
      <c r="EZ28" s="195"/>
      <c r="FA28" s="195"/>
      <c r="FB28" s="195"/>
      <c r="FC28" s="195"/>
      <c r="FD28" s="195"/>
      <c r="FE28" s="195"/>
      <c r="FF28" s="195"/>
      <c r="FG28" s="195"/>
      <c r="FH28" s="195"/>
      <c r="FI28" s="195"/>
      <c r="FJ28" s="195"/>
      <c r="FK28" s="195"/>
      <c r="FL28" s="195"/>
      <c r="FM28" s="195"/>
      <c r="FN28" s="195"/>
      <c r="FO28" s="195"/>
      <c r="FP28" s="195"/>
      <c r="FQ28" s="195"/>
      <c r="FR28" s="195"/>
      <c r="FS28" s="195"/>
      <c r="FT28" s="195"/>
      <c r="FU28" s="195"/>
      <c r="FV28" s="195"/>
      <c r="FW28" s="195"/>
      <c r="FX28" s="195"/>
      <c r="FY28" s="195"/>
      <c r="FZ28" s="195"/>
      <c r="GA28" s="195"/>
      <c r="GB28" s="195"/>
      <c r="GC28" s="195"/>
      <c r="GD28" s="195"/>
      <c r="GE28" s="195"/>
      <c r="GF28" s="195"/>
      <c r="GG28" s="195"/>
      <c r="GH28" s="195"/>
      <c r="GI28" s="195"/>
      <c r="GJ28" s="195"/>
      <c r="GK28" s="195"/>
      <c r="GL28" s="195"/>
      <c r="GM28" s="195"/>
      <c r="GN28" s="195"/>
      <c r="GO28" s="195"/>
      <c r="GP28" s="195"/>
      <c r="GQ28" s="195"/>
      <c r="GR28" s="195"/>
      <c r="GS28" s="195"/>
      <c r="GT28" s="195"/>
      <c r="GU28" s="195"/>
      <c r="GV28" s="195"/>
      <c r="GW28" s="195"/>
      <c r="GX28" s="195"/>
      <c r="GY28" s="195"/>
      <c r="GZ28" s="195"/>
      <c r="HA28" s="195"/>
      <c r="HB28" s="195"/>
      <c r="HC28" s="195"/>
      <c r="HD28" s="195"/>
      <c r="HE28" s="195"/>
      <c r="HF28" s="195"/>
      <c r="HG28" s="195"/>
      <c r="HH28" s="195"/>
      <c r="HI28" s="195"/>
      <c r="HJ28" s="195"/>
      <c r="HK28" s="195"/>
      <c r="HL28" s="195"/>
      <c r="HM28" s="195"/>
      <c r="HN28" s="195"/>
      <c r="HO28" s="195"/>
      <c r="HP28" s="195"/>
      <c r="HQ28" s="195"/>
      <c r="HR28" s="195"/>
      <c r="HS28" s="195"/>
      <c r="HT28" s="195"/>
      <c r="HU28" s="195"/>
      <c r="HV28" s="195"/>
      <c r="HW28" s="195"/>
      <c r="HX28" s="195"/>
      <c r="HY28" s="195"/>
      <c r="HZ28" s="195"/>
      <c r="IA28" s="195"/>
      <c r="IB28" s="195"/>
      <c r="IC28" s="195"/>
      <c r="ID28" s="195"/>
      <c r="IE28" s="195"/>
      <c r="IF28" s="195"/>
      <c r="IG28" s="195"/>
      <c r="IH28" s="195"/>
      <c r="II28" s="195"/>
      <c r="IJ28" s="195"/>
      <c r="IK28" s="195"/>
      <c r="IL28" s="195"/>
      <c r="IM28" s="195"/>
      <c r="IN28" s="195"/>
      <c r="IO28" s="195"/>
      <c r="IP28" s="195"/>
      <c r="IQ28" s="195"/>
      <c r="IR28" s="195"/>
      <c r="IS28" s="195"/>
      <c r="IT28" s="195"/>
      <c r="IU28" s="195"/>
      <c r="IV28" s="195"/>
      <c r="IW28" s="195"/>
    </row>
    <row r="31" customFormat="false" ht="11.25" hidden="false" customHeight="true" outlineLevel="0" collapsed="false"/>
    <row r="32" customFormat="false" ht="11.25" hidden="false" customHeight="false" outlineLevel="0" collapsed="false">
      <c r="A32" s="142" t="s">
        <v>103</v>
      </c>
      <c r="B32" s="197" t="e">
        <f aca="false">B26-BS!B5</f>
        <v>#VALUE!</v>
      </c>
      <c r="C32" s="197" t="e">
        <f aca="false">C26-BS!C5</f>
        <v>#VALUE!</v>
      </c>
      <c r="D32" s="197" t="e">
        <f aca="false">D26-BS!D5</f>
        <v>#VALUE!</v>
      </c>
      <c r="E32" s="197" t="e">
        <f aca="false">E26-BS!E5</f>
        <v>#VALUE!</v>
      </c>
      <c r="F32" s="197" t="e">
        <f aca="false">F26-BS!F5</f>
        <v>#VALUE!</v>
      </c>
      <c r="G32" s="197" t="e">
        <f aca="false">G26-BS!G5</f>
        <v>#VALUE!</v>
      </c>
      <c r="H32" s="197" t="e">
        <f aca="false">H26-BS!H5</f>
        <v>#VALUE!</v>
      </c>
      <c r="I32" s="197" t="e">
        <f aca="false">I26-BS!I5</f>
        <v>#VALUE!</v>
      </c>
      <c r="J32" s="197" t="e">
        <f aca="false">J26-BS!J5</f>
        <v>#VALUE!</v>
      </c>
      <c r="K32" s="197" t="e">
        <f aca="false">K26-BS!K5</f>
        <v>#VALUE!</v>
      </c>
      <c r="L32" s="197" t="e">
        <f aca="false">L26-BS!L5</f>
        <v>#VALUE!</v>
      </c>
      <c r="M32" s="197" t="e">
        <f aca="false">M26-BS!M5</f>
        <v>#VALUE!</v>
      </c>
      <c r="N32" s="197" t="e">
        <f aca="false">N26-BS!N5</f>
        <v>#VALUE!</v>
      </c>
      <c r="O32" s="197" t="e">
        <f aca="false">O26-BS!O5</f>
        <v>#VALUE!</v>
      </c>
      <c r="P32" s="197" t="e">
        <f aca="false">P26-BS!P5</f>
        <v>#VALUE!</v>
      </c>
      <c r="Q32" s="197" t="e">
        <f aca="false">Q26-BS!Q5</f>
        <v>#VALUE!</v>
      </c>
      <c r="R32" s="197" t="e">
        <f aca="false">R26-BS!R5</f>
        <v>#VALUE!</v>
      </c>
      <c r="S32" s="197" t="e">
        <f aca="false">S26-BS!S5</f>
        <v>#VALUE!</v>
      </c>
      <c r="T32" s="197" t="e">
        <f aca="false">T26-BS!T5</f>
        <v>#VALUE!</v>
      </c>
      <c r="U32" s="197" t="e">
        <f aca="false">U26-BS!U5</f>
        <v>#VALUE!</v>
      </c>
      <c r="V32" s="197" t="e">
        <f aca="false">V26-#REF!</f>
        <v>#REF!</v>
      </c>
      <c r="W32" s="197" t="e">
        <f aca="false">W26-#REF!</f>
        <v>#REF!</v>
      </c>
      <c r="X32" s="197" t="e">
        <f aca="false">X26-#REF!</f>
        <v>#REF!</v>
      </c>
      <c r="Y32" s="197" t="e">
        <f aca="false">Y26-#REF!</f>
        <v>#REF!</v>
      </c>
      <c r="Z32" s="197" t="e">
        <f aca="false">Z26-#REF!</f>
        <v>#REF!</v>
      </c>
      <c r="AA32" s="197" t="e">
        <f aca="false">AA26-#REF!</f>
        <v>#REF!</v>
      </c>
    </row>
    <row r="33" customFormat="false" ht="11.25" hidden="false" customHeight="true" outlineLevel="0" collapsed="false">
      <c r="A33" s="151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</row>
    <row r="34" customFormat="false" ht="11.25" hidden="false" customHeight="true" outlineLevel="0" collapsed="false">
      <c r="A34" s="151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</row>
    <row r="35" customFormat="false" ht="11.25" hidden="false" customHeight="true" outlineLevel="0" collapsed="false">
      <c r="A35" s="151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</row>
    <row r="36" customFormat="false" ht="11.25" hidden="false" customHeight="true" outlineLevel="0" collapsed="false">
      <c r="A36" s="151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</row>
    <row r="37" customFormat="false" ht="11.25" hidden="false" customHeight="true" outlineLevel="0" collapsed="false">
      <c r="A37" s="192" t="s">
        <v>137</v>
      </c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</row>
    <row r="38" customFormat="false" ht="11.25" hidden="false" customHeight="false" outlineLevel="0" collapsed="false">
      <c r="A38" s="151" t="s">
        <v>138</v>
      </c>
      <c r="B38" s="196" t="e">
        <f aca="false">IS!C21</f>
        <v>#VALUE!</v>
      </c>
      <c r="C38" s="196" t="e">
        <f aca="false">IS!D21</f>
        <v>#VALUE!</v>
      </c>
      <c r="D38" s="196" t="e">
        <f aca="false">IS!E21</f>
        <v>#VALUE!</v>
      </c>
      <c r="E38" s="196" t="e">
        <f aca="false">IS!F21</f>
        <v>#VALUE!</v>
      </c>
      <c r="F38" s="196" t="e">
        <f aca="false">IS!G21</f>
        <v>#VALUE!</v>
      </c>
      <c r="G38" s="196" t="e">
        <f aca="false">IS!H21</f>
        <v>#VALUE!</v>
      </c>
      <c r="H38" s="196" t="e">
        <f aca="false">IS!I21</f>
        <v>#VALUE!</v>
      </c>
      <c r="I38" s="196" t="e">
        <f aca="false">IS!J21</f>
        <v>#VALUE!</v>
      </c>
      <c r="J38" s="196" t="e">
        <f aca="false">IS!K21</f>
        <v>#VALUE!</v>
      </c>
      <c r="K38" s="196" t="e">
        <f aca="false">IS!L21</f>
        <v>#VALUE!</v>
      </c>
      <c r="L38" s="196" t="e">
        <f aca="false">IS!M21</f>
        <v>#VALUE!</v>
      </c>
      <c r="M38" s="196" t="e">
        <f aca="false">IS!N21</f>
        <v>#VALUE!</v>
      </c>
      <c r="N38" s="196" t="e">
        <f aca="false">IS!O21</f>
        <v>#VALUE!</v>
      </c>
      <c r="O38" s="196" t="e">
        <f aca="false">IS!P21</f>
        <v>#VALUE!</v>
      </c>
      <c r="P38" s="196" t="e">
        <f aca="false">IS!Q21</f>
        <v>#VALUE!</v>
      </c>
      <c r="Q38" s="196" t="e">
        <f aca="false">IS!R21</f>
        <v>#VALUE!</v>
      </c>
      <c r="R38" s="196" t="n">
        <f aca="false">IS!S21</f>
        <v>0</v>
      </c>
      <c r="S38" s="196" t="n">
        <f aca="false">IS!T21</f>
        <v>0</v>
      </c>
      <c r="T38" s="196" t="n">
        <f aca="false">IS!U21</f>
        <v>0</v>
      </c>
      <c r="U38" s="196" t="n">
        <f aca="false">IS!V21</f>
        <v>0</v>
      </c>
      <c r="V38" s="196" t="n">
        <f aca="false">IS!W21</f>
        <v>0</v>
      </c>
      <c r="W38" s="196" t="n">
        <f aca="false">IS!X21</f>
        <v>0</v>
      </c>
      <c r="X38" s="196" t="n">
        <f aca="false">IS!Y21</f>
        <v>0</v>
      </c>
      <c r="Y38" s="196" t="n">
        <f aca="false">IS!Z21</f>
        <v>0</v>
      </c>
      <c r="Z38" s="196" t="n">
        <f aca="false">IS!AA21</f>
        <v>0</v>
      </c>
      <c r="AA38" s="196" t="n">
        <f aca="false">IS!AB21</f>
        <v>0</v>
      </c>
    </row>
    <row r="39" customFormat="false" ht="11.25" hidden="false" customHeight="false" outlineLevel="0" collapsed="false">
      <c r="A39" s="151" t="s">
        <v>139</v>
      </c>
      <c r="B39" s="196" t="n">
        <f aca="false">IS!C13</f>
        <v>1200.427004419</v>
      </c>
      <c r="C39" s="196" t="n">
        <f aca="false">IS!D13</f>
        <v>7202.56202651401</v>
      </c>
      <c r="D39" s="196" t="n">
        <f aca="false">IS!E13</f>
        <v>7202.56202651401</v>
      </c>
      <c r="E39" s="196" t="n">
        <f aca="false">IS!F13</f>
        <v>7202.56202651401</v>
      </c>
      <c r="F39" s="196" t="n">
        <f aca="false">IS!G13</f>
        <v>7202.56202651401</v>
      </c>
      <c r="G39" s="196" t="n">
        <f aca="false">IS!H13</f>
        <v>7202.56202651401</v>
      </c>
      <c r="H39" s="196" t="n">
        <f aca="false">IS!I13</f>
        <v>7202.56202651401</v>
      </c>
      <c r="I39" s="196" t="n">
        <f aca="false">IS!J13</f>
        <v>7202.56202651401</v>
      </c>
      <c r="J39" s="196" t="n">
        <f aca="false">IS!K13</f>
        <v>7202.56202651401</v>
      </c>
      <c r="K39" s="196" t="n">
        <f aca="false">IS!L13</f>
        <v>7202.56202651401</v>
      </c>
      <c r="L39" s="196" t="n">
        <f aca="false">IS!M13</f>
        <v>7202.56202651401</v>
      </c>
      <c r="M39" s="196" t="n">
        <f aca="false">IS!N13</f>
        <v>7202.56202651401</v>
      </c>
      <c r="N39" s="196" t="n">
        <f aca="false">IS!O13</f>
        <v>7202.56202651401</v>
      </c>
      <c r="O39" s="196" t="n">
        <f aca="false">IS!P13</f>
        <v>7202.56202651401</v>
      </c>
      <c r="P39" s="196" t="n">
        <f aca="false">IS!Q13</f>
        <v>7202.56202651401</v>
      </c>
      <c r="Q39" s="196" t="n">
        <f aca="false">IS!R13</f>
        <v>7202.56202651401</v>
      </c>
      <c r="R39" s="196" t="n">
        <f aca="false">IS!S13</f>
        <v>0</v>
      </c>
      <c r="S39" s="196" t="n">
        <f aca="false">IS!T13</f>
        <v>0</v>
      </c>
      <c r="T39" s="196" t="n">
        <f aca="false">IS!U13</f>
        <v>0</v>
      </c>
      <c r="U39" s="196" t="n">
        <f aca="false">IS!V13</f>
        <v>0</v>
      </c>
      <c r="V39" s="196" t="n">
        <f aca="false">IS!W13</f>
        <v>0</v>
      </c>
      <c r="W39" s="196" t="n">
        <f aca="false">IS!X13</f>
        <v>0</v>
      </c>
      <c r="X39" s="196" t="n">
        <f aca="false">IS!Y13</f>
        <v>0</v>
      </c>
      <c r="Y39" s="196" t="n">
        <f aca="false">IS!Z13</f>
        <v>0</v>
      </c>
      <c r="Z39" s="196" t="n">
        <f aca="false">IS!AA13</f>
        <v>0</v>
      </c>
      <c r="AA39" s="196" t="n">
        <f aca="false">IS!AB13</f>
        <v>0</v>
      </c>
    </row>
    <row r="40" customFormat="false" ht="11.25" hidden="false" customHeight="false" outlineLevel="0" collapsed="false">
      <c r="A40" s="151"/>
      <c r="B40" s="166" t="e">
        <f aca="false">SUBTOTAL(9,B38:B39)</f>
        <v>#VALUE!</v>
      </c>
      <c r="C40" s="166" t="e">
        <f aca="false">SUBTOTAL(9,C38:C39)</f>
        <v>#VALUE!</v>
      </c>
      <c r="D40" s="166" t="e">
        <f aca="false">SUBTOTAL(9,D38:D39)</f>
        <v>#VALUE!</v>
      </c>
      <c r="E40" s="166" t="e">
        <f aca="false">SUBTOTAL(9,E38:E39)</f>
        <v>#VALUE!</v>
      </c>
      <c r="F40" s="166" t="e">
        <f aca="false">SUBTOTAL(9,F38:F39)</f>
        <v>#VALUE!</v>
      </c>
      <c r="G40" s="166" t="e">
        <f aca="false">SUBTOTAL(9,G38:G39)</f>
        <v>#VALUE!</v>
      </c>
      <c r="H40" s="166" t="e">
        <f aca="false">SUBTOTAL(9,H38:H39)</f>
        <v>#VALUE!</v>
      </c>
      <c r="I40" s="166" t="e">
        <f aca="false">SUBTOTAL(9,I38:I39)</f>
        <v>#VALUE!</v>
      </c>
      <c r="J40" s="166" t="e">
        <f aca="false">SUBTOTAL(9,J38:J39)</f>
        <v>#VALUE!</v>
      </c>
      <c r="K40" s="166" t="e">
        <f aca="false">SUBTOTAL(9,K38:K39)</f>
        <v>#VALUE!</v>
      </c>
      <c r="L40" s="166" t="e">
        <f aca="false">SUBTOTAL(9,L38:L39)</f>
        <v>#VALUE!</v>
      </c>
      <c r="M40" s="166" t="e">
        <f aca="false">SUBTOTAL(9,M38:M39)</f>
        <v>#VALUE!</v>
      </c>
      <c r="N40" s="166" t="e">
        <f aca="false">SUBTOTAL(9,N38:N39)</f>
        <v>#VALUE!</v>
      </c>
      <c r="O40" s="166" t="e">
        <f aca="false">SUBTOTAL(9,O38:O39)</f>
        <v>#VALUE!</v>
      </c>
      <c r="P40" s="166" t="e">
        <f aca="false">SUBTOTAL(9,P38:P39)</f>
        <v>#VALUE!</v>
      </c>
      <c r="Q40" s="166" t="e">
        <f aca="false">SUBTOTAL(9,Q38:Q39)</f>
        <v>#VALUE!</v>
      </c>
      <c r="R40" s="166" t="n">
        <f aca="false">SUBTOTAL(9,R38:R39)</f>
        <v>0</v>
      </c>
      <c r="S40" s="166" t="n">
        <f aca="false">SUBTOTAL(9,S38:S39)</f>
        <v>0</v>
      </c>
      <c r="T40" s="166" t="n">
        <f aca="false">SUBTOTAL(9,T38:T39)</f>
        <v>0</v>
      </c>
      <c r="U40" s="166" t="n">
        <f aca="false">SUBTOTAL(9,U38:U39)</f>
        <v>0</v>
      </c>
      <c r="V40" s="166" t="n">
        <f aca="false">SUBTOTAL(9,V38:V39)</f>
        <v>0</v>
      </c>
      <c r="W40" s="166" t="n">
        <f aca="false">SUBTOTAL(9,W38:W39)</f>
        <v>0</v>
      </c>
      <c r="X40" s="166" t="n">
        <f aca="false">SUBTOTAL(9,X38:X39)</f>
        <v>0</v>
      </c>
      <c r="Y40" s="166" t="n">
        <f aca="false">SUBTOTAL(9,Y38:Y39)</f>
        <v>0</v>
      </c>
      <c r="Z40" s="166" t="n">
        <f aca="false">SUBTOTAL(9,Z38:Z39)</f>
        <v>0</v>
      </c>
      <c r="AA40" s="166" t="n">
        <f aca="false">SUBTOTAL(9,AA38:AA39)</f>
        <v>0</v>
      </c>
    </row>
    <row r="41" customFormat="false" ht="12.75" hidden="false" customHeight="false" outlineLevel="0" collapsed="false">
      <c r="A41" s="151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</row>
    <row r="42" customFormat="false" ht="12.75" hidden="false" customHeight="true" outlineLevel="0" collapsed="false">
      <c r="A42" s="192" t="s">
        <v>73</v>
      </c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</row>
    <row r="43" customFormat="false" ht="11.25" hidden="false" customHeight="false" outlineLevel="0" collapsed="false">
      <c r="A43" s="151" t="s">
        <v>140</v>
      </c>
      <c r="B43" s="154" t="n">
        <f aca="false">-BS!B6</f>
        <v>-0</v>
      </c>
      <c r="C43" s="154" t="n">
        <f aca="false">(BS!B6-BS!C6)</f>
        <v>0</v>
      </c>
      <c r="D43" s="154" t="n">
        <f aca="false">BS!C6-BS!D6</f>
        <v>0</v>
      </c>
      <c r="E43" s="154" t="n">
        <f aca="false">BS!D6-BS!E6</f>
        <v>0</v>
      </c>
      <c r="F43" s="154" t="n">
        <f aca="false">BS!E6-BS!F6</f>
        <v>0</v>
      </c>
      <c r="G43" s="154" t="n">
        <f aca="false">BS!F6-BS!G6</f>
        <v>0</v>
      </c>
      <c r="H43" s="154" t="n">
        <f aca="false">BS!G6-BS!H6</f>
        <v>0</v>
      </c>
      <c r="I43" s="154" t="n">
        <f aca="false">BS!H6-BS!I6</f>
        <v>0</v>
      </c>
      <c r="J43" s="154" t="n">
        <f aca="false">BS!I6-BS!J6</f>
        <v>0</v>
      </c>
      <c r="K43" s="154" t="n">
        <f aca="false">BS!J6-BS!K6</f>
        <v>0</v>
      </c>
      <c r="L43" s="154" t="n">
        <f aca="false">BS!K6-BS!L6</f>
        <v>0</v>
      </c>
      <c r="M43" s="154" t="n">
        <f aca="false">BS!L6-BS!M6</f>
        <v>0</v>
      </c>
      <c r="N43" s="154" t="n">
        <f aca="false">BS!M6-BS!N6</f>
        <v>0</v>
      </c>
      <c r="O43" s="154" t="n">
        <f aca="false">BS!N6-BS!O6</f>
        <v>0</v>
      </c>
      <c r="P43" s="154" t="n">
        <f aca="false">BS!O6-BS!P6</f>
        <v>0</v>
      </c>
      <c r="Q43" s="154" t="n">
        <f aca="false">BS!P6-BS!Q6</f>
        <v>0</v>
      </c>
      <c r="R43" s="154" t="n">
        <f aca="false">BS!Q6-BS!R6</f>
        <v>0</v>
      </c>
      <c r="S43" s="154" t="n">
        <f aca="false">BS!R6-BS!S6</f>
        <v>0</v>
      </c>
      <c r="T43" s="154" t="n">
        <f aca="false">BS!S6-BS!T6</f>
        <v>0</v>
      </c>
      <c r="U43" s="154" t="n">
        <f aca="false">BS!T6-BS!U6</f>
        <v>0</v>
      </c>
      <c r="V43" s="154" t="e">
        <f aca="false">BS!U6-#REF!</f>
        <v>#REF!</v>
      </c>
      <c r="W43" s="154" t="e">
        <f aca="false">#REF!-#REF!</f>
        <v>#REF!</v>
      </c>
      <c r="X43" s="154" t="e">
        <f aca="false">#REF!-#REF!</f>
        <v>#REF!</v>
      </c>
      <c r="Y43" s="154" t="e">
        <f aca="false">#REF!-#REF!</f>
        <v>#REF!</v>
      </c>
      <c r="Z43" s="154" t="e">
        <f aca="false">#REF!-#REF!</f>
        <v>#REF!</v>
      </c>
      <c r="AA43" s="154" t="e">
        <f aca="false">#REF!-#REF!</f>
        <v>#REF!</v>
      </c>
    </row>
    <row r="44" customFormat="false" ht="11.25" hidden="false" customHeight="false" outlineLevel="0" collapsed="false">
      <c r="A44" s="151" t="s">
        <v>141</v>
      </c>
      <c r="B44" s="154" t="n">
        <f aca="false">-BS!B7</f>
        <v>-0</v>
      </c>
      <c r="C44" s="154" t="n">
        <f aca="false">BS!B7-BS!C7</f>
        <v>0</v>
      </c>
      <c r="D44" s="154" t="n">
        <f aca="false">BS!C7-BS!D7</f>
        <v>0</v>
      </c>
      <c r="E44" s="154" t="n">
        <f aca="false">BS!D7-BS!E7</f>
        <v>0</v>
      </c>
      <c r="F44" s="154" t="n">
        <f aca="false">BS!E7-BS!F7</f>
        <v>0</v>
      </c>
      <c r="G44" s="154" t="n">
        <f aca="false">BS!F7-BS!G7</f>
        <v>0</v>
      </c>
      <c r="H44" s="154" t="n">
        <f aca="false">BS!G7-BS!H7</f>
        <v>0</v>
      </c>
      <c r="I44" s="154" t="n">
        <f aca="false">BS!H7-BS!I7</f>
        <v>0</v>
      </c>
      <c r="J44" s="154" t="n">
        <f aca="false">BS!I7-BS!J7</f>
        <v>0</v>
      </c>
      <c r="K44" s="154" t="n">
        <f aca="false">BS!J7-BS!K7</f>
        <v>0</v>
      </c>
      <c r="L44" s="154" t="n">
        <f aca="false">BS!K7-BS!L7</f>
        <v>0</v>
      </c>
      <c r="M44" s="154" t="n">
        <f aca="false">BS!L7-BS!M7</f>
        <v>0</v>
      </c>
      <c r="N44" s="154" t="n">
        <f aca="false">BS!M7-BS!N7</f>
        <v>0</v>
      </c>
      <c r="O44" s="154" t="n">
        <f aca="false">BS!N7-BS!O7</f>
        <v>0</v>
      </c>
      <c r="P44" s="154" t="n">
        <f aca="false">BS!O7-BS!P7</f>
        <v>0</v>
      </c>
      <c r="Q44" s="154" t="n">
        <f aca="false">BS!P7-BS!Q7</f>
        <v>0</v>
      </c>
      <c r="R44" s="154" t="n">
        <f aca="false">BS!Q7-BS!R7</f>
        <v>0</v>
      </c>
      <c r="S44" s="154" t="n">
        <f aca="false">BS!R7-BS!S7</f>
        <v>0</v>
      </c>
      <c r="T44" s="154" t="n">
        <f aca="false">BS!S7-BS!T7</f>
        <v>0</v>
      </c>
      <c r="U44" s="154" t="n">
        <f aca="false">BS!T7-BS!U7</f>
        <v>0</v>
      </c>
      <c r="V44" s="154" t="e">
        <f aca="false">BS!U7-#REF!</f>
        <v>#REF!</v>
      </c>
      <c r="W44" s="154" t="e">
        <f aca="false">#REF!-#REF!</f>
        <v>#REF!</v>
      </c>
      <c r="X44" s="154" t="e">
        <f aca="false">#REF!-#REF!</f>
        <v>#REF!</v>
      </c>
      <c r="Y44" s="154" t="e">
        <f aca="false">#REF!-#REF!</f>
        <v>#REF!</v>
      </c>
      <c r="Z44" s="154" t="e">
        <f aca="false">#REF!-#REF!</f>
        <v>#REF!</v>
      </c>
      <c r="AA44" s="154" t="e">
        <f aca="false">#REF!-#REF!</f>
        <v>#REF!</v>
      </c>
    </row>
    <row r="45" customFormat="false" ht="11.25" hidden="false" customHeight="false" outlineLevel="0" collapsed="false">
      <c r="A45" s="153" t="s">
        <v>142</v>
      </c>
      <c r="B45" s="154" t="n">
        <f aca="false">-BS!B8</f>
        <v>-0</v>
      </c>
      <c r="C45" s="154" t="n">
        <f aca="false">(BS!B8-BS!C8)</f>
        <v>-699.835049785932</v>
      </c>
      <c r="D45" s="154" t="n">
        <f aca="false">BS!C8-BS!D8</f>
        <v>84.1118049776098</v>
      </c>
      <c r="E45" s="154" t="n">
        <f aca="false">BS!D8-BS!E8</f>
        <v>60.3823170088347</v>
      </c>
      <c r="F45" s="154" t="n">
        <f aca="false">BS!E8-BS!F8</f>
        <v>109.356241366533</v>
      </c>
      <c r="G45" s="154" t="n">
        <f aca="false">BS!F8-BS!G8</f>
        <v>29.6466961857491</v>
      </c>
      <c r="H45" s="154" t="n">
        <f aca="false">BS!G8-BS!H8</f>
        <v>-14.7617224733511</v>
      </c>
      <c r="I45" s="154" t="n">
        <f aca="false">BS!H8-BS!I8</f>
        <v>-7.73176326722467</v>
      </c>
      <c r="J45" s="154" t="n">
        <f aca="false">BS!I8-BS!J8</f>
        <v>9.13593627066535</v>
      </c>
      <c r="K45" s="154" t="n">
        <f aca="false">BS!J8-BS!K8</f>
        <v>-15.5398472001021</v>
      </c>
      <c r="L45" s="154" t="n">
        <f aca="false">BS!K8-BS!L8</f>
        <v>-5.82301193086579</v>
      </c>
      <c r="M45" s="154" t="n">
        <f aca="false">BS!L8-BS!M8</f>
        <v>-8.61717249571825</v>
      </c>
      <c r="N45" s="154" t="n">
        <f aca="false">BS!M8-BS!N8</f>
        <v>18.5840354491921</v>
      </c>
      <c r="O45" s="154" t="n">
        <f aca="false">BS!N8-BS!O8</f>
        <v>-17.4011872882834</v>
      </c>
      <c r="P45" s="154" t="n">
        <f aca="false">BS!O8-BS!P8</f>
        <v>-6.28605428475368</v>
      </c>
      <c r="Q45" s="154" t="n">
        <f aca="false">BS!P8-BS!Q8</f>
        <v>-506.17284619946</v>
      </c>
      <c r="R45" s="154" t="n">
        <f aca="false">BS!Q8-BS!R8</f>
        <v>970.951623667106</v>
      </c>
      <c r="S45" s="154" t="n">
        <f aca="false">BS!R8-BS!S8</f>
        <v>0</v>
      </c>
      <c r="T45" s="154" t="n">
        <f aca="false">BS!S8-BS!T8</f>
        <v>0</v>
      </c>
      <c r="U45" s="154" t="n">
        <f aca="false">BS!T8-BS!U8</f>
        <v>0</v>
      </c>
      <c r="V45" s="154" t="e">
        <f aca="false">BS!U8-#REF!</f>
        <v>#REF!</v>
      </c>
      <c r="W45" s="154" t="e">
        <f aca="false">#REF!-#REF!</f>
        <v>#REF!</v>
      </c>
      <c r="X45" s="154" t="e">
        <f aca="false">#REF!-#REF!</f>
        <v>#REF!</v>
      </c>
      <c r="Y45" s="154" t="e">
        <f aca="false">#REF!-#REF!</f>
        <v>#REF!</v>
      </c>
      <c r="Z45" s="154" t="e">
        <f aca="false">#REF!-#REF!</f>
        <v>#REF!</v>
      </c>
      <c r="AA45" s="154" t="e">
        <f aca="false">#REF!-#REF!</f>
        <v>#REF!</v>
      </c>
    </row>
    <row r="46" customFormat="false" ht="11.25" hidden="false" customHeight="false" outlineLevel="0" collapsed="false">
      <c r="A46" s="151" t="s">
        <v>143</v>
      </c>
      <c r="B46" s="154" t="n">
        <f aca="false">BS!B25</f>
        <v>223.227114997615</v>
      </c>
      <c r="C46" s="154" t="n">
        <f aca="false">BS!C25-BS!B25</f>
        <v>1096.37155831461</v>
      </c>
      <c r="D46" s="154" t="n">
        <f aca="false">BS!D25-BS!C25</f>
        <v>207.628223275835</v>
      </c>
      <c r="E46" s="154" t="n">
        <f aca="false">BS!E25-BS!D25</f>
        <v>33.8286487913929</v>
      </c>
      <c r="F46" s="154" t="n">
        <f aca="false">BS!F25-BS!E25</f>
        <v>-233.213332735493</v>
      </c>
      <c r="G46" s="154" t="n">
        <f aca="false">BS!G25-BS!F25</f>
        <v>14.8434487301333</v>
      </c>
      <c r="H46" s="154" t="n">
        <f aca="false">BS!H25-BS!G25</f>
        <v>18.5082076230681</v>
      </c>
      <c r="I46" s="154" t="n">
        <f aca="false">BS!I25-BS!H25</f>
        <v>5.76553751144502</v>
      </c>
      <c r="J46" s="154" t="n">
        <f aca="false">BS!J25-BS!I25</f>
        <v>17.1749992645182</v>
      </c>
      <c r="K46" s="154" t="n">
        <f aca="false">BS!K25-BS!J25</f>
        <v>38.2373349969523</v>
      </c>
      <c r="L46" s="154" t="n">
        <f aca="false">BS!L25-BS!K25</f>
        <v>36.9865495796091</v>
      </c>
      <c r="M46" s="154" t="n">
        <f aca="false">BS!M25-BS!L25</f>
        <v>23.5241302846073</v>
      </c>
      <c r="N46" s="154" t="n">
        <f aca="false">BS!N25-BS!M25</f>
        <v>-135.735544283235</v>
      </c>
      <c r="O46" s="154" t="n">
        <f aca="false">BS!O25-BS!N25</f>
        <v>29.9306685498118</v>
      </c>
      <c r="P46" s="154" t="n">
        <f aca="false">BS!P25-BS!O25</f>
        <v>24.5679860249388</v>
      </c>
      <c r="Q46" s="154" t="n">
        <f aca="false">BS!Q25-BS!P25</f>
        <v>1469.73916224606</v>
      </c>
      <c r="R46" s="154" t="n">
        <f aca="false">BS!R25-BS!Q25</f>
        <v>-2871.38469317186</v>
      </c>
      <c r="S46" s="154" t="n">
        <f aca="false">BS!S25-BS!R25</f>
        <v>0</v>
      </c>
      <c r="T46" s="154" t="n">
        <f aca="false">BS!T25-BS!S25</f>
        <v>0</v>
      </c>
      <c r="U46" s="154" t="n">
        <f aca="false">BS!U25-BS!T25</f>
        <v>0</v>
      </c>
      <c r="V46" s="154" t="e">
        <f aca="false">#REF!-BS!U25</f>
        <v>#REF!</v>
      </c>
      <c r="W46" s="154" t="e">
        <f aca="false">#REF!-#REF!</f>
        <v>#REF!</v>
      </c>
      <c r="X46" s="154" t="e">
        <f aca="false">#REF!-#REF!</f>
        <v>#REF!</v>
      </c>
      <c r="Y46" s="154" t="e">
        <f aca="false">#REF!-#REF!</f>
        <v>#REF!</v>
      </c>
      <c r="Z46" s="154" t="e">
        <f aca="false">#REF!-#REF!</f>
        <v>#REF!</v>
      </c>
      <c r="AA46" s="154" t="e">
        <f aca="false">#REF!-#REF!</f>
        <v>#REF!</v>
      </c>
    </row>
    <row r="47" customFormat="false" ht="11.25" hidden="false" customHeight="false" outlineLevel="0" collapsed="false">
      <c r="A47" s="151" t="s">
        <v>144</v>
      </c>
      <c r="B47" s="154" t="e">
        <f aca="false">BS!B27</f>
        <v>#VALUE!</v>
      </c>
      <c r="C47" s="154" t="e">
        <f aca="false">BS!C27-BS!B27</f>
        <v>#VALUE!</v>
      </c>
      <c r="D47" s="154" t="e">
        <f aca="false">BS!D27-BS!C27</f>
        <v>#VALUE!</v>
      </c>
      <c r="E47" s="154" t="e">
        <f aca="false">BS!E27-BS!D27</f>
        <v>#VALUE!</v>
      </c>
      <c r="F47" s="154" t="e">
        <f aca="false">BS!F27-BS!E27</f>
        <v>#VALUE!</v>
      </c>
      <c r="G47" s="154" t="e">
        <f aca="false">BS!G27-BS!F27</f>
        <v>#VALUE!</v>
      </c>
      <c r="H47" s="154" t="e">
        <f aca="false">BS!H27-BS!G27</f>
        <v>#VALUE!</v>
      </c>
      <c r="I47" s="154" t="e">
        <f aca="false">BS!I27-BS!H27</f>
        <v>#VALUE!</v>
      </c>
      <c r="J47" s="154" t="e">
        <f aca="false">BS!J27-BS!I27</f>
        <v>#VALUE!</v>
      </c>
      <c r="K47" s="154" t="e">
        <f aca="false">BS!K27-BS!J27</f>
        <v>#VALUE!</v>
      </c>
      <c r="L47" s="154" t="e">
        <f aca="false">BS!L27-BS!K27</f>
        <v>#VALUE!</v>
      </c>
      <c r="M47" s="154" t="e">
        <f aca="false">BS!M27-BS!L27</f>
        <v>#VALUE!</v>
      </c>
      <c r="N47" s="154" t="e">
        <f aca="false">BS!N27-BS!M27</f>
        <v>#VALUE!</v>
      </c>
      <c r="O47" s="154" t="e">
        <f aca="false">BS!O27-BS!N27</f>
        <v>#VALUE!</v>
      </c>
      <c r="P47" s="154" t="e">
        <f aca="false">BS!P27-BS!O27</f>
        <v>#VALUE!</v>
      </c>
      <c r="Q47" s="154" t="e">
        <f aca="false">BS!Q27-BS!P27</f>
        <v>#VALUE!</v>
      </c>
      <c r="R47" s="154" t="e">
        <f aca="false">BS!R27-BS!Q27</f>
        <v>#VALUE!</v>
      </c>
      <c r="S47" s="154" t="e">
        <f aca="false">BS!S27-BS!R27</f>
        <v>#VALUE!</v>
      </c>
      <c r="T47" s="154" t="e">
        <f aca="false">BS!T27-BS!S27</f>
        <v>#VALUE!</v>
      </c>
      <c r="U47" s="154" t="e">
        <f aca="false">BS!U27-BS!T27</f>
        <v>#VALUE!</v>
      </c>
      <c r="V47" s="154" t="e">
        <f aca="false">#REF!-BS!U27</f>
        <v>#VALUE!</v>
      </c>
      <c r="W47" s="154" t="e">
        <f aca="false">#REF!-#REF!</f>
        <v>#REF!</v>
      </c>
      <c r="X47" s="154" t="e">
        <f aca="false">#REF!-#REF!</f>
        <v>#REF!</v>
      </c>
      <c r="Y47" s="154" t="e">
        <f aca="false">#REF!-#REF!</f>
        <v>#REF!</v>
      </c>
      <c r="Z47" s="154" t="e">
        <f aca="false">#REF!-#REF!</f>
        <v>#REF!</v>
      </c>
      <c r="AA47" s="154" t="e">
        <f aca="false">#REF!-#REF!</f>
        <v>#REF!</v>
      </c>
    </row>
    <row r="48" customFormat="false" ht="11.25" hidden="false" customHeight="false" outlineLevel="0" collapsed="false">
      <c r="A48" s="153" t="s">
        <v>145</v>
      </c>
      <c r="B48" s="154" t="n">
        <f aca="false">BS!B26</f>
        <v>74.4090383325382</v>
      </c>
      <c r="C48" s="154" t="n">
        <f aca="false">BS!C26-BS!B26</f>
        <v>365.45718610487</v>
      </c>
      <c r="D48" s="154" t="n">
        <f aca="false">BS!D26-BS!C26</f>
        <v>69.2094077586116</v>
      </c>
      <c r="E48" s="154" t="n">
        <f aca="false">BS!E26-BS!D26</f>
        <v>11.2762162637976</v>
      </c>
      <c r="F48" s="154" t="n">
        <f aca="false">BS!F26-BS!E26</f>
        <v>-77.7377775784977</v>
      </c>
      <c r="G48" s="154" t="n">
        <f aca="false">BS!G26-BS!F26</f>
        <v>4.94781624337776</v>
      </c>
      <c r="H48" s="154" t="n">
        <f aca="false">BS!H26-BS!G26</f>
        <v>6.16940254102269</v>
      </c>
      <c r="I48" s="154" t="n">
        <f aca="false">BS!I26-BS!H26</f>
        <v>1.92184583714834</v>
      </c>
      <c r="J48" s="154" t="n">
        <f aca="false">BS!J26-BS!I26</f>
        <v>5.72499975483942</v>
      </c>
      <c r="K48" s="154" t="n">
        <f aca="false">BS!K26-BS!J26</f>
        <v>12.7457783323175</v>
      </c>
      <c r="L48" s="154" t="n">
        <f aca="false">BS!L26-BS!K26</f>
        <v>12.3288498598697</v>
      </c>
      <c r="M48" s="154" t="n">
        <f aca="false">BS!M26-BS!L26</f>
        <v>7.8413767615358</v>
      </c>
      <c r="N48" s="154" t="n">
        <f aca="false">BS!N26-BS!M26</f>
        <v>-45.245181427745</v>
      </c>
      <c r="O48" s="154" t="n">
        <f aca="false">BS!O26-BS!N26</f>
        <v>9.97688951660393</v>
      </c>
      <c r="P48" s="154" t="n">
        <f aca="false">BS!P26-BS!O26</f>
        <v>8.18932867497961</v>
      </c>
      <c r="Q48" s="154" t="n">
        <f aca="false">BS!Q26-BS!P26</f>
        <v>489.913054082019</v>
      </c>
      <c r="R48" s="154" t="n">
        <f aca="false">BS!R26-BS!Q26</f>
        <v>-957.128231057288</v>
      </c>
      <c r="S48" s="154" t="n">
        <f aca="false">BS!S26-BS!R26</f>
        <v>0</v>
      </c>
      <c r="T48" s="154" t="n">
        <f aca="false">BS!T26-BS!S26</f>
        <v>0</v>
      </c>
      <c r="U48" s="154" t="n">
        <f aca="false">BS!U26-BS!T26</f>
        <v>0</v>
      </c>
      <c r="V48" s="154" t="e">
        <f aca="false">#REF!-BS!U26</f>
        <v>#REF!</v>
      </c>
      <c r="W48" s="154" t="e">
        <f aca="false">#REF!-#REF!</f>
        <v>#REF!</v>
      </c>
      <c r="X48" s="154" t="e">
        <f aca="false">#REF!-#REF!</f>
        <v>#REF!</v>
      </c>
      <c r="Y48" s="154" t="e">
        <f aca="false">#REF!-#REF!</f>
        <v>#REF!</v>
      </c>
      <c r="Z48" s="154" t="e">
        <f aca="false">#REF!-#REF!</f>
        <v>#REF!</v>
      </c>
      <c r="AA48" s="154" t="e">
        <f aca="false">#REF!-#REF!</f>
        <v>#REF!</v>
      </c>
    </row>
    <row r="49" customFormat="false" ht="11.25" hidden="false" customHeight="false" outlineLevel="0" collapsed="false">
      <c r="A49" s="153" t="s">
        <v>146</v>
      </c>
      <c r="B49" s="126" t="e">
        <f aca="false">BS!B29</f>
        <v>#VALUE!</v>
      </c>
      <c r="C49" s="126" t="e">
        <f aca="false">-(BS!C29-BS!B29)</f>
        <v>#VALUE!</v>
      </c>
      <c r="D49" s="126" t="e">
        <f aca="false">BS!D29-BS!C29</f>
        <v>#VALUE!</v>
      </c>
      <c r="E49" s="126" t="e">
        <f aca="false">BS!E29-BS!D29</f>
        <v>#VALUE!</v>
      </c>
      <c r="F49" s="126" t="e">
        <f aca="false">BS!F29-BS!E29</f>
        <v>#VALUE!</v>
      </c>
      <c r="G49" s="126" t="e">
        <f aca="false">BS!G29-BS!F29</f>
        <v>#VALUE!</v>
      </c>
      <c r="H49" s="126" t="e">
        <f aca="false">BS!H29-BS!G29</f>
        <v>#VALUE!</v>
      </c>
      <c r="I49" s="126" t="e">
        <f aca="false">BS!I29-BS!H29</f>
        <v>#VALUE!</v>
      </c>
      <c r="J49" s="126" t="e">
        <f aca="false">BS!J29-BS!I29</f>
        <v>#VALUE!</v>
      </c>
      <c r="K49" s="126" t="e">
        <f aca="false">BS!K29-BS!J29</f>
        <v>#VALUE!</v>
      </c>
      <c r="L49" s="126" t="e">
        <f aca="false">BS!L29-BS!K29</f>
        <v>#VALUE!</v>
      </c>
      <c r="M49" s="126" t="e">
        <f aca="false">BS!M29-BS!L29</f>
        <v>#VALUE!</v>
      </c>
      <c r="N49" s="126" t="e">
        <f aca="false">BS!N29-BS!M29</f>
        <v>#VALUE!</v>
      </c>
      <c r="O49" s="126" t="e">
        <f aca="false">BS!O29-BS!N29</f>
        <v>#VALUE!</v>
      </c>
      <c r="P49" s="126" t="e">
        <f aca="false">BS!P29-BS!O29</f>
        <v>#VALUE!</v>
      </c>
      <c r="Q49" s="126" t="e">
        <f aca="false">BS!Q29-BS!P29</f>
        <v>#VALUE!</v>
      </c>
      <c r="R49" s="126" t="e">
        <f aca="false">BS!R29-BS!Q29</f>
        <v>#VALUE!</v>
      </c>
      <c r="S49" s="126" t="n">
        <f aca="false">BS!S29-BS!R29</f>
        <v>0</v>
      </c>
      <c r="T49" s="126" t="n">
        <f aca="false">BS!T29-BS!S29</f>
        <v>0</v>
      </c>
      <c r="U49" s="126" t="n">
        <f aca="false">BS!U29-BS!T29</f>
        <v>0</v>
      </c>
      <c r="V49" s="126" t="e">
        <f aca="false">#REF!-BS!U29</f>
        <v>#REF!</v>
      </c>
      <c r="W49" s="126" t="e">
        <f aca="false">#REF!-#REF!</f>
        <v>#REF!</v>
      </c>
      <c r="X49" s="126" t="e">
        <f aca="false">#REF!-#REF!</f>
        <v>#REF!</v>
      </c>
      <c r="Y49" s="126" t="e">
        <f aca="false">#REF!-#REF!</f>
        <v>#REF!</v>
      </c>
      <c r="Z49" s="126" t="e">
        <f aca="false">#REF!-#REF!</f>
        <v>#REF!</v>
      </c>
      <c r="AA49" s="126" t="e">
        <f aca="false">#REF!-#REF!</f>
        <v>#REF!</v>
      </c>
    </row>
    <row r="50" customFormat="false" ht="11.25" hidden="false" customHeight="false" outlineLevel="0" collapsed="false">
      <c r="A50" s="151" t="s">
        <v>147</v>
      </c>
      <c r="B50" s="154" t="n">
        <f aca="false">BS!B28</f>
        <v>37.2045191662691</v>
      </c>
      <c r="C50" s="154" t="n">
        <f aca="false">BS!C28-BS!B28</f>
        <v>182.728593052435</v>
      </c>
      <c r="D50" s="154" t="n">
        <f aca="false">BS!D28-BS!C28</f>
        <v>34.6047038793058</v>
      </c>
      <c r="E50" s="154" t="n">
        <f aca="false">BS!E28-BS!D28</f>
        <v>5.63810813189878</v>
      </c>
      <c r="F50" s="154" t="n">
        <f aca="false">BS!F28-BS!E28</f>
        <v>-38.8688887892488</v>
      </c>
      <c r="G50" s="154" t="n">
        <f aca="false">BS!G28-BS!F28</f>
        <v>2.47390812168888</v>
      </c>
      <c r="H50" s="154" t="n">
        <f aca="false">BS!H28-BS!G28</f>
        <v>3.08470127051135</v>
      </c>
      <c r="I50" s="154" t="n">
        <f aca="false">BS!I28-BS!H28</f>
        <v>0.96092291857417</v>
      </c>
      <c r="J50" s="154" t="n">
        <f aca="false">BS!J28-BS!I28</f>
        <v>2.86249987741971</v>
      </c>
      <c r="K50" s="154" t="n">
        <f aca="false">BS!K28-BS!J28</f>
        <v>6.37288916615873</v>
      </c>
      <c r="L50" s="154" t="n">
        <f aca="false">BS!L28-BS!K28</f>
        <v>6.16442492993483</v>
      </c>
      <c r="M50" s="154" t="n">
        <f aca="false">BS!M28-BS!L28</f>
        <v>3.9206883807679</v>
      </c>
      <c r="N50" s="154" t="n">
        <f aca="false">BS!N28-BS!M28</f>
        <v>-22.6225907138725</v>
      </c>
      <c r="O50" s="154" t="n">
        <f aca="false">BS!O28-BS!N28</f>
        <v>4.98844475830197</v>
      </c>
      <c r="P50" s="154" t="n">
        <f aca="false">BS!P28-BS!O28</f>
        <v>4.0946643374898</v>
      </c>
      <c r="Q50" s="154" t="n">
        <f aca="false">BS!Q28-BS!P28</f>
        <v>244.956527041009</v>
      </c>
      <c r="R50" s="154" t="n">
        <f aca="false">BS!R28-BS!Q28</f>
        <v>-478.564115528644</v>
      </c>
      <c r="S50" s="154" t="n">
        <f aca="false">BS!S28-BS!R28</f>
        <v>0</v>
      </c>
      <c r="T50" s="154" t="n">
        <f aca="false">BS!T28-BS!S28</f>
        <v>0</v>
      </c>
      <c r="U50" s="154" t="n">
        <f aca="false">BS!U28-BS!T28</f>
        <v>0</v>
      </c>
      <c r="V50" s="154" t="e">
        <f aca="false">#REF!-BS!U28</f>
        <v>#REF!</v>
      </c>
      <c r="W50" s="154" t="e">
        <f aca="false">#REF!-#REF!</f>
        <v>#REF!</v>
      </c>
      <c r="X50" s="154" t="e">
        <f aca="false">#REF!-#REF!</f>
        <v>#REF!</v>
      </c>
      <c r="Y50" s="154" t="e">
        <f aca="false">#REF!-#REF!</f>
        <v>#REF!</v>
      </c>
      <c r="Z50" s="154" t="e">
        <f aca="false">#REF!-#REF!</f>
        <v>#REF!</v>
      </c>
      <c r="AA50" s="154" t="e">
        <f aca="false">#REF!-#REF!</f>
        <v>#REF!</v>
      </c>
    </row>
    <row r="51" customFormat="false" ht="11.25" hidden="false" customHeight="false" outlineLevel="0" collapsed="false">
      <c r="A51" s="174" t="s">
        <v>148</v>
      </c>
      <c r="B51" s="166" t="e">
        <f aca="false">SUM(B43:B50)</f>
        <v>#VALUE!</v>
      </c>
      <c r="C51" s="166" t="e">
        <f aca="false">SUM(C43:C50)-C49</f>
        <v>#VALUE!</v>
      </c>
      <c r="D51" s="166" t="e">
        <f aca="false">SUM(D43:D50)-D49</f>
        <v>#VALUE!</v>
      </c>
      <c r="E51" s="166" t="e">
        <f aca="false">SUM(E43:E50)-E49</f>
        <v>#VALUE!</v>
      </c>
      <c r="F51" s="166" t="e">
        <f aca="false">SUM(F43:F50)-F49</f>
        <v>#VALUE!</v>
      </c>
      <c r="G51" s="166" t="e">
        <f aca="false">SUM(G43:G50)-G49</f>
        <v>#VALUE!</v>
      </c>
      <c r="H51" s="166" t="e">
        <f aca="false">SUM(H43:H50)-H49</f>
        <v>#VALUE!</v>
      </c>
      <c r="I51" s="166" t="e">
        <f aca="false">SUM(I43:I50)-I49</f>
        <v>#VALUE!</v>
      </c>
      <c r="J51" s="166" t="e">
        <f aca="false">SUM(J43:J50)-J49</f>
        <v>#VALUE!</v>
      </c>
      <c r="K51" s="166" t="e">
        <f aca="false">SUM(K43:K50)-K49</f>
        <v>#VALUE!</v>
      </c>
      <c r="L51" s="166" t="e">
        <f aca="false">SUM(L43:L50)-L49</f>
        <v>#VALUE!</v>
      </c>
      <c r="M51" s="166" t="e">
        <f aca="false">SUM(M43:M50)-M49</f>
        <v>#VALUE!</v>
      </c>
      <c r="N51" s="166" t="e">
        <f aca="false">SUM(N43:N50)-N49</f>
        <v>#VALUE!</v>
      </c>
      <c r="O51" s="166" t="e">
        <f aca="false">SUM(O43:O50)-O49</f>
        <v>#VALUE!</v>
      </c>
      <c r="P51" s="166" t="e">
        <f aca="false">SUM(P43:P50)-P49</f>
        <v>#VALUE!</v>
      </c>
      <c r="Q51" s="166" t="e">
        <f aca="false">SUM(Q43:Q50)-Q49</f>
        <v>#VALUE!</v>
      </c>
      <c r="R51" s="166" t="e">
        <f aca="false">SUM(R43:R50)-R49</f>
        <v>#VALUE!</v>
      </c>
      <c r="S51" s="166" t="e">
        <f aca="false">SUM(S43:S50)-S49</f>
        <v>#VALUE!</v>
      </c>
      <c r="T51" s="166" t="e">
        <f aca="false">SUM(T43:T50)-T49</f>
        <v>#VALUE!</v>
      </c>
      <c r="U51" s="166" t="e">
        <f aca="false">SUM(U43:U50)-U49</f>
        <v>#VALUE!</v>
      </c>
      <c r="V51" s="166" t="e">
        <f aca="false">SUM(V43:V50)-V49</f>
        <v>#REF!</v>
      </c>
      <c r="W51" s="166" t="e">
        <f aca="false">SUM(W43:W50)-W49</f>
        <v>#REF!</v>
      </c>
      <c r="X51" s="166" t="e">
        <f aca="false">SUM(X43:X50)-X49</f>
        <v>#REF!</v>
      </c>
      <c r="Y51" s="166" t="e">
        <f aca="false">SUM(Y43:Y50)-Y49</f>
        <v>#REF!</v>
      </c>
      <c r="Z51" s="166" t="e">
        <f aca="false">SUM(Z43:Z50)-Z49</f>
        <v>#REF!</v>
      </c>
      <c r="AA51" s="166" t="e">
        <f aca="false">SUM(AA43:AA50)-AA49</f>
        <v>#REF!</v>
      </c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&amp;CEnron Financial Corp.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6" activeCellId="0" sqref="D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42" width="28.28"/>
    <col collapsed="false" customWidth="true" hidden="false" outlineLevel="0" max="2" min="2" style="142" width="2.42"/>
    <col collapsed="false" customWidth="true" hidden="false" outlineLevel="0" max="3" min="3" style="142" width="11.85"/>
    <col collapsed="false" customWidth="true" hidden="false" outlineLevel="0" max="4" min="4" style="142" width="11.28"/>
    <col collapsed="false" customWidth="true" hidden="false" outlineLevel="0" max="11" min="5" style="142" width="11.7"/>
    <col collapsed="false" customWidth="true" hidden="false" outlineLevel="0" max="12" min="12" style="142" width="11.13"/>
    <col collapsed="false" customWidth="true" hidden="false" outlineLevel="0" max="30" min="13" style="142" width="11.7"/>
    <col collapsed="false" customWidth="false" hidden="false" outlineLevel="0" max="257" min="31" style="142" width="9.14"/>
  </cols>
  <sheetData>
    <row r="1" customFormat="false" ht="12" hidden="false" customHeight="true" outlineLevel="0" collapsed="false">
      <c r="A1" s="149" t="s">
        <v>149</v>
      </c>
      <c r="B1" s="149"/>
      <c r="C1" s="149"/>
      <c r="D1" s="149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  <c r="IU1" s="114"/>
      <c r="IV1" s="114"/>
      <c r="IW1" s="114"/>
    </row>
    <row r="2" customFormat="false" ht="12" hidden="false" customHeight="false" outlineLevel="0" collapsed="false">
      <c r="A2" s="114" t="s">
        <v>150</v>
      </c>
      <c r="B2" s="114"/>
      <c r="C2" s="198" t="n">
        <f aca="false">YEAR(Cashflow!C3)</f>
        <v>2000</v>
      </c>
      <c r="D2" s="198" t="n">
        <f aca="false">C2+1</f>
        <v>2001</v>
      </c>
      <c r="E2" s="198" t="n">
        <f aca="false">D2+1</f>
        <v>2002</v>
      </c>
      <c r="F2" s="198" t="n">
        <f aca="false">E2+1</f>
        <v>2003</v>
      </c>
      <c r="G2" s="198" t="n">
        <f aca="false">F2+1</f>
        <v>2004</v>
      </c>
      <c r="H2" s="198" t="n">
        <f aca="false">G2+1</f>
        <v>2005</v>
      </c>
      <c r="I2" s="198" t="n">
        <f aca="false">H2+1</f>
        <v>2006</v>
      </c>
      <c r="J2" s="198" t="n">
        <f aca="false">I2+1</f>
        <v>2007</v>
      </c>
      <c r="K2" s="198" t="n">
        <f aca="false">J2+1</f>
        <v>2008</v>
      </c>
      <c r="L2" s="198" t="n">
        <f aca="false">K2+1</f>
        <v>2009</v>
      </c>
      <c r="M2" s="198" t="n">
        <f aca="false">L2+1</f>
        <v>2010</v>
      </c>
      <c r="N2" s="198" t="n">
        <f aca="false">M2+1</f>
        <v>2011</v>
      </c>
      <c r="O2" s="198" t="n">
        <f aca="false">N2+1</f>
        <v>2012</v>
      </c>
      <c r="P2" s="198" t="n">
        <f aca="false">O2+1</f>
        <v>2013</v>
      </c>
      <c r="Q2" s="198" t="n">
        <f aca="false">P2+1</f>
        <v>2014</v>
      </c>
      <c r="R2" s="198" t="n">
        <f aca="false">Q2+1</f>
        <v>2015</v>
      </c>
      <c r="S2" s="198" t="n">
        <f aca="false">R2+1</f>
        <v>2016</v>
      </c>
      <c r="T2" s="198" t="n">
        <f aca="false">S2+1</f>
        <v>2017</v>
      </c>
      <c r="U2" s="198" t="n">
        <f aca="false">T2+1</f>
        <v>2018</v>
      </c>
      <c r="V2" s="198" t="n">
        <f aca="false">U2+1</f>
        <v>2019</v>
      </c>
      <c r="W2" s="198" t="n">
        <f aca="false">V2+1</f>
        <v>2020</v>
      </c>
      <c r="X2" s="198" t="n">
        <f aca="false">W2+1</f>
        <v>2021</v>
      </c>
      <c r="Y2" s="198" t="n">
        <f aca="false">X2+1</f>
        <v>2022</v>
      </c>
      <c r="Z2" s="198" t="n">
        <f aca="false">Y2+1</f>
        <v>2023</v>
      </c>
      <c r="AA2" s="198" t="n">
        <f aca="false">Z2+1</f>
        <v>2024</v>
      </c>
      <c r="AB2" s="198" t="n">
        <f aca="false">AA2+1</f>
        <v>2025</v>
      </c>
      <c r="AC2" s="198" t="n">
        <f aca="false">AB2+1</f>
        <v>2026</v>
      </c>
      <c r="AD2" s="198" t="n">
        <f aca="false">AC2+1</f>
        <v>2027</v>
      </c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  <c r="IU2" s="114"/>
      <c r="IV2" s="114"/>
      <c r="IW2" s="114"/>
    </row>
    <row r="3" customFormat="false" ht="12.75" hidden="false" customHeight="false" outlineLevel="0" collapsed="false">
      <c r="A3" s="199"/>
      <c r="B3" s="199"/>
      <c r="C3" s="199"/>
      <c r="D3" s="199"/>
      <c r="E3" s="199"/>
      <c r="F3" s="199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</row>
    <row r="4" customFormat="false" ht="11.25" hidden="false" customHeight="false" outlineLevel="0" collapsed="false">
      <c r="A4" s="153"/>
      <c r="B4" s="153"/>
      <c r="C4" s="153"/>
      <c r="D4" s="153"/>
      <c r="E4" s="13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</row>
    <row r="5" customFormat="false" ht="11.25" hidden="false" customHeight="false" outlineLevel="0" collapsed="false">
      <c r="A5" s="201" t="s">
        <v>151</v>
      </c>
      <c r="B5" s="201"/>
      <c r="C5" s="201"/>
      <c r="D5" s="201"/>
      <c r="E5" s="13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</row>
    <row r="6" customFormat="false" ht="11.25" hidden="false" customHeight="false" outlineLevel="0" collapsed="false">
      <c r="A6" s="153" t="s">
        <v>152</v>
      </c>
      <c r="B6" s="153"/>
      <c r="C6" s="202" t="n">
        <f aca="false">Cashflow!D29</f>
        <v>0</v>
      </c>
      <c r="D6" s="202" t="n">
        <f aca="false">Cashflow!E29</f>
        <v>51087.958634373</v>
      </c>
      <c r="E6" s="202" t="n">
        <f aca="false">Cashflow!F29</f>
        <v>44947.7968710075</v>
      </c>
      <c r="F6" s="202" t="n">
        <f aca="false">Cashflow!G29</f>
        <v>40539.8877293626</v>
      </c>
      <c r="G6" s="202" t="n">
        <f aca="false">Cashflow!H29</f>
        <v>32646.0790468922</v>
      </c>
      <c r="H6" s="202" t="n">
        <f aca="false">Cashflow!I29</f>
        <v>30392.6732880459</v>
      </c>
      <c r="I6" s="202" t="n">
        <f aca="false">Cashflow!J29</f>
        <v>31470.2790286006</v>
      </c>
      <c r="J6" s="202" t="n">
        <f aca="false">Cashflow!K29</f>
        <v>32034.697747108</v>
      </c>
      <c r="K6" s="202" t="n">
        <f aca="false">Cashflow!L29</f>
        <v>31453.7135072928</v>
      </c>
      <c r="L6" s="202" t="n">
        <f aca="false">Cashflow!M29</f>
        <v>32502.1832449568</v>
      </c>
      <c r="M6" s="202" t="n">
        <f aca="false">Cashflow!N29</f>
        <v>32927.26311591</v>
      </c>
      <c r="N6" s="202" t="n">
        <f aca="false">Cashflow!O29</f>
        <v>33556.3167080975</v>
      </c>
      <c r="O6" s="202" t="n">
        <f aca="false">Cashflow!P29</f>
        <v>32287.9004274854</v>
      </c>
      <c r="P6" s="202" t="n">
        <f aca="false">Cashflow!Q29</f>
        <v>33469.9687923511</v>
      </c>
      <c r="Q6" s="202" t="n">
        <f aca="false">Cashflow!R29</f>
        <v>33928.8507551382</v>
      </c>
      <c r="R6" s="202" t="n">
        <f aca="false">Cashflow!S29</f>
        <v>35148.4487767493</v>
      </c>
      <c r="S6" s="202" t="n">
        <f aca="false">IF(Tables!$B$21=15,0,Cashflow!T29)</f>
        <v>0</v>
      </c>
      <c r="T6" s="202" t="n">
        <f aca="false">IF(Tables!$B$21=15,0,Cashflow!U29)</f>
        <v>0</v>
      </c>
      <c r="U6" s="202" t="n">
        <f aca="false">IF(Tables!$B$21=15,0,Cashflow!V29)</f>
        <v>0</v>
      </c>
      <c r="V6" s="202" t="n">
        <f aca="false">IF(Tables!$B$21=15,0,Cashflow!W29)</f>
        <v>0</v>
      </c>
      <c r="W6" s="202" t="n">
        <f aca="false">IF(Tables!$B$21=15,0,Cashflow!X29)</f>
        <v>0</v>
      </c>
      <c r="X6" s="202" t="n">
        <f aca="false">IF(Tables!$B$21=15,0,Cashflow!Y29)</f>
        <v>0</v>
      </c>
      <c r="Y6" s="202" t="n">
        <f aca="false">IF(Tables!$B$21=15,0,Cashflow!Z29)</f>
        <v>0</v>
      </c>
      <c r="Z6" s="202" t="n">
        <f aca="false">IF(Tables!$B$21=15,0,Cashflow!AA29)</f>
        <v>0</v>
      </c>
      <c r="AA6" s="202" t="n">
        <f aca="false">IF(Tables!$B$21=15,0,Cashflow!AB29)</f>
        <v>0</v>
      </c>
      <c r="AB6" s="202" t="n">
        <f aca="false">IF(Tables!$B$21=15,0,Cashflow!AC29)</f>
        <v>0</v>
      </c>
      <c r="AC6" s="202" t="n">
        <f aca="false">IF(Tables!$B$21=15,0,Cashflow!AD29)</f>
        <v>0</v>
      </c>
      <c r="AD6" s="202" t="n">
        <f aca="false">IF(Tables!$B$21=15,0,Cashflow!AE29)</f>
        <v>0</v>
      </c>
    </row>
    <row r="7" customFormat="false" ht="11.25" hidden="false" customHeight="false" outlineLevel="0" collapsed="false">
      <c r="A7" s="203" t="s">
        <v>153</v>
      </c>
      <c r="B7" s="203"/>
      <c r="C7" s="167" t="n">
        <f aca="false">SUM(C6)</f>
        <v>0</v>
      </c>
      <c r="D7" s="167" t="n">
        <f aca="false">SUM(D6)</f>
        <v>51087.958634373</v>
      </c>
      <c r="E7" s="167" t="n">
        <f aca="false">SUM(E6)</f>
        <v>44947.7968710075</v>
      </c>
      <c r="F7" s="167" t="n">
        <f aca="false">SUM(F6)</f>
        <v>40539.8877293626</v>
      </c>
      <c r="G7" s="167" t="n">
        <f aca="false">SUM(G6)</f>
        <v>32646.0790468922</v>
      </c>
      <c r="H7" s="167" t="n">
        <f aca="false">SUM(H6)</f>
        <v>30392.6732880459</v>
      </c>
      <c r="I7" s="167" t="n">
        <f aca="false">SUM(I6)</f>
        <v>31470.2790286006</v>
      </c>
      <c r="J7" s="167" t="n">
        <f aca="false">SUM(J6)</f>
        <v>32034.697747108</v>
      </c>
      <c r="K7" s="167" t="n">
        <f aca="false">SUM(K6)</f>
        <v>31453.7135072928</v>
      </c>
      <c r="L7" s="167" t="n">
        <f aca="false">SUM(L6)</f>
        <v>32502.1832449568</v>
      </c>
      <c r="M7" s="167" t="n">
        <f aca="false">SUM(M6)</f>
        <v>32927.26311591</v>
      </c>
      <c r="N7" s="167" t="n">
        <f aca="false">SUM(N6)</f>
        <v>33556.3167080975</v>
      </c>
      <c r="O7" s="167" t="n">
        <f aca="false">SUM(O6)</f>
        <v>32287.9004274854</v>
      </c>
      <c r="P7" s="167" t="n">
        <f aca="false">SUM(P6)</f>
        <v>33469.9687923511</v>
      </c>
      <c r="Q7" s="167" t="n">
        <f aca="false">SUM(Q6)</f>
        <v>33928.8507551382</v>
      </c>
      <c r="R7" s="167" t="n">
        <f aca="false">SUM(R6)</f>
        <v>35148.4487767493</v>
      </c>
      <c r="S7" s="167" t="n">
        <f aca="false">SUM(S6)</f>
        <v>0</v>
      </c>
      <c r="T7" s="167" t="n">
        <f aca="false">SUM(T6)</f>
        <v>0</v>
      </c>
      <c r="U7" s="167" t="n">
        <f aca="false">SUM(U6)</f>
        <v>0</v>
      </c>
      <c r="V7" s="167" t="n">
        <f aca="false">SUM(V6)</f>
        <v>0</v>
      </c>
      <c r="W7" s="167" t="n">
        <f aca="false">SUM(W6)</f>
        <v>0</v>
      </c>
      <c r="X7" s="167" t="n">
        <f aca="false">SUM(X6)</f>
        <v>0</v>
      </c>
      <c r="Y7" s="167" t="n">
        <f aca="false">SUM(Y6)</f>
        <v>0</v>
      </c>
      <c r="Z7" s="167" t="n">
        <f aca="false">SUM(Z6)</f>
        <v>0</v>
      </c>
      <c r="AA7" s="167" t="n">
        <f aca="false">SUM(AA6)</f>
        <v>0</v>
      </c>
      <c r="AB7" s="167" t="n">
        <f aca="false">SUM(AB6)</f>
        <v>0</v>
      </c>
      <c r="AC7" s="167" t="n">
        <f aca="false">SUM(AC6)</f>
        <v>0</v>
      </c>
      <c r="AD7" s="167" t="n">
        <f aca="false">SUM(AD6)</f>
        <v>0</v>
      </c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  <c r="IW7" s="160"/>
    </row>
    <row r="8" customFormat="false" ht="11.25" hidden="false" customHeight="false" outlineLevel="0" collapsed="false">
      <c r="A8" s="153"/>
      <c r="B8" s="153"/>
      <c r="C8" s="153"/>
      <c r="D8" s="153"/>
      <c r="E8" s="13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</row>
    <row r="9" customFormat="false" ht="11.25" hidden="false" customHeight="false" outlineLevel="0" collapsed="false">
      <c r="A9" s="114" t="s">
        <v>154</v>
      </c>
      <c r="B9" s="114"/>
      <c r="C9" s="114"/>
      <c r="D9" s="114"/>
      <c r="E9" s="13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</row>
    <row r="10" customFormat="false" ht="11.25" hidden="false" customHeight="false" outlineLevel="0" collapsed="false">
      <c r="A10" s="204" t="s">
        <v>155</v>
      </c>
      <c r="B10" s="153"/>
      <c r="C10" s="126" t="n">
        <f aca="false">Cashflow!D33</f>
        <v>0</v>
      </c>
      <c r="D10" s="126" t="n">
        <f aca="false">Cashflow!E33</f>
        <v>11393.3621391426</v>
      </c>
      <c r="E10" s="126" t="n">
        <f aca="false">Cashflow!F33</f>
        <v>13514.6020664897</v>
      </c>
      <c r="F10" s="126" t="n">
        <f aca="false">Cashflow!G33</f>
        <v>13817.6488485111</v>
      </c>
      <c r="G10" s="126" t="n">
        <f aca="false">Cashflow!H33</f>
        <v>11315.9482101728</v>
      </c>
      <c r="H10" s="126" t="n">
        <f aca="false">Cashflow!I33</f>
        <v>11379.2966159352</v>
      </c>
      <c r="I10" s="126" t="n">
        <f aca="false">Cashflow!J33</f>
        <v>11494.8771665233</v>
      </c>
      <c r="J10" s="126" t="n">
        <f aca="false">Cashflow!K33</f>
        <v>11506.1322304097</v>
      </c>
      <c r="K10" s="126" t="n">
        <f aca="false">Cashflow!L33</f>
        <v>11680.0174693916</v>
      </c>
      <c r="L10" s="126" t="n">
        <f aca="false">Cashflow!M33</f>
        <v>11998.46630808</v>
      </c>
      <c r="M10" s="126" t="n">
        <f aca="false">Cashflow!N33</f>
        <v>12364.9330429404</v>
      </c>
      <c r="N10" s="126" t="n">
        <f aca="false">Cashflow!O33</f>
        <v>12567.8455753437</v>
      </c>
      <c r="O10" s="126" t="n">
        <f aca="false">Cashflow!P33</f>
        <v>11111.7537848939</v>
      </c>
      <c r="P10" s="126" t="n">
        <f aca="false">Cashflow!Q33</f>
        <v>11319.8107770514</v>
      </c>
      <c r="Q10" s="126" t="n">
        <f aca="false">Cashflow!R33</f>
        <v>11538.0710099226</v>
      </c>
      <c r="R10" s="126" t="n">
        <f aca="false">Cashflow!S33</f>
        <v>11933.2428010441</v>
      </c>
      <c r="S10" s="126" t="n">
        <f aca="false">IF(Tables!$B$21=15,0,Cashflow!T33)</f>
        <v>0</v>
      </c>
      <c r="T10" s="126" t="n">
        <f aca="false">IF(Tables!$B$21=15,0,Cashflow!U33)</f>
        <v>0</v>
      </c>
      <c r="U10" s="126" t="n">
        <f aca="false">IF(Tables!$B$21=15,0,Cashflow!V33)</f>
        <v>0</v>
      </c>
      <c r="V10" s="126" t="n">
        <f aca="false">IF(Tables!$B$21=15,0,Cashflow!W33)</f>
        <v>0</v>
      </c>
      <c r="W10" s="126" t="n">
        <f aca="false">IF(Tables!$B$21=15,0,Cashflow!X33)</f>
        <v>0</v>
      </c>
      <c r="X10" s="126" t="n">
        <f aca="false">IF(Tables!$B$21=15,0,Cashflow!Y33)</f>
        <v>0</v>
      </c>
      <c r="Y10" s="126" t="n">
        <f aca="false">IF(Tables!$B$21=15,0,Cashflow!Z33)</f>
        <v>0</v>
      </c>
      <c r="Z10" s="126" t="n">
        <f aca="false">IF(Tables!$B$21=15,0,Cashflow!AA33)</f>
        <v>0</v>
      </c>
      <c r="AA10" s="126" t="n">
        <f aca="false">IF(Tables!$B$21=15,0,Cashflow!AB33)</f>
        <v>0</v>
      </c>
      <c r="AB10" s="126" t="n">
        <f aca="false">IF(Tables!$B$21=15,0,Cashflow!AC33)</f>
        <v>0</v>
      </c>
      <c r="AC10" s="126" t="n">
        <f aca="false">IF(Tables!$B$21=15,0,Cashflow!AD33)</f>
        <v>0</v>
      </c>
      <c r="AD10" s="126" t="n">
        <f aca="false">IF(Tables!$B$21=15,0,Cashflow!AE33)</f>
        <v>0</v>
      </c>
    </row>
    <row r="11" customFormat="false" ht="11.25" hidden="false" customHeight="false" outlineLevel="0" collapsed="false">
      <c r="A11" s="204" t="s">
        <v>156</v>
      </c>
      <c r="B11" s="153"/>
      <c r="C11" s="126" t="n">
        <f aca="false">Cashflow!D34+Cashflow!D35</f>
        <v>220.791666666667</v>
      </c>
      <c r="D11" s="126" t="n">
        <f aca="false">Cashflow!E34+Cashflow!E35</f>
        <v>2816.25068572223</v>
      </c>
      <c r="E11" s="126" t="n">
        <f aca="false">Cashflow!F34+Cashflow!F35</f>
        <v>3208.43541580406</v>
      </c>
      <c r="F11" s="126" t="n">
        <f aca="false">Cashflow!G34+Cashflow!G35</f>
        <v>3301.66898134409</v>
      </c>
      <c r="G11" s="126" t="n">
        <f aca="false">Cashflow!H34+Cashflow!H35</f>
        <v>2988.46863356163</v>
      </c>
      <c r="H11" s="126" t="n">
        <f aca="false">Cashflow!I34+Cashflow!I35</f>
        <v>3040.14045957786</v>
      </c>
      <c r="I11" s="126" t="n">
        <f aca="false">Cashflow!J34+Cashflow!J35</f>
        <v>3124.68528105242</v>
      </c>
      <c r="J11" s="126" t="n">
        <f aca="false">Cashflow!K34+Cashflow!K35</f>
        <v>3157.10177138271</v>
      </c>
      <c r="K11" s="126" t="n">
        <f aca="false">Cashflow!L34+Cashflow!L35</f>
        <v>3209.0431852547</v>
      </c>
      <c r="L11" s="126" t="n">
        <f aca="false">Cashflow!M34+Cashflow!M35</f>
        <v>3281.41368121187</v>
      </c>
      <c r="M11" s="126" t="n">
        <f aca="false">Cashflow!N34+Cashflow!N35</f>
        <v>3333.62802317611</v>
      </c>
      <c r="N11" s="126" t="n">
        <f aca="false">Cashflow!O34+Cashflow!O35</f>
        <v>3385.83661732131</v>
      </c>
      <c r="O11" s="126" t="n">
        <f aca="false">Cashflow!P34+Cashflow!P35</f>
        <v>3203.11049338415</v>
      </c>
      <c r="P11" s="126" t="n">
        <f aca="false">Cashflow!Q34+Cashflow!Q35</f>
        <v>3284.43391787582</v>
      </c>
      <c r="Q11" s="126" t="n">
        <f aca="false">Cashflow!R34+Cashflow!R35</f>
        <v>3333.99952419688</v>
      </c>
      <c r="R11" s="126" t="n">
        <f aca="false">Cashflow!S34+Cashflow!S35</f>
        <v>3406.31762901887</v>
      </c>
      <c r="S11" s="126" t="n">
        <f aca="false">IF(Tables!$B$21=15,0,Cashflow!T34+Cashflow!T35)</f>
        <v>0</v>
      </c>
      <c r="T11" s="126" t="n">
        <f aca="false">IF(Tables!$B$21=15,0,Cashflow!U34+Cashflow!U35)</f>
        <v>0</v>
      </c>
      <c r="U11" s="126" t="n">
        <f aca="false">IF(Tables!$B$21=15,0,Cashflow!V34+Cashflow!V35)</f>
        <v>0</v>
      </c>
      <c r="V11" s="126" t="n">
        <f aca="false">IF(Tables!$B$21=15,0,Cashflow!W34+Cashflow!W35)</f>
        <v>0</v>
      </c>
      <c r="W11" s="126" t="n">
        <f aca="false">IF(Tables!$B$21=15,0,Cashflow!X34+Cashflow!X35)</f>
        <v>0</v>
      </c>
      <c r="X11" s="126" t="n">
        <f aca="false">IF(Tables!$B$21=15,0,Cashflow!Y34+Cashflow!Y35)</f>
        <v>0</v>
      </c>
      <c r="Y11" s="126" t="n">
        <f aca="false">IF(Tables!$B$21=15,0,Cashflow!Z34+Cashflow!Z35)</f>
        <v>0</v>
      </c>
      <c r="Z11" s="126" t="n">
        <f aca="false">IF(Tables!$B$21=15,0,Cashflow!AA34+Cashflow!AA35)</f>
        <v>0</v>
      </c>
      <c r="AA11" s="126" t="n">
        <f aca="false">IF(Tables!$B$21=15,0,Cashflow!AB34+Cashflow!AB35)</f>
        <v>0</v>
      </c>
      <c r="AB11" s="126" t="n">
        <f aca="false">IF(Tables!$B$21=15,0,Cashflow!AC34+Cashflow!AC35)</f>
        <v>0</v>
      </c>
      <c r="AC11" s="126" t="n">
        <f aca="false">IF(Tables!$B$21=15,0,Cashflow!AD34+Cashflow!AD35)</f>
        <v>0</v>
      </c>
      <c r="AD11" s="126" t="n">
        <f aca="false">IF(Tables!$B$21=15,0,Cashflow!AE34+Cashflow!AE35)</f>
        <v>0</v>
      </c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</row>
    <row r="12" customFormat="false" ht="11.25" hidden="false" customHeight="false" outlineLevel="0" collapsed="false">
      <c r="A12" s="204" t="s">
        <v>157</v>
      </c>
      <c r="B12" s="153"/>
      <c r="C12" s="126" t="n">
        <f aca="false">SUM(Cashflow!D36:D38)</f>
        <v>225.662563328563</v>
      </c>
      <c r="D12" s="126" t="n">
        <f aca="false">SUM(Cashflow!E36:E38)</f>
        <v>1845.50436710061</v>
      </c>
      <c r="E12" s="126" t="n">
        <f aca="false">SUM(Cashflow!F36:F38)</f>
        <v>1858.22309286098</v>
      </c>
      <c r="F12" s="126" t="n">
        <f aca="false">SUM(Cashflow!G36:G38)</f>
        <v>1873.52463892814</v>
      </c>
      <c r="G12" s="126" t="n">
        <f aca="false">SUM(Cashflow!H36:H38)</f>
        <v>1895.2581505219</v>
      </c>
      <c r="H12" s="126" t="n">
        <f aca="false">SUM(Cashflow!I36:I38)</f>
        <v>1916.57180453838</v>
      </c>
      <c r="I12" s="126" t="n">
        <f aca="false">SUM(Cashflow!J36:J38)</f>
        <v>1941.62962522306</v>
      </c>
      <c r="J12" s="126" t="n">
        <f aca="false">SUM(Cashflow!K36:K38)</f>
        <v>1968.10544406225</v>
      </c>
      <c r="K12" s="126" t="n">
        <f aca="false">SUM(Cashflow!L36:L38)</f>
        <v>1997.37909578587</v>
      </c>
      <c r="L12" s="126" t="n">
        <f aca="false">SUM(Cashflow!M36:M38)</f>
        <v>2025.64285674409</v>
      </c>
      <c r="M12" s="126" t="n">
        <f aca="false">SUM(Cashflow!N36:N38)</f>
        <v>2056.96479980465</v>
      </c>
      <c r="N12" s="126" t="n">
        <f aca="false">SUM(Cashflow!O36:O38)</f>
        <v>2088.05392505224</v>
      </c>
      <c r="O12" s="126" t="n">
        <f aca="false">SUM(Cashflow!P36:P38)</f>
        <v>2120.3276132048</v>
      </c>
      <c r="P12" s="126" t="n">
        <f aca="false">SUM(Cashflow!Q36:Q38)</f>
        <v>2150.19876803333</v>
      </c>
      <c r="Q12" s="126" t="n">
        <f aca="false">SUM(Cashflow!R36:R38)</f>
        <v>2181.28342547781</v>
      </c>
      <c r="R12" s="126" t="n">
        <f aca="false">SUM(Cashflow!S36:S38)</f>
        <v>1984.46055207398</v>
      </c>
      <c r="S12" s="126" t="n">
        <f aca="false">SUM(Cashflow!T36:T38)</f>
        <v>0</v>
      </c>
      <c r="T12" s="126" t="n">
        <f aca="false">SUM(Cashflow!U36:U38)</f>
        <v>0</v>
      </c>
      <c r="U12" s="126" t="n">
        <f aca="false">SUM(Cashflow!V36:V38)</f>
        <v>0</v>
      </c>
      <c r="V12" s="126" t="n">
        <f aca="false">SUM(Cashflow!W36:W38)</f>
        <v>0</v>
      </c>
      <c r="W12" s="126" t="n">
        <f aca="false">SUM(Cashflow!X36:X38)</f>
        <v>0</v>
      </c>
      <c r="X12" s="126" t="n">
        <f aca="false">SUM(Cashflow!Y36:Y38)</f>
        <v>0</v>
      </c>
      <c r="Y12" s="126" t="n">
        <f aca="false">SUM(Cashflow!Z36:Z38)</f>
        <v>0</v>
      </c>
      <c r="Z12" s="126" t="n">
        <f aca="false">SUM(Cashflow!AA36:AA38)</f>
        <v>0</v>
      </c>
      <c r="AA12" s="126" t="n">
        <f aca="false">SUM(Cashflow!AB36:AB38)</f>
        <v>0</v>
      </c>
      <c r="AB12" s="126" t="n">
        <f aca="false">SUM(Cashflow!AC36:AC38)</f>
        <v>0</v>
      </c>
      <c r="AC12" s="126" t="n">
        <f aca="false">SUM(Cashflow!AD36:AD38)</f>
        <v>0</v>
      </c>
      <c r="AD12" s="126" t="n">
        <f aca="false">SUM(Cashflow!AE36:AE38)</f>
        <v>0</v>
      </c>
    </row>
    <row r="13" customFormat="false" ht="11.25" hidden="false" customHeight="false" outlineLevel="0" collapsed="false">
      <c r="A13" s="205" t="s">
        <v>118</v>
      </c>
      <c r="B13" s="153"/>
      <c r="C13" s="126" t="n">
        <f aca="false">BS!B92</f>
        <v>1200.427004419</v>
      </c>
      <c r="D13" s="126" t="n">
        <f aca="false">BS!C92</f>
        <v>7202.56202651401</v>
      </c>
      <c r="E13" s="126" t="n">
        <f aca="false">BS!D92</f>
        <v>7202.56202651401</v>
      </c>
      <c r="F13" s="126" t="n">
        <f aca="false">IF(F7=0,0,BS!E92)</f>
        <v>7202.56202651401</v>
      </c>
      <c r="G13" s="126" t="n">
        <f aca="false">IF(G7=0,0,BS!F92)</f>
        <v>7202.56202651401</v>
      </c>
      <c r="H13" s="126" t="n">
        <f aca="false">IF(H7=0,0,BS!G92)</f>
        <v>7202.56202651401</v>
      </c>
      <c r="I13" s="126" t="n">
        <f aca="false">IF(I7=0,0,BS!H92)</f>
        <v>7202.56202651401</v>
      </c>
      <c r="J13" s="126" t="n">
        <f aca="false">IF(J7=0,0,BS!I92)</f>
        <v>7202.56202651401</v>
      </c>
      <c r="K13" s="126" t="n">
        <f aca="false">IF(K7=0,0,BS!J92)</f>
        <v>7202.56202651401</v>
      </c>
      <c r="L13" s="126" t="n">
        <f aca="false">IF(L7=0,0,BS!K92)</f>
        <v>7202.56202651401</v>
      </c>
      <c r="M13" s="126" t="n">
        <f aca="false">IF(M7=0,0,BS!L92)</f>
        <v>7202.56202651401</v>
      </c>
      <c r="N13" s="126" t="n">
        <f aca="false">IF(N7=0,0,BS!M92)</f>
        <v>7202.56202651401</v>
      </c>
      <c r="O13" s="126" t="n">
        <f aca="false">IF(O7=0,0,BS!N92)</f>
        <v>7202.56202651401</v>
      </c>
      <c r="P13" s="126" t="n">
        <f aca="false">IF(P7=0,0,BS!O92)</f>
        <v>7202.56202651401</v>
      </c>
      <c r="Q13" s="126" t="n">
        <f aca="false">IF(Q7=0,0,BS!P92)</f>
        <v>7202.56202651401</v>
      </c>
      <c r="R13" s="126" t="n">
        <f aca="false">IF(R7=0,0,BS!Q92)</f>
        <v>7202.56202651401</v>
      </c>
      <c r="S13" s="126" t="n">
        <f aca="false">IF(S7=0,0,BS!R92)</f>
        <v>0</v>
      </c>
      <c r="T13" s="126" t="n">
        <f aca="false">IF(T7=0,0,BS!S92)</f>
        <v>0</v>
      </c>
      <c r="U13" s="126" t="n">
        <f aca="false">IF(U7=0,0,BS!T92)</f>
        <v>0</v>
      </c>
      <c r="V13" s="126" t="n">
        <f aca="false">IF(V7=0,0,BS!U92)</f>
        <v>0</v>
      </c>
      <c r="W13" s="126" t="n">
        <f aca="false">IF(W7=0,0,BS!V92)</f>
        <v>0</v>
      </c>
      <c r="X13" s="126" t="n">
        <f aca="false">IF(X7=0,0,BS!W92)</f>
        <v>0</v>
      </c>
      <c r="Y13" s="126" t="n">
        <f aca="false">IF(Y7=0,0,BS!X92)</f>
        <v>0</v>
      </c>
      <c r="Z13" s="126" t="n">
        <f aca="false">IF(Z7=0,0,BS!Y92)</f>
        <v>0</v>
      </c>
      <c r="AA13" s="126" t="n">
        <f aca="false">IF(AA7=0,0,BS!Z92)</f>
        <v>0</v>
      </c>
      <c r="AB13" s="126" t="n">
        <f aca="false">IF(AB7=0,0,BS!AA92)</f>
        <v>0</v>
      </c>
      <c r="AC13" s="126" t="n">
        <f aca="false">IF(AC7=0,0,BS!AB92)</f>
        <v>0</v>
      </c>
      <c r="AD13" s="126" t="n">
        <f aca="false">IF(AD7=0,0,BS!AC92)</f>
        <v>0</v>
      </c>
    </row>
    <row r="14" customFormat="false" ht="11.25" hidden="false" customHeight="false" outlineLevel="0" collapsed="false">
      <c r="A14" s="204" t="s">
        <v>158</v>
      </c>
      <c r="B14" s="153"/>
      <c r="C14" s="126" t="n">
        <f aca="false">SUM(Cashflow!D48:D51)</f>
        <v>0</v>
      </c>
      <c r="D14" s="126" t="e">
        <f aca="false">SUM(Cashflow!E48:E51)</f>
        <v>#VALUE!</v>
      </c>
      <c r="E14" s="126" t="e">
        <f aca="false">SUM(Cashflow!F48:F51)</f>
        <v>#VALUE!</v>
      </c>
      <c r="F14" s="126" t="e">
        <f aca="false">SUM(Cashflow!G48:G51)</f>
        <v>#VALUE!</v>
      </c>
      <c r="G14" s="126" t="e">
        <f aca="false">SUM(Cashflow!H48:H51)</f>
        <v>#VALUE!</v>
      </c>
      <c r="H14" s="126" t="e">
        <f aca="false">SUM(Cashflow!I48:I51)</f>
        <v>#VALUE!</v>
      </c>
      <c r="I14" s="126" t="e">
        <f aca="false">SUM(Cashflow!J48:J51)</f>
        <v>#VALUE!</v>
      </c>
      <c r="J14" s="126" t="e">
        <f aca="false">SUM(Cashflow!K48:K51)</f>
        <v>#VALUE!</v>
      </c>
      <c r="K14" s="126" t="e">
        <f aca="false">SUM(Cashflow!L48:L51)</f>
        <v>#VALUE!</v>
      </c>
      <c r="L14" s="126" t="e">
        <f aca="false">SUM(Cashflow!M48:M51)</f>
        <v>#VALUE!</v>
      </c>
      <c r="M14" s="126" t="e">
        <f aca="false">SUM(Cashflow!N48:N51)</f>
        <v>#VALUE!</v>
      </c>
      <c r="N14" s="126" t="e">
        <f aca="false">SUM(Cashflow!O48:O51)</f>
        <v>#VALUE!</v>
      </c>
      <c r="O14" s="126" t="e">
        <f aca="false">SUM(Cashflow!P48:P51)</f>
        <v>#VALUE!</v>
      </c>
      <c r="P14" s="126" t="e">
        <f aca="false">SUM(Cashflow!Q48:Q51)</f>
        <v>#VALUE!</v>
      </c>
      <c r="Q14" s="126" t="e">
        <f aca="false">SUM(Cashflow!R48:R51)</f>
        <v>#VALUE!</v>
      </c>
      <c r="R14" s="126" t="e">
        <f aca="false">SUM(Cashflow!S48:S51)</f>
        <v>#VALUE!</v>
      </c>
      <c r="S14" s="126" t="n">
        <f aca="false">IF(Tables!$B$21=15,0,SUM(Cashflow!T48:T51))</f>
        <v>0</v>
      </c>
      <c r="T14" s="126" t="n">
        <f aca="false">IF(Tables!$B$21=15,0,SUM(Cashflow!U48:U51))</f>
        <v>0</v>
      </c>
      <c r="U14" s="126" t="n">
        <f aca="false">IF(Tables!$B$21=15,0,SUM(Cashflow!V48:V51))</f>
        <v>0</v>
      </c>
      <c r="V14" s="126" t="n">
        <f aca="false">IF(Tables!$B$21=15,0,SUM(Cashflow!W48:W51))</f>
        <v>0</v>
      </c>
      <c r="W14" s="126" t="n">
        <f aca="false">IF(Tables!$B$21=15,0,SUM(Cashflow!X48:X51))</f>
        <v>0</v>
      </c>
      <c r="X14" s="126" t="n">
        <f aca="false">IF(Tables!$B$21=15,0,SUM(Cashflow!Y48:Y51))</f>
        <v>0</v>
      </c>
      <c r="Y14" s="126" t="n">
        <f aca="false">IF(Tables!$B$21=15,0,SUM(Cashflow!Z48:Z51))</f>
        <v>0</v>
      </c>
      <c r="Z14" s="126" t="n">
        <f aca="false">IF(Tables!$B$21=15,0,SUM(Cashflow!AA48:AA51))</f>
        <v>0</v>
      </c>
      <c r="AA14" s="126" t="n">
        <f aca="false">IF(Tables!$B$21=15,0,SUM(Cashflow!AB48:AB51))</f>
        <v>0</v>
      </c>
      <c r="AB14" s="126" t="n">
        <f aca="false">IF(Tables!$B$21=15,0,SUM(Cashflow!AC48:AC51))</f>
        <v>0</v>
      </c>
      <c r="AC14" s="126" t="n">
        <f aca="false">IF(Tables!$B$21=15,0,SUM(Cashflow!AD48:AD51))</f>
        <v>0</v>
      </c>
      <c r="AD14" s="126" t="n">
        <f aca="false">IF(Tables!$B$21=15,0,SUM(Cashflow!AE48:AE51))</f>
        <v>0</v>
      </c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114"/>
      <c r="AU14" s="114"/>
      <c r="AV14" s="114"/>
      <c r="AW14" s="114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  <c r="DP14" s="114"/>
      <c r="DQ14" s="114"/>
      <c r="DR14" s="114"/>
      <c r="DS14" s="114"/>
      <c r="DT14" s="114"/>
      <c r="DU14" s="114"/>
      <c r="DV14" s="114"/>
      <c r="DW14" s="114"/>
      <c r="DX14" s="114"/>
      <c r="DY14" s="114"/>
      <c r="DZ14" s="114"/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4"/>
      <c r="EL14" s="114"/>
      <c r="EM14" s="114"/>
      <c r="EN14" s="114"/>
      <c r="EO14" s="114"/>
      <c r="EP14" s="114"/>
      <c r="EQ14" s="114"/>
      <c r="ER14" s="114"/>
      <c r="ES14" s="114"/>
      <c r="ET14" s="114"/>
      <c r="EU14" s="114"/>
      <c r="EV14" s="114"/>
      <c r="EW14" s="114"/>
      <c r="EX14" s="114"/>
      <c r="EY14" s="114"/>
      <c r="EZ14" s="114"/>
      <c r="FA14" s="114"/>
      <c r="FB14" s="114"/>
      <c r="FC14" s="114"/>
      <c r="FD14" s="114"/>
      <c r="FE14" s="114"/>
      <c r="FF14" s="114"/>
      <c r="FG14" s="114"/>
      <c r="FH14" s="114"/>
      <c r="FI14" s="114"/>
      <c r="FJ14" s="114"/>
      <c r="FK14" s="114"/>
      <c r="FL14" s="114"/>
      <c r="FM14" s="114"/>
      <c r="FN14" s="114"/>
      <c r="FO14" s="114"/>
      <c r="FP14" s="114"/>
      <c r="FQ14" s="114"/>
      <c r="FR14" s="114"/>
      <c r="FS14" s="114"/>
      <c r="FT14" s="114"/>
      <c r="FU14" s="114"/>
      <c r="FV14" s="114"/>
      <c r="FW14" s="114"/>
      <c r="FX14" s="114"/>
      <c r="FY14" s="114"/>
      <c r="FZ14" s="114"/>
      <c r="GA14" s="114"/>
      <c r="GB14" s="114"/>
      <c r="GC14" s="114"/>
      <c r="GD14" s="114"/>
      <c r="GE14" s="114"/>
      <c r="GF14" s="114"/>
      <c r="GG14" s="114"/>
      <c r="GH14" s="114"/>
      <c r="GI14" s="114"/>
      <c r="GJ14" s="114"/>
      <c r="GK14" s="114"/>
      <c r="GL14" s="114"/>
      <c r="GM14" s="114"/>
      <c r="GN14" s="114"/>
      <c r="GO14" s="114"/>
      <c r="GP14" s="114"/>
      <c r="GQ14" s="114"/>
      <c r="GR14" s="114"/>
      <c r="GS14" s="114"/>
      <c r="GT14" s="114"/>
      <c r="GU14" s="114"/>
      <c r="GV14" s="114"/>
      <c r="GW14" s="114"/>
      <c r="GX14" s="114"/>
      <c r="GY14" s="114"/>
      <c r="GZ14" s="114"/>
      <c r="HA14" s="114"/>
      <c r="HB14" s="114"/>
      <c r="HC14" s="114"/>
      <c r="HD14" s="114"/>
      <c r="HE14" s="114"/>
      <c r="HF14" s="114"/>
      <c r="HG14" s="114"/>
      <c r="HH14" s="114"/>
      <c r="HI14" s="114"/>
      <c r="HJ14" s="114"/>
      <c r="HK14" s="114"/>
      <c r="HL14" s="114"/>
      <c r="HM14" s="114"/>
      <c r="HN14" s="114"/>
      <c r="HO14" s="114"/>
      <c r="HP14" s="114"/>
      <c r="HQ14" s="114"/>
      <c r="HR14" s="114"/>
      <c r="HS14" s="114"/>
      <c r="HT14" s="114"/>
      <c r="HU14" s="114"/>
      <c r="HV14" s="114"/>
      <c r="HW14" s="114"/>
      <c r="HX14" s="114"/>
      <c r="HY14" s="114"/>
      <c r="HZ14" s="114"/>
      <c r="IA14" s="114"/>
      <c r="IB14" s="114"/>
      <c r="IC14" s="114"/>
      <c r="ID14" s="114"/>
      <c r="IE14" s="114"/>
      <c r="IF14" s="114"/>
      <c r="IG14" s="114"/>
      <c r="IH14" s="114"/>
      <c r="II14" s="114"/>
      <c r="IJ14" s="114"/>
      <c r="IK14" s="114"/>
      <c r="IL14" s="114"/>
      <c r="IM14" s="114"/>
      <c r="IN14" s="114"/>
      <c r="IO14" s="114"/>
      <c r="IP14" s="114"/>
      <c r="IQ14" s="114"/>
      <c r="IR14" s="114"/>
      <c r="IS14" s="114"/>
      <c r="IT14" s="114"/>
      <c r="IU14" s="114"/>
      <c r="IV14" s="114"/>
      <c r="IW14" s="114"/>
    </row>
    <row r="15" customFormat="false" ht="11.25" hidden="false" customHeight="false" outlineLevel="0" collapsed="false">
      <c r="A15" s="203"/>
      <c r="B15" s="203"/>
      <c r="C15" s="167" t="n">
        <f aca="false">SUM(C10:C14)</f>
        <v>1646.88123441423</v>
      </c>
      <c r="D15" s="167" t="e">
        <f aca="false">SUM(D10:D14)</f>
        <v>#VALUE!</v>
      </c>
      <c r="E15" s="167" t="e">
        <f aca="false">SUM(E10:E14)</f>
        <v>#VALUE!</v>
      </c>
      <c r="F15" s="167" t="e">
        <f aca="false">SUM(F10:F14)</f>
        <v>#VALUE!</v>
      </c>
      <c r="G15" s="167" t="e">
        <f aca="false">SUM(G10:G14)</f>
        <v>#VALUE!</v>
      </c>
      <c r="H15" s="167" t="e">
        <f aca="false">SUM(H10:H14)</f>
        <v>#VALUE!</v>
      </c>
      <c r="I15" s="167" t="e">
        <f aca="false">SUM(I10:I14)</f>
        <v>#VALUE!</v>
      </c>
      <c r="J15" s="167" t="e">
        <f aca="false">SUM(J10:J14)</f>
        <v>#VALUE!</v>
      </c>
      <c r="K15" s="167" t="e">
        <f aca="false">SUM(K10:K14)</f>
        <v>#VALUE!</v>
      </c>
      <c r="L15" s="167" t="e">
        <f aca="false">SUM(L10:L14)</f>
        <v>#VALUE!</v>
      </c>
      <c r="M15" s="167" t="e">
        <f aca="false">SUM(M10:M14)</f>
        <v>#VALUE!</v>
      </c>
      <c r="N15" s="167" t="e">
        <f aca="false">SUM(N10:N14)</f>
        <v>#VALUE!</v>
      </c>
      <c r="O15" s="167" t="e">
        <f aca="false">SUM(O10:O14)</f>
        <v>#VALUE!</v>
      </c>
      <c r="P15" s="167" t="e">
        <f aca="false">SUM(P10:P14)</f>
        <v>#VALUE!</v>
      </c>
      <c r="Q15" s="167" t="e">
        <f aca="false">SUM(Q10:Q14)</f>
        <v>#VALUE!</v>
      </c>
      <c r="R15" s="167" t="e">
        <f aca="false">SUM(R10:R14)</f>
        <v>#VALUE!</v>
      </c>
      <c r="S15" s="167" t="n">
        <f aca="false">SUM(S10:S14)</f>
        <v>0</v>
      </c>
      <c r="T15" s="167" t="n">
        <f aca="false">SUM(T10:T14)</f>
        <v>0</v>
      </c>
      <c r="U15" s="167" t="n">
        <f aca="false">SUM(U10:U14)</f>
        <v>0</v>
      </c>
      <c r="V15" s="167" t="n">
        <f aca="false">SUM(V10:V14)</f>
        <v>0</v>
      </c>
      <c r="W15" s="167" t="n">
        <f aca="false">SUM(W10:W14)</f>
        <v>0</v>
      </c>
      <c r="X15" s="167" t="n">
        <f aca="false">SUM(X10:X14)</f>
        <v>0</v>
      </c>
      <c r="Y15" s="167" t="n">
        <f aca="false">SUM(Y10:Y14)</f>
        <v>0</v>
      </c>
      <c r="Z15" s="167" t="n">
        <f aca="false">SUM(Z10:Z14)</f>
        <v>0</v>
      </c>
      <c r="AA15" s="167" t="n">
        <f aca="false">SUM(AA10:AA14)</f>
        <v>0</v>
      </c>
      <c r="AB15" s="167" t="n">
        <f aca="false">SUM(AB10:AB14)</f>
        <v>0</v>
      </c>
      <c r="AC15" s="167" t="n">
        <f aca="false">SUM(AC10:AC14)</f>
        <v>0</v>
      </c>
      <c r="AD15" s="167" t="n">
        <f aca="false">SUM(AD10:AD14)</f>
        <v>0</v>
      </c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Q15" s="160"/>
      <c r="AR15" s="160"/>
      <c r="AS15" s="160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  <c r="FW15" s="160"/>
      <c r="FX15" s="160"/>
      <c r="FY15" s="160"/>
      <c r="FZ15" s="160"/>
      <c r="GA15" s="160"/>
      <c r="GB15" s="160"/>
      <c r="GC15" s="160"/>
      <c r="GD15" s="160"/>
      <c r="GE15" s="160"/>
      <c r="GF15" s="160"/>
      <c r="GG15" s="160"/>
      <c r="GH15" s="160"/>
      <c r="GI15" s="160"/>
      <c r="GJ15" s="160"/>
      <c r="GK15" s="160"/>
      <c r="GL15" s="160"/>
      <c r="GM15" s="160"/>
      <c r="GN15" s="160"/>
      <c r="GO15" s="160"/>
      <c r="GP15" s="160"/>
      <c r="GQ15" s="160"/>
      <c r="GR15" s="160"/>
      <c r="GS15" s="160"/>
      <c r="GT15" s="160"/>
      <c r="GU15" s="160"/>
      <c r="GV15" s="160"/>
      <c r="GW15" s="160"/>
      <c r="GX15" s="160"/>
      <c r="GY15" s="160"/>
      <c r="GZ15" s="160"/>
      <c r="HA15" s="160"/>
      <c r="HB15" s="160"/>
      <c r="HC15" s="160"/>
      <c r="HD15" s="160"/>
      <c r="HE15" s="160"/>
      <c r="HF15" s="160"/>
      <c r="HG15" s="160"/>
      <c r="HH15" s="160"/>
      <c r="HI15" s="160"/>
      <c r="HJ15" s="160"/>
      <c r="HK15" s="160"/>
      <c r="HL15" s="160"/>
      <c r="HM15" s="160"/>
      <c r="HN15" s="160"/>
      <c r="HO15" s="160"/>
      <c r="HP15" s="160"/>
      <c r="HQ15" s="160"/>
      <c r="HR15" s="160"/>
      <c r="HS15" s="160"/>
      <c r="HT15" s="160"/>
      <c r="HU15" s="160"/>
      <c r="HV15" s="160"/>
      <c r="HW15" s="160"/>
      <c r="HX15" s="160"/>
      <c r="HY15" s="160"/>
      <c r="HZ15" s="160"/>
      <c r="IA15" s="160"/>
      <c r="IB15" s="160"/>
      <c r="IC15" s="160"/>
      <c r="ID15" s="160"/>
      <c r="IE15" s="160"/>
      <c r="IF15" s="160"/>
      <c r="IG15" s="160"/>
      <c r="IH15" s="160"/>
      <c r="II15" s="160"/>
      <c r="IJ15" s="160"/>
      <c r="IK15" s="160"/>
      <c r="IL15" s="160"/>
      <c r="IM15" s="160"/>
      <c r="IN15" s="160"/>
      <c r="IO15" s="160"/>
      <c r="IP15" s="160"/>
      <c r="IQ15" s="160"/>
      <c r="IR15" s="160"/>
      <c r="IS15" s="160"/>
      <c r="IT15" s="160"/>
      <c r="IU15" s="160"/>
      <c r="IV15" s="160"/>
      <c r="IW15" s="160"/>
    </row>
    <row r="16" customFormat="false" ht="11.25" hidden="false" customHeight="false" outlineLevel="0" collapsed="false">
      <c r="A16" s="153"/>
      <c r="B16" s="153"/>
      <c r="C16" s="153"/>
      <c r="D16" s="153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</row>
    <row r="17" customFormat="false" ht="11.25" hidden="false" customHeight="false" outlineLevel="0" collapsed="false">
      <c r="A17" s="201" t="s">
        <v>159</v>
      </c>
      <c r="B17" s="153"/>
      <c r="C17" s="126" t="n">
        <f aca="false">C7-C15</f>
        <v>-1646.88123441423</v>
      </c>
      <c r="D17" s="126" t="e">
        <f aca="false">D7-D15</f>
        <v>#VALUE!</v>
      </c>
      <c r="E17" s="126" t="e">
        <f aca="false">E7-E15</f>
        <v>#VALUE!</v>
      </c>
      <c r="F17" s="126" t="e">
        <f aca="false">F7-F15</f>
        <v>#VALUE!</v>
      </c>
      <c r="G17" s="126" t="e">
        <f aca="false">G7-G15</f>
        <v>#VALUE!</v>
      </c>
      <c r="H17" s="126" t="e">
        <f aca="false">H7-H15</f>
        <v>#VALUE!</v>
      </c>
      <c r="I17" s="126" t="e">
        <f aca="false">I7-I15</f>
        <v>#VALUE!</v>
      </c>
      <c r="J17" s="126" t="e">
        <f aca="false">J7-J15</f>
        <v>#VALUE!</v>
      </c>
      <c r="K17" s="126" t="e">
        <f aca="false">K7-K15</f>
        <v>#VALUE!</v>
      </c>
      <c r="L17" s="126" t="e">
        <f aca="false">L7-L15</f>
        <v>#VALUE!</v>
      </c>
      <c r="M17" s="126" t="e">
        <f aca="false">M7-M15</f>
        <v>#VALUE!</v>
      </c>
      <c r="N17" s="126" t="e">
        <f aca="false">N7-N15</f>
        <v>#VALUE!</v>
      </c>
      <c r="O17" s="126" t="e">
        <f aca="false">O7-O15</f>
        <v>#VALUE!</v>
      </c>
      <c r="P17" s="126" t="e">
        <f aca="false">P7-P15</f>
        <v>#VALUE!</v>
      </c>
      <c r="Q17" s="126" t="e">
        <f aca="false">Q7-Q15</f>
        <v>#VALUE!</v>
      </c>
      <c r="R17" s="126" t="e">
        <f aca="false">R7-R15</f>
        <v>#VALUE!</v>
      </c>
      <c r="S17" s="126" t="n">
        <f aca="false">S7-S15</f>
        <v>0</v>
      </c>
      <c r="T17" s="126" t="n">
        <f aca="false">T7-T15</f>
        <v>0</v>
      </c>
      <c r="U17" s="126" t="n">
        <f aca="false">U7-U15</f>
        <v>0</v>
      </c>
      <c r="V17" s="126" t="n">
        <f aca="false">V7-V15</f>
        <v>0</v>
      </c>
      <c r="W17" s="126" t="n">
        <f aca="false">W7-W15</f>
        <v>0</v>
      </c>
      <c r="X17" s="126" t="n">
        <f aca="false">X7-X15</f>
        <v>0</v>
      </c>
      <c r="Y17" s="126" t="n">
        <f aca="false">Y7-Y15</f>
        <v>0</v>
      </c>
      <c r="Z17" s="126" t="n">
        <f aca="false">Z7-Z15</f>
        <v>0</v>
      </c>
      <c r="AA17" s="126" t="n">
        <f aca="false">AA7-AA15</f>
        <v>0</v>
      </c>
      <c r="AB17" s="126" t="n">
        <f aca="false">AB7-AB15</f>
        <v>0</v>
      </c>
      <c r="AC17" s="126" t="n">
        <f aca="false">AC7-AC15</f>
        <v>0</v>
      </c>
      <c r="AD17" s="126" t="n">
        <f aca="false">AD7-AD15</f>
        <v>0</v>
      </c>
    </row>
    <row r="18" customFormat="false" ht="11.25" hidden="false" customHeight="false" outlineLevel="0" collapsed="false">
      <c r="A18" s="201"/>
      <c r="B18" s="153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</row>
    <row r="19" customFormat="false" ht="11.25" hidden="false" customHeight="false" outlineLevel="0" collapsed="false">
      <c r="A19" s="153" t="s">
        <v>160</v>
      </c>
      <c r="B19" s="153"/>
      <c r="C19" s="153"/>
      <c r="D19" s="153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</row>
    <row r="20" customFormat="false" ht="11.25" hidden="false" customHeight="false" outlineLevel="0" collapsed="false">
      <c r="A20" s="206" t="s">
        <v>161</v>
      </c>
      <c r="B20" s="206"/>
      <c r="C20" s="196" t="e">
        <f aca="false">IF(C15=0,0,Tax!C26+Tax!C28+Tax!C29+Tax!C31)</f>
        <v>#VALUE!</v>
      </c>
      <c r="D20" s="196" t="e">
        <f aca="false">IF(D15=0,0,Tax!D26+Tax!D28+Tax!D29+Tax!D31)</f>
        <v>#VALUE!</v>
      </c>
      <c r="E20" s="196" t="e">
        <f aca="false">IF(E15=0,0,Tax!E26+Tax!E28+Tax!E29+Tax!E31)</f>
        <v>#VALUE!</v>
      </c>
      <c r="F20" s="196" t="e">
        <f aca="false">IF(F15=0,0,Tax!F26+Tax!F28+Tax!F29+Tax!F31)</f>
        <v>#VALUE!</v>
      </c>
      <c r="G20" s="196" t="e">
        <f aca="false">IF(G15=0,0,Tax!G26+Tax!G28+Tax!G29+Tax!G31)</f>
        <v>#VALUE!</v>
      </c>
      <c r="H20" s="196" t="e">
        <f aca="false">IF(H15=0,0,Tax!H26+Tax!H28+Tax!H29+Tax!H31)</f>
        <v>#VALUE!</v>
      </c>
      <c r="I20" s="196" t="e">
        <f aca="false">IF(I15=0,0,Tax!I26+Tax!I28+Tax!I29+Tax!I31)</f>
        <v>#VALUE!</v>
      </c>
      <c r="J20" s="196" t="e">
        <f aca="false">IF(J15=0,0,Tax!J26+Tax!J28+Tax!J29+Tax!J31)</f>
        <v>#VALUE!</v>
      </c>
      <c r="K20" s="196" t="e">
        <f aca="false">IF(K15=0,0,Tax!K26+Tax!K28+Tax!K29+Tax!K31)</f>
        <v>#VALUE!</v>
      </c>
      <c r="L20" s="196" t="e">
        <f aca="false">IF(L15=0,0,Tax!L26+Tax!L28+Tax!L29+Tax!L31)</f>
        <v>#VALUE!</v>
      </c>
      <c r="M20" s="196" t="e">
        <f aca="false">IF(M15=0,0,Tax!M26+Tax!M28+Tax!M29+Tax!M31)</f>
        <v>#VALUE!</v>
      </c>
      <c r="N20" s="196" t="e">
        <f aca="false">IF(N15=0,0,Tax!N26+Tax!N28+Tax!N29+Tax!N31)</f>
        <v>#VALUE!</v>
      </c>
      <c r="O20" s="196" t="e">
        <f aca="false">IF(O15=0,0,Tax!O26+Tax!O28+Tax!O29+Tax!O31)</f>
        <v>#VALUE!</v>
      </c>
      <c r="P20" s="196" t="e">
        <f aca="false">IF(P15=0,0,Tax!P26+Tax!P28+Tax!P29+Tax!P31)</f>
        <v>#VALUE!</v>
      </c>
      <c r="Q20" s="196" t="e">
        <f aca="false">IF(Q15=0,0,Tax!Q26+Tax!Q28+Tax!Q29+Tax!Q31)</f>
        <v>#VALUE!</v>
      </c>
      <c r="R20" s="196" t="e">
        <f aca="false">IF(R15=0,0,Tax!R26+Tax!R28+Tax!R29+Tax!R31)</f>
        <v>#VALUE!</v>
      </c>
      <c r="S20" s="196" t="n">
        <f aca="false">IF(S15=0,0,Tax!S26+Tax!S28+Tax!S29+Tax!S31)</f>
        <v>0</v>
      </c>
      <c r="T20" s="196" t="n">
        <f aca="false">IF(T15=0,0,Tax!T26+Tax!T28+Tax!T29+Tax!T31)</f>
        <v>0</v>
      </c>
      <c r="U20" s="196" t="n">
        <f aca="false">IF(U15=0,0,Tax!U26+Tax!U28+Tax!U29+Tax!U31)</f>
        <v>0</v>
      </c>
      <c r="V20" s="196" t="n">
        <f aca="false">IF(V15=0,0,Tax!V26+Tax!V28+Tax!V29+Tax!V31)</f>
        <v>0</v>
      </c>
      <c r="W20" s="196" t="n">
        <f aca="false">IF(W15=0,0,Tax!W26+Tax!W28+Tax!W29+Tax!W31)</f>
        <v>0</v>
      </c>
      <c r="X20" s="196" t="n">
        <f aca="false">IF(X15=0,0,Tax!X26+Tax!X28+Tax!X29+Tax!X31)</f>
        <v>0</v>
      </c>
      <c r="Y20" s="196" t="n">
        <f aca="false">IF(Y15=0,0,Tax!Y26+Tax!Y28+Tax!Y29+Tax!Y31)</f>
        <v>0</v>
      </c>
      <c r="Z20" s="196" t="n">
        <f aca="false">IF(Z15=0,0,Tax!Z26+Tax!Z28+Tax!Z29+Tax!Z31)</f>
        <v>0</v>
      </c>
      <c r="AA20" s="196" t="n">
        <f aca="false">IF(AA15=0,0,Tax!AA26+Tax!AA28+Tax!AA29+Tax!AA31)</f>
        <v>0</v>
      </c>
      <c r="AB20" s="196" t="n">
        <f aca="false">IF(AB15=0,0,Tax!AB26+Tax!AB28+Tax!AB29+Tax!AB31)</f>
        <v>0</v>
      </c>
      <c r="AC20" s="196" t="n">
        <f aca="false">IF(AC15=0,0,Tax!AC26+Tax!AC28+Tax!AC29+Tax!AC31)</f>
        <v>0</v>
      </c>
      <c r="AD20" s="196" t="n">
        <f aca="false">IF(AD15=0,0,Tax!AD26+Tax!AD28+Tax!AD29+Tax!AD31)</f>
        <v>0</v>
      </c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  <c r="BU20" s="207"/>
      <c r="BV20" s="207"/>
      <c r="BW20" s="207"/>
      <c r="BX20" s="207"/>
      <c r="BY20" s="207"/>
      <c r="BZ20" s="207"/>
      <c r="CA20" s="207"/>
      <c r="CB20" s="207"/>
      <c r="CC20" s="207"/>
      <c r="CD20" s="207"/>
      <c r="CE20" s="207"/>
      <c r="CF20" s="207"/>
      <c r="CG20" s="207"/>
      <c r="CH20" s="207"/>
      <c r="CI20" s="207"/>
      <c r="CJ20" s="207"/>
      <c r="CK20" s="207"/>
      <c r="CL20" s="207"/>
      <c r="CM20" s="207"/>
      <c r="CN20" s="207"/>
      <c r="CO20" s="207"/>
      <c r="CP20" s="207"/>
      <c r="CQ20" s="207"/>
      <c r="CR20" s="207"/>
      <c r="CS20" s="207"/>
      <c r="CT20" s="207"/>
      <c r="CU20" s="207"/>
      <c r="CV20" s="207"/>
      <c r="CW20" s="207"/>
      <c r="CX20" s="207"/>
      <c r="CY20" s="207"/>
      <c r="CZ20" s="207"/>
      <c r="DA20" s="207"/>
      <c r="DB20" s="207"/>
      <c r="DC20" s="207"/>
      <c r="DD20" s="207"/>
      <c r="DE20" s="207"/>
      <c r="DF20" s="207"/>
      <c r="DG20" s="207"/>
      <c r="DH20" s="207"/>
      <c r="DI20" s="207"/>
      <c r="DJ20" s="207"/>
      <c r="DK20" s="207"/>
      <c r="DL20" s="207"/>
      <c r="DM20" s="207"/>
      <c r="DN20" s="207"/>
      <c r="DO20" s="207"/>
      <c r="DP20" s="207"/>
      <c r="DQ20" s="207"/>
      <c r="DR20" s="207"/>
      <c r="DS20" s="207"/>
      <c r="DT20" s="207"/>
      <c r="DU20" s="207"/>
      <c r="DV20" s="207"/>
      <c r="DW20" s="207"/>
      <c r="DX20" s="207"/>
      <c r="DY20" s="207"/>
      <c r="DZ20" s="207"/>
      <c r="EA20" s="207"/>
      <c r="EB20" s="207"/>
      <c r="EC20" s="207"/>
      <c r="ED20" s="207"/>
      <c r="EE20" s="207"/>
      <c r="EF20" s="207"/>
      <c r="EG20" s="207"/>
      <c r="EH20" s="207"/>
      <c r="EI20" s="207"/>
      <c r="EJ20" s="207"/>
      <c r="EK20" s="207"/>
      <c r="EL20" s="207"/>
      <c r="EM20" s="207"/>
      <c r="EN20" s="207"/>
      <c r="EO20" s="207"/>
      <c r="EP20" s="207"/>
      <c r="EQ20" s="207"/>
      <c r="ER20" s="207"/>
      <c r="ES20" s="207"/>
      <c r="ET20" s="207"/>
      <c r="EU20" s="207"/>
      <c r="EV20" s="207"/>
      <c r="EW20" s="207"/>
      <c r="EX20" s="207"/>
      <c r="EY20" s="207"/>
      <c r="EZ20" s="207"/>
      <c r="FA20" s="207"/>
      <c r="FB20" s="207"/>
      <c r="FC20" s="207"/>
      <c r="FD20" s="207"/>
      <c r="FE20" s="207"/>
      <c r="FF20" s="207"/>
      <c r="FG20" s="207"/>
      <c r="FH20" s="207"/>
      <c r="FI20" s="207"/>
      <c r="FJ20" s="207"/>
      <c r="FK20" s="207"/>
      <c r="FL20" s="207"/>
      <c r="FM20" s="207"/>
      <c r="FN20" s="207"/>
      <c r="FO20" s="207"/>
      <c r="FP20" s="207"/>
      <c r="FQ20" s="207"/>
      <c r="FR20" s="207"/>
      <c r="FS20" s="207"/>
      <c r="FT20" s="207"/>
      <c r="FU20" s="207"/>
      <c r="FV20" s="207"/>
      <c r="FW20" s="207"/>
      <c r="FX20" s="207"/>
      <c r="FY20" s="207"/>
      <c r="FZ20" s="207"/>
      <c r="GA20" s="207"/>
      <c r="GB20" s="207"/>
      <c r="GC20" s="207"/>
      <c r="GD20" s="207"/>
      <c r="GE20" s="207"/>
      <c r="GF20" s="207"/>
      <c r="GG20" s="207"/>
      <c r="GH20" s="207"/>
      <c r="GI20" s="207"/>
      <c r="GJ20" s="207"/>
      <c r="GK20" s="207"/>
      <c r="GL20" s="207"/>
      <c r="GM20" s="207"/>
      <c r="GN20" s="207"/>
      <c r="GO20" s="207"/>
      <c r="GP20" s="207"/>
      <c r="GQ20" s="207"/>
      <c r="GR20" s="207"/>
      <c r="GS20" s="207"/>
      <c r="GT20" s="207"/>
      <c r="GU20" s="207"/>
      <c r="GV20" s="207"/>
      <c r="GW20" s="207"/>
      <c r="GX20" s="207"/>
      <c r="GY20" s="207"/>
      <c r="GZ20" s="207"/>
      <c r="HA20" s="207"/>
      <c r="HB20" s="207"/>
      <c r="HC20" s="207"/>
      <c r="HD20" s="207"/>
      <c r="HE20" s="207"/>
      <c r="HF20" s="207"/>
      <c r="HG20" s="207"/>
      <c r="HH20" s="207"/>
      <c r="HI20" s="207"/>
      <c r="HJ20" s="207"/>
      <c r="HK20" s="207"/>
      <c r="HL20" s="207"/>
      <c r="HM20" s="207"/>
      <c r="HN20" s="207"/>
      <c r="HO20" s="207"/>
      <c r="HP20" s="207"/>
      <c r="HQ20" s="207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  <c r="IJ20" s="207"/>
      <c r="IK20" s="207"/>
      <c r="IL20" s="207"/>
      <c r="IM20" s="207"/>
      <c r="IN20" s="207"/>
      <c r="IO20" s="207"/>
      <c r="IP20" s="207"/>
      <c r="IQ20" s="207"/>
      <c r="IR20" s="207"/>
      <c r="IS20" s="207"/>
      <c r="IT20" s="207"/>
      <c r="IU20" s="207"/>
      <c r="IV20" s="207"/>
      <c r="IW20" s="207"/>
    </row>
    <row r="21" customFormat="false" ht="11.25" hidden="false" customHeight="false" outlineLevel="0" collapsed="false">
      <c r="A21" s="208" t="s">
        <v>162</v>
      </c>
      <c r="B21" s="208"/>
      <c r="C21" s="209" t="e">
        <f aca="false">IF(C17=0,0,Tax!C36)</f>
        <v>#VALUE!</v>
      </c>
      <c r="D21" s="209" t="e">
        <f aca="false">IF(D17=0,0,Tax!D36)</f>
        <v>#VALUE!</v>
      </c>
      <c r="E21" s="209" t="e">
        <f aca="false">IF(E17=0,0,Tax!E36)</f>
        <v>#VALUE!</v>
      </c>
      <c r="F21" s="209" t="e">
        <f aca="false">IF(F17=0,0,Tax!F36)</f>
        <v>#VALUE!</v>
      </c>
      <c r="G21" s="209" t="e">
        <f aca="false">IF(G17=0,0,Tax!G36)</f>
        <v>#VALUE!</v>
      </c>
      <c r="H21" s="209" t="e">
        <f aca="false">IF(H17=0,0,Tax!H36)</f>
        <v>#VALUE!</v>
      </c>
      <c r="I21" s="209" t="e">
        <f aca="false">IF(I17=0,0,Tax!I36)</f>
        <v>#VALUE!</v>
      </c>
      <c r="J21" s="209" t="e">
        <f aca="false">IF(J17=0,0,Tax!J36)</f>
        <v>#VALUE!</v>
      </c>
      <c r="K21" s="209" t="e">
        <f aca="false">IF(K17=0,0,Tax!K36)</f>
        <v>#VALUE!</v>
      </c>
      <c r="L21" s="209" t="e">
        <f aca="false">IF(L17=0,0,Tax!L36)</f>
        <v>#VALUE!</v>
      </c>
      <c r="M21" s="209" t="e">
        <f aca="false">IF(M17=0,0,Tax!M36)</f>
        <v>#VALUE!</v>
      </c>
      <c r="N21" s="209" t="e">
        <f aca="false">IF(N17=0,0,Tax!N36)</f>
        <v>#VALUE!</v>
      </c>
      <c r="O21" s="209" t="e">
        <f aca="false">IF(O17=0,0,Tax!O36)</f>
        <v>#VALUE!</v>
      </c>
      <c r="P21" s="209" t="e">
        <f aca="false">IF(P17=0,0,Tax!P36)</f>
        <v>#VALUE!</v>
      </c>
      <c r="Q21" s="209" t="e">
        <f aca="false">IF(Q17=0,0,Tax!Q36)</f>
        <v>#VALUE!</v>
      </c>
      <c r="R21" s="209" t="e">
        <f aca="false">IF(R17=0,0,Tax!R36)</f>
        <v>#VALUE!</v>
      </c>
      <c r="S21" s="209" t="n">
        <f aca="false">IF(S17=0,0,Tax!S36)</f>
        <v>0</v>
      </c>
      <c r="T21" s="209" t="n">
        <f aca="false">IF(T17=0,0,Tax!T36)</f>
        <v>0</v>
      </c>
      <c r="U21" s="209" t="n">
        <f aca="false">IF(U17=0,0,Tax!U36)</f>
        <v>0</v>
      </c>
      <c r="V21" s="209" t="n">
        <f aca="false">IF(V17=0,0,Tax!V36)</f>
        <v>0</v>
      </c>
      <c r="W21" s="209" t="n">
        <f aca="false">IF(W17=0,0,Tax!W36)</f>
        <v>0</v>
      </c>
      <c r="X21" s="209" t="n">
        <f aca="false">IF(X17=0,0,Tax!X36)</f>
        <v>0</v>
      </c>
      <c r="Y21" s="209" t="n">
        <f aca="false">IF(Y17=0,0,Tax!Y36)</f>
        <v>0</v>
      </c>
      <c r="Z21" s="209" t="n">
        <f aca="false">IF(Z17=0,0,Tax!Z36)</f>
        <v>0</v>
      </c>
      <c r="AA21" s="209" t="n">
        <f aca="false">IF(AA17=0,0,Tax!AA36)</f>
        <v>0</v>
      </c>
      <c r="AB21" s="209" t="n">
        <f aca="false">IF(AB17=0,0,Tax!AB36)</f>
        <v>0</v>
      </c>
      <c r="AC21" s="209" t="n">
        <f aca="false">IF(AC17=0,0,Tax!AC36)</f>
        <v>0</v>
      </c>
      <c r="AD21" s="209" t="n">
        <f aca="false">IF(AD17=0,0,Tax!AD36)</f>
        <v>0</v>
      </c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  <c r="CM21" s="210"/>
      <c r="CN21" s="210"/>
      <c r="CO21" s="210"/>
      <c r="CP21" s="210"/>
      <c r="CQ21" s="210"/>
      <c r="CR21" s="210"/>
      <c r="CS21" s="210"/>
      <c r="CT21" s="210"/>
      <c r="CU21" s="210"/>
      <c r="CV21" s="210"/>
      <c r="CW21" s="210"/>
      <c r="CX21" s="210"/>
      <c r="CY21" s="210"/>
      <c r="CZ21" s="210"/>
      <c r="DA21" s="210"/>
      <c r="DB21" s="210"/>
      <c r="DC21" s="210"/>
      <c r="DD21" s="210"/>
      <c r="DE21" s="210"/>
      <c r="DF21" s="210"/>
      <c r="DG21" s="210"/>
      <c r="DH21" s="210"/>
      <c r="DI21" s="210"/>
      <c r="DJ21" s="210"/>
      <c r="DK21" s="210"/>
      <c r="DL21" s="210"/>
      <c r="DM21" s="210"/>
      <c r="DN21" s="210"/>
      <c r="DO21" s="210"/>
      <c r="DP21" s="210"/>
      <c r="DQ21" s="210"/>
      <c r="DR21" s="210"/>
      <c r="DS21" s="210"/>
      <c r="DT21" s="210"/>
      <c r="DU21" s="210"/>
      <c r="DV21" s="210"/>
      <c r="DW21" s="210"/>
      <c r="DX21" s="210"/>
      <c r="DY21" s="210"/>
      <c r="DZ21" s="210"/>
      <c r="EA21" s="210"/>
      <c r="EB21" s="210"/>
      <c r="EC21" s="210"/>
      <c r="ED21" s="210"/>
      <c r="EE21" s="210"/>
      <c r="EF21" s="210"/>
      <c r="EG21" s="210"/>
      <c r="EH21" s="210"/>
      <c r="EI21" s="210"/>
      <c r="EJ21" s="210"/>
      <c r="EK21" s="210"/>
      <c r="EL21" s="210"/>
      <c r="EM21" s="210"/>
      <c r="EN21" s="210"/>
      <c r="EO21" s="210"/>
      <c r="EP21" s="210"/>
      <c r="EQ21" s="210"/>
      <c r="ER21" s="210"/>
      <c r="ES21" s="210"/>
      <c r="ET21" s="210"/>
      <c r="EU21" s="210"/>
      <c r="EV21" s="210"/>
      <c r="EW21" s="210"/>
      <c r="EX21" s="210"/>
      <c r="EY21" s="210"/>
      <c r="EZ21" s="210"/>
      <c r="FA21" s="210"/>
      <c r="FB21" s="210"/>
      <c r="FC21" s="210"/>
      <c r="FD21" s="210"/>
      <c r="FE21" s="210"/>
      <c r="FF21" s="210"/>
      <c r="FG21" s="210"/>
      <c r="FH21" s="210"/>
      <c r="FI21" s="210"/>
      <c r="FJ21" s="210"/>
      <c r="FK21" s="210"/>
      <c r="FL21" s="210"/>
      <c r="FM21" s="210"/>
      <c r="FN21" s="210"/>
      <c r="FO21" s="210"/>
      <c r="FP21" s="210"/>
      <c r="FQ21" s="210"/>
      <c r="FR21" s="210"/>
      <c r="FS21" s="210"/>
      <c r="FT21" s="210"/>
      <c r="FU21" s="210"/>
      <c r="FV21" s="210"/>
      <c r="FW21" s="210"/>
      <c r="FX21" s="210"/>
      <c r="FY21" s="210"/>
      <c r="FZ21" s="210"/>
      <c r="GA21" s="210"/>
      <c r="GB21" s="210"/>
      <c r="GC21" s="210"/>
      <c r="GD21" s="210"/>
      <c r="GE21" s="210"/>
      <c r="GF21" s="210"/>
      <c r="GG21" s="210"/>
      <c r="GH21" s="210"/>
      <c r="GI21" s="210"/>
      <c r="GJ21" s="210"/>
      <c r="GK21" s="210"/>
      <c r="GL21" s="210"/>
      <c r="GM21" s="210"/>
      <c r="GN21" s="210"/>
      <c r="GO21" s="210"/>
      <c r="GP21" s="210"/>
      <c r="GQ21" s="210"/>
      <c r="GR21" s="210"/>
      <c r="GS21" s="210"/>
      <c r="GT21" s="210"/>
      <c r="GU21" s="210"/>
      <c r="GV21" s="210"/>
      <c r="GW21" s="210"/>
      <c r="GX21" s="210"/>
      <c r="GY21" s="210"/>
      <c r="GZ21" s="210"/>
      <c r="HA21" s="210"/>
      <c r="HB21" s="210"/>
      <c r="HC21" s="210"/>
      <c r="HD21" s="210"/>
      <c r="HE21" s="210"/>
      <c r="HF21" s="210"/>
      <c r="HG21" s="210"/>
      <c r="HH21" s="210"/>
      <c r="HI21" s="210"/>
      <c r="HJ21" s="210"/>
      <c r="HK21" s="210"/>
      <c r="HL21" s="210"/>
      <c r="HM21" s="210"/>
      <c r="HN21" s="210"/>
      <c r="HO21" s="210"/>
      <c r="HP21" s="210"/>
      <c r="HQ21" s="210"/>
      <c r="HR21" s="210"/>
      <c r="HS21" s="210"/>
      <c r="HT21" s="210"/>
      <c r="HU21" s="210"/>
      <c r="HV21" s="210"/>
      <c r="HW21" s="210"/>
      <c r="HX21" s="210"/>
      <c r="HY21" s="210"/>
      <c r="HZ21" s="210"/>
      <c r="IA21" s="210"/>
      <c r="IB21" s="210"/>
      <c r="IC21" s="210"/>
      <c r="ID21" s="210"/>
      <c r="IE21" s="210"/>
      <c r="IF21" s="210"/>
      <c r="IG21" s="210"/>
      <c r="IH21" s="210"/>
      <c r="II21" s="210"/>
      <c r="IJ21" s="210"/>
      <c r="IK21" s="210"/>
      <c r="IL21" s="210"/>
      <c r="IM21" s="210"/>
      <c r="IN21" s="210"/>
      <c r="IO21" s="210"/>
      <c r="IP21" s="210"/>
      <c r="IQ21" s="210"/>
      <c r="IR21" s="210"/>
      <c r="IS21" s="210"/>
      <c r="IT21" s="210"/>
      <c r="IU21" s="210"/>
      <c r="IV21" s="210"/>
      <c r="IW21" s="210"/>
    </row>
    <row r="22" customFormat="false" ht="11.25" hidden="false" customHeight="false" outlineLevel="0" collapsed="false">
      <c r="A22" s="153"/>
      <c r="B22" s="153"/>
      <c r="C22" s="153"/>
      <c r="D22" s="153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</row>
    <row r="23" customFormat="false" ht="11.25" hidden="false" customHeight="false" outlineLevel="0" collapsed="false">
      <c r="A23" s="211" t="s">
        <v>163</v>
      </c>
      <c r="B23" s="211"/>
      <c r="C23" s="167" t="e">
        <f aca="false">C17+-SUM(C20:C21)</f>
        <v>#VALUE!</v>
      </c>
      <c r="D23" s="167" t="e">
        <f aca="false">D17+-SUM(D20:D21)</f>
        <v>#VALUE!</v>
      </c>
      <c r="E23" s="167" t="e">
        <f aca="false">E17+-SUM(E20:E21)</f>
        <v>#VALUE!</v>
      </c>
      <c r="F23" s="167" t="e">
        <f aca="false">F17+-SUM(F20:F21)</f>
        <v>#VALUE!</v>
      </c>
      <c r="G23" s="167" t="e">
        <f aca="false">G17+-SUM(G20:G21)</f>
        <v>#VALUE!</v>
      </c>
      <c r="H23" s="167" t="e">
        <f aca="false">H17+-SUM(H20:H21)</f>
        <v>#VALUE!</v>
      </c>
      <c r="I23" s="167" t="e">
        <f aca="false">I17+-SUM(I20:I21)</f>
        <v>#VALUE!</v>
      </c>
      <c r="J23" s="167" t="e">
        <f aca="false">J17+-SUM(J20:J21)</f>
        <v>#VALUE!</v>
      </c>
      <c r="K23" s="167" t="e">
        <f aca="false">K17+-SUM(K20:K21)</f>
        <v>#VALUE!</v>
      </c>
      <c r="L23" s="167" t="e">
        <f aca="false">L17+-SUM(L20:L21)</f>
        <v>#VALUE!</v>
      </c>
      <c r="M23" s="167" t="e">
        <f aca="false">M17+-SUM(M20:M21)</f>
        <v>#VALUE!</v>
      </c>
      <c r="N23" s="167" t="e">
        <f aca="false">N17+-SUM(N20:N21)</f>
        <v>#VALUE!</v>
      </c>
      <c r="O23" s="167" t="e">
        <f aca="false">O17+-SUM(O20:O21)</f>
        <v>#VALUE!</v>
      </c>
      <c r="P23" s="167" t="e">
        <f aca="false">P17+-SUM(P20:P21)</f>
        <v>#VALUE!</v>
      </c>
      <c r="Q23" s="167" t="e">
        <f aca="false">Q17+-SUM(Q20:Q21)</f>
        <v>#VALUE!</v>
      </c>
      <c r="R23" s="167" t="e">
        <f aca="false">R17+-SUM(R20:R21)</f>
        <v>#VALUE!</v>
      </c>
      <c r="S23" s="167" t="n">
        <f aca="false">S17+-SUM(S20:S21)</f>
        <v>0</v>
      </c>
      <c r="T23" s="167" t="n">
        <f aca="false">T17+-SUM(T20:T21)</f>
        <v>0</v>
      </c>
      <c r="U23" s="167" t="n">
        <f aca="false">U17+-SUM(U20:U21)</f>
        <v>0</v>
      </c>
      <c r="V23" s="167" t="n">
        <f aca="false">V17+-SUM(V20:V21)</f>
        <v>0</v>
      </c>
      <c r="W23" s="167" t="n">
        <f aca="false">W17+-SUM(W20:W21)</f>
        <v>0</v>
      </c>
      <c r="X23" s="167" t="n">
        <f aca="false">X17+-SUM(X20:X21)</f>
        <v>0</v>
      </c>
      <c r="Y23" s="167" t="n">
        <f aca="false">Y17+-SUM(Y20:Y21)</f>
        <v>0</v>
      </c>
      <c r="Z23" s="167" t="n">
        <f aca="false">Z17+-SUM(Z20:Z21)</f>
        <v>0</v>
      </c>
      <c r="AA23" s="167" t="n">
        <f aca="false">AA17+-SUM(AA20:AA21)</f>
        <v>0</v>
      </c>
      <c r="AB23" s="167" t="n">
        <f aca="false">AB17+-SUM(AB20:AB21)</f>
        <v>0</v>
      </c>
      <c r="AC23" s="167" t="n">
        <f aca="false">AC17+-SUM(AC20:AC21)</f>
        <v>0</v>
      </c>
      <c r="AD23" s="167" t="n">
        <f aca="false">AD17+-SUM(AD20:AD21)</f>
        <v>0</v>
      </c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161"/>
      <c r="BK23" s="161"/>
      <c r="BL23" s="161"/>
      <c r="BM23" s="161"/>
      <c r="BN23" s="161"/>
      <c r="BO23" s="161"/>
      <c r="BP23" s="161"/>
      <c r="BQ23" s="161"/>
      <c r="BR23" s="161"/>
      <c r="BS23" s="161"/>
      <c r="BT23" s="161"/>
      <c r="BU23" s="161"/>
      <c r="BV23" s="161"/>
      <c r="BW23" s="161"/>
      <c r="BX23" s="161"/>
      <c r="BY23" s="161"/>
      <c r="BZ23" s="161"/>
      <c r="CA23" s="161"/>
      <c r="CB23" s="161"/>
      <c r="CC23" s="161"/>
      <c r="CD23" s="161"/>
      <c r="CE23" s="161"/>
      <c r="CF23" s="161"/>
      <c r="CG23" s="161"/>
      <c r="CH23" s="161"/>
      <c r="CI23" s="161"/>
      <c r="CJ23" s="161"/>
      <c r="CK23" s="161"/>
      <c r="CL23" s="161"/>
      <c r="CM23" s="161"/>
      <c r="CN23" s="161"/>
      <c r="CO23" s="161"/>
      <c r="CP23" s="161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1"/>
      <c r="DE23" s="161"/>
      <c r="DF23" s="161"/>
      <c r="DG23" s="161"/>
      <c r="DH23" s="161"/>
      <c r="DI23" s="161"/>
      <c r="DJ23" s="161"/>
      <c r="DK23" s="161"/>
      <c r="DL23" s="161"/>
      <c r="DM23" s="161"/>
      <c r="DN23" s="161"/>
      <c r="DO23" s="161"/>
      <c r="DP23" s="161"/>
      <c r="DQ23" s="161"/>
      <c r="DR23" s="161"/>
      <c r="DS23" s="161"/>
      <c r="DT23" s="161"/>
      <c r="DU23" s="161"/>
      <c r="DV23" s="161"/>
      <c r="DW23" s="161"/>
      <c r="DX23" s="161"/>
      <c r="DY23" s="161"/>
      <c r="DZ23" s="161"/>
      <c r="EA23" s="161"/>
      <c r="EB23" s="161"/>
      <c r="EC23" s="161"/>
      <c r="ED23" s="161"/>
      <c r="EE23" s="161"/>
      <c r="EF23" s="161"/>
      <c r="EG23" s="161"/>
      <c r="EH23" s="161"/>
      <c r="EI23" s="161"/>
      <c r="EJ23" s="161"/>
      <c r="EK23" s="161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/>
      <c r="EV23" s="161"/>
      <c r="EW23" s="161"/>
      <c r="EX23" s="161"/>
      <c r="EY23" s="161"/>
      <c r="EZ23" s="161"/>
      <c r="FA23" s="161"/>
      <c r="FB23" s="161"/>
      <c r="FC23" s="161"/>
      <c r="FD23" s="161"/>
      <c r="FE23" s="161"/>
      <c r="FF23" s="161"/>
      <c r="FG23" s="161"/>
      <c r="FH23" s="161"/>
      <c r="FI23" s="161"/>
      <c r="FJ23" s="161"/>
      <c r="FK23" s="161"/>
      <c r="FL23" s="161"/>
      <c r="FM23" s="161"/>
      <c r="FN23" s="161"/>
      <c r="FO23" s="161"/>
      <c r="FP23" s="161"/>
      <c r="FQ23" s="161"/>
      <c r="FR23" s="161"/>
      <c r="FS23" s="161"/>
      <c r="FT23" s="161"/>
      <c r="FU23" s="161"/>
      <c r="FV23" s="161"/>
      <c r="FW23" s="161"/>
      <c r="FX23" s="161"/>
      <c r="FY23" s="161"/>
      <c r="FZ23" s="161"/>
      <c r="GA23" s="161"/>
      <c r="GB23" s="161"/>
      <c r="GC23" s="161"/>
      <c r="GD23" s="161"/>
      <c r="GE23" s="161"/>
      <c r="GF23" s="161"/>
      <c r="GG23" s="161"/>
      <c r="GH23" s="161"/>
      <c r="GI23" s="161"/>
      <c r="GJ23" s="161"/>
      <c r="GK23" s="161"/>
      <c r="GL23" s="161"/>
      <c r="GM23" s="161"/>
      <c r="GN23" s="161"/>
      <c r="GO23" s="161"/>
      <c r="GP23" s="161"/>
      <c r="GQ23" s="161"/>
      <c r="GR23" s="161"/>
      <c r="GS23" s="161"/>
      <c r="GT23" s="161"/>
      <c r="GU23" s="161"/>
      <c r="GV23" s="161"/>
      <c r="GW23" s="161"/>
      <c r="GX23" s="161"/>
      <c r="GY23" s="161"/>
      <c r="GZ23" s="161"/>
      <c r="HA23" s="161"/>
      <c r="HB23" s="161"/>
      <c r="HC23" s="161"/>
      <c r="HD23" s="161"/>
      <c r="HE23" s="161"/>
      <c r="HF23" s="161"/>
      <c r="HG23" s="161"/>
      <c r="HH23" s="161"/>
      <c r="HI23" s="161"/>
      <c r="HJ23" s="161"/>
      <c r="HK23" s="161"/>
      <c r="HL23" s="161"/>
      <c r="HM23" s="161"/>
      <c r="HN23" s="161"/>
      <c r="HO23" s="161"/>
      <c r="HP23" s="161"/>
      <c r="HQ23" s="161"/>
      <c r="HR23" s="161"/>
      <c r="HS23" s="161"/>
      <c r="HT23" s="161"/>
      <c r="HU23" s="161"/>
      <c r="HV23" s="161"/>
      <c r="HW23" s="161"/>
      <c r="HX23" s="161"/>
      <c r="HY23" s="161"/>
      <c r="HZ23" s="161"/>
      <c r="IA23" s="161"/>
      <c r="IB23" s="161"/>
      <c r="IC23" s="161"/>
      <c r="ID23" s="161"/>
      <c r="IE23" s="161"/>
      <c r="IF23" s="161"/>
      <c r="IG23" s="161"/>
      <c r="IH23" s="161"/>
      <c r="II23" s="161"/>
      <c r="IJ23" s="161"/>
      <c r="IK23" s="161"/>
      <c r="IL23" s="161"/>
      <c r="IM23" s="161"/>
      <c r="IN23" s="161"/>
      <c r="IO23" s="161"/>
      <c r="IP23" s="161"/>
      <c r="IQ23" s="161"/>
      <c r="IR23" s="161"/>
      <c r="IS23" s="161"/>
      <c r="IT23" s="161"/>
      <c r="IU23" s="161"/>
      <c r="IV23" s="161"/>
      <c r="IW23" s="161"/>
    </row>
    <row r="24" customFormat="false" ht="12" hidden="false" customHeight="true" outlineLevel="0" collapsed="false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</row>
    <row r="25" customFormat="false" ht="12.75" hidden="false" customHeight="false" outlineLevel="0" collapsed="false">
      <c r="A25" s="149"/>
      <c r="B25" s="149"/>
      <c r="C25" s="149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</row>
    <row r="26" customFormat="false" ht="12.75" hidden="false" customHeight="false" outlineLevel="0" collapsed="false">
      <c r="A26" s="149"/>
      <c r="B26" s="149"/>
      <c r="C26" s="149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</row>
    <row r="27" customFormat="false" ht="12.75" hidden="false" customHeight="false" outlineLevel="0" collapsed="false">
      <c r="A27" s="149"/>
      <c r="B27" s="149"/>
      <c r="C27" s="149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</row>
    <row r="28" customFormat="false" ht="12.75" hidden="false" customHeight="false" outlineLevel="0" collapsed="false">
      <c r="A28" s="149"/>
      <c r="B28" s="149"/>
      <c r="C28" s="149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</row>
    <row r="29" customFormat="false" ht="12.75" hidden="false" customHeight="false" outlineLevel="0" collapsed="false">
      <c r="A29" s="149"/>
      <c r="B29" s="149"/>
      <c r="C29" s="149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</row>
    <row r="30" customFormat="false" ht="12.75" hidden="false" customHeight="false" outlineLevel="0" collapsed="false">
      <c r="A30" s="149"/>
      <c r="B30" s="149"/>
      <c r="C30" s="149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</row>
    <row r="31" customFormat="false" ht="11.25" hidden="false" customHeight="false" outlineLevel="0" collapsed="false">
      <c r="A31" s="201" t="s">
        <v>164</v>
      </c>
      <c r="B31" s="153"/>
      <c r="C31" s="153"/>
      <c r="D31" s="153"/>
      <c r="E31" s="13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</row>
    <row r="32" customFormat="false" ht="11.25" hidden="false" customHeight="false" outlineLevel="0" collapsed="false">
      <c r="A32" s="153"/>
      <c r="B32" s="153"/>
      <c r="C32" s="153"/>
      <c r="D32" s="153"/>
      <c r="E32" s="13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</row>
    <row r="33" customFormat="false" ht="11.25" hidden="false" customHeight="false" outlineLevel="0" collapsed="false">
      <c r="A33" s="153" t="s">
        <v>165</v>
      </c>
      <c r="B33" s="153"/>
      <c r="C33" s="136" t="e">
        <f aca="false">Cashflow!D64</f>
        <v>#VALUE!</v>
      </c>
      <c r="D33" s="136" t="e">
        <f aca="false">Cashflow!E64</f>
        <v>#VALUE!</v>
      </c>
      <c r="E33" s="136" t="e">
        <f aca="false">Cashflow!F64</f>
        <v>#VALUE!</v>
      </c>
      <c r="F33" s="136" t="e">
        <f aca="false">Cashflow!G64</f>
        <v>#VALUE!</v>
      </c>
      <c r="G33" s="136" t="e">
        <f aca="false">Cashflow!H64</f>
        <v>#VALUE!</v>
      </c>
      <c r="H33" s="136" t="e">
        <f aca="false">Cashflow!I64</f>
        <v>#VALUE!</v>
      </c>
      <c r="I33" s="136" t="e">
        <f aca="false">Cashflow!J64</f>
        <v>#VALUE!</v>
      </c>
      <c r="J33" s="136" t="e">
        <f aca="false">Cashflow!K64</f>
        <v>#VALUE!</v>
      </c>
      <c r="K33" s="136" t="e">
        <f aca="false">Cashflow!L64</f>
        <v>#VALUE!</v>
      </c>
      <c r="L33" s="136" t="e">
        <f aca="false">Cashflow!M64</f>
        <v>#VALUE!</v>
      </c>
      <c r="M33" s="136" t="e">
        <f aca="false">Cashflow!N64</f>
        <v>#VALUE!</v>
      </c>
      <c r="N33" s="136" t="e">
        <f aca="false">Cashflow!O64</f>
        <v>#VALUE!</v>
      </c>
      <c r="O33" s="136" t="e">
        <f aca="false">Cashflow!P64</f>
        <v>#VALUE!</v>
      </c>
      <c r="P33" s="136" t="e">
        <f aca="false">Cashflow!Q64</f>
        <v>#VALUE!</v>
      </c>
      <c r="Q33" s="136" t="e">
        <f aca="false">Cashflow!R64</f>
        <v>#VALUE!</v>
      </c>
      <c r="R33" s="136" t="e">
        <f aca="false">Cashflow!S64</f>
        <v>#VALUE!</v>
      </c>
      <c r="S33" s="136" t="e">
        <f aca="false">Cashflow!T64</f>
        <v>#VALUE!</v>
      </c>
      <c r="T33" s="136" t="e">
        <f aca="false">Cashflow!U64</f>
        <v>#VALUE!</v>
      </c>
      <c r="U33" s="136" t="e">
        <f aca="false">Cashflow!V64</f>
        <v>#VALUE!</v>
      </c>
      <c r="V33" s="136" t="e">
        <f aca="false">Cashflow!W64</f>
        <v>#DIV/0!</v>
      </c>
      <c r="W33" s="136" t="e">
        <f aca="false">Cashflow!X64</f>
        <v>#DIV/0!</v>
      </c>
      <c r="X33" s="136" t="n">
        <f aca="false">Cashflow!Y64</f>
        <v>0</v>
      </c>
      <c r="Y33" s="136" t="n">
        <f aca="false">Cashflow!Z64</f>
        <v>0</v>
      </c>
      <c r="Z33" s="136" t="n">
        <f aca="false">Cashflow!AA64</f>
        <v>0</v>
      </c>
      <c r="AA33" s="136" t="n">
        <f aca="false">Cashflow!AB64</f>
        <v>0</v>
      </c>
      <c r="AB33" s="136" t="n">
        <f aca="false">Cashflow!AC64</f>
        <v>0</v>
      </c>
      <c r="AC33" s="136" t="n">
        <f aca="false">Cashflow!AD64</f>
        <v>0</v>
      </c>
      <c r="AD33" s="136" t="n">
        <f aca="false">Cashflow!AE64</f>
        <v>0</v>
      </c>
    </row>
    <row r="34" customFormat="false" ht="11.25" hidden="false" customHeight="false" outlineLevel="0" collapsed="false">
      <c r="A34" s="153" t="s">
        <v>166</v>
      </c>
      <c r="B34" s="153"/>
      <c r="C34" s="153"/>
      <c r="D34" s="153"/>
      <c r="E34" s="13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</row>
    <row r="35" customFormat="false" ht="11.25" hidden="false" customHeight="false" outlineLevel="0" collapsed="false">
      <c r="A35" s="153" t="s">
        <v>167</v>
      </c>
      <c r="B35" s="153"/>
      <c r="C35" s="153"/>
      <c r="D35" s="153"/>
      <c r="E35" s="136"/>
      <c r="F35" s="196" t="n">
        <f aca="false">-Cashflow!G57</f>
        <v>0</v>
      </c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6"/>
      <c r="AC35" s="126"/>
      <c r="AD35" s="126"/>
    </row>
    <row r="36" customFormat="false" ht="11.25" hidden="false" customHeight="false" outlineLevel="0" collapsed="false">
      <c r="A36" s="153" t="s">
        <v>168</v>
      </c>
      <c r="B36" s="153"/>
      <c r="C36" s="136" t="n">
        <f aca="false">Cashflow!D52+Cashflow!D53</f>
        <v>0</v>
      </c>
      <c r="D36" s="136" t="e">
        <f aca="false">Cashflow!E52+Cashflow!E53</f>
        <v>#VALUE!</v>
      </c>
      <c r="E36" s="136" t="e">
        <f aca="false">Cashflow!F52+Cashflow!F53</f>
        <v>#VALUE!</v>
      </c>
      <c r="F36" s="136" t="e">
        <f aca="false">Cashflow!G52+Cashflow!G53</f>
        <v>#VALUE!</v>
      </c>
      <c r="G36" s="136" t="e">
        <f aca="false">Cashflow!H52+Cashflow!H53</f>
        <v>#VALUE!</v>
      </c>
      <c r="H36" s="136" t="e">
        <f aca="false">Cashflow!I52+Cashflow!I53</f>
        <v>#VALUE!</v>
      </c>
      <c r="I36" s="136" t="e">
        <f aca="false">Cashflow!J52+Cashflow!J53</f>
        <v>#VALUE!</v>
      </c>
      <c r="J36" s="136" t="e">
        <f aca="false">Cashflow!K52+Cashflow!K53</f>
        <v>#VALUE!</v>
      </c>
      <c r="K36" s="136" t="e">
        <f aca="false">Cashflow!L52+Cashflow!L53</f>
        <v>#VALUE!</v>
      </c>
      <c r="L36" s="136" t="e">
        <f aca="false">Cashflow!M52+Cashflow!M53</f>
        <v>#VALUE!</v>
      </c>
      <c r="M36" s="136" t="e">
        <f aca="false">Cashflow!N52+Cashflow!N53</f>
        <v>#VALUE!</v>
      </c>
      <c r="N36" s="136" t="e">
        <f aca="false">Cashflow!O52+Cashflow!O53</f>
        <v>#VALUE!</v>
      </c>
      <c r="O36" s="136" t="e">
        <f aca="false">Cashflow!P52+Cashflow!P53</f>
        <v>#VALUE!</v>
      </c>
      <c r="P36" s="136" t="e">
        <f aca="false">Cashflow!Q52+Cashflow!Q53</f>
        <v>#VALUE!</v>
      </c>
      <c r="Q36" s="136" t="e">
        <f aca="false">Cashflow!R52+Cashflow!R53</f>
        <v>#VALUE!</v>
      </c>
      <c r="R36" s="136" t="e">
        <f aca="false">Cashflow!S52+Cashflow!S53</f>
        <v>#VALUE!</v>
      </c>
      <c r="S36" s="136" t="e">
        <f aca="false">Cashflow!T52+Cashflow!T53</f>
        <v>#VALUE!</v>
      </c>
      <c r="T36" s="136" t="e">
        <f aca="false">Cashflow!U52+Cashflow!U53</f>
        <v>#VALUE!</v>
      </c>
      <c r="U36" s="136" t="e">
        <f aca="false">Cashflow!V52+Cashflow!V53</f>
        <v>#VALUE!</v>
      </c>
      <c r="V36" s="136" t="e">
        <f aca="false">Cashflow!W52+Cashflow!W53</f>
        <v>#DIV/0!</v>
      </c>
      <c r="W36" s="136" t="e">
        <f aca="false">Cashflow!X52+Cashflow!X53</f>
        <v>#DIV/0!</v>
      </c>
      <c r="X36" s="136" t="n">
        <f aca="false">Cashflow!Y52+Cashflow!Y53</f>
        <v>0</v>
      </c>
      <c r="Y36" s="136" t="n">
        <f aca="false">Cashflow!Z52+Cashflow!Z53</f>
        <v>0</v>
      </c>
      <c r="Z36" s="136" t="n">
        <f aca="false">Cashflow!AA52+Cashflow!AA53</f>
        <v>0</v>
      </c>
      <c r="AA36" s="136" t="n">
        <f aca="false">Cashflow!AB52+Cashflow!AB53</f>
        <v>0</v>
      </c>
      <c r="AB36" s="136" t="n">
        <f aca="false">Cashflow!AC52+Cashflow!AC53</f>
        <v>0</v>
      </c>
      <c r="AC36" s="136" t="n">
        <f aca="false">Cashflow!AD52+Cashflow!AD53</f>
        <v>0</v>
      </c>
      <c r="AD36" s="136" t="n">
        <f aca="false">Cashflow!AE52+Cashflow!AE53</f>
        <v>0</v>
      </c>
    </row>
    <row r="37" customFormat="false" ht="11.25" hidden="false" customHeight="false" outlineLevel="0" collapsed="false">
      <c r="A37" s="153" t="s">
        <v>169</v>
      </c>
      <c r="B37" s="153"/>
      <c r="C37" s="136" t="n">
        <f aca="false">Cashflow!D54</f>
        <v>0</v>
      </c>
      <c r="D37" s="136" t="n">
        <f aca="false">Cashflow!E54</f>
        <v>0</v>
      </c>
      <c r="E37" s="136" t="n">
        <f aca="false">Cashflow!F54</f>
        <v>0</v>
      </c>
      <c r="F37" s="136" t="n">
        <f aca="false">Cashflow!G54</f>
        <v>0</v>
      </c>
      <c r="G37" s="136" t="n">
        <f aca="false">Cashflow!H54</f>
        <v>0</v>
      </c>
      <c r="H37" s="136" t="n">
        <f aca="false">Cashflow!I54</f>
        <v>0</v>
      </c>
      <c r="I37" s="136" t="n">
        <f aca="false">Cashflow!J54</f>
        <v>0</v>
      </c>
      <c r="J37" s="136" t="n">
        <f aca="false">Cashflow!K54</f>
        <v>0</v>
      </c>
      <c r="K37" s="136" t="n">
        <f aca="false">Cashflow!L54</f>
        <v>0</v>
      </c>
      <c r="L37" s="136" t="n">
        <f aca="false">Cashflow!M54</f>
        <v>0</v>
      </c>
      <c r="M37" s="136" t="n">
        <f aca="false">Cashflow!N54</f>
        <v>0</v>
      </c>
      <c r="N37" s="136" t="n">
        <f aca="false">Cashflow!O54</f>
        <v>0</v>
      </c>
      <c r="O37" s="136" t="n">
        <f aca="false">Cashflow!P54</f>
        <v>0</v>
      </c>
      <c r="P37" s="136" t="n">
        <f aca="false">Cashflow!Q54</f>
        <v>0</v>
      </c>
      <c r="Q37" s="136" t="n">
        <f aca="false">Cashflow!R54</f>
        <v>0</v>
      </c>
      <c r="R37" s="136" t="n">
        <f aca="false">Cashflow!S54</f>
        <v>0</v>
      </c>
      <c r="S37" s="136" t="n">
        <f aca="false">Cashflow!T54</f>
        <v>0</v>
      </c>
      <c r="T37" s="136" t="n">
        <f aca="false">Cashflow!U54</f>
        <v>0</v>
      </c>
      <c r="U37" s="136" t="n">
        <f aca="false">Cashflow!V54</f>
        <v>0</v>
      </c>
      <c r="V37" s="136" t="n">
        <f aca="false">Cashflow!W54</f>
        <v>0</v>
      </c>
      <c r="W37" s="136" t="n">
        <f aca="false">Cashflow!X54</f>
        <v>0</v>
      </c>
      <c r="X37" s="136" t="n">
        <f aca="false">Cashflow!Y54</f>
        <v>0</v>
      </c>
      <c r="Y37" s="136" t="n">
        <f aca="false">Cashflow!Z54</f>
        <v>0</v>
      </c>
      <c r="Z37" s="136" t="n">
        <f aca="false">Cashflow!AA54</f>
        <v>0</v>
      </c>
      <c r="AA37" s="136" t="n">
        <f aca="false">Cashflow!AB54</f>
        <v>0</v>
      </c>
      <c r="AB37" s="136" t="n">
        <f aca="false">Cashflow!AC54</f>
        <v>0</v>
      </c>
      <c r="AC37" s="136" t="n">
        <f aca="false">Cashflow!AD54</f>
        <v>0</v>
      </c>
      <c r="AD37" s="136" t="n">
        <f aca="false">Cashflow!AE54</f>
        <v>0</v>
      </c>
    </row>
    <row r="38" customFormat="false" ht="11.25" hidden="false" customHeight="false" outlineLevel="0" collapsed="false">
      <c r="A38" s="114" t="s">
        <v>170</v>
      </c>
      <c r="B38" s="114"/>
      <c r="C38" s="114"/>
      <c r="D38" s="114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</row>
    <row r="39" customFormat="false" ht="11.25" hidden="false" customHeight="false" outlineLevel="0" collapsed="false">
      <c r="A39" s="153" t="s">
        <v>171</v>
      </c>
      <c r="B39" s="153"/>
      <c r="C39" s="136" t="n">
        <f aca="false">C13</f>
        <v>1200.427004419</v>
      </c>
      <c r="D39" s="136" t="n">
        <f aca="false">D13</f>
        <v>7202.56202651401</v>
      </c>
      <c r="E39" s="136" t="n">
        <f aca="false">E13</f>
        <v>7202.56202651401</v>
      </c>
      <c r="F39" s="136" t="n">
        <f aca="false">F13</f>
        <v>7202.56202651401</v>
      </c>
      <c r="G39" s="136" t="n">
        <f aca="false">G13</f>
        <v>7202.56202651401</v>
      </c>
      <c r="H39" s="136" t="n">
        <f aca="false">H13</f>
        <v>7202.56202651401</v>
      </c>
      <c r="I39" s="136" t="n">
        <f aca="false">I13</f>
        <v>7202.56202651401</v>
      </c>
      <c r="J39" s="136" t="n">
        <f aca="false">J13</f>
        <v>7202.56202651401</v>
      </c>
      <c r="K39" s="136" t="n">
        <f aca="false">K13</f>
        <v>7202.56202651401</v>
      </c>
      <c r="L39" s="136" t="n">
        <f aca="false">L13</f>
        <v>7202.56202651401</v>
      </c>
      <c r="M39" s="136" t="n">
        <f aca="false">M13</f>
        <v>7202.56202651401</v>
      </c>
      <c r="N39" s="136" t="n">
        <f aca="false">N13</f>
        <v>7202.56202651401</v>
      </c>
      <c r="O39" s="136" t="n">
        <f aca="false">O13</f>
        <v>7202.56202651401</v>
      </c>
      <c r="P39" s="136" t="n">
        <f aca="false">P13</f>
        <v>7202.56202651401</v>
      </c>
      <c r="Q39" s="136" t="n">
        <f aca="false">Q13</f>
        <v>7202.56202651401</v>
      </c>
      <c r="R39" s="136" t="n">
        <f aca="false">R13</f>
        <v>7202.56202651401</v>
      </c>
      <c r="S39" s="136" t="n">
        <f aca="false">S13</f>
        <v>0</v>
      </c>
      <c r="T39" s="136" t="n">
        <f aca="false">T13</f>
        <v>0</v>
      </c>
      <c r="U39" s="136" t="n">
        <f aca="false">U13</f>
        <v>0</v>
      </c>
      <c r="V39" s="136" t="n">
        <f aca="false">V13</f>
        <v>0</v>
      </c>
      <c r="W39" s="136" t="n">
        <f aca="false">W13</f>
        <v>0</v>
      </c>
      <c r="X39" s="136" t="n">
        <f aca="false">X13</f>
        <v>0</v>
      </c>
      <c r="Y39" s="136" t="n">
        <f aca="false">Y13</f>
        <v>0</v>
      </c>
      <c r="Z39" s="136" t="n">
        <f aca="false">Z13</f>
        <v>0</v>
      </c>
      <c r="AA39" s="136" t="n">
        <f aca="false">AA13</f>
        <v>0</v>
      </c>
      <c r="AB39" s="136" t="n">
        <f aca="false">AB13</f>
        <v>0</v>
      </c>
      <c r="AC39" s="136" t="n">
        <f aca="false">AC13</f>
        <v>0</v>
      </c>
      <c r="AD39" s="136" t="n">
        <f aca="false">AD13</f>
        <v>0</v>
      </c>
    </row>
    <row r="40" customFormat="false" ht="11.25" hidden="false" customHeight="false" outlineLevel="0" collapsed="false">
      <c r="A40" s="153" t="s">
        <v>172</v>
      </c>
      <c r="B40" s="153"/>
      <c r="C40" s="153"/>
      <c r="D40" s="153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14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14"/>
      <c r="DU40" s="114"/>
      <c r="DV40" s="114"/>
      <c r="DW40" s="114"/>
      <c r="DX40" s="114"/>
      <c r="DY40" s="114"/>
      <c r="DZ40" s="114"/>
      <c r="EA40" s="114"/>
      <c r="EB40" s="114"/>
      <c r="EC40" s="114"/>
      <c r="ED40" s="114"/>
      <c r="EE40" s="114"/>
      <c r="EF40" s="114"/>
      <c r="EG40" s="114"/>
      <c r="EH40" s="114"/>
      <c r="EI40" s="114"/>
      <c r="EJ40" s="114"/>
      <c r="EK40" s="114"/>
      <c r="EL40" s="114"/>
      <c r="EM40" s="114"/>
      <c r="EN40" s="114"/>
      <c r="EO40" s="114"/>
      <c r="EP40" s="114"/>
      <c r="EQ40" s="114"/>
      <c r="ER40" s="114"/>
      <c r="ES40" s="114"/>
      <c r="ET40" s="114"/>
      <c r="EU40" s="114"/>
      <c r="EV40" s="114"/>
      <c r="EW40" s="114"/>
      <c r="EX40" s="114"/>
      <c r="EY40" s="114"/>
      <c r="EZ40" s="114"/>
      <c r="FA40" s="114"/>
      <c r="FB40" s="114"/>
      <c r="FC40" s="114"/>
      <c r="FD40" s="114"/>
      <c r="FE40" s="114"/>
      <c r="FF40" s="114"/>
      <c r="FG40" s="114"/>
      <c r="FH40" s="114"/>
      <c r="FI40" s="114"/>
      <c r="FJ40" s="114"/>
      <c r="FK40" s="114"/>
      <c r="FL40" s="114"/>
      <c r="FM40" s="114"/>
      <c r="FN40" s="114"/>
      <c r="FO40" s="114"/>
      <c r="FP40" s="114"/>
      <c r="FQ40" s="114"/>
      <c r="FR40" s="114"/>
      <c r="FS40" s="114"/>
      <c r="FT40" s="114"/>
      <c r="FU40" s="114"/>
      <c r="FV40" s="114"/>
      <c r="FW40" s="114"/>
      <c r="FX40" s="114"/>
      <c r="FY40" s="114"/>
      <c r="FZ40" s="114"/>
      <c r="GA40" s="114"/>
      <c r="GB40" s="114"/>
      <c r="GC40" s="114"/>
      <c r="GD40" s="114"/>
      <c r="GE40" s="114"/>
      <c r="GF40" s="114"/>
      <c r="GG40" s="114"/>
      <c r="GH40" s="114"/>
      <c r="GI40" s="114"/>
      <c r="GJ40" s="114"/>
      <c r="GK40" s="114"/>
      <c r="GL40" s="114"/>
      <c r="GM40" s="114"/>
      <c r="GN40" s="114"/>
      <c r="GO40" s="114"/>
      <c r="GP40" s="114"/>
      <c r="GQ40" s="114"/>
      <c r="GR40" s="114"/>
      <c r="GS40" s="114"/>
      <c r="GT40" s="114"/>
      <c r="GU40" s="114"/>
      <c r="GV40" s="114"/>
      <c r="GW40" s="114"/>
      <c r="GX40" s="114"/>
      <c r="GY40" s="114"/>
      <c r="GZ40" s="114"/>
      <c r="HA40" s="114"/>
      <c r="HB40" s="114"/>
      <c r="HC40" s="114"/>
      <c r="HD40" s="114"/>
      <c r="HE40" s="114"/>
      <c r="HF40" s="114"/>
      <c r="HG40" s="114"/>
      <c r="HH40" s="114"/>
      <c r="HI40" s="114"/>
      <c r="HJ40" s="114"/>
      <c r="HK40" s="114"/>
      <c r="HL40" s="114"/>
      <c r="HM40" s="114"/>
      <c r="HN40" s="114"/>
      <c r="HO40" s="114"/>
      <c r="HP40" s="114"/>
      <c r="HQ40" s="114"/>
      <c r="HR40" s="114"/>
      <c r="HS40" s="114"/>
      <c r="HT40" s="114"/>
      <c r="HU40" s="114"/>
      <c r="HV40" s="114"/>
      <c r="HW40" s="114"/>
      <c r="HX40" s="114"/>
      <c r="HY40" s="114"/>
      <c r="HZ40" s="114"/>
      <c r="IA40" s="114"/>
      <c r="IB40" s="114"/>
      <c r="IC40" s="114"/>
      <c r="ID40" s="114"/>
      <c r="IE40" s="114"/>
      <c r="IF40" s="114"/>
      <c r="IG40" s="114"/>
      <c r="IH40" s="114"/>
      <c r="II40" s="114"/>
      <c r="IJ40" s="114"/>
      <c r="IK40" s="114"/>
      <c r="IL40" s="114"/>
      <c r="IM40" s="114"/>
      <c r="IN40" s="114"/>
      <c r="IO40" s="114"/>
      <c r="IP40" s="114"/>
      <c r="IQ40" s="114"/>
      <c r="IR40" s="114"/>
      <c r="IS40" s="114"/>
      <c r="IT40" s="114"/>
      <c r="IU40" s="114"/>
      <c r="IV40" s="114"/>
      <c r="IW40" s="114"/>
    </row>
    <row r="41" customFormat="false" ht="11.25" hidden="false" customHeight="false" outlineLevel="0" collapsed="false">
      <c r="A41" s="153" t="s">
        <v>173</v>
      </c>
      <c r="B41" s="114"/>
      <c r="C41" s="136" t="e">
        <f aca="false">C21</f>
        <v>#VALUE!</v>
      </c>
      <c r="D41" s="136" t="e">
        <f aca="false">D21</f>
        <v>#VALUE!</v>
      </c>
      <c r="E41" s="136" t="e">
        <f aca="false">E21</f>
        <v>#VALUE!</v>
      </c>
      <c r="F41" s="136" t="e">
        <f aca="false">F21</f>
        <v>#VALUE!</v>
      </c>
      <c r="G41" s="136" t="e">
        <f aca="false">G21</f>
        <v>#VALUE!</v>
      </c>
      <c r="H41" s="136" t="e">
        <f aca="false">H21</f>
        <v>#VALUE!</v>
      </c>
      <c r="I41" s="136" t="e">
        <f aca="false">I21</f>
        <v>#VALUE!</v>
      </c>
      <c r="J41" s="136" t="e">
        <f aca="false">J21</f>
        <v>#VALUE!</v>
      </c>
      <c r="K41" s="136" t="e">
        <f aca="false">K21</f>
        <v>#VALUE!</v>
      </c>
      <c r="L41" s="136" t="e">
        <f aca="false">L21</f>
        <v>#VALUE!</v>
      </c>
      <c r="M41" s="136" t="e">
        <f aca="false">M21</f>
        <v>#VALUE!</v>
      </c>
      <c r="N41" s="136" t="e">
        <f aca="false">N21</f>
        <v>#VALUE!</v>
      </c>
      <c r="O41" s="136" t="e">
        <f aca="false">O21</f>
        <v>#VALUE!</v>
      </c>
      <c r="P41" s="136" t="e">
        <f aca="false">P21</f>
        <v>#VALUE!</v>
      </c>
      <c r="Q41" s="136" t="e">
        <f aca="false">Q21</f>
        <v>#VALUE!</v>
      </c>
      <c r="R41" s="136" t="e">
        <f aca="false">R21</f>
        <v>#VALUE!</v>
      </c>
      <c r="S41" s="136" t="n">
        <f aca="false">S21</f>
        <v>0</v>
      </c>
      <c r="T41" s="136" t="n">
        <f aca="false">T21</f>
        <v>0</v>
      </c>
      <c r="U41" s="136" t="n">
        <f aca="false">U21</f>
        <v>0</v>
      </c>
      <c r="V41" s="136" t="n">
        <f aca="false">V21</f>
        <v>0</v>
      </c>
      <c r="W41" s="136" t="n">
        <f aca="false">W21</f>
        <v>0</v>
      </c>
      <c r="X41" s="136" t="n">
        <f aca="false">X21</f>
        <v>0</v>
      </c>
      <c r="Y41" s="136" t="n">
        <f aca="false">Y21</f>
        <v>0</v>
      </c>
      <c r="Z41" s="136" t="n">
        <f aca="false">Z21</f>
        <v>0</v>
      </c>
      <c r="AA41" s="136" t="n">
        <f aca="false">AA21</f>
        <v>0</v>
      </c>
      <c r="AB41" s="136" t="n">
        <f aca="false">AB21</f>
        <v>0</v>
      </c>
      <c r="AC41" s="136" t="n">
        <f aca="false">AC21</f>
        <v>0</v>
      </c>
      <c r="AD41" s="136" t="n">
        <f aca="false">AD21</f>
        <v>0</v>
      </c>
    </row>
    <row r="42" customFormat="false" ht="12.75" hidden="false" customHeight="true" outlineLevel="0" collapsed="false">
      <c r="A42" s="114"/>
      <c r="B42" s="114"/>
      <c r="C42" s="126" t="e">
        <f aca="false">C33+SUM(C36:C37)-SUM(C39:C41)</f>
        <v>#VALUE!</v>
      </c>
      <c r="D42" s="126" t="e">
        <f aca="false">D33+SUM(D36:D37)-SUM(D39:D41)</f>
        <v>#VALUE!</v>
      </c>
      <c r="E42" s="126" t="e">
        <f aca="false">E33+SUM(E36:E37)-SUM(E39:E41)</f>
        <v>#VALUE!</v>
      </c>
      <c r="F42" s="126" t="e">
        <f aca="false">F33+SUM(F35:F37)-SUM(F39:F41)</f>
        <v>#VALUE!</v>
      </c>
      <c r="G42" s="126" t="e">
        <f aca="false">G33+SUM(G36:G37)-SUM(G39:G41)</f>
        <v>#VALUE!</v>
      </c>
      <c r="H42" s="126" t="e">
        <f aca="false">H33+SUM(H36:H37)-SUM(H39:H41)</f>
        <v>#VALUE!</v>
      </c>
      <c r="I42" s="126" t="e">
        <f aca="false">I33+SUM(I36:I37)-SUM(I39:I41)</f>
        <v>#VALUE!</v>
      </c>
      <c r="J42" s="126" t="e">
        <f aca="false">J33+SUM(J36:J37)-SUM(J39:J41)</f>
        <v>#VALUE!</v>
      </c>
      <c r="K42" s="126" t="e">
        <f aca="false">K33+SUM(K36:K37)-SUM(K39:K41)</f>
        <v>#VALUE!</v>
      </c>
      <c r="L42" s="126" t="e">
        <f aca="false">L33+SUM(L36:L37)-SUM(L39:L41)</f>
        <v>#VALUE!</v>
      </c>
      <c r="M42" s="126" t="e">
        <f aca="false">M33+SUM(M36:M37)-SUM(M39:M41)</f>
        <v>#VALUE!</v>
      </c>
      <c r="N42" s="126" t="e">
        <f aca="false">N33+SUM(N36:N37)-SUM(N39:N41)</f>
        <v>#VALUE!</v>
      </c>
      <c r="O42" s="126" t="e">
        <f aca="false">O33+SUM(O36:O37)-SUM(O39:O41)</f>
        <v>#VALUE!</v>
      </c>
      <c r="P42" s="126" t="e">
        <f aca="false">P33+SUM(P36:P37)-SUM(P39:P41)</f>
        <v>#VALUE!</v>
      </c>
      <c r="Q42" s="126" t="e">
        <f aca="false">Q33+SUM(Q36:Q37)-SUM(Q39:Q41)</f>
        <v>#VALUE!</v>
      </c>
      <c r="R42" s="126" t="e">
        <f aca="false">R33+SUM(R36:R37)-SUM(R39:R41)</f>
        <v>#VALUE!</v>
      </c>
      <c r="S42" s="126" t="e">
        <f aca="false">S33+SUM(S36:S37)-SUM(S39:S41)</f>
        <v>#VALUE!</v>
      </c>
      <c r="T42" s="126" t="e">
        <f aca="false">T33+SUM(T36:T37)-SUM(T39:T41)</f>
        <v>#VALUE!</v>
      </c>
      <c r="U42" s="126" t="e">
        <f aca="false">U33+SUM(U36:U37)-SUM(U39:U41)</f>
        <v>#VALUE!</v>
      </c>
      <c r="V42" s="126" t="e">
        <f aca="false">V33+SUM(V36:V37)-SUM(V39:V41)</f>
        <v>#DIV/0!</v>
      </c>
      <c r="W42" s="126" t="e">
        <f aca="false">W33+SUM(W36:W37)-SUM(W39:W41)</f>
        <v>#DIV/0!</v>
      </c>
      <c r="X42" s="126" t="n">
        <f aca="false">X33+SUM(X36:X37)-SUM(X39:X41)</f>
        <v>0</v>
      </c>
      <c r="Y42" s="126" t="n">
        <f aca="false">Y33+SUM(Y36:Y37)-SUM(Y39:Y41)</f>
        <v>0</v>
      </c>
      <c r="Z42" s="126" t="n">
        <f aca="false">Z33+SUM(Z36:Z37)-SUM(Z39:Z41)</f>
        <v>0</v>
      </c>
      <c r="AA42" s="126" t="n">
        <f aca="false">AA33+SUM(AA36:AA37)-SUM(AA39:AA41)</f>
        <v>0</v>
      </c>
      <c r="AB42" s="126" t="n">
        <f aca="false">AB33+SUM(AB36:AB37)-SUM(AB39:AB41)</f>
        <v>0</v>
      </c>
      <c r="AC42" s="126" t="n">
        <f aca="false">AC33+SUM(AC36:AC37)-SUM(AC39:AC41)</f>
        <v>0</v>
      </c>
      <c r="AD42" s="126" t="n">
        <f aca="false">AD33+SUM(AD36:AD37)-SUM(AD39:AD41)</f>
        <v>0</v>
      </c>
    </row>
    <row r="43" customFormat="false" ht="12.75" hidden="false" customHeight="false" outlineLevel="0" collapsed="false">
      <c r="B43" s="149"/>
      <c r="C43" s="149"/>
      <c r="D43" s="149"/>
      <c r="E43" s="212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</row>
    <row r="44" customFormat="false" ht="12.75" hidden="false" customHeight="false" outlineLevel="0" collapsed="false">
      <c r="A44" s="149" t="s">
        <v>174</v>
      </c>
      <c r="B44" s="153"/>
      <c r="C44" s="136" t="e">
        <f aca="false">C23-C42</f>
        <v>#VALUE!</v>
      </c>
      <c r="D44" s="136" t="e">
        <f aca="false">D23-D42</f>
        <v>#VALUE!</v>
      </c>
      <c r="E44" s="136" t="e">
        <f aca="false">E23-E42</f>
        <v>#VALUE!</v>
      </c>
      <c r="F44" s="136" t="e">
        <f aca="false">F23-F42</f>
        <v>#VALUE!</v>
      </c>
      <c r="G44" s="136" t="e">
        <f aca="false">G23-G42</f>
        <v>#VALUE!</v>
      </c>
      <c r="H44" s="136" t="e">
        <f aca="false">H23-H42</f>
        <v>#VALUE!</v>
      </c>
      <c r="I44" s="136" t="e">
        <f aca="false">I23-I42</f>
        <v>#VALUE!</v>
      </c>
      <c r="J44" s="136" t="e">
        <f aca="false">J23-J42</f>
        <v>#VALUE!</v>
      </c>
      <c r="K44" s="136" t="e">
        <f aca="false">K23-K42</f>
        <v>#VALUE!</v>
      </c>
      <c r="L44" s="136" t="e">
        <f aca="false">L23-L42</f>
        <v>#VALUE!</v>
      </c>
      <c r="M44" s="136" t="e">
        <f aca="false">M23-M42</f>
        <v>#VALUE!</v>
      </c>
      <c r="N44" s="136" t="e">
        <f aca="false">N23-N42</f>
        <v>#VALUE!</v>
      </c>
      <c r="O44" s="136" t="e">
        <f aca="false">O23-O42</f>
        <v>#VALUE!</v>
      </c>
      <c r="P44" s="136" t="e">
        <f aca="false">P23-P42</f>
        <v>#VALUE!</v>
      </c>
      <c r="Q44" s="136" t="e">
        <f aca="false">Q23-Q42</f>
        <v>#VALUE!</v>
      </c>
      <c r="R44" s="136" t="e">
        <f aca="false">R23-R42</f>
        <v>#VALUE!</v>
      </c>
      <c r="S44" s="136" t="e">
        <f aca="false">S23-S42</f>
        <v>#VALUE!</v>
      </c>
      <c r="T44" s="136" t="e">
        <f aca="false">T23-T42</f>
        <v>#VALUE!</v>
      </c>
      <c r="U44" s="136" t="e">
        <f aca="false">U23-U42</f>
        <v>#VALUE!</v>
      </c>
      <c r="V44" s="136" t="e">
        <f aca="false">V23-V42</f>
        <v>#DIV/0!</v>
      </c>
      <c r="W44" s="136" t="e">
        <f aca="false">W23-W42</f>
        <v>#DIV/0!</v>
      </c>
      <c r="X44" s="136" t="n">
        <f aca="false">X23-X42</f>
        <v>0</v>
      </c>
      <c r="Y44" s="136" t="n">
        <f aca="false">Y23-Y42</f>
        <v>0</v>
      </c>
      <c r="Z44" s="136" t="n">
        <f aca="false">Z23-Z42</f>
        <v>0</v>
      </c>
      <c r="AA44" s="136" t="n">
        <f aca="false">AA23-AA42</f>
        <v>0</v>
      </c>
      <c r="AB44" s="136" t="n">
        <f aca="false">AB23-AB42</f>
        <v>0</v>
      </c>
      <c r="AC44" s="136" t="n">
        <f aca="false">AC23-AC42</f>
        <v>0</v>
      </c>
      <c r="AD44" s="136" t="n">
        <f aca="false">AD23-AD42</f>
        <v>0</v>
      </c>
    </row>
    <row r="45" customFormat="false" ht="11.25" hidden="false" customHeight="false" outlineLevel="0" collapsed="false">
      <c r="A45" s="153"/>
      <c r="B45" s="153"/>
      <c r="C45" s="153"/>
      <c r="D45" s="153"/>
      <c r="E45" s="13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  <c r="AB45" s="126"/>
      <c r="AC45" s="126"/>
      <c r="AD45" s="126"/>
    </row>
    <row r="46" customFormat="false" ht="11.25" hidden="false" customHeight="false" outlineLevel="0" collapsed="false">
      <c r="A46" s="153"/>
      <c r="B46" s="153"/>
      <c r="C46" s="153"/>
      <c r="D46" s="153"/>
      <c r="E46" s="13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</row>
    <row r="47" customFormat="false" ht="11.25" hidden="false" customHeight="false" outlineLevel="0" collapsed="false">
      <c r="A47" s="114"/>
      <c r="B47" s="114"/>
      <c r="C47" s="114"/>
      <c r="D47" s="114"/>
      <c r="E47" s="13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6"/>
      <c r="AC47" s="126"/>
      <c r="AD47" s="126"/>
    </row>
    <row r="48" customFormat="false" ht="12" hidden="false" customHeight="false" outlineLevel="0" collapsed="false">
      <c r="A48" s="213"/>
      <c r="B48" s="213"/>
      <c r="C48" s="213"/>
      <c r="D48" s="213"/>
      <c r="E48" s="13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  <c r="AC48" s="126"/>
      <c r="AD48" s="126"/>
    </row>
    <row r="49" customFormat="false" ht="6.75" hidden="false" customHeight="true" outlineLevel="0" collapsed="false">
      <c r="A49" s="114"/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</row>
    <row r="50" customFormat="false" ht="11.25" hidden="false" customHeight="false" outlineLevel="0" collapsed="false">
      <c r="A50" s="214"/>
      <c r="B50" s="214"/>
      <c r="C50" s="214"/>
      <c r="D50" s="214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</row>
    <row r="51" customFormat="false" ht="11.25" hidden="false" customHeight="false" outlineLevel="0" collapsed="false">
      <c r="A51" s="114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</row>
    <row r="52" customFormat="false" ht="11.25" hidden="false" customHeight="false" outlineLevel="0" collapsed="false">
      <c r="A52" s="114"/>
      <c r="B52" s="114"/>
      <c r="C52" s="114"/>
      <c r="D52" s="114"/>
      <c r="E52" s="114"/>
      <c r="F52" s="136"/>
      <c r="G52" s="126"/>
      <c r="H52" s="136"/>
      <c r="I52" s="114"/>
      <c r="J52" s="126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36"/>
      <c r="W52" s="114"/>
      <c r="X52" s="114"/>
      <c r="Y52" s="114"/>
      <c r="Z52" s="114"/>
      <c r="AA52" s="114"/>
      <c r="AB52" s="114"/>
      <c r="AC52" s="114"/>
      <c r="AD52" s="114"/>
    </row>
    <row r="53" customFormat="false" ht="11.25" hidden="false" customHeight="false" outlineLevel="0" collapsed="false">
      <c r="A53" s="114"/>
      <c r="B53" s="114"/>
      <c r="C53" s="114"/>
      <c r="D53" s="114"/>
      <c r="E53" s="114"/>
      <c r="F53" s="114"/>
      <c r="G53" s="114"/>
      <c r="H53" s="136"/>
      <c r="I53" s="136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</row>
    <row r="54" customFormat="false" ht="11.25" hidden="false" customHeight="false" outlineLevel="0" collapsed="false">
      <c r="A54" s="114"/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</row>
    <row r="55" customFormat="false" ht="11.25" hidden="false" customHeight="false" outlineLevel="0" collapsed="false">
      <c r="A55" s="114"/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</row>
    <row r="56" customFormat="false" ht="11.25" hidden="false" customHeight="false" outlineLevel="0" collapsed="false">
      <c r="A56" s="114"/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</row>
    <row r="57" customFormat="false" ht="11.25" hidden="false" customHeight="false" outlineLevel="0" collapsed="false">
      <c r="A57" s="114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</row>
    <row r="58" customFormat="false" ht="11.25" hidden="false" customHeight="false" outlineLevel="0" collapsed="false">
      <c r="A58" s="114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</row>
    <row r="59" customFormat="false" ht="11.25" hidden="false" customHeight="false" outlineLevel="0" collapsed="false">
      <c r="A59" s="114"/>
      <c r="B59" s="114"/>
      <c r="C59" s="114"/>
      <c r="D59" s="114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</row>
    <row r="60" customFormat="false" ht="11.25" hidden="false" customHeight="false" outlineLevel="0" collapsed="false">
      <c r="A60" s="114"/>
      <c r="B60" s="114"/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</row>
    <row r="61" customFormat="false" ht="11.25" hidden="false" customHeight="false" outlineLevel="0" collapsed="false">
      <c r="A61" s="114"/>
      <c r="B61" s="114"/>
      <c r="C61" s="114"/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</row>
    <row r="62" customFormat="false" ht="11.25" hidden="false" customHeight="false" outlineLevel="0" collapsed="false">
      <c r="A62" s="114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</row>
    <row r="63" customFormat="false" ht="11.25" hidden="false" customHeight="false" outlineLevel="0" collapsed="false">
      <c r="A63" s="114"/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</row>
    <row r="64" customFormat="false" ht="11.25" hidden="false" customHeight="false" outlineLevel="0" collapsed="false">
      <c r="A64" s="114"/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</row>
    <row r="65" customFormat="false" ht="11.25" hidden="false" customHeight="false" outlineLevel="0" collapsed="false">
      <c r="A65" s="114"/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4"/>
      <c r="AC65" s="114"/>
      <c r="AD65" s="114"/>
    </row>
    <row r="66" customFormat="false" ht="11.25" hidden="false" customHeight="false" outlineLevel="0" collapsed="false">
      <c r="A66" s="114"/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  <c r="AA66" s="114"/>
      <c r="AB66" s="114"/>
      <c r="AC66" s="114"/>
      <c r="AD66" s="114"/>
    </row>
    <row r="67" customFormat="false" ht="11.25" hidden="false" customHeight="false" outlineLevel="0" collapsed="false">
      <c r="A67" s="114"/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</row>
    <row r="68" customFormat="false" ht="11.25" hidden="false" customHeight="false" outlineLevel="0" collapsed="false">
      <c r="A68" s="114"/>
      <c r="B68" s="114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  <c r="AA68" s="114"/>
      <c r="AB68" s="114"/>
      <c r="AC68" s="114"/>
      <c r="AD68" s="114"/>
    </row>
    <row r="69" customFormat="false" ht="11.25" hidden="false" customHeight="false" outlineLevel="0" collapsed="false">
      <c r="A69" s="114"/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</row>
    <row r="70" customFormat="false" ht="11.25" hidden="false" customHeight="false" outlineLevel="0" collapsed="false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</row>
    <row r="71" customFormat="false" ht="11.25" hidden="false" customHeight="false" outlineLevel="0" collapsed="false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</row>
    <row r="72" customFormat="false" ht="11.25" hidden="false" customHeight="false" outlineLevel="0" collapsed="false">
      <c r="A72" s="114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</row>
    <row r="73" customFormat="false" ht="11.25" hidden="false" customHeight="false" outlineLevel="0" collapsed="false">
      <c r="A73" s="114"/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</row>
    <row r="74" customFormat="false" ht="11.25" hidden="false" customHeight="false" outlineLevel="0" collapsed="false">
      <c r="A74" s="114"/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</row>
    <row r="75" customFormat="false" ht="11.25" hidden="false" customHeight="false" outlineLevel="0" collapsed="false">
      <c r="A75" s="114"/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  <c r="AA75" s="114"/>
      <c r="AB75" s="114"/>
      <c r="AC75" s="114"/>
      <c r="AD75" s="114"/>
    </row>
    <row r="76" customFormat="false" ht="11.25" hidden="false" customHeight="false" outlineLevel="0" collapsed="false">
      <c r="A76" s="114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4"/>
      <c r="AB76" s="114"/>
      <c r="AC76" s="114"/>
      <c r="AD76" s="114"/>
    </row>
    <row r="77" customFormat="false" ht="11.25" hidden="false" customHeight="false" outlineLevel="0" collapsed="false">
      <c r="A77" s="114"/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</row>
    <row r="78" customFormat="false" ht="11.25" hidden="false" customHeight="false" outlineLevel="0" collapsed="false">
      <c r="A78" s="114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</row>
    <row r="79" customFormat="false" ht="11.25" hidden="false" customHeight="false" outlineLevel="0" collapsed="false">
      <c r="A79" s="114"/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</row>
    <row r="80" customFormat="false" ht="11.25" hidden="false" customHeight="false" outlineLevel="0" collapsed="false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4"/>
      <c r="AB80" s="114"/>
      <c r="AC80" s="114"/>
      <c r="AD80" s="114"/>
    </row>
    <row r="81" customFormat="false" ht="11.25" hidden="false" customHeight="false" outlineLevel="0" collapsed="false">
      <c r="A81" s="114"/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4"/>
      <c r="AB81" s="114"/>
      <c r="AC81" s="114"/>
      <c r="AD81" s="114"/>
    </row>
    <row r="82" customFormat="false" ht="11.25" hidden="false" customHeight="false" outlineLevel="0" collapsed="false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4"/>
      <c r="Z82" s="114"/>
      <c r="AA82" s="114"/>
      <c r="AB82" s="114"/>
      <c r="AC82" s="114"/>
      <c r="AD82" s="114"/>
    </row>
    <row r="83" customFormat="false" ht="11.25" hidden="false" customHeight="false" outlineLevel="0" collapsed="false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4"/>
      <c r="AB83" s="114"/>
      <c r="AC83" s="114"/>
      <c r="AD83" s="114"/>
    </row>
    <row r="84" customFormat="false" ht="11.25" hidden="false" customHeight="false" outlineLevel="0" collapsed="false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  <c r="AA84" s="114"/>
      <c r="AB84" s="114"/>
      <c r="AC84" s="114"/>
      <c r="AD84" s="114"/>
    </row>
    <row r="85" customFormat="false" ht="11.25" hidden="false" customHeight="false" outlineLevel="0" collapsed="false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114"/>
    </row>
    <row r="86" customFormat="false" ht="11.25" hidden="false" customHeight="false" outlineLevel="0" collapsed="false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4"/>
      <c r="Z86" s="114"/>
      <c r="AA86" s="114"/>
      <c r="AB86" s="114"/>
      <c r="AC86" s="114"/>
      <c r="AD86" s="114"/>
    </row>
    <row r="87" customFormat="false" ht="11.25" hidden="false" customHeight="false" outlineLevel="0" collapsed="false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  <c r="AA87" s="114"/>
      <c r="AB87" s="114"/>
      <c r="AC87" s="114"/>
      <c r="AD87" s="114"/>
    </row>
    <row r="88" customFormat="false" ht="11.25" hidden="false" customHeight="false" outlineLevel="0" collapsed="false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14"/>
      <c r="AA88" s="114"/>
      <c r="AB88" s="114"/>
      <c r="AC88" s="114"/>
      <c r="AD88" s="114"/>
    </row>
    <row r="89" customFormat="false" ht="11.25" hidden="false" customHeight="false" outlineLevel="0" collapsed="false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  <c r="AA89" s="114"/>
      <c r="AB89" s="114"/>
      <c r="AC89" s="114"/>
      <c r="AD89" s="114"/>
    </row>
    <row r="90" customFormat="false" ht="11.25" hidden="false" customHeight="false" outlineLevel="0" collapsed="false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  <c r="AA90" s="114"/>
      <c r="AB90" s="114"/>
      <c r="AC90" s="114"/>
      <c r="AD90" s="114"/>
    </row>
    <row r="91" customFormat="false" ht="11.25" hidden="false" customHeight="false" outlineLevel="0" collapsed="false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114"/>
      <c r="AB91" s="114"/>
      <c r="AC91" s="114"/>
      <c r="AD91" s="114"/>
    </row>
    <row r="92" customFormat="false" ht="11.25" hidden="false" customHeight="false" outlineLevel="0" collapsed="false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</row>
    <row r="93" customFormat="false" ht="11.25" hidden="false" customHeight="false" outlineLevel="0" collapsed="false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</row>
    <row r="94" customFormat="false" ht="11.25" hidden="false" customHeight="false" outlineLevel="0" collapsed="false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  <c r="AA94" s="114"/>
      <c r="AB94" s="114"/>
      <c r="AC94" s="114"/>
      <c r="AD94" s="114"/>
    </row>
    <row r="95" customFormat="false" ht="11.25" hidden="false" customHeight="false" outlineLevel="0" collapsed="false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</row>
    <row r="96" customFormat="false" ht="11.25" hidden="false" customHeight="false" outlineLevel="0" collapsed="false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</row>
    <row r="97" customFormat="false" ht="11.25" hidden="false" customHeight="false" outlineLevel="0" collapsed="false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</row>
    <row r="98" customFormat="false" ht="11.25" hidden="false" customHeight="false" outlineLevel="0" collapsed="false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</row>
    <row r="99" customFormat="false" ht="11.25" hidden="false" customHeight="false" outlineLevel="0" collapsed="false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  <c r="AA99" s="114"/>
      <c r="AB99" s="114"/>
      <c r="AC99" s="114"/>
      <c r="AD99" s="114"/>
    </row>
    <row r="100" customFormat="false" ht="11.25" hidden="false" customHeight="false" outlineLevel="0" collapsed="false">
      <c r="A100" s="114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14"/>
      <c r="AA100" s="114"/>
      <c r="AB100" s="114"/>
      <c r="AC100" s="114"/>
      <c r="AD100" s="114"/>
    </row>
    <row r="101" customFormat="false" ht="11.25" hidden="false" customHeight="false" outlineLevel="0" collapsed="false">
      <c r="A101" s="114"/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  <c r="L101" s="114"/>
      <c r="M101" s="114"/>
      <c r="N101" s="114"/>
      <c r="O101" s="114"/>
      <c r="P101" s="114"/>
      <c r="Q101" s="114"/>
      <c r="R101" s="114"/>
      <c r="S101" s="114"/>
      <c r="T101" s="114"/>
      <c r="U101" s="114"/>
      <c r="V101" s="114"/>
      <c r="W101" s="114"/>
      <c r="X101" s="114"/>
      <c r="Y101" s="114"/>
      <c r="Z101" s="114"/>
      <c r="AA101" s="114"/>
      <c r="AB101" s="114"/>
      <c r="AC101" s="114"/>
      <c r="AD101" s="114"/>
    </row>
    <row r="102" customFormat="false" ht="11.25" hidden="false" customHeight="false" outlineLevel="0" collapsed="false">
      <c r="A102" s="114"/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  <c r="L102" s="114"/>
      <c r="M102" s="114"/>
      <c r="N102" s="114"/>
      <c r="O102" s="114"/>
      <c r="P102" s="114"/>
      <c r="Q102" s="114"/>
      <c r="R102" s="114"/>
      <c r="S102" s="114"/>
      <c r="T102" s="114"/>
      <c r="U102" s="114"/>
      <c r="V102" s="114"/>
      <c r="W102" s="114"/>
      <c r="X102" s="114"/>
      <c r="Y102" s="114"/>
      <c r="Z102" s="114"/>
      <c r="AA102" s="114"/>
      <c r="AB102" s="114"/>
      <c r="AC102" s="114"/>
      <c r="AD102" s="114"/>
    </row>
    <row r="103" customFormat="false" ht="11.25" hidden="false" customHeight="false" outlineLevel="0" collapsed="false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  <c r="AA103" s="114"/>
      <c r="AB103" s="114"/>
      <c r="AC103" s="114"/>
      <c r="AD103" s="114"/>
    </row>
    <row r="104" customFormat="false" ht="11.25" hidden="false" customHeight="false" outlineLevel="0" collapsed="false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</row>
    <row r="105" customFormat="false" ht="11.25" hidden="false" customHeight="false" outlineLevel="0" collapsed="false">
      <c r="A105" s="114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114"/>
      <c r="AC105" s="114"/>
      <c r="AD105" s="114"/>
    </row>
    <row r="106" customFormat="false" ht="11.25" hidden="false" customHeight="false" outlineLevel="0" collapsed="false">
      <c r="A106" s="114"/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  <c r="AA106" s="114"/>
      <c r="AB106" s="114"/>
      <c r="AC106" s="114"/>
      <c r="AD106" s="114"/>
    </row>
    <row r="107" customFormat="false" ht="11.25" hidden="false" customHeight="false" outlineLevel="0" collapsed="false">
      <c r="A107" s="114"/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4"/>
      <c r="Z107" s="114"/>
      <c r="AA107" s="114"/>
      <c r="AB107" s="114"/>
      <c r="AC107" s="114"/>
      <c r="AD107" s="114"/>
    </row>
    <row r="108" customFormat="false" ht="11.25" hidden="false" customHeight="false" outlineLevel="0" collapsed="false">
      <c r="A108" s="114"/>
      <c r="B108" s="114"/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  <c r="AA108" s="114"/>
      <c r="AB108" s="114"/>
      <c r="AC108" s="114"/>
      <c r="AD108" s="114"/>
    </row>
    <row r="109" customFormat="false" ht="11.25" hidden="false" customHeight="false" outlineLevel="0" collapsed="false">
      <c r="A109" s="114"/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4"/>
      <c r="N109" s="114"/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  <c r="AA109" s="114"/>
      <c r="AB109" s="114"/>
      <c r="AC109" s="114"/>
      <c r="AD109" s="114"/>
    </row>
    <row r="110" customFormat="false" ht="11.25" hidden="false" customHeight="false" outlineLevel="0" collapsed="false">
      <c r="A110" s="114"/>
      <c r="B110" s="114"/>
      <c r="C110" s="114"/>
      <c r="D110" s="114"/>
      <c r="E110" s="114"/>
      <c r="F110" s="114"/>
      <c r="G110" s="114"/>
      <c r="H110" s="114"/>
      <c r="I110" s="114"/>
      <c r="J110" s="114"/>
      <c r="K110" s="114"/>
      <c r="L110" s="114"/>
      <c r="M110" s="114"/>
      <c r="N110" s="114"/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  <c r="AA110" s="114"/>
      <c r="AB110" s="114"/>
      <c r="AC110" s="114"/>
      <c r="AD110" s="114"/>
    </row>
    <row r="111" customFormat="false" ht="11.25" hidden="false" customHeight="false" outlineLevel="0" collapsed="false">
      <c r="A111" s="114"/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4"/>
      <c r="AD111" s="114"/>
    </row>
    <row r="112" customFormat="false" ht="11.25" hidden="false" customHeight="false" outlineLevel="0" collapsed="false">
      <c r="A112" s="114"/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  <c r="AA112" s="114"/>
      <c r="AB112" s="114"/>
      <c r="AC112" s="114"/>
      <c r="AD112" s="114"/>
    </row>
    <row r="113" customFormat="false" ht="11.25" hidden="false" customHeight="false" outlineLevel="0" collapsed="false">
      <c r="A113" s="114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  <c r="AA113" s="114"/>
      <c r="AB113" s="114"/>
      <c r="AC113" s="114"/>
      <c r="AD113" s="114"/>
    </row>
    <row r="114" customFormat="false" ht="11.25" hidden="false" customHeight="false" outlineLevel="0" collapsed="false">
      <c r="A114" s="114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</row>
    <row r="115" customFormat="false" ht="11.25" hidden="false" customHeight="false" outlineLevel="0" collapsed="false">
      <c r="A115" s="114"/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  <c r="AA115" s="114"/>
      <c r="AB115" s="114"/>
      <c r="AC115" s="114"/>
      <c r="AD115" s="114"/>
    </row>
    <row r="116" customFormat="false" ht="11.25" hidden="false" customHeight="false" outlineLevel="0" collapsed="false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  <c r="AA116" s="114"/>
      <c r="AB116" s="114"/>
      <c r="AC116" s="114"/>
      <c r="AD116" s="114"/>
    </row>
    <row r="117" customFormat="false" ht="11.25" hidden="false" customHeight="false" outlineLevel="0" collapsed="false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P117" s="114"/>
      <c r="Q117" s="114"/>
      <c r="R117" s="114"/>
      <c r="S117" s="114"/>
      <c r="T117" s="114"/>
      <c r="U117" s="114"/>
      <c r="V117" s="114"/>
      <c r="W117" s="114"/>
      <c r="X117" s="114"/>
      <c r="Y117" s="114"/>
      <c r="Z117" s="114"/>
      <c r="AA117" s="114"/>
      <c r="AB117" s="114"/>
      <c r="AC117" s="114"/>
      <c r="AD117" s="114"/>
    </row>
    <row r="118" customFormat="false" ht="11.25" hidden="false" customHeight="false" outlineLevel="0" collapsed="false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4"/>
      <c r="N118" s="114"/>
      <c r="O118" s="114"/>
      <c r="P118" s="114"/>
      <c r="Q118" s="114"/>
      <c r="R118" s="114"/>
      <c r="S118" s="114"/>
      <c r="T118" s="114"/>
      <c r="U118" s="114"/>
      <c r="V118" s="114"/>
      <c r="W118" s="114"/>
      <c r="X118" s="114"/>
      <c r="Y118" s="114"/>
      <c r="Z118" s="114"/>
      <c r="AA118" s="114"/>
      <c r="AB118" s="114"/>
      <c r="AC118" s="114"/>
      <c r="AD118" s="114"/>
    </row>
    <row r="119" customFormat="false" ht="11.25" hidden="false" customHeight="false" outlineLevel="0" collapsed="false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P119" s="114"/>
      <c r="Q119" s="114"/>
      <c r="R119" s="114"/>
      <c r="S119" s="114"/>
      <c r="T119" s="114"/>
      <c r="U119" s="114"/>
      <c r="V119" s="114"/>
      <c r="W119" s="114"/>
      <c r="X119" s="114"/>
      <c r="Y119" s="114"/>
      <c r="Z119" s="114"/>
      <c r="AA119" s="114"/>
      <c r="AB119" s="114"/>
      <c r="AC119" s="114"/>
      <c r="AD119" s="114"/>
    </row>
    <row r="120" customFormat="false" ht="11.25" hidden="false" customHeight="false" outlineLevel="0" collapsed="false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P120" s="114"/>
      <c r="Q120" s="114"/>
      <c r="R120" s="114"/>
      <c r="S120" s="114"/>
      <c r="T120" s="114"/>
      <c r="U120" s="114"/>
      <c r="V120" s="114"/>
      <c r="W120" s="114"/>
      <c r="X120" s="114"/>
      <c r="Y120" s="114"/>
      <c r="Z120" s="114"/>
      <c r="AA120" s="114"/>
      <c r="AB120" s="114"/>
      <c r="AC120" s="114"/>
      <c r="AD120" s="114"/>
    </row>
    <row r="121" customFormat="false" ht="11.25" hidden="false" customHeight="false" outlineLevel="0" collapsed="false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4"/>
      <c r="Z121" s="114"/>
      <c r="AA121" s="114"/>
      <c r="AB121" s="114"/>
      <c r="AC121" s="114"/>
      <c r="AD121" s="114"/>
    </row>
    <row r="122" customFormat="false" ht="11.25" hidden="false" customHeight="false" outlineLevel="0" collapsed="false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  <c r="AA122" s="114"/>
      <c r="AB122" s="114"/>
      <c r="AC122" s="114"/>
      <c r="AD122" s="114"/>
    </row>
    <row r="123" customFormat="false" ht="11.25" hidden="false" customHeight="false" outlineLevel="0" collapsed="false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14"/>
      <c r="AA123" s="114"/>
      <c r="AB123" s="114"/>
      <c r="AC123" s="114"/>
      <c r="AD123" s="114"/>
    </row>
    <row r="124" customFormat="false" ht="11.25" hidden="false" customHeight="false" outlineLevel="0" collapsed="false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  <c r="R124" s="114"/>
      <c r="S124" s="114"/>
      <c r="T124" s="114"/>
      <c r="U124" s="114"/>
      <c r="V124" s="114"/>
      <c r="W124" s="114"/>
      <c r="X124" s="114"/>
      <c r="Y124" s="114"/>
      <c r="Z124" s="114"/>
      <c r="AA124" s="114"/>
      <c r="AB124" s="114"/>
      <c r="AC124" s="114"/>
      <c r="AD124" s="114"/>
    </row>
    <row r="125" customFormat="false" ht="11.25" hidden="false" customHeight="false" outlineLevel="0" collapsed="false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  <c r="AA125" s="114"/>
      <c r="AB125" s="114"/>
      <c r="AC125" s="114"/>
      <c r="AD125" s="114"/>
    </row>
    <row r="126" customFormat="false" ht="11.25" hidden="false" customHeight="false" outlineLevel="0" collapsed="false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  <c r="AA126" s="114"/>
      <c r="AB126" s="114"/>
      <c r="AC126" s="114"/>
      <c r="AD126" s="114"/>
    </row>
    <row r="127" customFormat="false" ht="11.25" hidden="false" customHeight="false" outlineLevel="0" collapsed="false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  <c r="R127" s="114"/>
      <c r="S127" s="114"/>
      <c r="T127" s="114"/>
      <c r="U127" s="114"/>
      <c r="V127" s="114"/>
      <c r="W127" s="114"/>
      <c r="X127" s="114"/>
      <c r="Y127" s="114"/>
      <c r="Z127" s="114"/>
      <c r="AA127" s="114"/>
      <c r="AB127" s="114"/>
      <c r="AC127" s="114"/>
      <c r="AD127" s="114"/>
    </row>
    <row r="128" customFormat="false" ht="11.25" hidden="false" customHeight="false" outlineLevel="0" collapsed="false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  <c r="R128" s="114"/>
      <c r="S128" s="114"/>
      <c r="T128" s="114"/>
      <c r="U128" s="114"/>
      <c r="V128" s="114"/>
      <c r="W128" s="114"/>
      <c r="X128" s="114"/>
      <c r="Y128" s="114"/>
      <c r="Z128" s="114"/>
      <c r="AA128" s="114"/>
      <c r="AB128" s="114"/>
      <c r="AC128" s="114"/>
      <c r="AD128" s="114"/>
    </row>
    <row r="129" customFormat="false" ht="11.25" hidden="false" customHeight="false" outlineLevel="0" collapsed="false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  <c r="R129" s="114"/>
      <c r="S129" s="114"/>
      <c r="T129" s="114"/>
      <c r="U129" s="114"/>
      <c r="V129" s="114"/>
      <c r="W129" s="114"/>
      <c r="X129" s="114"/>
      <c r="Y129" s="114"/>
      <c r="Z129" s="114"/>
      <c r="AA129" s="114"/>
      <c r="AB129" s="114"/>
      <c r="AC129" s="114"/>
      <c r="AD129" s="114"/>
    </row>
    <row r="130" customFormat="false" ht="11.25" hidden="false" customHeight="false" outlineLevel="0" collapsed="false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4"/>
      <c r="Z130" s="114"/>
      <c r="AA130" s="114"/>
      <c r="AB130" s="114"/>
      <c r="AC130" s="114"/>
      <c r="AD130" s="114"/>
    </row>
    <row r="131" customFormat="false" ht="11.25" hidden="false" customHeight="false" outlineLevel="0" collapsed="false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A131" s="114"/>
      <c r="AB131" s="114"/>
      <c r="AC131" s="114"/>
      <c r="AD131" s="114"/>
    </row>
    <row r="132" customFormat="false" ht="11.25" hidden="false" customHeight="false" outlineLevel="0" collapsed="false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  <c r="AA132" s="114"/>
      <c r="AB132" s="114"/>
      <c r="AC132" s="114"/>
      <c r="AD132" s="114"/>
    </row>
    <row r="133" customFormat="false" ht="11.25" hidden="false" customHeight="false" outlineLevel="0" collapsed="false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4"/>
      <c r="AB133" s="114"/>
      <c r="AC133" s="114"/>
      <c r="AD133" s="114"/>
    </row>
    <row r="134" customFormat="false" ht="11.25" hidden="false" customHeight="false" outlineLevel="0" collapsed="false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14"/>
      <c r="AA134" s="114"/>
      <c r="AB134" s="114"/>
      <c r="AC134" s="114"/>
      <c r="AD134" s="114"/>
    </row>
    <row r="135" customFormat="false" ht="11.25" hidden="false" customHeight="false" outlineLevel="0" collapsed="false">
      <c r="A135" s="114"/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14"/>
      <c r="AA135" s="114"/>
      <c r="AB135" s="114"/>
      <c r="AC135" s="114"/>
      <c r="AD135" s="114"/>
    </row>
    <row r="136" customFormat="false" ht="11.25" hidden="false" customHeight="false" outlineLevel="0" collapsed="false">
      <c r="A136" s="114"/>
      <c r="B136" s="114"/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4"/>
      <c r="W136" s="114"/>
      <c r="X136" s="114"/>
      <c r="Y136" s="114"/>
      <c r="Z136" s="114"/>
      <c r="AA136" s="114"/>
      <c r="AB136" s="114"/>
      <c r="AC136" s="114"/>
      <c r="AD136" s="114"/>
    </row>
    <row r="137" customFormat="false" ht="11.25" hidden="false" customHeight="false" outlineLevel="0" collapsed="false">
      <c r="A137" s="114"/>
      <c r="B137" s="114"/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  <c r="R137" s="114"/>
      <c r="S137" s="114"/>
      <c r="T137" s="114"/>
      <c r="U137" s="114"/>
      <c r="V137" s="114"/>
      <c r="W137" s="114"/>
      <c r="X137" s="114"/>
      <c r="Y137" s="114"/>
      <c r="Z137" s="114"/>
      <c r="AA137" s="114"/>
      <c r="AB137" s="114"/>
      <c r="AC137" s="114"/>
      <c r="AD137" s="114"/>
    </row>
    <row r="138" customFormat="false" ht="11.25" hidden="false" customHeight="false" outlineLevel="0" collapsed="false">
      <c r="A138" s="114"/>
      <c r="B138" s="114"/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  <c r="R138" s="114"/>
      <c r="S138" s="114"/>
      <c r="T138" s="114"/>
      <c r="U138" s="114"/>
      <c r="V138" s="114"/>
      <c r="W138" s="114"/>
      <c r="X138" s="114"/>
      <c r="Y138" s="114"/>
      <c r="Z138" s="114"/>
      <c r="AA138" s="114"/>
      <c r="AB138" s="114"/>
      <c r="AC138" s="114"/>
      <c r="AD138" s="114"/>
    </row>
    <row r="139" customFormat="false" ht="11.25" hidden="false" customHeight="false" outlineLevel="0" collapsed="false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  <c r="R139" s="114"/>
      <c r="S139" s="114"/>
      <c r="T139" s="114"/>
      <c r="U139" s="114"/>
      <c r="V139" s="114"/>
      <c r="W139" s="114"/>
      <c r="X139" s="114"/>
      <c r="Y139" s="114"/>
      <c r="Z139" s="114"/>
      <c r="AA139" s="114"/>
      <c r="AB139" s="114"/>
      <c r="AC139" s="114"/>
      <c r="AD139" s="114"/>
    </row>
    <row r="140" customFormat="false" ht="11.25" hidden="false" customHeight="false" outlineLevel="0" collapsed="false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  <c r="AA140" s="114"/>
      <c r="AB140" s="114"/>
      <c r="AC140" s="114"/>
      <c r="AD140" s="114"/>
    </row>
    <row r="141" customFormat="false" ht="11.25" hidden="false" customHeight="false" outlineLevel="0" collapsed="false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  <c r="AA141" s="114"/>
      <c r="AB141" s="114"/>
      <c r="AC141" s="114"/>
      <c r="AD141" s="114"/>
    </row>
    <row r="142" customFormat="false" ht="11.25" hidden="false" customHeight="false" outlineLevel="0" collapsed="false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14"/>
      <c r="AA142" s="114"/>
      <c r="AB142" s="114"/>
      <c r="AC142" s="114"/>
      <c r="AD142" s="114"/>
    </row>
    <row r="143" customFormat="false" ht="11.25" hidden="false" customHeight="false" outlineLevel="0" collapsed="false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14"/>
      <c r="AA143" s="114"/>
      <c r="AB143" s="114"/>
      <c r="AC143" s="114"/>
      <c r="AD143" s="114"/>
    </row>
    <row r="144" customFormat="false" ht="11.25" hidden="false" customHeight="false" outlineLevel="0" collapsed="false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  <c r="R144" s="114"/>
      <c r="S144" s="114"/>
      <c r="T144" s="114"/>
      <c r="U144" s="114"/>
      <c r="V144" s="114"/>
      <c r="W144" s="114"/>
      <c r="X144" s="114"/>
      <c r="Y144" s="114"/>
      <c r="Z144" s="114"/>
      <c r="AA144" s="114"/>
      <c r="AB144" s="114"/>
      <c r="AC144" s="114"/>
      <c r="AD144" s="114"/>
    </row>
    <row r="145" customFormat="false" ht="11.25" hidden="false" customHeight="false" outlineLevel="0" collapsed="false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  <c r="R145" s="114"/>
      <c r="S145" s="114"/>
      <c r="T145" s="114"/>
      <c r="U145" s="114"/>
      <c r="V145" s="114"/>
      <c r="W145" s="114"/>
      <c r="X145" s="114"/>
      <c r="Y145" s="114"/>
      <c r="Z145" s="114"/>
      <c r="AA145" s="114"/>
      <c r="AB145" s="114"/>
      <c r="AC145" s="114"/>
      <c r="AD145" s="114"/>
    </row>
    <row r="146" customFormat="false" ht="11.25" hidden="false" customHeight="false" outlineLevel="0" collapsed="false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14"/>
      <c r="AA146" s="114"/>
      <c r="AB146" s="114"/>
      <c r="AC146" s="114"/>
      <c r="AD146" s="114"/>
    </row>
    <row r="147" customFormat="false" ht="11.25" hidden="false" customHeight="false" outlineLevel="0" collapsed="false">
      <c r="A147" s="114"/>
      <c r="B147" s="114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  <c r="R147" s="114"/>
      <c r="S147" s="114"/>
      <c r="T147" s="114"/>
      <c r="U147" s="114"/>
      <c r="V147" s="114"/>
      <c r="W147" s="114"/>
      <c r="X147" s="114"/>
      <c r="Y147" s="114"/>
      <c r="Z147" s="114"/>
      <c r="AA147" s="114"/>
      <c r="AB147" s="114"/>
      <c r="AC147" s="114"/>
      <c r="AD147" s="114"/>
    </row>
    <row r="148" customFormat="false" ht="11.25" hidden="false" customHeight="false" outlineLevel="0" collapsed="false">
      <c r="A148" s="114"/>
      <c r="B148" s="114"/>
      <c r="C148" s="114"/>
      <c r="D148" s="114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  <c r="R148" s="114"/>
      <c r="S148" s="114"/>
      <c r="T148" s="114"/>
      <c r="U148" s="114"/>
      <c r="V148" s="114"/>
      <c r="W148" s="114"/>
      <c r="X148" s="114"/>
      <c r="Y148" s="114"/>
      <c r="Z148" s="114"/>
      <c r="AA148" s="114"/>
      <c r="AB148" s="114"/>
      <c r="AC148" s="114"/>
      <c r="AD148" s="114"/>
    </row>
    <row r="149" customFormat="false" ht="11.25" hidden="false" customHeight="false" outlineLevel="0" collapsed="false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4"/>
      <c r="R149" s="114"/>
      <c r="S149" s="114"/>
      <c r="T149" s="114"/>
      <c r="U149" s="114"/>
      <c r="V149" s="114"/>
      <c r="W149" s="114"/>
      <c r="X149" s="114"/>
      <c r="Y149" s="114"/>
      <c r="Z149" s="114"/>
      <c r="AA149" s="114"/>
      <c r="AB149" s="114"/>
      <c r="AC149" s="114"/>
      <c r="AD149" s="114"/>
    </row>
    <row r="150" customFormat="false" ht="11.25" hidden="false" customHeight="false" outlineLevel="0" collapsed="false">
      <c r="A150" s="114"/>
      <c r="B150" s="114"/>
      <c r="C150" s="114"/>
      <c r="D150" s="114"/>
      <c r="E150" s="114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14"/>
      <c r="AA150" s="114"/>
      <c r="AB150" s="114"/>
      <c r="AC150" s="114"/>
      <c r="AD150" s="114"/>
    </row>
    <row r="151" customFormat="false" ht="11.25" hidden="false" customHeight="false" outlineLevel="0" collapsed="false">
      <c r="A151" s="114"/>
      <c r="B151" s="114"/>
      <c r="C151" s="114"/>
      <c r="D151" s="114"/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4"/>
      <c r="R151" s="114"/>
      <c r="S151" s="114"/>
      <c r="T151" s="114"/>
      <c r="U151" s="114"/>
      <c r="V151" s="114"/>
      <c r="W151" s="114"/>
      <c r="X151" s="114"/>
      <c r="Y151" s="114"/>
      <c r="Z151" s="114"/>
      <c r="AA151" s="114"/>
      <c r="AB151" s="114"/>
      <c r="AC151" s="114"/>
      <c r="AD151" s="114"/>
    </row>
    <row r="152" customFormat="false" ht="11.25" hidden="false" customHeight="false" outlineLevel="0" collapsed="false">
      <c r="A152" s="114"/>
      <c r="B152" s="114"/>
      <c r="C152" s="114"/>
      <c r="D152" s="114"/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4"/>
      <c r="R152" s="114"/>
      <c r="S152" s="114"/>
      <c r="T152" s="114"/>
      <c r="U152" s="114"/>
      <c r="V152" s="114"/>
      <c r="W152" s="114"/>
      <c r="X152" s="114"/>
      <c r="Y152" s="114"/>
      <c r="Z152" s="114"/>
      <c r="AA152" s="114"/>
      <c r="AB152" s="114"/>
      <c r="AC152" s="114"/>
      <c r="AD152" s="114"/>
    </row>
    <row r="153" customFormat="false" ht="11.25" hidden="false" customHeight="false" outlineLevel="0" collapsed="false">
      <c r="A153" s="114"/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  <c r="S153" s="114"/>
      <c r="T153" s="114"/>
      <c r="U153" s="114"/>
      <c r="V153" s="114"/>
      <c r="W153" s="114"/>
      <c r="X153" s="114"/>
      <c r="Y153" s="114"/>
      <c r="Z153" s="114"/>
      <c r="AA153" s="114"/>
      <c r="AB153" s="114"/>
      <c r="AC153" s="114"/>
      <c r="AD153" s="114"/>
    </row>
    <row r="154" customFormat="false" ht="11.25" hidden="false" customHeight="false" outlineLevel="0" collapsed="false">
      <c r="A154" s="114"/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  <c r="R154" s="114"/>
      <c r="S154" s="114"/>
      <c r="T154" s="114"/>
      <c r="U154" s="114"/>
      <c r="V154" s="114"/>
      <c r="W154" s="114"/>
      <c r="X154" s="114"/>
      <c r="Y154" s="114"/>
      <c r="Z154" s="114"/>
      <c r="AA154" s="114"/>
      <c r="AB154" s="114"/>
      <c r="AC154" s="114"/>
      <c r="AD154" s="114"/>
    </row>
    <row r="155" customFormat="false" ht="11.25" hidden="false" customHeight="false" outlineLevel="0" collapsed="false">
      <c r="A155" s="114"/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  <c r="R155" s="114"/>
      <c r="S155" s="114"/>
      <c r="T155" s="114"/>
      <c r="U155" s="114"/>
      <c r="V155" s="114"/>
      <c r="W155" s="114"/>
      <c r="X155" s="114"/>
      <c r="Y155" s="114"/>
      <c r="Z155" s="114"/>
      <c r="AA155" s="114"/>
      <c r="AB155" s="114"/>
      <c r="AC155" s="114"/>
      <c r="AD155" s="114"/>
    </row>
    <row r="156" customFormat="false" ht="11.25" hidden="false" customHeight="false" outlineLevel="0" collapsed="false">
      <c r="A156" s="114"/>
      <c r="B156" s="114"/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  <c r="Z156" s="114"/>
      <c r="AA156" s="114"/>
      <c r="AB156" s="114"/>
      <c r="AC156" s="114"/>
      <c r="AD156" s="114"/>
    </row>
    <row r="157" customFormat="false" ht="11.25" hidden="false" customHeight="false" outlineLevel="0" collapsed="false">
      <c r="A157" s="114"/>
      <c r="B157" s="114"/>
      <c r="C157" s="114"/>
      <c r="D157" s="114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  <c r="R157" s="114"/>
      <c r="S157" s="114"/>
      <c r="T157" s="114"/>
      <c r="U157" s="114"/>
      <c r="V157" s="114"/>
      <c r="W157" s="114"/>
      <c r="X157" s="114"/>
      <c r="Y157" s="114"/>
      <c r="Z157" s="114"/>
      <c r="AA157" s="114"/>
      <c r="AB157" s="114"/>
      <c r="AC157" s="114"/>
      <c r="AD157" s="114"/>
    </row>
    <row r="158" customFormat="false" ht="11.25" hidden="false" customHeight="false" outlineLevel="0" collapsed="false">
      <c r="A158" s="114"/>
      <c r="B158" s="114"/>
      <c r="C158" s="114"/>
      <c r="D158" s="114"/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  <c r="R158" s="114"/>
      <c r="S158" s="114"/>
      <c r="T158" s="114"/>
      <c r="U158" s="114"/>
      <c r="V158" s="114"/>
      <c r="W158" s="114"/>
      <c r="X158" s="114"/>
      <c r="Y158" s="114"/>
      <c r="Z158" s="114"/>
      <c r="AA158" s="114"/>
      <c r="AB158" s="114"/>
      <c r="AC158" s="114"/>
      <c r="AD158" s="114"/>
    </row>
    <row r="159" customFormat="false" ht="11.25" hidden="false" customHeight="false" outlineLevel="0" collapsed="false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4"/>
      <c r="Q159" s="114"/>
      <c r="R159" s="114"/>
      <c r="S159" s="114"/>
      <c r="T159" s="114"/>
      <c r="U159" s="114"/>
      <c r="V159" s="114"/>
      <c r="W159" s="114"/>
      <c r="X159" s="114"/>
      <c r="Y159" s="114"/>
      <c r="Z159" s="114"/>
      <c r="AA159" s="114"/>
      <c r="AB159" s="114"/>
      <c r="AC159" s="114"/>
      <c r="AD159" s="114"/>
    </row>
    <row r="160" customFormat="false" ht="11.25" hidden="false" customHeight="false" outlineLevel="0" collapsed="false">
      <c r="A160" s="114"/>
      <c r="B160" s="114"/>
      <c r="C160" s="114"/>
      <c r="D160" s="114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114"/>
    </row>
    <row r="161" customFormat="false" ht="11.25" hidden="false" customHeight="false" outlineLevel="0" collapsed="false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  <c r="L161" s="114"/>
      <c r="M161" s="114"/>
      <c r="N161" s="114"/>
      <c r="O161" s="114"/>
      <c r="P161" s="114"/>
      <c r="Q161" s="114"/>
      <c r="R161" s="114"/>
      <c r="S161" s="114"/>
      <c r="T161" s="114"/>
      <c r="U161" s="114"/>
      <c r="V161" s="114"/>
      <c r="W161" s="114"/>
      <c r="X161" s="114"/>
      <c r="Y161" s="114"/>
      <c r="Z161" s="114"/>
      <c r="AA161" s="114"/>
      <c r="AB161" s="114"/>
      <c r="AC161" s="114"/>
      <c r="AD161" s="114"/>
    </row>
    <row r="162" customFormat="false" ht="11.25" hidden="false" customHeight="false" outlineLevel="0" collapsed="false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114"/>
      <c r="AA162" s="114"/>
      <c r="AB162" s="114"/>
      <c r="AC162" s="114"/>
      <c r="AD162" s="114"/>
    </row>
    <row r="163" customFormat="false" ht="11.25" hidden="false" customHeight="false" outlineLevel="0" collapsed="false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  <c r="R163" s="114"/>
      <c r="S163" s="114"/>
      <c r="T163" s="114"/>
      <c r="U163" s="114"/>
      <c r="V163" s="114"/>
      <c r="W163" s="114"/>
      <c r="X163" s="114"/>
      <c r="Y163" s="114"/>
      <c r="Z163" s="114"/>
      <c r="AA163" s="114"/>
      <c r="AB163" s="114"/>
      <c r="AC163" s="114"/>
      <c r="AD163" s="114"/>
    </row>
    <row r="164" customFormat="false" ht="11.25" hidden="false" customHeight="false" outlineLevel="0" collapsed="false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4"/>
      <c r="R164" s="114"/>
      <c r="S164" s="114"/>
      <c r="T164" s="114"/>
      <c r="U164" s="114"/>
      <c r="V164" s="114"/>
      <c r="W164" s="114"/>
      <c r="X164" s="114"/>
      <c r="Y164" s="114"/>
      <c r="Z164" s="114"/>
      <c r="AA164" s="114"/>
      <c r="AB164" s="114"/>
      <c r="AC164" s="114"/>
      <c r="AD164" s="114"/>
    </row>
    <row r="165" customFormat="false" ht="11.25" hidden="false" customHeight="false" outlineLevel="0" collapsed="false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4"/>
      <c r="R165" s="114"/>
      <c r="S165" s="114"/>
      <c r="T165" s="114"/>
      <c r="U165" s="114"/>
      <c r="V165" s="114"/>
      <c r="W165" s="114"/>
      <c r="X165" s="114"/>
      <c r="Y165" s="114"/>
      <c r="Z165" s="114"/>
      <c r="AA165" s="114"/>
      <c r="AB165" s="114"/>
      <c r="AC165" s="114"/>
      <c r="AD165" s="1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31" activeCellId="0" sqref="D31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215" width="7.28"/>
    <col collapsed="false" customWidth="true" hidden="false" outlineLevel="0" max="2" min="2" style="215" width="38.7"/>
    <col collapsed="false" customWidth="true" hidden="false" outlineLevel="0" max="3" min="3" style="215" width="16.99"/>
    <col collapsed="false" customWidth="true" hidden="false" outlineLevel="0" max="4" min="4" style="215" width="13.85"/>
    <col collapsed="false" customWidth="true" hidden="false" outlineLevel="0" max="13" min="5" style="215" width="14.56"/>
    <col collapsed="false" customWidth="true" hidden="false" outlineLevel="0" max="19" min="14" style="215" width="13.41"/>
    <col collapsed="false" customWidth="true" hidden="false" outlineLevel="0" max="20" min="20" style="215" width="14.56"/>
    <col collapsed="false" customWidth="false" hidden="false" outlineLevel="0" max="257" min="21" style="215" width="12.56"/>
  </cols>
  <sheetData>
    <row r="1" customFormat="false" ht="15.75" hidden="false" customHeight="false" outlineLevel="0" collapsed="false">
      <c r="A1" s="216"/>
      <c r="B1" s="217" t="s">
        <v>175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  <c r="AQ1" s="216"/>
      <c r="AR1" s="216"/>
      <c r="AS1" s="216"/>
      <c r="AT1" s="216"/>
      <c r="AU1" s="216"/>
      <c r="AV1" s="216"/>
      <c r="AW1" s="216"/>
    </row>
    <row r="2" customFormat="false" ht="12" hidden="false" customHeight="false" outlineLevel="0" collapsed="false">
      <c r="A2" s="218"/>
      <c r="B2" s="218"/>
      <c r="C2" s="218"/>
      <c r="D2" s="218"/>
      <c r="E2" s="218"/>
      <c r="F2" s="219" t="s">
        <v>176</v>
      </c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218"/>
      <c r="EJ2" s="218"/>
      <c r="EK2" s="218"/>
      <c r="EL2" s="218"/>
      <c r="EM2" s="218"/>
      <c r="EN2" s="218"/>
      <c r="EO2" s="218"/>
      <c r="EP2" s="218"/>
      <c r="EQ2" s="218"/>
      <c r="ER2" s="218"/>
      <c r="ES2" s="218"/>
      <c r="ET2" s="218"/>
      <c r="EU2" s="218"/>
      <c r="EV2" s="218"/>
      <c r="EW2" s="218"/>
      <c r="EX2" s="218"/>
      <c r="EY2" s="218"/>
      <c r="EZ2" s="218"/>
      <c r="FA2" s="218"/>
      <c r="FB2" s="218"/>
      <c r="FC2" s="218"/>
      <c r="FD2" s="218"/>
      <c r="FE2" s="218"/>
      <c r="FF2" s="218"/>
      <c r="FG2" s="218"/>
      <c r="FH2" s="218"/>
      <c r="FI2" s="218"/>
      <c r="FJ2" s="218"/>
      <c r="FK2" s="218"/>
      <c r="FL2" s="218"/>
      <c r="FM2" s="218"/>
      <c r="FN2" s="218"/>
      <c r="FO2" s="218"/>
      <c r="FP2" s="218"/>
      <c r="FQ2" s="218"/>
      <c r="FR2" s="218"/>
      <c r="FS2" s="218"/>
      <c r="FT2" s="218"/>
      <c r="FU2" s="218"/>
      <c r="FV2" s="218"/>
      <c r="FW2" s="218"/>
      <c r="FX2" s="218"/>
      <c r="FY2" s="218"/>
      <c r="FZ2" s="218"/>
      <c r="GA2" s="218"/>
      <c r="GB2" s="218"/>
      <c r="GC2" s="218"/>
      <c r="GD2" s="218"/>
      <c r="GE2" s="218"/>
      <c r="GF2" s="218"/>
      <c r="GG2" s="218"/>
      <c r="GH2" s="218"/>
      <c r="GI2" s="218"/>
      <c r="GJ2" s="218"/>
      <c r="GK2" s="218"/>
      <c r="GL2" s="218"/>
      <c r="GM2" s="218"/>
      <c r="GN2" s="218"/>
      <c r="GO2" s="218"/>
      <c r="GP2" s="218"/>
      <c r="GQ2" s="218"/>
      <c r="GR2" s="218"/>
      <c r="GS2" s="218"/>
      <c r="GT2" s="218"/>
      <c r="GU2" s="218"/>
      <c r="GV2" s="218"/>
      <c r="GW2" s="218"/>
      <c r="GX2" s="218"/>
      <c r="GY2" s="218"/>
      <c r="GZ2" s="218"/>
      <c r="HA2" s="218"/>
      <c r="HB2" s="218"/>
      <c r="HC2" s="218"/>
      <c r="HD2" s="218"/>
      <c r="HE2" s="218"/>
      <c r="HF2" s="218"/>
      <c r="HG2" s="218"/>
      <c r="HH2" s="218"/>
      <c r="HI2" s="218"/>
      <c r="HJ2" s="218"/>
      <c r="HK2" s="218"/>
      <c r="HL2" s="218"/>
      <c r="HM2" s="218"/>
      <c r="HN2" s="218"/>
      <c r="HO2" s="218"/>
      <c r="HP2" s="218"/>
      <c r="HQ2" s="218"/>
      <c r="HR2" s="218"/>
      <c r="HS2" s="218"/>
      <c r="HT2" s="218"/>
      <c r="HU2" s="218"/>
      <c r="HV2" s="218"/>
      <c r="HW2" s="218"/>
      <c r="HX2" s="218"/>
      <c r="HY2" s="218"/>
      <c r="HZ2" s="218"/>
      <c r="IA2" s="218"/>
      <c r="IB2" s="218"/>
      <c r="IC2" s="218"/>
      <c r="ID2" s="218"/>
      <c r="IE2" s="218"/>
      <c r="IF2" s="218"/>
      <c r="IG2" s="218"/>
      <c r="IH2" s="218"/>
      <c r="II2" s="218"/>
      <c r="IJ2" s="218"/>
      <c r="IK2" s="218"/>
      <c r="IL2" s="218"/>
      <c r="IM2" s="218"/>
      <c r="IN2" s="218"/>
      <c r="IO2" s="218"/>
      <c r="IP2" s="218"/>
      <c r="IQ2" s="218"/>
      <c r="IR2" s="218"/>
      <c r="IS2" s="218"/>
      <c r="IT2" s="218"/>
      <c r="IU2" s="218"/>
      <c r="IV2" s="218"/>
      <c r="IW2" s="218"/>
    </row>
    <row r="3" customFormat="false" ht="11.25" hidden="false" customHeight="false" outlineLevel="0" collapsed="false">
      <c r="A3" s="218"/>
      <c r="B3" s="218"/>
      <c r="C3" s="218"/>
      <c r="D3" s="218"/>
      <c r="E3" s="218"/>
      <c r="F3" s="220" t="s">
        <v>177</v>
      </c>
      <c r="G3" s="221"/>
      <c r="H3" s="218"/>
      <c r="I3" s="220" t="s">
        <v>178</v>
      </c>
      <c r="J3" s="222" t="n">
        <f aca="false">Construction!D14+SUM(Construction!D56:AA56)</f>
        <v>58632.2041341866</v>
      </c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218"/>
      <c r="FF3" s="218"/>
      <c r="FG3" s="218"/>
      <c r="FH3" s="218"/>
      <c r="FI3" s="218"/>
      <c r="FJ3" s="218"/>
      <c r="FK3" s="218"/>
      <c r="FL3" s="218"/>
      <c r="FM3" s="218"/>
      <c r="FN3" s="218"/>
      <c r="FO3" s="218"/>
      <c r="FP3" s="218"/>
      <c r="FQ3" s="218"/>
      <c r="FR3" s="218"/>
      <c r="FS3" s="218"/>
      <c r="FT3" s="218"/>
      <c r="FU3" s="218"/>
      <c r="FV3" s="218"/>
      <c r="FW3" s="218"/>
      <c r="FX3" s="218"/>
      <c r="FY3" s="218"/>
      <c r="FZ3" s="218"/>
      <c r="GA3" s="218"/>
      <c r="GB3" s="218"/>
      <c r="GC3" s="218"/>
      <c r="GD3" s="218"/>
      <c r="GE3" s="218"/>
      <c r="GF3" s="218"/>
      <c r="GG3" s="218"/>
      <c r="GH3" s="218"/>
      <c r="GI3" s="218"/>
      <c r="GJ3" s="218"/>
      <c r="GK3" s="218"/>
      <c r="GL3" s="218"/>
      <c r="GM3" s="218"/>
      <c r="GN3" s="218"/>
      <c r="GO3" s="218"/>
      <c r="GP3" s="218"/>
      <c r="GQ3" s="218"/>
      <c r="GR3" s="218"/>
      <c r="GS3" s="218"/>
      <c r="GT3" s="218"/>
      <c r="GU3" s="218"/>
      <c r="GV3" s="218"/>
      <c r="GW3" s="218"/>
      <c r="GX3" s="218"/>
      <c r="GY3" s="218"/>
      <c r="GZ3" s="218"/>
      <c r="HA3" s="218"/>
      <c r="HB3" s="218"/>
      <c r="HC3" s="218"/>
      <c r="HD3" s="218"/>
      <c r="HE3" s="218"/>
      <c r="HF3" s="218"/>
      <c r="HG3" s="218"/>
      <c r="HH3" s="218"/>
      <c r="HI3" s="218"/>
      <c r="HJ3" s="218"/>
      <c r="HK3" s="218"/>
      <c r="HL3" s="218"/>
      <c r="HM3" s="218"/>
      <c r="HN3" s="218"/>
      <c r="HO3" s="218"/>
      <c r="HP3" s="218"/>
      <c r="HQ3" s="218"/>
      <c r="HR3" s="218"/>
      <c r="HS3" s="218"/>
      <c r="HT3" s="218"/>
      <c r="HU3" s="218"/>
      <c r="HV3" s="218"/>
      <c r="HW3" s="218"/>
      <c r="HX3" s="218"/>
      <c r="HY3" s="218"/>
      <c r="HZ3" s="218"/>
      <c r="IA3" s="218"/>
      <c r="IB3" s="218"/>
      <c r="IC3" s="218"/>
      <c r="ID3" s="218"/>
      <c r="IE3" s="218"/>
      <c r="IF3" s="218"/>
      <c r="IG3" s="218"/>
      <c r="IH3" s="218"/>
      <c r="II3" s="218"/>
      <c r="IJ3" s="218"/>
      <c r="IK3" s="218"/>
      <c r="IL3" s="218"/>
      <c r="IM3" s="218"/>
      <c r="IN3" s="218"/>
      <c r="IO3" s="218"/>
      <c r="IP3" s="218"/>
      <c r="IQ3" s="218"/>
      <c r="IR3" s="218"/>
      <c r="IS3" s="218"/>
      <c r="IT3" s="218"/>
      <c r="IU3" s="218"/>
      <c r="IV3" s="218"/>
      <c r="IW3" s="218"/>
    </row>
    <row r="4" customFormat="false" ht="12" hidden="false" customHeight="false" outlineLevel="0" collapsed="false">
      <c r="A4" s="218"/>
      <c r="B4" s="218"/>
      <c r="C4" s="218"/>
      <c r="D4" s="218"/>
      <c r="E4" s="218"/>
      <c r="F4" s="223" t="s">
        <v>179</v>
      </c>
      <c r="G4" s="224" t="n">
        <f aca="false">Assumptions!E21</f>
        <v>13</v>
      </c>
      <c r="H4" s="218"/>
      <c r="I4" s="225" t="s">
        <v>180</v>
      </c>
      <c r="J4" s="226" t="n">
        <f aca="false">Assumptions!E10*Assumptions!E33</f>
        <v>121897.846528664</v>
      </c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  <c r="BF4" s="218"/>
      <c r="BG4" s="218"/>
      <c r="BH4" s="218"/>
      <c r="BI4" s="218"/>
      <c r="BJ4" s="218"/>
      <c r="BK4" s="218"/>
      <c r="BL4" s="218"/>
      <c r="BM4" s="218"/>
      <c r="BN4" s="218"/>
      <c r="BO4" s="218"/>
      <c r="BP4" s="218"/>
      <c r="BQ4" s="218"/>
      <c r="BR4" s="218"/>
      <c r="BS4" s="218"/>
      <c r="BT4" s="218"/>
      <c r="BU4" s="218"/>
      <c r="BV4" s="218"/>
      <c r="BW4" s="218"/>
      <c r="BX4" s="218"/>
      <c r="BY4" s="218"/>
      <c r="BZ4" s="218"/>
      <c r="CA4" s="218"/>
      <c r="CB4" s="218"/>
      <c r="CC4" s="218"/>
      <c r="CD4" s="218"/>
      <c r="CE4" s="218"/>
      <c r="CF4" s="218"/>
      <c r="CG4" s="218"/>
      <c r="CH4" s="218"/>
      <c r="CI4" s="218"/>
      <c r="CJ4" s="218"/>
      <c r="CK4" s="218"/>
      <c r="CL4" s="218"/>
      <c r="CM4" s="218"/>
      <c r="CN4" s="218"/>
      <c r="CO4" s="218"/>
      <c r="CP4" s="218"/>
      <c r="CQ4" s="218"/>
      <c r="CR4" s="218"/>
      <c r="CS4" s="218"/>
      <c r="CT4" s="218"/>
      <c r="CU4" s="218"/>
      <c r="CV4" s="218"/>
      <c r="CW4" s="218"/>
      <c r="CX4" s="218"/>
      <c r="CY4" s="218"/>
      <c r="CZ4" s="218"/>
      <c r="DA4" s="218"/>
      <c r="DB4" s="218"/>
      <c r="DC4" s="218"/>
      <c r="DD4" s="218"/>
      <c r="DE4" s="218"/>
      <c r="DF4" s="218"/>
      <c r="DG4" s="218"/>
      <c r="DH4" s="218"/>
      <c r="DI4" s="218"/>
      <c r="DJ4" s="218"/>
      <c r="DK4" s="218"/>
      <c r="DL4" s="218"/>
      <c r="DM4" s="218"/>
      <c r="DN4" s="218"/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8"/>
      <c r="EH4" s="218"/>
      <c r="EI4" s="218"/>
      <c r="EJ4" s="218"/>
      <c r="EK4" s="218"/>
      <c r="EL4" s="218"/>
      <c r="EM4" s="218"/>
      <c r="EN4" s="218"/>
      <c r="EO4" s="218"/>
      <c r="EP4" s="218"/>
      <c r="EQ4" s="218"/>
      <c r="ER4" s="218"/>
      <c r="ES4" s="218"/>
      <c r="ET4" s="218"/>
      <c r="EU4" s="218"/>
      <c r="EV4" s="218"/>
      <c r="EW4" s="218"/>
      <c r="EX4" s="218"/>
      <c r="EY4" s="218"/>
      <c r="EZ4" s="218"/>
      <c r="FA4" s="218"/>
      <c r="FB4" s="218"/>
      <c r="FC4" s="218"/>
      <c r="FD4" s="218"/>
      <c r="FE4" s="218"/>
      <c r="FF4" s="218"/>
      <c r="FG4" s="218"/>
      <c r="FH4" s="218"/>
      <c r="FI4" s="218"/>
      <c r="FJ4" s="218"/>
      <c r="FK4" s="218"/>
      <c r="FL4" s="218"/>
      <c r="FM4" s="218"/>
      <c r="FN4" s="218"/>
      <c r="FO4" s="218"/>
      <c r="FP4" s="218"/>
      <c r="FQ4" s="218"/>
      <c r="FR4" s="218"/>
      <c r="FS4" s="218"/>
      <c r="FT4" s="218"/>
      <c r="FU4" s="218"/>
      <c r="FV4" s="218"/>
      <c r="FW4" s="218"/>
      <c r="FX4" s="218"/>
      <c r="FY4" s="218"/>
      <c r="FZ4" s="218"/>
      <c r="GA4" s="218"/>
      <c r="GB4" s="218"/>
      <c r="GC4" s="218"/>
      <c r="GD4" s="218"/>
      <c r="GE4" s="218"/>
      <c r="GF4" s="218"/>
      <c r="GG4" s="218"/>
      <c r="GH4" s="218"/>
      <c r="GI4" s="218"/>
      <c r="GJ4" s="218"/>
      <c r="GK4" s="218"/>
      <c r="GL4" s="218"/>
      <c r="GM4" s="218"/>
      <c r="GN4" s="218"/>
      <c r="GO4" s="218"/>
      <c r="GP4" s="218"/>
      <c r="GQ4" s="218"/>
      <c r="GR4" s="218"/>
      <c r="GS4" s="218"/>
      <c r="GT4" s="218"/>
      <c r="GU4" s="218"/>
      <c r="GV4" s="218"/>
      <c r="GW4" s="218"/>
      <c r="GX4" s="218"/>
      <c r="GY4" s="218"/>
      <c r="GZ4" s="218"/>
      <c r="HA4" s="218"/>
      <c r="HB4" s="218"/>
      <c r="HC4" s="218"/>
      <c r="HD4" s="218"/>
      <c r="HE4" s="218"/>
      <c r="HF4" s="218"/>
      <c r="HG4" s="218"/>
      <c r="HH4" s="218"/>
      <c r="HI4" s="218"/>
      <c r="HJ4" s="218"/>
      <c r="HK4" s="218"/>
      <c r="HL4" s="218"/>
      <c r="HM4" s="218"/>
      <c r="HN4" s="218"/>
      <c r="HO4" s="218"/>
      <c r="HP4" s="218"/>
      <c r="HQ4" s="218"/>
      <c r="HR4" s="218"/>
      <c r="HS4" s="218"/>
      <c r="HT4" s="218"/>
      <c r="HU4" s="218"/>
      <c r="HV4" s="218"/>
      <c r="HW4" s="218"/>
      <c r="HX4" s="218"/>
      <c r="HY4" s="218"/>
      <c r="HZ4" s="218"/>
      <c r="IA4" s="218"/>
      <c r="IB4" s="218"/>
      <c r="IC4" s="218"/>
      <c r="ID4" s="218"/>
      <c r="IE4" s="218"/>
      <c r="IF4" s="218"/>
      <c r="IG4" s="218"/>
      <c r="IH4" s="218"/>
      <c r="II4" s="218"/>
      <c r="IJ4" s="218"/>
      <c r="IK4" s="218"/>
      <c r="IL4" s="218"/>
      <c r="IM4" s="218"/>
      <c r="IN4" s="218"/>
      <c r="IO4" s="218"/>
      <c r="IP4" s="218"/>
      <c r="IQ4" s="218"/>
      <c r="IR4" s="218"/>
      <c r="IS4" s="218"/>
      <c r="IT4" s="218"/>
      <c r="IU4" s="218"/>
      <c r="IV4" s="218"/>
      <c r="IW4" s="218"/>
    </row>
    <row r="5" customFormat="false" ht="12" hidden="false" customHeight="false" outlineLevel="0" collapsed="false">
      <c r="A5" s="218"/>
      <c r="B5" s="218" t="s">
        <v>181</v>
      </c>
      <c r="C5" s="227" t="n">
        <f aca="false">Assumptions!E39</f>
        <v>0</v>
      </c>
      <c r="D5" s="218"/>
      <c r="E5" s="218"/>
      <c r="F5" s="225" t="s">
        <v>182</v>
      </c>
      <c r="G5" s="228" t="n">
        <v>2</v>
      </c>
      <c r="H5" s="218"/>
      <c r="I5" s="229"/>
      <c r="J5" s="230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BN5" s="218"/>
      <c r="BO5" s="218"/>
      <c r="BP5" s="218"/>
      <c r="BQ5" s="218"/>
      <c r="BR5" s="218"/>
      <c r="BS5" s="218"/>
      <c r="BT5" s="218"/>
      <c r="BU5" s="218"/>
      <c r="BV5" s="218"/>
      <c r="BW5" s="218"/>
      <c r="BX5" s="218"/>
      <c r="BY5" s="218"/>
      <c r="BZ5" s="218"/>
      <c r="CA5" s="218"/>
      <c r="CB5" s="218"/>
      <c r="CC5" s="218"/>
      <c r="CD5" s="218"/>
      <c r="CE5" s="218"/>
      <c r="CF5" s="218"/>
      <c r="CG5" s="218"/>
      <c r="CH5" s="218"/>
      <c r="CI5" s="218"/>
      <c r="CJ5" s="218"/>
      <c r="CK5" s="218"/>
      <c r="CL5" s="218"/>
      <c r="CM5" s="218"/>
      <c r="CN5" s="218"/>
      <c r="CO5" s="218"/>
      <c r="CP5" s="218"/>
      <c r="CQ5" s="218"/>
      <c r="CR5" s="218"/>
      <c r="CS5" s="218"/>
      <c r="CT5" s="218"/>
      <c r="CU5" s="218"/>
      <c r="CV5" s="218"/>
      <c r="CW5" s="218"/>
      <c r="CX5" s="218"/>
      <c r="CY5" s="218"/>
      <c r="CZ5" s="218"/>
      <c r="DA5" s="218"/>
      <c r="DB5" s="218"/>
      <c r="DC5" s="218"/>
      <c r="DD5" s="218"/>
      <c r="DE5" s="218"/>
      <c r="DF5" s="218"/>
      <c r="DG5" s="218"/>
      <c r="DH5" s="218"/>
      <c r="DI5" s="218"/>
      <c r="DJ5" s="218"/>
      <c r="DK5" s="218"/>
      <c r="DL5" s="218"/>
      <c r="DM5" s="218"/>
      <c r="DN5" s="218"/>
      <c r="DO5" s="218"/>
      <c r="DP5" s="218"/>
      <c r="DQ5" s="218"/>
      <c r="DR5" s="218"/>
      <c r="DS5" s="218"/>
      <c r="DT5" s="218"/>
      <c r="DU5" s="218"/>
      <c r="DV5" s="218"/>
      <c r="DW5" s="218"/>
      <c r="DX5" s="218"/>
      <c r="DY5" s="218"/>
      <c r="DZ5" s="218"/>
      <c r="EA5" s="218"/>
      <c r="EB5" s="218"/>
      <c r="EC5" s="218"/>
      <c r="ED5" s="218"/>
      <c r="EE5" s="218"/>
      <c r="EF5" s="218"/>
      <c r="EG5" s="218"/>
      <c r="EH5" s="218"/>
      <c r="EI5" s="218"/>
      <c r="EJ5" s="218"/>
      <c r="EK5" s="218"/>
      <c r="EL5" s="218"/>
      <c r="EM5" s="218"/>
      <c r="EN5" s="218"/>
      <c r="EO5" s="218"/>
      <c r="EP5" s="218"/>
      <c r="EQ5" s="218"/>
      <c r="ER5" s="218"/>
      <c r="ES5" s="218"/>
      <c r="ET5" s="218"/>
      <c r="EU5" s="218"/>
      <c r="EV5" s="218"/>
      <c r="EW5" s="218"/>
      <c r="EX5" s="218"/>
      <c r="EY5" s="218"/>
      <c r="EZ5" s="218"/>
      <c r="FA5" s="218"/>
      <c r="FB5" s="218"/>
      <c r="FC5" s="218"/>
      <c r="FD5" s="218"/>
      <c r="FE5" s="218"/>
      <c r="FF5" s="218"/>
      <c r="FG5" s="218"/>
      <c r="FH5" s="218"/>
      <c r="FI5" s="218"/>
      <c r="FJ5" s="218"/>
      <c r="FK5" s="218"/>
      <c r="FL5" s="218"/>
      <c r="FM5" s="218"/>
      <c r="FN5" s="218"/>
      <c r="FO5" s="218"/>
      <c r="FP5" s="218"/>
      <c r="FQ5" s="218"/>
      <c r="FR5" s="218"/>
      <c r="FS5" s="218"/>
      <c r="FT5" s="218"/>
      <c r="FU5" s="218"/>
      <c r="FV5" s="218"/>
      <c r="FW5" s="218"/>
      <c r="FX5" s="218"/>
      <c r="FY5" s="218"/>
      <c r="FZ5" s="218"/>
      <c r="GA5" s="218"/>
      <c r="GB5" s="218"/>
      <c r="GC5" s="218"/>
      <c r="GD5" s="218"/>
      <c r="GE5" s="218"/>
      <c r="GF5" s="218"/>
      <c r="GG5" s="218"/>
      <c r="GH5" s="218"/>
      <c r="GI5" s="218"/>
      <c r="GJ5" s="218"/>
      <c r="GK5" s="218"/>
      <c r="GL5" s="218"/>
      <c r="GM5" s="218"/>
      <c r="GN5" s="218"/>
      <c r="GO5" s="218"/>
      <c r="GP5" s="218"/>
      <c r="GQ5" s="218"/>
      <c r="GR5" s="218"/>
      <c r="GS5" s="218"/>
      <c r="GT5" s="218"/>
      <c r="GU5" s="218"/>
      <c r="GV5" s="218"/>
      <c r="GW5" s="218"/>
      <c r="GX5" s="218"/>
      <c r="GY5" s="218"/>
      <c r="GZ5" s="218"/>
      <c r="HA5" s="218"/>
      <c r="HB5" s="218"/>
      <c r="HC5" s="218"/>
      <c r="HD5" s="218"/>
      <c r="HE5" s="218"/>
      <c r="HF5" s="218"/>
      <c r="HG5" s="218"/>
      <c r="HH5" s="218"/>
      <c r="HI5" s="218"/>
      <c r="HJ5" s="218"/>
      <c r="HK5" s="218"/>
      <c r="HL5" s="218"/>
      <c r="HM5" s="218"/>
      <c r="HN5" s="218"/>
      <c r="HO5" s="218"/>
      <c r="HP5" s="218"/>
      <c r="HQ5" s="218"/>
      <c r="HR5" s="218"/>
      <c r="HS5" s="218"/>
      <c r="HT5" s="218"/>
      <c r="HU5" s="218"/>
      <c r="HV5" s="218"/>
      <c r="HW5" s="218"/>
      <c r="HX5" s="218"/>
      <c r="HY5" s="218"/>
      <c r="HZ5" s="218"/>
      <c r="IA5" s="218"/>
      <c r="IB5" s="218"/>
      <c r="IC5" s="218"/>
      <c r="ID5" s="218"/>
      <c r="IE5" s="218"/>
      <c r="IF5" s="218"/>
      <c r="IG5" s="218"/>
      <c r="IH5" s="218"/>
      <c r="II5" s="218"/>
      <c r="IJ5" s="218"/>
      <c r="IK5" s="218"/>
      <c r="IL5" s="218"/>
      <c r="IM5" s="218"/>
      <c r="IN5" s="218"/>
      <c r="IO5" s="218"/>
      <c r="IP5" s="218"/>
      <c r="IQ5" s="218"/>
      <c r="IR5" s="218"/>
      <c r="IS5" s="218"/>
      <c r="IT5" s="218"/>
      <c r="IU5" s="218"/>
      <c r="IV5" s="218"/>
      <c r="IW5" s="218"/>
    </row>
    <row r="6" customFormat="false" ht="11.25" hidden="false" customHeight="false" outlineLevel="0" collapsed="false">
      <c r="A6" s="218"/>
      <c r="B6" s="218" t="s">
        <v>183</v>
      </c>
      <c r="C6" s="227" t="n">
        <f aca="false">Assumptions!E40</f>
        <v>0</v>
      </c>
      <c r="D6" s="231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18"/>
      <c r="AH6" s="218"/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18"/>
      <c r="AT6" s="218"/>
      <c r="AU6" s="218"/>
      <c r="AV6" s="218"/>
      <c r="AW6" s="218"/>
      <c r="AX6" s="218"/>
      <c r="AY6" s="218"/>
      <c r="AZ6" s="218"/>
      <c r="BA6" s="218"/>
      <c r="BB6" s="218"/>
      <c r="BC6" s="218"/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18"/>
      <c r="BO6" s="218"/>
      <c r="BP6" s="218"/>
      <c r="BQ6" s="218"/>
      <c r="BR6" s="218"/>
      <c r="BS6" s="218"/>
      <c r="BT6" s="218"/>
      <c r="BU6" s="218"/>
      <c r="BV6" s="218"/>
      <c r="BW6" s="218"/>
      <c r="BX6" s="218"/>
      <c r="BY6" s="218"/>
      <c r="BZ6" s="218"/>
      <c r="CA6" s="218"/>
      <c r="CB6" s="218"/>
      <c r="CC6" s="218"/>
      <c r="CD6" s="218"/>
      <c r="CE6" s="218"/>
      <c r="CF6" s="218"/>
      <c r="CG6" s="218"/>
      <c r="CH6" s="218"/>
      <c r="CI6" s="218"/>
      <c r="CJ6" s="218"/>
      <c r="CK6" s="218"/>
      <c r="CL6" s="218"/>
      <c r="CM6" s="218"/>
      <c r="CN6" s="218"/>
      <c r="CO6" s="218"/>
      <c r="CP6" s="218"/>
      <c r="CQ6" s="218"/>
      <c r="CR6" s="218"/>
      <c r="CS6" s="218"/>
      <c r="CT6" s="218"/>
      <c r="CU6" s="218"/>
      <c r="CV6" s="218"/>
      <c r="CW6" s="218"/>
      <c r="CX6" s="218"/>
      <c r="CY6" s="218"/>
      <c r="CZ6" s="218"/>
      <c r="DA6" s="218"/>
      <c r="DB6" s="218"/>
      <c r="DC6" s="218"/>
      <c r="DD6" s="218"/>
      <c r="DE6" s="218"/>
      <c r="DF6" s="218"/>
      <c r="DG6" s="218"/>
      <c r="DH6" s="218"/>
      <c r="DI6" s="218"/>
      <c r="DJ6" s="218"/>
      <c r="DK6" s="218"/>
      <c r="DL6" s="218"/>
      <c r="DM6" s="218"/>
      <c r="DN6" s="218"/>
      <c r="DO6" s="218"/>
      <c r="DP6" s="218"/>
      <c r="DQ6" s="218"/>
      <c r="DR6" s="218"/>
      <c r="DS6" s="218"/>
      <c r="DT6" s="218"/>
      <c r="DU6" s="218"/>
      <c r="DV6" s="218"/>
      <c r="DW6" s="218"/>
      <c r="DX6" s="218"/>
      <c r="DY6" s="218"/>
      <c r="DZ6" s="218"/>
      <c r="EA6" s="218"/>
      <c r="EB6" s="218"/>
      <c r="EC6" s="218"/>
      <c r="ED6" s="218"/>
      <c r="EE6" s="218"/>
      <c r="EF6" s="218"/>
      <c r="EG6" s="218"/>
      <c r="EH6" s="218"/>
      <c r="EI6" s="218"/>
      <c r="EJ6" s="218"/>
      <c r="EK6" s="218"/>
      <c r="EL6" s="218"/>
      <c r="EM6" s="218"/>
      <c r="EN6" s="218"/>
      <c r="EO6" s="218"/>
      <c r="EP6" s="218"/>
      <c r="EQ6" s="218"/>
      <c r="ER6" s="218"/>
      <c r="ES6" s="218"/>
      <c r="ET6" s="218"/>
      <c r="EU6" s="218"/>
      <c r="EV6" s="218"/>
      <c r="EW6" s="218"/>
      <c r="EX6" s="218"/>
      <c r="EY6" s="218"/>
      <c r="EZ6" s="218"/>
      <c r="FA6" s="218"/>
      <c r="FB6" s="218"/>
      <c r="FC6" s="218"/>
      <c r="FD6" s="218"/>
      <c r="FE6" s="218"/>
      <c r="FF6" s="218"/>
      <c r="FG6" s="218"/>
      <c r="FH6" s="218"/>
      <c r="FI6" s="218"/>
      <c r="FJ6" s="218"/>
      <c r="FK6" s="218"/>
      <c r="FL6" s="218"/>
      <c r="FM6" s="218"/>
      <c r="FN6" s="218"/>
      <c r="FO6" s="218"/>
      <c r="FP6" s="218"/>
      <c r="FQ6" s="218"/>
      <c r="FR6" s="218"/>
      <c r="FS6" s="218"/>
      <c r="FT6" s="218"/>
      <c r="FU6" s="218"/>
      <c r="FV6" s="218"/>
      <c r="FW6" s="218"/>
      <c r="FX6" s="218"/>
      <c r="FY6" s="218"/>
      <c r="FZ6" s="218"/>
      <c r="GA6" s="218"/>
      <c r="GB6" s="218"/>
      <c r="GC6" s="218"/>
      <c r="GD6" s="218"/>
      <c r="GE6" s="218"/>
      <c r="GF6" s="218"/>
      <c r="GG6" s="218"/>
      <c r="GH6" s="218"/>
      <c r="GI6" s="218"/>
      <c r="GJ6" s="218"/>
      <c r="GK6" s="218"/>
      <c r="GL6" s="218"/>
      <c r="GM6" s="218"/>
      <c r="GN6" s="218"/>
      <c r="GO6" s="218"/>
      <c r="GP6" s="218"/>
      <c r="GQ6" s="218"/>
      <c r="GR6" s="218"/>
      <c r="GS6" s="218"/>
      <c r="GT6" s="218"/>
      <c r="GU6" s="218"/>
      <c r="GV6" s="218"/>
      <c r="GW6" s="218"/>
      <c r="GX6" s="218"/>
      <c r="GY6" s="218"/>
      <c r="GZ6" s="218"/>
      <c r="HA6" s="218"/>
      <c r="HB6" s="218"/>
      <c r="HC6" s="218"/>
      <c r="HD6" s="218"/>
      <c r="HE6" s="218"/>
      <c r="HF6" s="218"/>
      <c r="HG6" s="218"/>
      <c r="HH6" s="218"/>
      <c r="HI6" s="218"/>
      <c r="HJ6" s="218"/>
      <c r="HK6" s="218"/>
      <c r="HL6" s="218"/>
      <c r="HM6" s="218"/>
      <c r="HN6" s="218"/>
      <c r="HO6" s="218"/>
      <c r="HP6" s="218"/>
      <c r="HQ6" s="218"/>
      <c r="HR6" s="218"/>
      <c r="HS6" s="218"/>
      <c r="HT6" s="218"/>
      <c r="HU6" s="218"/>
      <c r="HV6" s="218"/>
      <c r="HW6" s="218"/>
      <c r="HX6" s="218"/>
      <c r="HY6" s="218"/>
      <c r="HZ6" s="218"/>
      <c r="IA6" s="218"/>
      <c r="IB6" s="218"/>
      <c r="IC6" s="218"/>
      <c r="ID6" s="218"/>
      <c r="IE6" s="218"/>
      <c r="IF6" s="218"/>
      <c r="IG6" s="218"/>
      <c r="IH6" s="218"/>
      <c r="II6" s="218"/>
      <c r="IJ6" s="218"/>
      <c r="IK6" s="218"/>
      <c r="IL6" s="218"/>
      <c r="IM6" s="218"/>
      <c r="IN6" s="218"/>
      <c r="IO6" s="218"/>
      <c r="IP6" s="218"/>
      <c r="IQ6" s="218"/>
      <c r="IR6" s="218"/>
      <c r="IS6" s="218"/>
      <c r="IT6" s="218"/>
      <c r="IU6" s="218"/>
      <c r="IV6" s="218"/>
      <c r="IW6" s="218"/>
    </row>
    <row r="7" customFormat="false" ht="11.25" hidden="false" customHeight="false" outlineLevel="0" collapsed="false">
      <c r="A7" s="218"/>
      <c r="B7" s="218" t="s">
        <v>184</v>
      </c>
      <c r="C7" s="232" t="n">
        <f aca="false">Assumptions!E41</f>
        <v>0</v>
      </c>
      <c r="D7" s="233"/>
      <c r="E7" s="218" t="s">
        <v>185</v>
      </c>
      <c r="F7" s="218"/>
      <c r="G7" s="218" t="n">
        <v>10</v>
      </c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  <c r="BF7" s="218"/>
      <c r="BG7" s="218"/>
      <c r="BH7" s="218"/>
      <c r="BI7" s="218"/>
      <c r="BJ7" s="218"/>
      <c r="BK7" s="218"/>
      <c r="BL7" s="218"/>
      <c r="BM7" s="218"/>
      <c r="BN7" s="218"/>
      <c r="BO7" s="218"/>
      <c r="BP7" s="218"/>
      <c r="BQ7" s="218"/>
      <c r="BR7" s="218"/>
      <c r="BS7" s="218"/>
      <c r="BT7" s="218"/>
      <c r="BU7" s="218"/>
      <c r="BV7" s="218"/>
      <c r="BW7" s="218"/>
      <c r="BX7" s="218"/>
      <c r="BY7" s="218"/>
      <c r="BZ7" s="218"/>
      <c r="CA7" s="218"/>
      <c r="CB7" s="218"/>
      <c r="CC7" s="218"/>
      <c r="CD7" s="218"/>
      <c r="CE7" s="218"/>
      <c r="CF7" s="218"/>
      <c r="CG7" s="218"/>
      <c r="CH7" s="218"/>
      <c r="CI7" s="218"/>
      <c r="CJ7" s="218"/>
      <c r="CK7" s="218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8"/>
      <c r="CX7" s="218"/>
      <c r="CY7" s="218"/>
      <c r="CZ7" s="218"/>
      <c r="DA7" s="218"/>
      <c r="DB7" s="218"/>
      <c r="DC7" s="218"/>
      <c r="DD7" s="218"/>
      <c r="DE7" s="218"/>
      <c r="DF7" s="218"/>
      <c r="DG7" s="218"/>
      <c r="DH7" s="218"/>
      <c r="DI7" s="218"/>
      <c r="DJ7" s="218"/>
      <c r="DK7" s="218"/>
      <c r="DL7" s="218"/>
      <c r="DM7" s="218"/>
      <c r="DN7" s="218"/>
      <c r="DO7" s="218"/>
      <c r="DP7" s="218"/>
      <c r="DQ7" s="218"/>
      <c r="DR7" s="218"/>
      <c r="DS7" s="218"/>
      <c r="DT7" s="218"/>
      <c r="DU7" s="218"/>
      <c r="DV7" s="218"/>
      <c r="DW7" s="218"/>
      <c r="DX7" s="218"/>
      <c r="DY7" s="218"/>
      <c r="DZ7" s="218"/>
      <c r="EA7" s="218"/>
      <c r="EB7" s="218"/>
      <c r="EC7" s="218"/>
      <c r="ED7" s="218"/>
      <c r="EE7" s="218"/>
      <c r="EF7" s="218"/>
      <c r="EG7" s="218"/>
      <c r="EH7" s="218"/>
      <c r="EI7" s="218"/>
      <c r="EJ7" s="218"/>
      <c r="EK7" s="218"/>
      <c r="EL7" s="218"/>
      <c r="EM7" s="218"/>
      <c r="EN7" s="218"/>
      <c r="EO7" s="218"/>
      <c r="EP7" s="218"/>
      <c r="EQ7" s="218"/>
      <c r="ER7" s="218"/>
      <c r="ES7" s="218"/>
      <c r="ET7" s="218"/>
      <c r="EU7" s="218"/>
      <c r="EV7" s="218"/>
      <c r="EW7" s="218"/>
      <c r="EX7" s="218"/>
      <c r="EY7" s="218"/>
      <c r="EZ7" s="218"/>
      <c r="FA7" s="218"/>
      <c r="FB7" s="218"/>
      <c r="FC7" s="218"/>
      <c r="FD7" s="218"/>
      <c r="FE7" s="218"/>
      <c r="FF7" s="218"/>
      <c r="FG7" s="218"/>
      <c r="FH7" s="218"/>
      <c r="FI7" s="218"/>
      <c r="FJ7" s="218"/>
      <c r="FK7" s="218"/>
      <c r="FL7" s="218"/>
      <c r="FM7" s="218"/>
      <c r="FN7" s="218"/>
      <c r="FO7" s="218"/>
      <c r="FP7" s="218"/>
      <c r="FQ7" s="218"/>
      <c r="FR7" s="218"/>
      <c r="FS7" s="218"/>
      <c r="FT7" s="218"/>
      <c r="FU7" s="218"/>
      <c r="FV7" s="218"/>
      <c r="FW7" s="218"/>
      <c r="FX7" s="218"/>
      <c r="FY7" s="218"/>
      <c r="FZ7" s="218"/>
      <c r="GA7" s="218"/>
      <c r="GB7" s="218"/>
      <c r="GC7" s="218"/>
      <c r="GD7" s="218"/>
      <c r="GE7" s="218"/>
      <c r="GF7" s="218"/>
      <c r="GG7" s="218"/>
      <c r="GH7" s="218"/>
      <c r="GI7" s="218"/>
      <c r="GJ7" s="218"/>
      <c r="GK7" s="218"/>
      <c r="GL7" s="218"/>
      <c r="GM7" s="218"/>
      <c r="GN7" s="218"/>
      <c r="GO7" s="218"/>
      <c r="GP7" s="218"/>
      <c r="GQ7" s="218"/>
      <c r="GR7" s="218"/>
      <c r="GS7" s="218"/>
      <c r="GT7" s="218"/>
      <c r="GU7" s="218"/>
      <c r="GV7" s="218"/>
      <c r="GW7" s="218"/>
      <c r="GX7" s="218"/>
      <c r="GY7" s="218"/>
      <c r="GZ7" s="218"/>
      <c r="HA7" s="218"/>
      <c r="HB7" s="218"/>
      <c r="HC7" s="218"/>
      <c r="HD7" s="218"/>
      <c r="HE7" s="218"/>
      <c r="HF7" s="218"/>
      <c r="HG7" s="218"/>
      <c r="HH7" s="218"/>
      <c r="HI7" s="218"/>
      <c r="HJ7" s="218"/>
      <c r="HK7" s="218"/>
      <c r="HL7" s="218"/>
      <c r="HM7" s="218"/>
      <c r="HN7" s="218"/>
      <c r="HO7" s="218"/>
      <c r="HP7" s="218"/>
      <c r="HQ7" s="218"/>
      <c r="HR7" s="218"/>
      <c r="HS7" s="218"/>
      <c r="HT7" s="218"/>
      <c r="HU7" s="218"/>
      <c r="HV7" s="218"/>
      <c r="HW7" s="218"/>
      <c r="HX7" s="218"/>
      <c r="HY7" s="218"/>
      <c r="HZ7" s="218"/>
      <c r="IA7" s="218"/>
      <c r="IB7" s="218"/>
      <c r="IC7" s="218"/>
      <c r="ID7" s="218"/>
      <c r="IE7" s="218"/>
      <c r="IF7" s="218"/>
      <c r="IG7" s="218"/>
      <c r="IH7" s="218"/>
      <c r="II7" s="218"/>
      <c r="IJ7" s="218"/>
      <c r="IK7" s="218"/>
      <c r="IL7" s="218"/>
      <c r="IM7" s="218"/>
      <c r="IN7" s="218"/>
      <c r="IO7" s="218"/>
      <c r="IP7" s="218"/>
      <c r="IQ7" s="218"/>
      <c r="IR7" s="218"/>
      <c r="IS7" s="218"/>
      <c r="IT7" s="218"/>
      <c r="IU7" s="218"/>
      <c r="IV7" s="218"/>
      <c r="IW7" s="218"/>
    </row>
    <row r="8" customFormat="false" ht="11.25" hidden="false" customHeight="false" outlineLevel="0" collapsed="false">
      <c r="A8" s="218"/>
      <c r="B8" s="218" t="s">
        <v>186</v>
      </c>
      <c r="C8" s="232" t="n">
        <f aca="false">Assumptions!E42</f>
        <v>0</v>
      </c>
      <c r="D8" s="233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218"/>
      <c r="R8" s="218"/>
      <c r="S8" s="218"/>
      <c r="T8" s="218"/>
      <c r="U8" s="218"/>
      <c r="V8" s="218"/>
      <c r="W8" s="218"/>
      <c r="X8" s="218"/>
      <c r="Y8" s="218"/>
      <c r="Z8" s="218"/>
      <c r="AA8" s="218"/>
      <c r="AB8" s="218"/>
      <c r="AC8" s="218"/>
      <c r="AD8" s="218"/>
      <c r="AE8" s="218"/>
      <c r="AF8" s="218"/>
      <c r="AG8" s="218"/>
      <c r="AH8" s="218"/>
      <c r="AI8" s="218"/>
      <c r="AJ8" s="218"/>
      <c r="AK8" s="218"/>
      <c r="AL8" s="218"/>
      <c r="AM8" s="218"/>
      <c r="AN8" s="218"/>
      <c r="AO8" s="218"/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218"/>
      <c r="DC8" s="218"/>
      <c r="DD8" s="218"/>
      <c r="DE8" s="218"/>
      <c r="DF8" s="218"/>
      <c r="DG8" s="218"/>
      <c r="DH8" s="218"/>
      <c r="DI8" s="218"/>
      <c r="DJ8" s="218"/>
      <c r="DK8" s="218"/>
      <c r="DL8" s="218"/>
      <c r="DM8" s="218"/>
      <c r="DN8" s="218"/>
      <c r="DO8" s="218"/>
      <c r="DP8" s="218"/>
      <c r="DQ8" s="218"/>
      <c r="DR8" s="218"/>
      <c r="DS8" s="218"/>
      <c r="DT8" s="218"/>
      <c r="DU8" s="218"/>
      <c r="DV8" s="218"/>
      <c r="DW8" s="218"/>
      <c r="DX8" s="218"/>
      <c r="DY8" s="218"/>
      <c r="DZ8" s="218"/>
      <c r="EA8" s="218"/>
      <c r="EB8" s="218"/>
      <c r="EC8" s="218"/>
      <c r="ED8" s="218"/>
      <c r="EE8" s="218"/>
      <c r="EF8" s="218"/>
      <c r="EG8" s="218"/>
      <c r="EH8" s="218"/>
      <c r="EI8" s="218"/>
      <c r="EJ8" s="218"/>
      <c r="EK8" s="218"/>
      <c r="EL8" s="218"/>
      <c r="EM8" s="218"/>
      <c r="EN8" s="218"/>
      <c r="EO8" s="218"/>
      <c r="EP8" s="218"/>
      <c r="EQ8" s="218"/>
      <c r="ER8" s="218"/>
      <c r="ES8" s="218"/>
      <c r="ET8" s="218"/>
      <c r="EU8" s="218"/>
      <c r="EV8" s="218"/>
      <c r="EW8" s="218"/>
      <c r="EX8" s="218"/>
      <c r="EY8" s="218"/>
      <c r="EZ8" s="218"/>
      <c r="FA8" s="218"/>
      <c r="FB8" s="218"/>
      <c r="FC8" s="218"/>
      <c r="FD8" s="218"/>
      <c r="FE8" s="218"/>
      <c r="FF8" s="218"/>
      <c r="FG8" s="218"/>
      <c r="FH8" s="218"/>
      <c r="FI8" s="218"/>
      <c r="FJ8" s="218"/>
      <c r="FK8" s="218"/>
      <c r="FL8" s="218"/>
      <c r="FM8" s="218"/>
      <c r="FN8" s="218"/>
      <c r="FO8" s="218"/>
      <c r="FP8" s="218"/>
      <c r="FQ8" s="218"/>
      <c r="FR8" s="218"/>
      <c r="FS8" s="218"/>
      <c r="FT8" s="218"/>
      <c r="FU8" s="218"/>
      <c r="FV8" s="218"/>
      <c r="FW8" s="218"/>
      <c r="FX8" s="218"/>
      <c r="FY8" s="218"/>
      <c r="FZ8" s="218"/>
      <c r="GA8" s="218"/>
      <c r="GB8" s="218"/>
      <c r="GC8" s="218"/>
      <c r="GD8" s="218"/>
      <c r="GE8" s="218"/>
      <c r="GF8" s="218"/>
      <c r="GG8" s="218"/>
      <c r="GH8" s="218"/>
      <c r="GI8" s="218"/>
      <c r="GJ8" s="218"/>
      <c r="GK8" s="218"/>
      <c r="GL8" s="218"/>
      <c r="GM8" s="218"/>
      <c r="GN8" s="218"/>
      <c r="GO8" s="218"/>
      <c r="GP8" s="218"/>
      <c r="GQ8" s="218"/>
      <c r="GR8" s="218"/>
      <c r="GS8" s="218"/>
      <c r="GT8" s="218"/>
      <c r="GU8" s="218"/>
      <c r="GV8" s="218"/>
      <c r="GW8" s="218"/>
      <c r="GX8" s="218"/>
      <c r="GY8" s="218"/>
      <c r="GZ8" s="218"/>
      <c r="HA8" s="218"/>
      <c r="HB8" s="218"/>
      <c r="HC8" s="218"/>
      <c r="HD8" s="218"/>
      <c r="HE8" s="218"/>
      <c r="HF8" s="218"/>
      <c r="HG8" s="218"/>
      <c r="HH8" s="218"/>
      <c r="HI8" s="218"/>
      <c r="HJ8" s="218"/>
      <c r="HK8" s="218"/>
      <c r="HL8" s="218"/>
      <c r="HM8" s="218"/>
      <c r="HN8" s="218"/>
      <c r="HO8" s="218"/>
      <c r="HP8" s="218"/>
      <c r="HQ8" s="218"/>
      <c r="HR8" s="218"/>
      <c r="HS8" s="218"/>
      <c r="HT8" s="218"/>
      <c r="HU8" s="218"/>
      <c r="HV8" s="218"/>
      <c r="HW8" s="218"/>
      <c r="HX8" s="218"/>
      <c r="HY8" s="218"/>
      <c r="HZ8" s="218"/>
      <c r="IA8" s="218"/>
      <c r="IB8" s="218"/>
      <c r="IC8" s="218"/>
      <c r="ID8" s="218"/>
      <c r="IE8" s="218"/>
      <c r="IF8" s="218"/>
      <c r="IG8" s="218"/>
      <c r="IH8" s="218"/>
      <c r="II8" s="218"/>
      <c r="IJ8" s="218"/>
      <c r="IK8" s="218"/>
      <c r="IL8" s="218"/>
      <c r="IM8" s="218"/>
      <c r="IN8" s="218"/>
      <c r="IO8" s="218"/>
      <c r="IP8" s="218"/>
      <c r="IQ8" s="218"/>
      <c r="IR8" s="218"/>
      <c r="IS8" s="218"/>
      <c r="IT8" s="218"/>
      <c r="IU8" s="218"/>
      <c r="IV8" s="218"/>
      <c r="IW8" s="218"/>
    </row>
    <row r="9" customFormat="false" ht="11.25" hidden="false" customHeight="false" outlineLevel="0" collapsed="false">
      <c r="A9" s="218"/>
      <c r="B9" s="229"/>
      <c r="C9" s="234"/>
      <c r="D9" s="235"/>
      <c r="E9" s="218" t="s">
        <v>187</v>
      </c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18"/>
      <c r="AH9" s="218"/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18"/>
      <c r="BC9" s="218"/>
      <c r="BD9" s="218"/>
      <c r="BE9" s="218"/>
      <c r="BF9" s="218"/>
      <c r="BG9" s="218"/>
      <c r="BH9" s="218"/>
      <c r="BI9" s="218"/>
      <c r="BJ9" s="218"/>
      <c r="BK9" s="218"/>
      <c r="BL9" s="218"/>
      <c r="BM9" s="218"/>
      <c r="BN9" s="218"/>
      <c r="BO9" s="218"/>
      <c r="BP9" s="218"/>
      <c r="BQ9" s="218"/>
      <c r="BR9" s="218"/>
      <c r="BS9" s="218"/>
      <c r="BT9" s="218"/>
      <c r="BU9" s="218"/>
      <c r="BV9" s="218"/>
      <c r="BW9" s="218"/>
      <c r="BX9" s="218"/>
      <c r="BY9" s="218"/>
      <c r="BZ9" s="218"/>
      <c r="CA9" s="218"/>
      <c r="CB9" s="218"/>
      <c r="CC9" s="218"/>
      <c r="CD9" s="218"/>
      <c r="CE9" s="218"/>
      <c r="CF9" s="218"/>
      <c r="CG9" s="218"/>
      <c r="CH9" s="218"/>
      <c r="CI9" s="218"/>
      <c r="CJ9" s="218"/>
      <c r="CK9" s="218"/>
      <c r="CL9" s="218"/>
      <c r="CM9" s="218"/>
      <c r="CN9" s="218"/>
      <c r="CO9" s="218"/>
      <c r="CP9" s="218"/>
      <c r="CQ9" s="218"/>
      <c r="CR9" s="218"/>
      <c r="CS9" s="218"/>
      <c r="CT9" s="218"/>
      <c r="CU9" s="218"/>
      <c r="CV9" s="218"/>
      <c r="CW9" s="218"/>
      <c r="CX9" s="218"/>
      <c r="CY9" s="218"/>
      <c r="CZ9" s="218"/>
      <c r="DA9" s="218"/>
      <c r="DB9" s="218"/>
      <c r="DC9" s="218"/>
      <c r="DD9" s="218"/>
      <c r="DE9" s="218"/>
      <c r="DF9" s="218"/>
      <c r="DG9" s="218"/>
      <c r="DH9" s="218"/>
      <c r="DI9" s="218"/>
      <c r="DJ9" s="218"/>
      <c r="DK9" s="218"/>
      <c r="DL9" s="218"/>
      <c r="DM9" s="218"/>
      <c r="DN9" s="218"/>
      <c r="DO9" s="218"/>
      <c r="DP9" s="218"/>
      <c r="DQ9" s="218"/>
      <c r="DR9" s="218"/>
      <c r="DS9" s="218"/>
      <c r="DT9" s="218"/>
      <c r="DU9" s="218"/>
      <c r="DV9" s="218"/>
      <c r="DW9" s="218"/>
      <c r="DX9" s="218"/>
      <c r="DY9" s="218"/>
      <c r="DZ9" s="218"/>
      <c r="EA9" s="218"/>
      <c r="EB9" s="218"/>
      <c r="EC9" s="218"/>
      <c r="ED9" s="218"/>
      <c r="EE9" s="218"/>
      <c r="EF9" s="218"/>
      <c r="EG9" s="218"/>
      <c r="EH9" s="218"/>
      <c r="EI9" s="218"/>
      <c r="EJ9" s="218"/>
      <c r="EK9" s="218"/>
      <c r="EL9" s="218"/>
      <c r="EM9" s="218"/>
      <c r="EN9" s="218"/>
      <c r="EO9" s="218"/>
      <c r="EP9" s="218"/>
      <c r="EQ9" s="218"/>
      <c r="ER9" s="218"/>
      <c r="ES9" s="218"/>
      <c r="ET9" s="218"/>
      <c r="EU9" s="218"/>
      <c r="EV9" s="218"/>
      <c r="EW9" s="218"/>
      <c r="EX9" s="218"/>
      <c r="EY9" s="218"/>
      <c r="EZ9" s="218"/>
      <c r="FA9" s="218"/>
      <c r="FB9" s="218"/>
      <c r="FC9" s="218"/>
      <c r="FD9" s="218"/>
      <c r="FE9" s="218"/>
      <c r="FF9" s="218"/>
      <c r="FG9" s="218"/>
      <c r="FH9" s="218"/>
      <c r="FI9" s="218"/>
      <c r="FJ9" s="218"/>
      <c r="FK9" s="218"/>
      <c r="FL9" s="218"/>
      <c r="FM9" s="218"/>
      <c r="FN9" s="218"/>
      <c r="FO9" s="218"/>
      <c r="FP9" s="218"/>
      <c r="FQ9" s="218"/>
      <c r="FR9" s="218"/>
      <c r="FS9" s="218"/>
      <c r="FT9" s="218"/>
      <c r="FU9" s="218"/>
      <c r="FV9" s="218"/>
      <c r="FW9" s="218"/>
      <c r="FX9" s="218"/>
      <c r="FY9" s="218"/>
      <c r="FZ9" s="218"/>
      <c r="GA9" s="218"/>
      <c r="GB9" s="218"/>
      <c r="GC9" s="218"/>
      <c r="GD9" s="218"/>
      <c r="GE9" s="218"/>
      <c r="GF9" s="218"/>
      <c r="GG9" s="218"/>
      <c r="GH9" s="218"/>
      <c r="GI9" s="218"/>
      <c r="GJ9" s="218"/>
      <c r="GK9" s="218"/>
      <c r="GL9" s="218"/>
      <c r="GM9" s="218"/>
      <c r="GN9" s="218"/>
      <c r="GO9" s="218"/>
      <c r="GP9" s="218"/>
      <c r="GQ9" s="218"/>
      <c r="GR9" s="218"/>
      <c r="GS9" s="218"/>
      <c r="GT9" s="218"/>
      <c r="GU9" s="218"/>
      <c r="GV9" s="218"/>
      <c r="GW9" s="218"/>
      <c r="GX9" s="218"/>
      <c r="GY9" s="218"/>
      <c r="GZ9" s="218"/>
      <c r="HA9" s="218"/>
      <c r="HB9" s="218"/>
      <c r="HC9" s="218"/>
      <c r="HD9" s="218"/>
      <c r="HE9" s="218"/>
      <c r="HF9" s="218"/>
      <c r="HG9" s="218"/>
      <c r="HH9" s="218"/>
      <c r="HI9" s="218"/>
      <c r="HJ9" s="218"/>
      <c r="HK9" s="218"/>
      <c r="HL9" s="218"/>
      <c r="HM9" s="218"/>
      <c r="HN9" s="218"/>
      <c r="HO9" s="218"/>
      <c r="HP9" s="218"/>
      <c r="HQ9" s="218"/>
      <c r="HR9" s="218"/>
      <c r="HS9" s="218"/>
      <c r="HT9" s="218"/>
      <c r="HU9" s="218"/>
      <c r="HV9" s="218"/>
      <c r="HW9" s="218"/>
      <c r="HX9" s="218"/>
      <c r="HY9" s="218"/>
      <c r="HZ9" s="218"/>
      <c r="IA9" s="218"/>
      <c r="IB9" s="218"/>
      <c r="IC9" s="218"/>
      <c r="ID9" s="218"/>
      <c r="IE9" s="218"/>
      <c r="IF9" s="218"/>
      <c r="IG9" s="218"/>
      <c r="IH9" s="218"/>
      <c r="II9" s="218"/>
      <c r="IJ9" s="218"/>
      <c r="IK9" s="218"/>
      <c r="IL9" s="218"/>
      <c r="IM9" s="218"/>
      <c r="IN9" s="218"/>
      <c r="IO9" s="218"/>
      <c r="IP9" s="218"/>
      <c r="IQ9" s="218"/>
      <c r="IR9" s="218"/>
      <c r="IS9" s="218"/>
      <c r="IT9" s="218"/>
      <c r="IU9" s="218"/>
      <c r="IV9" s="218"/>
      <c r="IW9" s="218"/>
    </row>
    <row r="10" customFormat="false" ht="11.25" hidden="false" customHeight="false" outlineLevel="0" collapsed="false">
      <c r="A10" s="218"/>
      <c r="B10" s="229"/>
      <c r="C10" s="227"/>
      <c r="D10" s="233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218"/>
      <c r="AU10" s="218"/>
      <c r="AV10" s="218"/>
      <c r="AW10" s="218"/>
      <c r="AX10" s="218"/>
      <c r="AY10" s="218"/>
      <c r="AZ10" s="218"/>
      <c r="BA10" s="218"/>
      <c r="BB10" s="218"/>
      <c r="BC10" s="218"/>
      <c r="BD10" s="218"/>
      <c r="BE10" s="218"/>
      <c r="BF10" s="218"/>
      <c r="BG10" s="218"/>
      <c r="BH10" s="218"/>
      <c r="BI10" s="218"/>
      <c r="BJ10" s="218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8"/>
      <c r="CA10" s="218"/>
      <c r="CB10" s="218"/>
      <c r="CC10" s="218"/>
      <c r="CD10" s="218"/>
      <c r="CE10" s="218"/>
      <c r="CF10" s="218"/>
      <c r="CG10" s="218"/>
      <c r="CH10" s="218"/>
      <c r="CI10" s="218"/>
      <c r="CJ10" s="218"/>
      <c r="CK10" s="218"/>
      <c r="CL10" s="218"/>
      <c r="CM10" s="218"/>
      <c r="CN10" s="218"/>
      <c r="CO10" s="218"/>
      <c r="CP10" s="218"/>
      <c r="CQ10" s="218"/>
      <c r="CR10" s="218"/>
      <c r="CS10" s="218"/>
      <c r="CT10" s="218"/>
      <c r="CU10" s="218"/>
      <c r="CV10" s="218"/>
      <c r="CW10" s="218"/>
      <c r="CX10" s="218"/>
      <c r="CY10" s="218"/>
      <c r="CZ10" s="218"/>
      <c r="DA10" s="218"/>
      <c r="DB10" s="218"/>
      <c r="DC10" s="218"/>
      <c r="DD10" s="218"/>
      <c r="DE10" s="218"/>
      <c r="DF10" s="218"/>
      <c r="DG10" s="218"/>
      <c r="DH10" s="218"/>
      <c r="DI10" s="218"/>
      <c r="DJ10" s="218"/>
      <c r="DK10" s="218"/>
      <c r="DL10" s="218"/>
      <c r="DM10" s="218"/>
      <c r="DN10" s="218"/>
      <c r="DO10" s="218"/>
      <c r="DP10" s="218"/>
      <c r="DQ10" s="218"/>
      <c r="DR10" s="218"/>
      <c r="DS10" s="218"/>
      <c r="DT10" s="218"/>
      <c r="DU10" s="218"/>
      <c r="DV10" s="218"/>
      <c r="DW10" s="218"/>
      <c r="DX10" s="218"/>
      <c r="DY10" s="218"/>
      <c r="DZ10" s="218"/>
      <c r="EA10" s="218"/>
      <c r="EB10" s="218"/>
      <c r="EC10" s="218"/>
      <c r="ED10" s="218"/>
      <c r="EE10" s="218"/>
      <c r="EF10" s="218"/>
      <c r="EG10" s="218"/>
      <c r="EH10" s="218"/>
      <c r="EI10" s="218"/>
      <c r="EJ10" s="218"/>
      <c r="EK10" s="218"/>
      <c r="EL10" s="218"/>
      <c r="EM10" s="218"/>
      <c r="EN10" s="218"/>
      <c r="EO10" s="218"/>
      <c r="EP10" s="218"/>
      <c r="EQ10" s="218"/>
      <c r="ER10" s="218"/>
      <c r="ES10" s="218"/>
      <c r="ET10" s="218"/>
      <c r="EU10" s="218"/>
      <c r="EV10" s="218"/>
      <c r="EW10" s="218"/>
      <c r="EX10" s="218"/>
      <c r="EY10" s="218"/>
      <c r="EZ10" s="218"/>
      <c r="FA10" s="218"/>
      <c r="FB10" s="218"/>
      <c r="FC10" s="218"/>
      <c r="FD10" s="218"/>
      <c r="FE10" s="218"/>
      <c r="FF10" s="218"/>
      <c r="FG10" s="218"/>
      <c r="FH10" s="218"/>
      <c r="FI10" s="218"/>
      <c r="FJ10" s="218"/>
      <c r="FK10" s="218"/>
      <c r="FL10" s="218"/>
      <c r="FM10" s="218"/>
      <c r="FN10" s="218"/>
      <c r="FO10" s="218"/>
      <c r="FP10" s="218"/>
      <c r="FQ10" s="218"/>
      <c r="FR10" s="218"/>
      <c r="FS10" s="218"/>
      <c r="FT10" s="218"/>
      <c r="FU10" s="218"/>
      <c r="FV10" s="218"/>
      <c r="FW10" s="218"/>
      <c r="FX10" s="218"/>
      <c r="FY10" s="218"/>
      <c r="FZ10" s="218"/>
      <c r="GA10" s="218"/>
      <c r="GB10" s="218"/>
      <c r="GC10" s="218"/>
      <c r="GD10" s="218"/>
      <c r="GE10" s="218"/>
      <c r="GF10" s="218"/>
      <c r="GG10" s="218"/>
      <c r="GH10" s="218"/>
      <c r="GI10" s="218"/>
      <c r="GJ10" s="218"/>
      <c r="GK10" s="218"/>
      <c r="GL10" s="218"/>
      <c r="GM10" s="218"/>
      <c r="GN10" s="218"/>
      <c r="GO10" s="218"/>
      <c r="GP10" s="218"/>
      <c r="GQ10" s="218"/>
      <c r="GR10" s="218"/>
      <c r="GS10" s="218"/>
      <c r="GT10" s="218"/>
      <c r="GU10" s="218"/>
      <c r="GV10" s="218"/>
      <c r="GW10" s="218"/>
      <c r="GX10" s="218"/>
      <c r="GY10" s="218"/>
      <c r="GZ10" s="218"/>
      <c r="HA10" s="218"/>
      <c r="HB10" s="218"/>
      <c r="HC10" s="218"/>
      <c r="HD10" s="218"/>
      <c r="HE10" s="218"/>
      <c r="HF10" s="218"/>
      <c r="HG10" s="218"/>
      <c r="HH10" s="218"/>
      <c r="HI10" s="218"/>
      <c r="HJ10" s="218"/>
      <c r="HK10" s="218"/>
      <c r="HL10" s="218"/>
      <c r="HM10" s="218"/>
      <c r="HN10" s="218"/>
      <c r="HO10" s="218"/>
      <c r="HP10" s="218"/>
      <c r="HQ10" s="218"/>
      <c r="HR10" s="218"/>
      <c r="HS10" s="218"/>
      <c r="HT10" s="218"/>
      <c r="HU10" s="218"/>
      <c r="HV10" s="218"/>
      <c r="HW10" s="218"/>
      <c r="HX10" s="218"/>
      <c r="HY10" s="218"/>
      <c r="HZ10" s="218"/>
      <c r="IA10" s="218"/>
      <c r="IB10" s="218"/>
      <c r="IC10" s="218"/>
      <c r="ID10" s="218"/>
      <c r="IE10" s="218"/>
      <c r="IF10" s="218"/>
      <c r="IG10" s="218"/>
      <c r="IH10" s="218"/>
      <c r="II10" s="218"/>
      <c r="IJ10" s="218"/>
      <c r="IK10" s="218"/>
      <c r="IL10" s="218"/>
      <c r="IM10" s="218"/>
      <c r="IN10" s="218"/>
      <c r="IO10" s="218"/>
      <c r="IP10" s="218"/>
      <c r="IQ10" s="218"/>
      <c r="IR10" s="218"/>
      <c r="IS10" s="218"/>
      <c r="IT10" s="218"/>
      <c r="IU10" s="218"/>
      <c r="IV10" s="218"/>
      <c r="IW10" s="218"/>
    </row>
    <row r="11" customFormat="false" ht="11.25" hidden="false" customHeight="false" outlineLevel="0" collapsed="false">
      <c r="A11" s="218"/>
      <c r="B11" s="218"/>
      <c r="C11" s="218"/>
      <c r="D11" s="218"/>
      <c r="E11" s="236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V11" s="218"/>
      <c r="W11" s="218"/>
      <c r="X11" s="218"/>
      <c r="Y11" s="218"/>
      <c r="Z11" s="218"/>
      <c r="AA11" s="218"/>
      <c r="AB11" s="218"/>
      <c r="AC11" s="218"/>
      <c r="AD11" s="218"/>
      <c r="AE11" s="218"/>
      <c r="AF11" s="218"/>
      <c r="AG11" s="218"/>
      <c r="AH11" s="218"/>
      <c r="AI11" s="218"/>
      <c r="AJ11" s="218"/>
      <c r="AK11" s="218"/>
      <c r="AL11" s="218"/>
      <c r="AM11" s="218"/>
      <c r="AN11" s="218"/>
      <c r="AO11" s="218"/>
      <c r="AP11" s="218"/>
      <c r="AQ11" s="218"/>
      <c r="AR11" s="218"/>
      <c r="AS11" s="218"/>
      <c r="AT11" s="218"/>
      <c r="AU11" s="218"/>
      <c r="AV11" s="218"/>
      <c r="AW11" s="218"/>
      <c r="AX11" s="218"/>
      <c r="AY11" s="218"/>
      <c r="AZ11" s="218"/>
      <c r="BA11" s="218"/>
      <c r="BB11" s="218"/>
      <c r="BC11" s="218"/>
      <c r="BD11" s="218"/>
      <c r="BE11" s="218"/>
      <c r="BF11" s="218"/>
      <c r="BG11" s="218"/>
      <c r="BH11" s="218"/>
      <c r="BI11" s="218"/>
      <c r="BJ11" s="218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8"/>
      <c r="CA11" s="218"/>
      <c r="CB11" s="218"/>
      <c r="CC11" s="218"/>
      <c r="CD11" s="218"/>
      <c r="CE11" s="218"/>
      <c r="CF11" s="218"/>
      <c r="CG11" s="218"/>
      <c r="CH11" s="218"/>
      <c r="CI11" s="218"/>
      <c r="CJ11" s="218"/>
      <c r="CK11" s="218"/>
      <c r="CL11" s="218"/>
      <c r="CM11" s="218"/>
      <c r="CN11" s="218"/>
      <c r="CO11" s="218"/>
      <c r="CP11" s="218"/>
      <c r="CQ11" s="218"/>
      <c r="CR11" s="218"/>
      <c r="CS11" s="218"/>
      <c r="CT11" s="218"/>
      <c r="CU11" s="218"/>
      <c r="CV11" s="218"/>
      <c r="CW11" s="218"/>
      <c r="CX11" s="218"/>
      <c r="CY11" s="218"/>
      <c r="CZ11" s="218"/>
      <c r="DA11" s="218"/>
      <c r="DB11" s="218"/>
      <c r="DC11" s="218"/>
      <c r="DD11" s="218"/>
      <c r="DE11" s="218"/>
      <c r="DF11" s="218"/>
      <c r="DG11" s="218"/>
      <c r="DH11" s="218"/>
      <c r="DI11" s="218"/>
      <c r="DJ11" s="218"/>
      <c r="DK11" s="218"/>
      <c r="DL11" s="218"/>
      <c r="DM11" s="218"/>
      <c r="DN11" s="218"/>
      <c r="DO11" s="218"/>
      <c r="DP11" s="218"/>
      <c r="DQ11" s="218"/>
      <c r="DR11" s="218"/>
      <c r="DS11" s="218"/>
      <c r="DT11" s="218"/>
      <c r="DU11" s="218"/>
      <c r="DV11" s="218"/>
      <c r="DW11" s="218"/>
      <c r="DX11" s="218"/>
      <c r="DY11" s="218"/>
      <c r="DZ11" s="218"/>
      <c r="EA11" s="218"/>
      <c r="EB11" s="218"/>
      <c r="EC11" s="218"/>
      <c r="ED11" s="218"/>
      <c r="EE11" s="218"/>
      <c r="EF11" s="218"/>
      <c r="EG11" s="218"/>
      <c r="EH11" s="218"/>
      <c r="EI11" s="218"/>
      <c r="EJ11" s="218"/>
      <c r="EK11" s="218"/>
      <c r="EL11" s="218"/>
      <c r="EM11" s="218"/>
      <c r="EN11" s="218"/>
      <c r="EO11" s="218"/>
      <c r="EP11" s="218"/>
      <c r="EQ11" s="218"/>
      <c r="ER11" s="218"/>
      <c r="ES11" s="218"/>
      <c r="ET11" s="218"/>
      <c r="EU11" s="218"/>
      <c r="EV11" s="218"/>
      <c r="EW11" s="218"/>
      <c r="EX11" s="218"/>
      <c r="EY11" s="218"/>
      <c r="EZ11" s="218"/>
      <c r="FA11" s="218"/>
      <c r="FB11" s="218"/>
      <c r="FC11" s="218"/>
      <c r="FD11" s="218"/>
      <c r="FE11" s="218"/>
      <c r="FF11" s="218"/>
      <c r="FG11" s="218"/>
      <c r="FH11" s="218"/>
      <c r="FI11" s="218"/>
      <c r="FJ11" s="218"/>
      <c r="FK11" s="218"/>
      <c r="FL11" s="218"/>
      <c r="FM11" s="218"/>
      <c r="FN11" s="218"/>
      <c r="FO11" s="218"/>
      <c r="FP11" s="218"/>
      <c r="FQ11" s="218"/>
      <c r="FR11" s="218"/>
      <c r="FS11" s="218"/>
      <c r="FT11" s="218"/>
      <c r="FU11" s="218"/>
      <c r="FV11" s="218"/>
      <c r="FW11" s="218"/>
      <c r="FX11" s="218"/>
      <c r="FY11" s="218"/>
      <c r="FZ11" s="218"/>
      <c r="GA11" s="218"/>
      <c r="GB11" s="218"/>
      <c r="GC11" s="218"/>
      <c r="GD11" s="218"/>
      <c r="GE11" s="218"/>
      <c r="GF11" s="218"/>
      <c r="GG11" s="218"/>
      <c r="GH11" s="218"/>
      <c r="GI11" s="218"/>
      <c r="GJ11" s="218"/>
      <c r="GK11" s="218"/>
      <c r="GL11" s="218"/>
      <c r="GM11" s="218"/>
      <c r="GN11" s="218"/>
      <c r="GO11" s="218"/>
      <c r="GP11" s="218"/>
      <c r="GQ11" s="218"/>
      <c r="GR11" s="218"/>
      <c r="GS11" s="218"/>
      <c r="GT11" s="218"/>
      <c r="GU11" s="218"/>
      <c r="GV11" s="218"/>
      <c r="GW11" s="218"/>
      <c r="GX11" s="218"/>
      <c r="GY11" s="218"/>
      <c r="GZ11" s="218"/>
      <c r="HA11" s="218"/>
      <c r="HB11" s="218"/>
      <c r="HC11" s="218"/>
      <c r="HD11" s="218"/>
      <c r="HE11" s="218"/>
      <c r="HF11" s="218"/>
      <c r="HG11" s="218"/>
      <c r="HH11" s="218"/>
      <c r="HI11" s="218"/>
      <c r="HJ11" s="218"/>
      <c r="HK11" s="218"/>
      <c r="HL11" s="218"/>
      <c r="HM11" s="218"/>
      <c r="HN11" s="218"/>
      <c r="HO11" s="218"/>
      <c r="HP11" s="218"/>
      <c r="HQ11" s="218"/>
      <c r="HR11" s="218"/>
      <c r="HS11" s="218"/>
      <c r="HT11" s="218"/>
      <c r="HU11" s="218"/>
      <c r="HV11" s="218"/>
      <c r="HW11" s="218"/>
      <c r="HX11" s="218"/>
      <c r="HY11" s="218"/>
      <c r="HZ11" s="218"/>
      <c r="IA11" s="218"/>
      <c r="IB11" s="218"/>
      <c r="IC11" s="218"/>
      <c r="ID11" s="218"/>
      <c r="IE11" s="218"/>
      <c r="IF11" s="218"/>
      <c r="IG11" s="218"/>
      <c r="IH11" s="218"/>
      <c r="II11" s="218"/>
      <c r="IJ11" s="218"/>
      <c r="IK11" s="218"/>
      <c r="IL11" s="218"/>
      <c r="IM11" s="218"/>
      <c r="IN11" s="218"/>
      <c r="IO11" s="218"/>
      <c r="IP11" s="218"/>
      <c r="IQ11" s="218"/>
      <c r="IR11" s="218"/>
      <c r="IS11" s="218"/>
      <c r="IT11" s="218"/>
      <c r="IU11" s="218"/>
      <c r="IV11" s="218"/>
      <c r="IW11" s="218"/>
    </row>
    <row r="12" customFormat="false" ht="11.25" hidden="false" customHeight="false" outlineLevel="0" collapsed="false">
      <c r="A12" s="237"/>
      <c r="B12" s="238"/>
      <c r="C12" s="239" t="n">
        <f aca="false">Cashflow!C$3</f>
        <v>36891</v>
      </c>
      <c r="D12" s="239" t="n">
        <f aca="false">EOMONTH(C12,12)</f>
        <v>37256</v>
      </c>
      <c r="E12" s="239" t="n">
        <f aca="false">EOMONTH(D12,12)</f>
        <v>37621</v>
      </c>
      <c r="F12" s="239" t="n">
        <f aca="false">EOMONTH(E12,12)</f>
        <v>37986</v>
      </c>
      <c r="G12" s="239" t="n">
        <f aca="false">EOMONTH(F12,12)</f>
        <v>38352</v>
      </c>
      <c r="H12" s="239" t="n">
        <f aca="false">EOMONTH(G12,12)</f>
        <v>38717</v>
      </c>
      <c r="I12" s="239" t="n">
        <f aca="false">EOMONTH(H12,12)</f>
        <v>39082</v>
      </c>
      <c r="J12" s="239" t="n">
        <f aca="false">EOMONTH(I12,12)</f>
        <v>39447</v>
      </c>
      <c r="K12" s="239" t="n">
        <f aca="false">EOMONTH(J12,12)</f>
        <v>39813</v>
      </c>
      <c r="L12" s="239" t="n">
        <f aca="false">EOMONTH(K12,12)</f>
        <v>40178</v>
      </c>
      <c r="M12" s="239" t="n">
        <f aca="false">EOMONTH(L12,12)</f>
        <v>40543</v>
      </c>
      <c r="N12" s="239" t="n">
        <f aca="false">EOMONTH(M12,12)</f>
        <v>40908</v>
      </c>
      <c r="O12" s="239" t="n">
        <f aca="false">EOMONTH(N12,12)</f>
        <v>41274</v>
      </c>
      <c r="P12" s="239" t="n">
        <f aca="false">EOMONTH(O12,12)</f>
        <v>41639</v>
      </c>
      <c r="Q12" s="239" t="n">
        <f aca="false">EOMONTH(P12,12)</f>
        <v>42004</v>
      </c>
      <c r="R12" s="239" t="n">
        <f aca="false">EOMONTH(Q12,12)</f>
        <v>42369</v>
      </c>
      <c r="S12" s="239" t="n">
        <f aca="false">EOMONTH(R12,12)</f>
        <v>42735</v>
      </c>
      <c r="T12" s="239" t="n">
        <f aca="false">EOMONTH(S12,12)</f>
        <v>43100</v>
      </c>
      <c r="U12" s="239" t="n">
        <f aca="false">EOMONTH(T12,12)</f>
        <v>43465</v>
      </c>
      <c r="V12" s="239" t="n">
        <f aca="false">EOMONTH(U12,12)</f>
        <v>43830</v>
      </c>
      <c r="W12" s="239" t="n">
        <f aca="false">EOMONTH(V12,12)</f>
        <v>44196</v>
      </c>
      <c r="X12" s="239" t="n">
        <f aca="false">EOMONTH(W12,12)</f>
        <v>44561</v>
      </c>
      <c r="Y12" s="239" t="n">
        <f aca="false">EOMONTH(X12,12)</f>
        <v>44926</v>
      </c>
      <c r="Z12" s="239" t="n">
        <f aca="false">EOMONTH(Y12,12)</f>
        <v>45291</v>
      </c>
      <c r="AA12" s="239" t="n">
        <f aca="false">EOMONTH(Z12,12)</f>
        <v>45657</v>
      </c>
      <c r="AB12" s="239" t="n">
        <f aca="false">EOMONTH(AA12,12)</f>
        <v>46022</v>
      </c>
      <c r="AC12" s="23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7"/>
      <c r="BY12" s="237"/>
      <c r="BZ12" s="237"/>
      <c r="CA12" s="237"/>
      <c r="CB12" s="237"/>
      <c r="CC12" s="237"/>
      <c r="CD12" s="237"/>
      <c r="CE12" s="237"/>
      <c r="CF12" s="237"/>
      <c r="CG12" s="237"/>
      <c r="CH12" s="237"/>
      <c r="CI12" s="237"/>
      <c r="CJ12" s="237"/>
      <c r="CK12" s="237"/>
      <c r="CL12" s="237"/>
      <c r="CM12" s="237"/>
      <c r="CN12" s="237"/>
      <c r="CO12" s="237"/>
      <c r="CP12" s="237"/>
      <c r="CQ12" s="237"/>
      <c r="CR12" s="237"/>
      <c r="CS12" s="237"/>
      <c r="CT12" s="237"/>
      <c r="CU12" s="237"/>
      <c r="CV12" s="237"/>
      <c r="CW12" s="237"/>
      <c r="CX12" s="237"/>
      <c r="CY12" s="237"/>
      <c r="CZ12" s="237"/>
      <c r="DA12" s="237"/>
      <c r="DB12" s="237"/>
      <c r="DC12" s="237"/>
      <c r="DD12" s="237"/>
      <c r="DE12" s="237"/>
      <c r="DF12" s="237"/>
      <c r="DG12" s="237"/>
      <c r="DH12" s="237"/>
      <c r="DI12" s="237"/>
      <c r="DJ12" s="237"/>
      <c r="DK12" s="237"/>
      <c r="DL12" s="237"/>
      <c r="DM12" s="237"/>
      <c r="DN12" s="237"/>
      <c r="DO12" s="237"/>
      <c r="DP12" s="237"/>
      <c r="DQ12" s="237"/>
      <c r="DR12" s="237"/>
      <c r="DS12" s="237"/>
      <c r="DT12" s="237"/>
      <c r="DU12" s="237"/>
      <c r="DV12" s="237"/>
      <c r="DW12" s="237"/>
      <c r="DX12" s="237"/>
      <c r="DY12" s="237"/>
      <c r="DZ12" s="237"/>
      <c r="EA12" s="237"/>
      <c r="EB12" s="237"/>
      <c r="EC12" s="237"/>
      <c r="ED12" s="237"/>
      <c r="EE12" s="237"/>
      <c r="EF12" s="237"/>
      <c r="EG12" s="237"/>
      <c r="EH12" s="237"/>
      <c r="EI12" s="237"/>
      <c r="EJ12" s="237"/>
      <c r="EK12" s="237"/>
      <c r="EL12" s="237"/>
      <c r="EM12" s="237"/>
      <c r="EN12" s="237"/>
      <c r="EO12" s="237"/>
      <c r="EP12" s="237"/>
      <c r="EQ12" s="237"/>
      <c r="ER12" s="237"/>
      <c r="ES12" s="237"/>
      <c r="ET12" s="237"/>
      <c r="EU12" s="237"/>
      <c r="EV12" s="237"/>
      <c r="EW12" s="237"/>
      <c r="EX12" s="237"/>
      <c r="EY12" s="237"/>
      <c r="EZ12" s="237"/>
      <c r="FA12" s="237"/>
      <c r="FB12" s="237"/>
      <c r="FC12" s="237"/>
      <c r="FD12" s="237"/>
      <c r="FE12" s="237"/>
      <c r="FF12" s="237"/>
      <c r="FG12" s="237"/>
      <c r="FH12" s="237"/>
      <c r="FI12" s="237"/>
      <c r="FJ12" s="237"/>
      <c r="FK12" s="237"/>
      <c r="FL12" s="237"/>
      <c r="FM12" s="237"/>
      <c r="FN12" s="237"/>
      <c r="FO12" s="237"/>
      <c r="FP12" s="237"/>
      <c r="FQ12" s="237"/>
      <c r="FR12" s="237"/>
      <c r="FS12" s="237"/>
      <c r="FT12" s="237"/>
      <c r="FU12" s="237"/>
      <c r="FV12" s="237"/>
      <c r="FW12" s="237"/>
      <c r="FX12" s="237"/>
      <c r="FY12" s="237"/>
      <c r="FZ12" s="237"/>
      <c r="GA12" s="237"/>
      <c r="GB12" s="237"/>
      <c r="GC12" s="237"/>
      <c r="GD12" s="237"/>
      <c r="GE12" s="237"/>
      <c r="GF12" s="237"/>
      <c r="GG12" s="237"/>
      <c r="GH12" s="237"/>
      <c r="GI12" s="237"/>
      <c r="GJ12" s="237"/>
      <c r="GK12" s="237"/>
      <c r="GL12" s="237"/>
      <c r="GM12" s="237"/>
      <c r="GN12" s="237"/>
      <c r="GO12" s="237"/>
      <c r="GP12" s="237"/>
      <c r="GQ12" s="237"/>
      <c r="GR12" s="237"/>
      <c r="GS12" s="237"/>
      <c r="GT12" s="237"/>
      <c r="GU12" s="237"/>
      <c r="GV12" s="237"/>
      <c r="GW12" s="237"/>
      <c r="GX12" s="237"/>
      <c r="GY12" s="237"/>
      <c r="GZ12" s="237"/>
      <c r="HA12" s="237"/>
      <c r="HB12" s="237"/>
      <c r="HC12" s="237"/>
      <c r="HD12" s="237"/>
      <c r="HE12" s="237"/>
      <c r="HF12" s="237"/>
      <c r="HG12" s="237"/>
      <c r="HH12" s="237"/>
      <c r="HI12" s="237"/>
      <c r="HJ12" s="237"/>
      <c r="HK12" s="237"/>
      <c r="HL12" s="237"/>
      <c r="HM12" s="237"/>
      <c r="HN12" s="237"/>
      <c r="HO12" s="237"/>
      <c r="HP12" s="237"/>
      <c r="HQ12" s="237"/>
      <c r="HR12" s="237"/>
      <c r="HS12" s="237"/>
      <c r="HT12" s="237"/>
      <c r="HU12" s="237"/>
      <c r="HV12" s="237"/>
      <c r="HW12" s="237"/>
      <c r="HX12" s="237"/>
      <c r="HY12" s="237"/>
      <c r="HZ12" s="237"/>
      <c r="IA12" s="237"/>
      <c r="IB12" s="237"/>
      <c r="IC12" s="237"/>
      <c r="ID12" s="237"/>
      <c r="IE12" s="237"/>
      <c r="IF12" s="237"/>
      <c r="IG12" s="237"/>
      <c r="IH12" s="237"/>
      <c r="II12" s="237"/>
      <c r="IJ12" s="237"/>
      <c r="IK12" s="237"/>
      <c r="IL12" s="237"/>
      <c r="IM12" s="237"/>
      <c r="IN12" s="237"/>
      <c r="IO12" s="237"/>
      <c r="IP12" s="237"/>
      <c r="IQ12" s="237"/>
      <c r="IR12" s="237"/>
      <c r="IS12" s="237"/>
      <c r="IT12" s="237"/>
      <c r="IU12" s="237"/>
      <c r="IV12" s="237"/>
      <c r="IW12" s="237"/>
    </row>
    <row r="13" customFormat="false" ht="11.25" hidden="false" customHeight="false" outlineLevel="0" collapsed="false">
      <c r="A13" s="237"/>
      <c r="B13" s="238"/>
      <c r="C13" s="240" t="n">
        <f aca="false">YEAR(C12)</f>
        <v>2000</v>
      </c>
      <c r="D13" s="240" t="n">
        <f aca="false">YEAR(D12)</f>
        <v>2001</v>
      </c>
      <c r="E13" s="240" t="n">
        <f aca="false">YEAR(E12)</f>
        <v>2002</v>
      </c>
      <c r="F13" s="240" t="n">
        <f aca="false">YEAR(F12)</f>
        <v>2003</v>
      </c>
      <c r="G13" s="240" t="n">
        <f aca="false">YEAR(G12)</f>
        <v>2004</v>
      </c>
      <c r="H13" s="240" t="n">
        <f aca="false">YEAR(H12)</f>
        <v>2005</v>
      </c>
      <c r="I13" s="240" t="n">
        <f aca="false">YEAR(I12)</f>
        <v>2006</v>
      </c>
      <c r="J13" s="240" t="n">
        <f aca="false">YEAR(J12)</f>
        <v>2007</v>
      </c>
      <c r="K13" s="240" t="n">
        <f aca="false">YEAR(K12)</f>
        <v>2008</v>
      </c>
      <c r="L13" s="240" t="n">
        <f aca="false">YEAR(L12)</f>
        <v>2009</v>
      </c>
      <c r="M13" s="240" t="n">
        <f aca="false">YEAR(M12)</f>
        <v>2010</v>
      </c>
      <c r="N13" s="240" t="n">
        <f aca="false">YEAR(N12)</f>
        <v>2011</v>
      </c>
      <c r="O13" s="240" t="n">
        <f aca="false">YEAR(O12)</f>
        <v>2012</v>
      </c>
      <c r="P13" s="240" t="n">
        <f aca="false">YEAR(P12)</f>
        <v>2013</v>
      </c>
      <c r="Q13" s="240" t="n">
        <f aca="false">YEAR(Q12)</f>
        <v>2014</v>
      </c>
      <c r="R13" s="240" t="n">
        <f aca="false">YEAR(R12)</f>
        <v>2015</v>
      </c>
      <c r="S13" s="240" t="n">
        <f aca="false">YEAR(S12)</f>
        <v>2016</v>
      </c>
      <c r="T13" s="240" t="n">
        <f aca="false">YEAR(T12)</f>
        <v>2017</v>
      </c>
      <c r="U13" s="240" t="n">
        <f aca="false">YEAR(U12)</f>
        <v>2018</v>
      </c>
      <c r="V13" s="240" t="n">
        <f aca="false">YEAR(V12)</f>
        <v>2019</v>
      </c>
      <c r="W13" s="240" t="n">
        <f aca="false">YEAR(W12)</f>
        <v>2020</v>
      </c>
      <c r="X13" s="240" t="n">
        <f aca="false">YEAR(X12)</f>
        <v>2021</v>
      </c>
      <c r="Y13" s="240" t="n">
        <f aca="false">YEAR(Y12)</f>
        <v>2022</v>
      </c>
      <c r="Z13" s="240" t="n">
        <f aca="false">YEAR(Z12)</f>
        <v>2023</v>
      </c>
      <c r="AA13" s="240" t="n">
        <f aca="false">YEAR(AA12)</f>
        <v>2024</v>
      </c>
      <c r="AB13" s="240" t="n">
        <f aca="false">YEAR(AB12)</f>
        <v>2025</v>
      </c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238"/>
      <c r="AW13" s="238"/>
      <c r="AX13" s="238"/>
      <c r="AY13" s="238"/>
      <c r="AZ13" s="238"/>
      <c r="BA13" s="238"/>
      <c r="BB13" s="238"/>
      <c r="BC13" s="238"/>
      <c r="BD13" s="238"/>
      <c r="BE13" s="238"/>
      <c r="BF13" s="238"/>
      <c r="BG13" s="238"/>
      <c r="BH13" s="238"/>
      <c r="BI13" s="238"/>
      <c r="BJ13" s="238"/>
      <c r="BK13" s="238"/>
      <c r="BL13" s="238"/>
      <c r="BM13" s="238"/>
      <c r="BN13" s="238"/>
      <c r="BO13" s="238"/>
      <c r="BP13" s="238"/>
      <c r="BQ13" s="238"/>
      <c r="BR13" s="238"/>
      <c r="BS13" s="238"/>
      <c r="BT13" s="238"/>
      <c r="BU13" s="238"/>
      <c r="BV13" s="238"/>
      <c r="BW13" s="238"/>
      <c r="BX13" s="238"/>
      <c r="BY13" s="238"/>
      <c r="BZ13" s="238"/>
      <c r="CA13" s="238"/>
      <c r="CB13" s="238"/>
      <c r="CC13" s="238"/>
      <c r="CD13" s="238"/>
      <c r="CE13" s="238"/>
      <c r="CF13" s="238"/>
      <c r="CG13" s="238"/>
      <c r="CH13" s="238"/>
      <c r="CI13" s="238"/>
      <c r="CJ13" s="238"/>
      <c r="CK13" s="238"/>
      <c r="CL13" s="238"/>
      <c r="CM13" s="238"/>
      <c r="CN13" s="238"/>
      <c r="CO13" s="238"/>
      <c r="CP13" s="238"/>
      <c r="CQ13" s="238"/>
      <c r="CR13" s="238"/>
      <c r="CS13" s="238"/>
      <c r="CT13" s="238"/>
      <c r="CU13" s="238"/>
      <c r="CV13" s="238"/>
      <c r="CW13" s="238"/>
      <c r="CX13" s="238"/>
      <c r="CY13" s="238"/>
      <c r="CZ13" s="238"/>
      <c r="DA13" s="238"/>
      <c r="DB13" s="238"/>
      <c r="DC13" s="238"/>
      <c r="DD13" s="238"/>
      <c r="DE13" s="238"/>
      <c r="DF13" s="238"/>
      <c r="DG13" s="238"/>
      <c r="DH13" s="238"/>
      <c r="DI13" s="238"/>
      <c r="DJ13" s="238"/>
      <c r="DK13" s="238"/>
      <c r="DL13" s="238"/>
      <c r="DM13" s="238"/>
      <c r="DN13" s="238"/>
      <c r="DO13" s="238"/>
      <c r="DP13" s="238"/>
      <c r="DQ13" s="238"/>
      <c r="DR13" s="238"/>
      <c r="DS13" s="238"/>
      <c r="DT13" s="238"/>
      <c r="DU13" s="238"/>
      <c r="DV13" s="238"/>
      <c r="DW13" s="238"/>
      <c r="DX13" s="238"/>
      <c r="DY13" s="238"/>
      <c r="DZ13" s="238"/>
      <c r="EA13" s="238"/>
      <c r="EB13" s="238"/>
      <c r="EC13" s="238"/>
      <c r="ED13" s="238"/>
      <c r="EE13" s="238"/>
      <c r="EF13" s="238"/>
      <c r="EG13" s="238"/>
      <c r="EH13" s="238"/>
      <c r="EI13" s="238"/>
      <c r="EJ13" s="238"/>
      <c r="EK13" s="238"/>
      <c r="EL13" s="238"/>
      <c r="EM13" s="238"/>
      <c r="EN13" s="238"/>
      <c r="EO13" s="238"/>
      <c r="EP13" s="238"/>
      <c r="EQ13" s="238"/>
      <c r="ER13" s="238"/>
      <c r="ES13" s="238"/>
      <c r="ET13" s="238"/>
      <c r="EU13" s="238"/>
      <c r="EV13" s="238"/>
      <c r="EW13" s="238"/>
      <c r="EX13" s="238"/>
      <c r="EY13" s="238"/>
      <c r="EZ13" s="238"/>
      <c r="FA13" s="238"/>
      <c r="FB13" s="238"/>
      <c r="FC13" s="238"/>
      <c r="FD13" s="238"/>
      <c r="FE13" s="238"/>
      <c r="FF13" s="238"/>
      <c r="FG13" s="238"/>
      <c r="FH13" s="238"/>
      <c r="FI13" s="238"/>
      <c r="FJ13" s="238"/>
      <c r="FK13" s="238"/>
      <c r="FL13" s="238"/>
      <c r="FM13" s="238"/>
      <c r="FN13" s="238"/>
      <c r="FO13" s="238"/>
      <c r="FP13" s="238"/>
      <c r="FQ13" s="238"/>
      <c r="FR13" s="238"/>
      <c r="FS13" s="238"/>
      <c r="FT13" s="238"/>
      <c r="FU13" s="238"/>
      <c r="FV13" s="238"/>
      <c r="FW13" s="238"/>
      <c r="FX13" s="238"/>
      <c r="FY13" s="238"/>
      <c r="FZ13" s="238"/>
      <c r="GA13" s="238"/>
      <c r="GB13" s="238"/>
      <c r="GC13" s="238"/>
      <c r="GD13" s="238"/>
      <c r="GE13" s="238"/>
      <c r="GF13" s="238"/>
      <c r="GG13" s="238"/>
      <c r="GH13" s="238"/>
      <c r="GI13" s="238"/>
      <c r="GJ13" s="238"/>
      <c r="GK13" s="238"/>
      <c r="GL13" s="238"/>
      <c r="GM13" s="238"/>
      <c r="GN13" s="238"/>
      <c r="GO13" s="238"/>
      <c r="GP13" s="238"/>
      <c r="GQ13" s="238"/>
      <c r="GR13" s="238"/>
      <c r="GS13" s="238"/>
      <c r="GT13" s="238"/>
      <c r="GU13" s="238"/>
      <c r="GV13" s="238"/>
      <c r="GW13" s="238"/>
      <c r="GX13" s="238"/>
      <c r="GY13" s="238"/>
      <c r="GZ13" s="238"/>
      <c r="HA13" s="238"/>
      <c r="HB13" s="238"/>
      <c r="HC13" s="238"/>
      <c r="HD13" s="238"/>
      <c r="HE13" s="238"/>
      <c r="HF13" s="238"/>
      <c r="HG13" s="238"/>
      <c r="HH13" s="238"/>
      <c r="HI13" s="238"/>
      <c r="HJ13" s="238"/>
      <c r="HK13" s="238"/>
      <c r="HL13" s="238"/>
      <c r="HM13" s="238"/>
      <c r="HN13" s="238"/>
      <c r="HO13" s="238"/>
      <c r="HP13" s="238"/>
      <c r="HQ13" s="238"/>
      <c r="HR13" s="238"/>
      <c r="HS13" s="238"/>
      <c r="HT13" s="238"/>
      <c r="HU13" s="238"/>
      <c r="HV13" s="238"/>
      <c r="HW13" s="238"/>
      <c r="HX13" s="238"/>
      <c r="HY13" s="238"/>
      <c r="HZ13" s="238"/>
      <c r="IA13" s="238"/>
      <c r="IB13" s="238"/>
      <c r="IC13" s="238"/>
      <c r="ID13" s="238"/>
      <c r="IE13" s="238"/>
      <c r="IF13" s="238"/>
      <c r="IG13" s="238"/>
      <c r="IH13" s="238"/>
      <c r="II13" s="238"/>
      <c r="IJ13" s="238"/>
      <c r="IK13" s="238"/>
      <c r="IL13" s="238"/>
      <c r="IM13" s="238"/>
      <c r="IN13" s="238"/>
      <c r="IO13" s="238"/>
      <c r="IP13" s="238"/>
      <c r="IQ13" s="238"/>
      <c r="IR13" s="238"/>
      <c r="IS13" s="238"/>
      <c r="IT13" s="238"/>
      <c r="IU13" s="238"/>
      <c r="IV13" s="238"/>
      <c r="IW13" s="238"/>
    </row>
    <row r="14" customFormat="false" ht="12.75" hidden="true" customHeight="false" outlineLevel="0" collapsed="false">
      <c r="A14" s="237"/>
      <c r="B14" s="238"/>
      <c r="C14" s="241" t="str">
        <f aca="false">'Int Curves'!T5</f>
        <v>2000Q2</v>
      </c>
      <c r="D14" s="241" t="str">
        <f aca="false">'Int Curves'!U5</f>
        <v>2001Q2</v>
      </c>
      <c r="E14" s="241" t="str">
        <f aca="false">'Int Curves'!V5</f>
        <v>2002Q2</v>
      </c>
      <c r="F14" s="241" t="str">
        <f aca="false">'Int Curves'!W5</f>
        <v>2003Q2</v>
      </c>
      <c r="G14" s="241" t="str">
        <f aca="false">'Int Curves'!X5</f>
        <v>2004Q2</v>
      </c>
      <c r="H14" s="241" t="str">
        <f aca="false">'Int Curves'!Y5</f>
        <v>2005Q2</v>
      </c>
      <c r="I14" s="241" t="str">
        <f aca="false">'Int Curves'!Z5</f>
        <v>2006Q2</v>
      </c>
      <c r="J14" s="241" t="str">
        <f aca="false">'Int Curves'!AA5</f>
        <v>2007Q2</v>
      </c>
      <c r="K14" s="241" t="str">
        <f aca="false">'Int Curves'!AB5</f>
        <v>2008Q2</v>
      </c>
      <c r="L14" s="241" t="str">
        <f aca="false">'Int Curves'!AC5</f>
        <v>2009Q2</v>
      </c>
      <c r="M14" s="241" t="str">
        <f aca="false">'Int Curves'!AD5</f>
        <v>2010Q2</v>
      </c>
      <c r="N14" s="241" t="str">
        <f aca="false">'Int Curves'!AE5</f>
        <v>2011Q2</v>
      </c>
      <c r="O14" s="241" t="str">
        <f aca="false">'Int Curves'!AF5</f>
        <v>2012Q2</v>
      </c>
      <c r="P14" s="241" t="str">
        <f aca="false">'Int Curves'!AG5</f>
        <v>2013Q2</v>
      </c>
      <c r="Q14" s="241" t="str">
        <f aca="false">'Int Curves'!AH5</f>
        <v>2014Q2</v>
      </c>
      <c r="R14" s="241" t="str">
        <f aca="false">'Int Curves'!AI5</f>
        <v>2015Q2</v>
      </c>
      <c r="S14" s="241" t="str">
        <f aca="false">'Int Curves'!AJ5</f>
        <v>2016Q2</v>
      </c>
      <c r="T14" s="241" t="str">
        <f aca="false">'Int Curves'!AK5</f>
        <v>2017Q2</v>
      </c>
      <c r="U14" s="241" t="str">
        <f aca="false">'Int Curves'!AL5</f>
        <v>2018Q2</v>
      </c>
      <c r="V14" s="241" t="str">
        <f aca="false">'Int Curves'!AM5</f>
        <v>2019Q2</v>
      </c>
      <c r="W14" s="241" t="str">
        <f aca="false">'Int Curves'!AN5</f>
        <v>2020Q2</v>
      </c>
      <c r="X14" s="241" t="str">
        <f aca="false">'Int Curves'!AO5</f>
        <v>2021Q2</v>
      </c>
      <c r="Y14" s="241" t="str">
        <f aca="false">'Int Curves'!AP5</f>
        <v>2022Q2</v>
      </c>
      <c r="Z14" s="241" t="str">
        <f aca="false">'Int Curves'!AQ5</f>
        <v>2023Q2</v>
      </c>
      <c r="AA14" s="241" t="str">
        <f aca="false">'Int Curves'!AR5</f>
        <v>2024Q2</v>
      </c>
      <c r="AB14" s="241" t="str">
        <f aca="false">'Int Curves'!AS5</f>
        <v>2025Q2</v>
      </c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7"/>
      <c r="BY14" s="237"/>
      <c r="BZ14" s="237"/>
      <c r="CA14" s="237"/>
      <c r="CB14" s="237"/>
      <c r="CC14" s="237"/>
      <c r="CD14" s="237"/>
      <c r="CE14" s="237"/>
      <c r="CF14" s="237"/>
      <c r="CG14" s="237"/>
      <c r="CH14" s="237"/>
      <c r="CI14" s="237"/>
      <c r="CJ14" s="237"/>
      <c r="CK14" s="237"/>
      <c r="CL14" s="237"/>
      <c r="CM14" s="237"/>
      <c r="CN14" s="237"/>
      <c r="CO14" s="237"/>
      <c r="CP14" s="237"/>
      <c r="CQ14" s="237"/>
      <c r="CR14" s="237"/>
      <c r="CS14" s="237"/>
      <c r="CT14" s="237"/>
      <c r="CU14" s="237"/>
      <c r="CV14" s="237"/>
      <c r="CW14" s="237"/>
      <c r="CX14" s="237"/>
      <c r="CY14" s="237"/>
      <c r="CZ14" s="237"/>
      <c r="DA14" s="237"/>
      <c r="DB14" s="237"/>
      <c r="DC14" s="237"/>
      <c r="DD14" s="237"/>
      <c r="DE14" s="237"/>
      <c r="DF14" s="237"/>
      <c r="DG14" s="237"/>
      <c r="DH14" s="237"/>
      <c r="DI14" s="237"/>
      <c r="DJ14" s="237"/>
      <c r="DK14" s="237"/>
      <c r="DL14" s="237"/>
      <c r="DM14" s="237"/>
      <c r="DN14" s="237"/>
      <c r="DO14" s="237"/>
      <c r="DP14" s="237"/>
      <c r="DQ14" s="237"/>
      <c r="DR14" s="237"/>
      <c r="DS14" s="237"/>
      <c r="DT14" s="237"/>
      <c r="DU14" s="237"/>
      <c r="DV14" s="237"/>
      <c r="DW14" s="237"/>
      <c r="DX14" s="237"/>
      <c r="DY14" s="237"/>
      <c r="DZ14" s="237"/>
      <c r="EA14" s="237"/>
      <c r="EB14" s="237"/>
      <c r="EC14" s="237"/>
      <c r="ED14" s="237"/>
      <c r="EE14" s="237"/>
      <c r="EF14" s="237"/>
      <c r="EG14" s="237"/>
      <c r="EH14" s="237"/>
      <c r="EI14" s="237"/>
      <c r="EJ14" s="237"/>
      <c r="EK14" s="237"/>
      <c r="EL14" s="237"/>
      <c r="EM14" s="237"/>
      <c r="EN14" s="237"/>
      <c r="EO14" s="237"/>
      <c r="EP14" s="237"/>
      <c r="EQ14" s="237"/>
      <c r="ER14" s="237"/>
      <c r="ES14" s="237"/>
      <c r="ET14" s="237"/>
      <c r="EU14" s="237"/>
      <c r="EV14" s="237"/>
      <c r="EW14" s="237"/>
      <c r="EX14" s="237"/>
      <c r="EY14" s="237"/>
      <c r="EZ14" s="237"/>
      <c r="FA14" s="237"/>
      <c r="FB14" s="237"/>
      <c r="FC14" s="237"/>
      <c r="FD14" s="237"/>
      <c r="FE14" s="237"/>
      <c r="FF14" s="237"/>
      <c r="FG14" s="237"/>
      <c r="FH14" s="237"/>
      <c r="FI14" s="237"/>
      <c r="FJ14" s="237"/>
      <c r="FK14" s="237"/>
      <c r="FL14" s="237"/>
      <c r="FM14" s="237"/>
      <c r="FN14" s="237"/>
      <c r="FO14" s="237"/>
      <c r="FP14" s="237"/>
      <c r="FQ14" s="237"/>
      <c r="FR14" s="237"/>
      <c r="FS14" s="237"/>
      <c r="FT14" s="237"/>
      <c r="FU14" s="237"/>
      <c r="FV14" s="237"/>
      <c r="FW14" s="237"/>
      <c r="FX14" s="237"/>
      <c r="FY14" s="237"/>
      <c r="FZ14" s="237"/>
      <c r="GA14" s="237"/>
      <c r="GB14" s="237"/>
      <c r="GC14" s="237"/>
      <c r="GD14" s="237"/>
      <c r="GE14" s="237"/>
      <c r="GF14" s="237"/>
      <c r="GG14" s="237"/>
      <c r="GH14" s="237"/>
      <c r="GI14" s="237"/>
      <c r="GJ14" s="237"/>
      <c r="GK14" s="237"/>
      <c r="GL14" s="237"/>
      <c r="GM14" s="237"/>
      <c r="GN14" s="237"/>
      <c r="GO14" s="237"/>
      <c r="GP14" s="237"/>
      <c r="GQ14" s="237"/>
      <c r="GR14" s="237"/>
      <c r="GS14" s="237"/>
      <c r="GT14" s="237"/>
      <c r="GU14" s="237"/>
      <c r="GV14" s="237"/>
      <c r="GW14" s="237"/>
      <c r="GX14" s="237"/>
      <c r="GY14" s="237"/>
      <c r="GZ14" s="237"/>
      <c r="HA14" s="237"/>
      <c r="HB14" s="237"/>
      <c r="HC14" s="237"/>
      <c r="HD14" s="237"/>
      <c r="HE14" s="237"/>
      <c r="HF14" s="237"/>
      <c r="HG14" s="237"/>
      <c r="HH14" s="237"/>
      <c r="HI14" s="237"/>
      <c r="HJ14" s="237"/>
      <c r="HK14" s="237"/>
      <c r="HL14" s="237"/>
      <c r="HM14" s="237"/>
      <c r="HN14" s="237"/>
      <c r="HO14" s="237"/>
      <c r="HP14" s="237"/>
      <c r="HQ14" s="237"/>
      <c r="HR14" s="237"/>
      <c r="HS14" s="237"/>
      <c r="HT14" s="237"/>
      <c r="HU14" s="237"/>
      <c r="HV14" s="237"/>
      <c r="HW14" s="237"/>
      <c r="HX14" s="237"/>
      <c r="HY14" s="237"/>
      <c r="HZ14" s="237"/>
      <c r="IA14" s="237"/>
      <c r="IB14" s="237"/>
      <c r="IC14" s="237"/>
      <c r="ID14" s="237"/>
      <c r="IE14" s="237"/>
      <c r="IF14" s="237"/>
      <c r="IG14" s="237"/>
      <c r="IH14" s="237"/>
      <c r="II14" s="237"/>
      <c r="IJ14" s="237"/>
      <c r="IK14" s="237"/>
      <c r="IL14" s="237"/>
      <c r="IM14" s="237"/>
      <c r="IN14" s="237"/>
      <c r="IO14" s="237"/>
      <c r="IP14" s="237"/>
      <c r="IQ14" s="237"/>
      <c r="IR14" s="237"/>
      <c r="IS14" s="237"/>
      <c r="IT14" s="237"/>
      <c r="IU14" s="237"/>
      <c r="IV14" s="237"/>
      <c r="IW14" s="237"/>
    </row>
    <row r="15" customFormat="false" ht="12.75" hidden="true" customHeight="false" outlineLevel="0" collapsed="false">
      <c r="A15" s="237"/>
      <c r="B15" s="238"/>
      <c r="C15" s="241" t="str">
        <f aca="false">'Int Curves'!T6</f>
        <v>2000Q4</v>
      </c>
      <c r="D15" s="241" t="str">
        <f aca="false">'Int Curves'!U6</f>
        <v>2001Q4</v>
      </c>
      <c r="E15" s="241" t="str">
        <f aca="false">'Int Curves'!V6</f>
        <v>2002Q4</v>
      </c>
      <c r="F15" s="241" t="str">
        <f aca="false">'Int Curves'!W6</f>
        <v>2003Q4</v>
      </c>
      <c r="G15" s="241" t="str">
        <f aca="false">'Int Curves'!X6</f>
        <v>2004Q4</v>
      </c>
      <c r="H15" s="241" t="str">
        <f aca="false">'Int Curves'!Y6</f>
        <v>2005Q4</v>
      </c>
      <c r="I15" s="241" t="str">
        <f aca="false">'Int Curves'!Z6</f>
        <v>2006Q4</v>
      </c>
      <c r="J15" s="241" t="str">
        <f aca="false">'Int Curves'!AA6</f>
        <v>2007Q4</v>
      </c>
      <c r="K15" s="241" t="str">
        <f aca="false">'Int Curves'!AB6</f>
        <v>2008Q4</v>
      </c>
      <c r="L15" s="241" t="str">
        <f aca="false">'Int Curves'!AC6</f>
        <v>2009Q4</v>
      </c>
      <c r="M15" s="241" t="str">
        <f aca="false">'Int Curves'!AD6</f>
        <v>2010Q4</v>
      </c>
      <c r="N15" s="241" t="str">
        <f aca="false">'Int Curves'!AE6</f>
        <v>2011Q4</v>
      </c>
      <c r="O15" s="241" t="str">
        <f aca="false">'Int Curves'!AF6</f>
        <v>2012Q4</v>
      </c>
      <c r="P15" s="241" t="str">
        <f aca="false">'Int Curves'!AG6</f>
        <v>2013Q4</v>
      </c>
      <c r="Q15" s="241" t="str">
        <f aca="false">'Int Curves'!AH6</f>
        <v>2014Q4</v>
      </c>
      <c r="R15" s="241" t="str">
        <f aca="false">'Int Curves'!AI6</f>
        <v>2015Q4</v>
      </c>
      <c r="S15" s="241" t="str">
        <f aca="false">'Int Curves'!AJ6</f>
        <v>2016Q4</v>
      </c>
      <c r="T15" s="241" t="str">
        <f aca="false">'Int Curves'!AK6</f>
        <v>2017Q4</v>
      </c>
      <c r="U15" s="241" t="str">
        <f aca="false">'Int Curves'!AL6</f>
        <v>2018Q4</v>
      </c>
      <c r="V15" s="241" t="str">
        <f aca="false">'Int Curves'!AM6</f>
        <v>2019Q4</v>
      </c>
      <c r="W15" s="241" t="str">
        <f aca="false">'Int Curves'!AN6</f>
        <v>2020Q4</v>
      </c>
      <c r="X15" s="241" t="str">
        <f aca="false">'Int Curves'!AO6</f>
        <v>2021Q4</v>
      </c>
      <c r="Y15" s="241" t="str">
        <f aca="false">'Int Curves'!AP6</f>
        <v>2022Q4</v>
      </c>
      <c r="Z15" s="241" t="str">
        <f aca="false">'Int Curves'!AQ6</f>
        <v>2023Q4</v>
      </c>
      <c r="AA15" s="241" t="str">
        <f aca="false">'Int Curves'!AR6</f>
        <v>2024Q4</v>
      </c>
      <c r="AB15" s="241" t="str">
        <f aca="false">'Int Curves'!AS6</f>
        <v>2025Q4</v>
      </c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7"/>
      <c r="BY15" s="237"/>
      <c r="BZ15" s="237"/>
      <c r="CA15" s="237"/>
      <c r="CB15" s="237"/>
      <c r="CC15" s="237"/>
      <c r="CD15" s="237"/>
      <c r="CE15" s="237"/>
      <c r="CF15" s="237"/>
      <c r="CG15" s="237"/>
      <c r="CH15" s="237"/>
      <c r="CI15" s="237"/>
      <c r="CJ15" s="237"/>
      <c r="CK15" s="237"/>
      <c r="CL15" s="237"/>
      <c r="CM15" s="237"/>
      <c r="CN15" s="237"/>
      <c r="CO15" s="237"/>
      <c r="CP15" s="237"/>
      <c r="CQ15" s="237"/>
      <c r="CR15" s="237"/>
      <c r="CS15" s="237"/>
      <c r="CT15" s="237"/>
      <c r="CU15" s="237"/>
      <c r="CV15" s="237"/>
      <c r="CW15" s="237"/>
      <c r="CX15" s="237"/>
      <c r="CY15" s="237"/>
      <c r="CZ15" s="237"/>
      <c r="DA15" s="237"/>
      <c r="DB15" s="237"/>
      <c r="DC15" s="237"/>
      <c r="DD15" s="237"/>
      <c r="DE15" s="237"/>
      <c r="DF15" s="237"/>
      <c r="DG15" s="237"/>
      <c r="DH15" s="237"/>
      <c r="DI15" s="237"/>
      <c r="DJ15" s="237"/>
      <c r="DK15" s="237"/>
      <c r="DL15" s="237"/>
      <c r="DM15" s="237"/>
      <c r="DN15" s="237"/>
      <c r="DO15" s="237"/>
      <c r="DP15" s="237"/>
      <c r="DQ15" s="237"/>
      <c r="DR15" s="237"/>
      <c r="DS15" s="237"/>
      <c r="DT15" s="237"/>
      <c r="DU15" s="237"/>
      <c r="DV15" s="237"/>
      <c r="DW15" s="237"/>
      <c r="DX15" s="237"/>
      <c r="DY15" s="237"/>
      <c r="DZ15" s="237"/>
      <c r="EA15" s="237"/>
      <c r="EB15" s="237"/>
      <c r="EC15" s="237"/>
      <c r="ED15" s="237"/>
      <c r="EE15" s="237"/>
      <c r="EF15" s="237"/>
      <c r="EG15" s="237"/>
      <c r="EH15" s="237"/>
      <c r="EI15" s="237"/>
      <c r="EJ15" s="237"/>
      <c r="EK15" s="237"/>
      <c r="EL15" s="237"/>
      <c r="EM15" s="237"/>
      <c r="EN15" s="237"/>
      <c r="EO15" s="237"/>
      <c r="EP15" s="237"/>
      <c r="EQ15" s="237"/>
      <c r="ER15" s="237"/>
      <c r="ES15" s="237"/>
      <c r="ET15" s="237"/>
      <c r="EU15" s="237"/>
      <c r="EV15" s="237"/>
      <c r="EW15" s="237"/>
      <c r="EX15" s="237"/>
      <c r="EY15" s="237"/>
      <c r="EZ15" s="237"/>
      <c r="FA15" s="237"/>
      <c r="FB15" s="237"/>
      <c r="FC15" s="237"/>
      <c r="FD15" s="237"/>
      <c r="FE15" s="237"/>
      <c r="FF15" s="237"/>
      <c r="FG15" s="237"/>
      <c r="FH15" s="237"/>
      <c r="FI15" s="237"/>
      <c r="FJ15" s="237"/>
      <c r="FK15" s="237"/>
      <c r="FL15" s="237"/>
      <c r="FM15" s="237"/>
      <c r="FN15" s="237"/>
      <c r="FO15" s="237"/>
      <c r="FP15" s="237"/>
      <c r="FQ15" s="237"/>
      <c r="FR15" s="237"/>
      <c r="FS15" s="237"/>
      <c r="FT15" s="237"/>
      <c r="FU15" s="237"/>
      <c r="FV15" s="237"/>
      <c r="FW15" s="237"/>
      <c r="FX15" s="237"/>
      <c r="FY15" s="237"/>
      <c r="FZ15" s="237"/>
      <c r="GA15" s="237"/>
      <c r="GB15" s="237"/>
      <c r="GC15" s="237"/>
      <c r="GD15" s="237"/>
      <c r="GE15" s="237"/>
      <c r="GF15" s="237"/>
      <c r="GG15" s="237"/>
      <c r="GH15" s="237"/>
      <c r="GI15" s="237"/>
      <c r="GJ15" s="237"/>
      <c r="GK15" s="237"/>
      <c r="GL15" s="237"/>
      <c r="GM15" s="237"/>
      <c r="GN15" s="237"/>
      <c r="GO15" s="237"/>
      <c r="GP15" s="237"/>
      <c r="GQ15" s="237"/>
      <c r="GR15" s="237"/>
      <c r="GS15" s="237"/>
      <c r="GT15" s="237"/>
      <c r="GU15" s="237"/>
      <c r="GV15" s="237"/>
      <c r="GW15" s="237"/>
      <c r="GX15" s="237"/>
      <c r="GY15" s="237"/>
      <c r="GZ15" s="237"/>
      <c r="HA15" s="237"/>
      <c r="HB15" s="237"/>
      <c r="HC15" s="237"/>
      <c r="HD15" s="237"/>
      <c r="HE15" s="237"/>
      <c r="HF15" s="237"/>
      <c r="HG15" s="237"/>
      <c r="HH15" s="237"/>
      <c r="HI15" s="237"/>
      <c r="HJ15" s="237"/>
      <c r="HK15" s="237"/>
      <c r="HL15" s="237"/>
      <c r="HM15" s="237"/>
      <c r="HN15" s="237"/>
      <c r="HO15" s="237"/>
      <c r="HP15" s="237"/>
      <c r="HQ15" s="237"/>
      <c r="HR15" s="237"/>
      <c r="HS15" s="237"/>
      <c r="HT15" s="237"/>
      <c r="HU15" s="237"/>
      <c r="HV15" s="237"/>
      <c r="HW15" s="237"/>
      <c r="HX15" s="237"/>
      <c r="HY15" s="237"/>
      <c r="HZ15" s="237"/>
      <c r="IA15" s="237"/>
      <c r="IB15" s="237"/>
      <c r="IC15" s="237"/>
      <c r="ID15" s="237"/>
      <c r="IE15" s="237"/>
      <c r="IF15" s="237"/>
      <c r="IG15" s="237"/>
      <c r="IH15" s="237"/>
      <c r="II15" s="237"/>
      <c r="IJ15" s="237"/>
      <c r="IK15" s="237"/>
      <c r="IL15" s="237"/>
      <c r="IM15" s="237"/>
      <c r="IN15" s="237"/>
      <c r="IO15" s="237"/>
      <c r="IP15" s="237"/>
      <c r="IQ15" s="237"/>
      <c r="IR15" s="237"/>
      <c r="IS15" s="237"/>
      <c r="IT15" s="237"/>
      <c r="IU15" s="237"/>
      <c r="IV15" s="237"/>
      <c r="IW15" s="237"/>
    </row>
    <row r="16" customFormat="false" ht="11.25" hidden="false" customHeight="false" outlineLevel="0" collapsed="false">
      <c r="A16" s="237"/>
      <c r="B16" s="242" t="s">
        <v>188</v>
      </c>
      <c r="C16" s="243" t="n">
        <v>0</v>
      </c>
      <c r="D16" s="243" t="n">
        <v>1</v>
      </c>
      <c r="E16" s="243" t="n">
        <f aca="false">D16+1</f>
        <v>2</v>
      </c>
      <c r="F16" s="243" t="n">
        <f aca="false">E16+1</f>
        <v>3</v>
      </c>
      <c r="G16" s="243" t="n">
        <f aca="false">F16+1</f>
        <v>4</v>
      </c>
      <c r="H16" s="243" t="n">
        <f aca="false">G16+1</f>
        <v>5</v>
      </c>
      <c r="I16" s="243" t="n">
        <f aca="false">H16+1</f>
        <v>6</v>
      </c>
      <c r="J16" s="243" t="n">
        <f aca="false">I16+1</f>
        <v>7</v>
      </c>
      <c r="K16" s="243" t="n">
        <f aca="false">J16+1</f>
        <v>8</v>
      </c>
      <c r="L16" s="243" t="n">
        <f aca="false">K16+1</f>
        <v>9</v>
      </c>
      <c r="M16" s="243" t="n">
        <f aca="false">L16+1</f>
        <v>10</v>
      </c>
      <c r="N16" s="243" t="n">
        <f aca="false">M16+1</f>
        <v>11</v>
      </c>
      <c r="O16" s="243" t="n">
        <f aca="false">N16+1</f>
        <v>12</v>
      </c>
      <c r="P16" s="243" t="n">
        <f aca="false">O16+1</f>
        <v>13</v>
      </c>
      <c r="Q16" s="243" t="n">
        <f aca="false">P16+1</f>
        <v>14</v>
      </c>
      <c r="R16" s="243" t="n">
        <f aca="false">Q16+1</f>
        <v>15</v>
      </c>
      <c r="S16" s="243" t="n">
        <f aca="false">R16+1</f>
        <v>16</v>
      </c>
      <c r="T16" s="243" t="n">
        <f aca="false">S16+1</f>
        <v>17</v>
      </c>
      <c r="U16" s="243" t="n">
        <f aca="false">T16+1</f>
        <v>18</v>
      </c>
      <c r="V16" s="243" t="n">
        <f aca="false">U16+1</f>
        <v>19</v>
      </c>
      <c r="W16" s="243" t="n">
        <f aca="false">V16+1</f>
        <v>20</v>
      </c>
      <c r="X16" s="243" t="n">
        <f aca="false">W16+1</f>
        <v>21</v>
      </c>
      <c r="Y16" s="243" t="n">
        <f aca="false">X16+1</f>
        <v>22</v>
      </c>
      <c r="Z16" s="243" t="n">
        <f aca="false">Y16+1</f>
        <v>23</v>
      </c>
      <c r="AA16" s="243" t="n">
        <f aca="false">Z16+1</f>
        <v>24</v>
      </c>
      <c r="AB16" s="243" t="n">
        <f aca="false">AA16+1</f>
        <v>25</v>
      </c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37"/>
      <c r="BK16" s="237"/>
      <c r="BL16" s="237"/>
      <c r="BM16" s="237"/>
      <c r="BN16" s="237"/>
      <c r="BO16" s="237"/>
      <c r="BP16" s="237"/>
      <c r="BQ16" s="237"/>
      <c r="BR16" s="237"/>
      <c r="BS16" s="237"/>
      <c r="BT16" s="237"/>
      <c r="BU16" s="237"/>
      <c r="BV16" s="237"/>
      <c r="BW16" s="237"/>
      <c r="BX16" s="237"/>
      <c r="BY16" s="237"/>
      <c r="BZ16" s="237"/>
      <c r="CA16" s="237"/>
      <c r="CB16" s="237"/>
      <c r="CC16" s="237"/>
      <c r="CD16" s="237"/>
      <c r="CE16" s="237"/>
      <c r="CF16" s="237"/>
      <c r="CG16" s="237"/>
      <c r="CH16" s="237"/>
      <c r="CI16" s="237"/>
      <c r="CJ16" s="237"/>
      <c r="CK16" s="237"/>
      <c r="CL16" s="237"/>
      <c r="CM16" s="237"/>
      <c r="CN16" s="237"/>
      <c r="CO16" s="237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7"/>
      <c r="EJ16" s="237"/>
      <c r="EK16" s="237"/>
      <c r="EL16" s="237"/>
      <c r="EM16" s="237"/>
      <c r="EN16" s="237"/>
      <c r="EO16" s="237"/>
      <c r="EP16" s="237"/>
      <c r="EQ16" s="237"/>
      <c r="ER16" s="237"/>
      <c r="ES16" s="237"/>
      <c r="ET16" s="237"/>
      <c r="EU16" s="237"/>
      <c r="EV16" s="237"/>
      <c r="EW16" s="237"/>
      <c r="EX16" s="237"/>
      <c r="EY16" s="237"/>
      <c r="EZ16" s="237"/>
      <c r="FA16" s="237"/>
      <c r="FB16" s="237"/>
      <c r="FC16" s="237"/>
      <c r="FD16" s="237"/>
      <c r="FE16" s="237"/>
      <c r="FF16" s="237"/>
      <c r="FG16" s="237"/>
      <c r="FH16" s="237"/>
      <c r="FI16" s="237"/>
      <c r="FJ16" s="237"/>
      <c r="FK16" s="237"/>
      <c r="FL16" s="237"/>
      <c r="FM16" s="237"/>
      <c r="FN16" s="237"/>
      <c r="FO16" s="237"/>
      <c r="FP16" s="237"/>
      <c r="FQ16" s="237"/>
      <c r="FR16" s="237"/>
      <c r="FS16" s="237"/>
      <c r="FT16" s="237"/>
      <c r="FU16" s="237"/>
      <c r="FV16" s="237"/>
      <c r="FW16" s="237"/>
      <c r="FX16" s="237"/>
      <c r="FY16" s="237"/>
      <c r="FZ16" s="237"/>
      <c r="GA16" s="237"/>
      <c r="GB16" s="237"/>
      <c r="GC16" s="237"/>
      <c r="GD16" s="237"/>
      <c r="GE16" s="237"/>
      <c r="GF16" s="237"/>
      <c r="GG16" s="237"/>
      <c r="GH16" s="237"/>
      <c r="GI16" s="237"/>
      <c r="GJ16" s="237"/>
      <c r="GK16" s="237"/>
      <c r="GL16" s="237"/>
      <c r="GM16" s="237"/>
      <c r="GN16" s="237"/>
      <c r="GO16" s="237"/>
      <c r="GP16" s="237"/>
      <c r="GQ16" s="237"/>
      <c r="GR16" s="237"/>
      <c r="GS16" s="237"/>
      <c r="GT16" s="237"/>
      <c r="GU16" s="237"/>
      <c r="GV16" s="237"/>
      <c r="GW16" s="237"/>
      <c r="GX16" s="237"/>
      <c r="GY16" s="237"/>
      <c r="GZ16" s="237"/>
      <c r="HA16" s="237"/>
      <c r="HB16" s="237"/>
      <c r="HC16" s="237"/>
      <c r="HD16" s="237"/>
      <c r="HE16" s="237"/>
      <c r="HF16" s="237"/>
      <c r="HG16" s="237"/>
      <c r="HH16" s="237"/>
      <c r="HI16" s="237"/>
      <c r="HJ16" s="237"/>
      <c r="HK16" s="237"/>
      <c r="HL16" s="237"/>
      <c r="HM16" s="237"/>
      <c r="HN16" s="237"/>
      <c r="HO16" s="237"/>
      <c r="HP16" s="237"/>
      <c r="HQ16" s="237"/>
      <c r="HR16" s="237"/>
      <c r="HS16" s="237"/>
      <c r="HT16" s="237"/>
      <c r="HU16" s="237"/>
      <c r="HV16" s="237"/>
      <c r="HW16" s="237"/>
      <c r="HX16" s="237"/>
      <c r="HY16" s="237"/>
      <c r="HZ16" s="237"/>
      <c r="IA16" s="237"/>
      <c r="IB16" s="237"/>
      <c r="IC16" s="237"/>
      <c r="ID16" s="237"/>
      <c r="IE16" s="237"/>
      <c r="IF16" s="237"/>
      <c r="IG16" s="237"/>
      <c r="IH16" s="237"/>
      <c r="II16" s="237"/>
      <c r="IJ16" s="237"/>
      <c r="IK16" s="237"/>
      <c r="IL16" s="237"/>
      <c r="IM16" s="237"/>
      <c r="IN16" s="237"/>
      <c r="IO16" s="237"/>
      <c r="IP16" s="237"/>
      <c r="IQ16" s="237"/>
      <c r="IR16" s="237"/>
      <c r="IS16" s="237"/>
      <c r="IT16" s="237"/>
      <c r="IU16" s="237"/>
      <c r="IV16" s="237"/>
      <c r="IW16" s="237"/>
    </row>
    <row r="17" customFormat="false" ht="11.25" hidden="false" customHeight="false" outlineLevel="0" collapsed="false">
      <c r="A17" s="237"/>
      <c r="B17" s="244" t="s">
        <v>189</v>
      </c>
      <c r="C17" s="245" t="n">
        <f aca="false">IF(C16&lt;=$G$4,1,0)</f>
        <v>1</v>
      </c>
      <c r="D17" s="245" t="n">
        <f aca="false">IF(D16&lt;=$G$4,1,0)</f>
        <v>1</v>
      </c>
      <c r="E17" s="245" t="n">
        <f aca="false">IF(E16&lt;=$G$4,1,0)</f>
        <v>1</v>
      </c>
      <c r="F17" s="245" t="n">
        <f aca="false">IF(F16&lt;=$G$4,1,0)</f>
        <v>1</v>
      </c>
      <c r="G17" s="245" t="n">
        <f aca="false">IF(G16&lt;=$G$4,1,0)</f>
        <v>1</v>
      </c>
      <c r="H17" s="245" t="n">
        <f aca="false">IF(H16&lt;=$G$4,1,0)</f>
        <v>1</v>
      </c>
      <c r="I17" s="245" t="n">
        <f aca="false">IF(I16&lt;=$G$4,1,0)</f>
        <v>1</v>
      </c>
      <c r="J17" s="245" t="n">
        <f aca="false">IF(J16&lt;=$G$4,1,0)</f>
        <v>1</v>
      </c>
      <c r="K17" s="245" t="n">
        <f aca="false">IF(K16&lt;=$G$4,1,0)</f>
        <v>1</v>
      </c>
      <c r="L17" s="245" t="n">
        <f aca="false">IF(L16&lt;=$G$4,1,0)</f>
        <v>1</v>
      </c>
      <c r="M17" s="245" t="n">
        <f aca="false">IF(M16&lt;=$G$4,1,0)</f>
        <v>1</v>
      </c>
      <c r="N17" s="245" t="n">
        <f aca="false">IF(N16&lt;=$G$4,1,0)</f>
        <v>1</v>
      </c>
      <c r="O17" s="245" t="n">
        <f aca="false">IF(O16&lt;=$G$4,1,0)</f>
        <v>1</v>
      </c>
      <c r="P17" s="245" t="n">
        <f aca="false">IF(P16&lt;=$G$4,1,0)</f>
        <v>1</v>
      </c>
      <c r="Q17" s="245" t="n">
        <f aca="false">IF(Q16&lt;=$G$4,1,0)</f>
        <v>0</v>
      </c>
      <c r="R17" s="245" t="n">
        <f aca="false">IF(R16&lt;=$G$4,1,0)</f>
        <v>0</v>
      </c>
      <c r="S17" s="245" t="n">
        <f aca="false">IF(S16&lt;=$G$4,1,0)</f>
        <v>0</v>
      </c>
      <c r="T17" s="245" t="n">
        <f aca="false">IF(T16&lt;=$G$4,1,0)</f>
        <v>0</v>
      </c>
      <c r="U17" s="245" t="n">
        <f aca="false">IF(U16&lt;=$G$4,1,0)</f>
        <v>0</v>
      </c>
      <c r="V17" s="245" t="n">
        <f aca="false">IF(V16&lt;=$G$4,1,0)</f>
        <v>0</v>
      </c>
      <c r="W17" s="245" t="n">
        <f aca="false">IF(W16&lt;=$G$4,1,0)</f>
        <v>0</v>
      </c>
      <c r="X17" s="245" t="n">
        <f aca="false">IF(X16&lt;=$G$4,1,0)</f>
        <v>0</v>
      </c>
      <c r="Y17" s="245" t="n">
        <f aca="false">IF(Y16&lt;=$G$4,1,0)</f>
        <v>0</v>
      </c>
      <c r="Z17" s="245" t="n">
        <f aca="false">IF(Z16&lt;=$G$4,1,0)</f>
        <v>0</v>
      </c>
      <c r="AA17" s="245" t="n">
        <f aca="false">IF(AA16&lt;=$G$4,1,0)</f>
        <v>0</v>
      </c>
      <c r="AB17" s="245" t="n">
        <f aca="false">IF(AB16&lt;=$G$4,1,0)</f>
        <v>0</v>
      </c>
      <c r="AC17" s="23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237"/>
      <c r="BG17" s="237"/>
      <c r="BH17" s="237"/>
      <c r="BI17" s="237"/>
      <c r="BJ17" s="237"/>
      <c r="BK17" s="237"/>
      <c r="BL17" s="237"/>
      <c r="BM17" s="237"/>
      <c r="BN17" s="237"/>
      <c r="BO17" s="237"/>
      <c r="BP17" s="237"/>
      <c r="BQ17" s="237"/>
      <c r="BR17" s="237"/>
      <c r="BS17" s="237"/>
      <c r="BT17" s="237"/>
      <c r="BU17" s="237"/>
      <c r="BV17" s="237"/>
      <c r="BW17" s="237"/>
      <c r="BX17" s="237"/>
      <c r="BY17" s="237"/>
      <c r="BZ17" s="237"/>
      <c r="CA17" s="237"/>
      <c r="CB17" s="237"/>
      <c r="CC17" s="237"/>
      <c r="CD17" s="237"/>
      <c r="CE17" s="237"/>
      <c r="CF17" s="237"/>
      <c r="CG17" s="237"/>
      <c r="CH17" s="237"/>
      <c r="CI17" s="237"/>
      <c r="CJ17" s="237"/>
      <c r="CK17" s="237"/>
      <c r="CL17" s="237"/>
      <c r="CM17" s="237"/>
      <c r="CN17" s="237"/>
      <c r="CO17" s="237"/>
      <c r="CP17" s="237"/>
      <c r="CQ17" s="237"/>
      <c r="CR17" s="237"/>
      <c r="CS17" s="237"/>
      <c r="CT17" s="237"/>
      <c r="CU17" s="237"/>
      <c r="CV17" s="237"/>
      <c r="CW17" s="237"/>
      <c r="CX17" s="237"/>
      <c r="CY17" s="237"/>
      <c r="CZ17" s="237"/>
      <c r="DA17" s="237"/>
      <c r="DB17" s="237"/>
      <c r="DC17" s="237"/>
      <c r="DD17" s="237"/>
      <c r="DE17" s="237"/>
      <c r="DF17" s="237"/>
      <c r="DG17" s="237"/>
      <c r="DH17" s="237"/>
      <c r="DI17" s="237"/>
      <c r="DJ17" s="237"/>
      <c r="DK17" s="237"/>
      <c r="DL17" s="237"/>
      <c r="DM17" s="237"/>
      <c r="DN17" s="237"/>
      <c r="DO17" s="237"/>
      <c r="DP17" s="237"/>
      <c r="DQ17" s="237"/>
      <c r="DR17" s="237"/>
      <c r="DS17" s="237"/>
      <c r="DT17" s="237"/>
      <c r="DU17" s="237"/>
      <c r="DV17" s="237"/>
      <c r="DW17" s="237"/>
      <c r="DX17" s="237"/>
      <c r="DY17" s="237"/>
      <c r="DZ17" s="237"/>
      <c r="EA17" s="237"/>
      <c r="EB17" s="237"/>
      <c r="EC17" s="237"/>
      <c r="ED17" s="237"/>
      <c r="EE17" s="237"/>
      <c r="EF17" s="237"/>
      <c r="EG17" s="237"/>
      <c r="EH17" s="237"/>
      <c r="EI17" s="237"/>
      <c r="EJ17" s="237"/>
      <c r="EK17" s="237"/>
      <c r="EL17" s="237"/>
      <c r="EM17" s="237"/>
      <c r="EN17" s="237"/>
      <c r="EO17" s="237"/>
      <c r="EP17" s="237"/>
      <c r="EQ17" s="237"/>
      <c r="ER17" s="237"/>
      <c r="ES17" s="237"/>
      <c r="ET17" s="237"/>
      <c r="EU17" s="237"/>
      <c r="EV17" s="237"/>
      <c r="EW17" s="237"/>
      <c r="EX17" s="237"/>
      <c r="EY17" s="237"/>
      <c r="EZ17" s="237"/>
      <c r="FA17" s="237"/>
      <c r="FB17" s="237"/>
      <c r="FC17" s="237"/>
      <c r="FD17" s="237"/>
      <c r="FE17" s="237"/>
      <c r="FF17" s="237"/>
      <c r="FG17" s="237"/>
      <c r="FH17" s="237"/>
      <c r="FI17" s="237"/>
      <c r="FJ17" s="237"/>
      <c r="FK17" s="237"/>
      <c r="FL17" s="237"/>
      <c r="FM17" s="237"/>
      <c r="FN17" s="237"/>
      <c r="FO17" s="237"/>
      <c r="FP17" s="237"/>
      <c r="FQ17" s="237"/>
      <c r="FR17" s="237"/>
      <c r="FS17" s="237"/>
      <c r="FT17" s="237"/>
      <c r="FU17" s="237"/>
      <c r="FV17" s="237"/>
      <c r="FW17" s="237"/>
      <c r="FX17" s="237"/>
      <c r="FY17" s="237"/>
      <c r="FZ17" s="237"/>
      <c r="GA17" s="237"/>
      <c r="GB17" s="237"/>
      <c r="GC17" s="237"/>
      <c r="GD17" s="237"/>
      <c r="GE17" s="237"/>
      <c r="GF17" s="237"/>
      <c r="GG17" s="237"/>
      <c r="GH17" s="237"/>
      <c r="GI17" s="237"/>
      <c r="GJ17" s="237"/>
      <c r="GK17" s="237"/>
      <c r="GL17" s="237"/>
      <c r="GM17" s="237"/>
      <c r="GN17" s="237"/>
      <c r="GO17" s="237"/>
      <c r="GP17" s="237"/>
      <c r="GQ17" s="237"/>
      <c r="GR17" s="237"/>
      <c r="GS17" s="237"/>
      <c r="GT17" s="237"/>
      <c r="GU17" s="237"/>
      <c r="GV17" s="237"/>
      <c r="GW17" s="237"/>
      <c r="GX17" s="237"/>
      <c r="GY17" s="237"/>
      <c r="GZ17" s="237"/>
      <c r="HA17" s="237"/>
      <c r="HB17" s="237"/>
      <c r="HC17" s="237"/>
      <c r="HD17" s="237"/>
      <c r="HE17" s="237"/>
      <c r="HF17" s="237"/>
      <c r="HG17" s="237"/>
      <c r="HH17" s="237"/>
      <c r="HI17" s="237"/>
      <c r="HJ17" s="237"/>
      <c r="HK17" s="237"/>
      <c r="HL17" s="237"/>
      <c r="HM17" s="237"/>
      <c r="HN17" s="237"/>
      <c r="HO17" s="237"/>
      <c r="HP17" s="237"/>
      <c r="HQ17" s="237"/>
      <c r="HR17" s="237"/>
      <c r="HS17" s="237"/>
      <c r="HT17" s="237"/>
      <c r="HU17" s="237"/>
      <c r="HV17" s="237"/>
      <c r="HW17" s="237"/>
      <c r="HX17" s="237"/>
      <c r="HY17" s="237"/>
      <c r="HZ17" s="237"/>
      <c r="IA17" s="237"/>
      <c r="IB17" s="237"/>
      <c r="IC17" s="237"/>
      <c r="ID17" s="237"/>
      <c r="IE17" s="237"/>
      <c r="IF17" s="237"/>
      <c r="IG17" s="237"/>
      <c r="IH17" s="237"/>
      <c r="II17" s="237"/>
      <c r="IJ17" s="237"/>
      <c r="IK17" s="237"/>
      <c r="IL17" s="237"/>
      <c r="IM17" s="237"/>
      <c r="IN17" s="237"/>
      <c r="IO17" s="237"/>
      <c r="IP17" s="237"/>
      <c r="IQ17" s="237"/>
      <c r="IR17" s="237"/>
      <c r="IS17" s="237"/>
      <c r="IT17" s="237"/>
      <c r="IU17" s="237"/>
      <c r="IV17" s="237"/>
      <c r="IW17" s="237"/>
    </row>
    <row r="18" customFormat="false" ht="11.25" hidden="false" customHeight="false" outlineLevel="0" collapsed="false">
      <c r="A18" s="237"/>
      <c r="B18" s="246" t="s">
        <v>190</v>
      </c>
      <c r="C18" s="247" t="n">
        <f aca="false">INDEX(InterestRateCurve,MATCH(C$14,'Int Curves'!$L:$L,0),MATCH("Semi Annual Calculation",'Int Curves'!$L$3:$M$3,0))</f>
        <v>0.0533661601707364</v>
      </c>
      <c r="D18" s="247" t="n">
        <f aca="false">INDEX(InterestRateCurve,MATCH(D$14,'Int Curves'!$L:$L,0),MATCH("Semi Annual Calculation",'Int Curves'!$L$3:$M$3,0))</f>
        <v>0.059734105576137</v>
      </c>
      <c r="E18" s="247" t="n">
        <f aca="false">INDEX(InterestRateCurve,MATCH(E$14,'Int Curves'!$L:$L,0),MATCH("Semi Annual Calculation",'Int Curves'!$L$3:$M$3,0))</f>
        <v>0.0620639234273657</v>
      </c>
      <c r="F18" s="247" t="n">
        <f aca="false">INDEX(InterestRateCurve,MATCH(F$14,'Int Curves'!$L:$L,0),MATCH("Semi Annual Calculation",'Int Curves'!$L$3:$M$3,0))</f>
        <v>0.0632375293197494</v>
      </c>
      <c r="G18" s="247" t="n">
        <f aca="false">INDEX(InterestRateCurve,MATCH(G$14,'Int Curves'!$L:$L,0),MATCH("Semi Annual Calculation",'Int Curves'!$L$3:$M$3,0))</f>
        <v>0.0635405307533816</v>
      </c>
      <c r="H18" s="247" t="n">
        <f aca="false">INDEX(InterestRateCurve,MATCH(H$14,'Int Curves'!$L:$L,0),MATCH("Semi Annual Calculation",'Int Curves'!$L$3:$M$3,0))</f>
        <v>0.0637652499174573</v>
      </c>
      <c r="I18" s="247" t="n">
        <f aca="false">INDEX(InterestRateCurve,MATCH(I$14,'Int Curves'!$L:$L,0),MATCH("Semi Annual Calculation",'Int Curves'!$L$3:$M$3,0))</f>
        <v>0.0638603690046642</v>
      </c>
      <c r="J18" s="247" t="n">
        <f aca="false">INDEX(InterestRateCurve,MATCH(J$14,'Int Curves'!$L:$L,0),MATCH("Semi Annual Calculation",'Int Curves'!$L$3:$M$3,0))</f>
        <v>0.0639439583903673</v>
      </c>
      <c r="K18" s="247" t="n">
        <f aca="false">INDEX(InterestRateCurve,MATCH(K$14,'Int Curves'!$L:$L,0),MATCH("Semi Annual Calculation",'Int Curves'!$L$3:$M$3,0))</f>
        <v>0.0640277004530715</v>
      </c>
      <c r="L18" s="247" t="n">
        <f aca="false">INDEX(InterestRateCurve,MATCH(L$14,'Int Curves'!$L:$L,0),MATCH("Semi Annual Calculation",'Int Curves'!$L$3:$M$3,0))</f>
        <v>0.0641113661807567</v>
      </c>
      <c r="M18" s="247" t="n">
        <f aca="false">INDEX(InterestRateCurve,MATCH(M$14,'Int Curves'!$L:$L,0),MATCH("Semi Annual Calculation",'Int Curves'!$L$3:$M$3,0))</f>
        <v>0.0641973003990201</v>
      </c>
      <c r="N18" s="247" t="n">
        <f aca="false">INDEX(InterestRateCurve,MATCH(N$14,'Int Curves'!$L:$L,0),MATCH("Semi Annual Calculation",'Int Curves'!$L$3:$M$3,0))</f>
        <v>0.0643282318244424</v>
      </c>
      <c r="O18" s="247" t="n">
        <f aca="false">INDEX(InterestRateCurve,MATCH(O$14,'Int Curves'!$L:$L,0),MATCH("Semi Annual Calculation",'Int Curves'!$L$3:$M$3,0))</f>
        <v>0.0644634193753739</v>
      </c>
      <c r="P18" s="247" t="n">
        <f aca="false">INDEX(InterestRateCurve,MATCH(P$14,'Int Curves'!$L:$L,0),MATCH("Semi Annual Calculation",'Int Curves'!$L$3:$M$3,0))</f>
        <v>0.0645984836984888</v>
      </c>
      <c r="Q18" s="247" t="n">
        <f aca="false">INDEX(InterestRateCurve,MATCH(Q$14,'Int Curves'!$L:$L,0),MATCH("Semi Annual Calculation",'Int Curves'!$L$3:$M$3,0))</f>
        <v>0.0647334247937723</v>
      </c>
      <c r="R18" s="247" t="n">
        <f aca="false">INDEX(InterestRateCurve,MATCH(R$14,'Int Curves'!$L:$L,0),MATCH("Semi Annual Calculation",'Int Curves'!$L$3:$M$3,0))</f>
        <v>0.0648576562850886</v>
      </c>
      <c r="S18" s="247" t="n">
        <f aca="false">INDEX(InterestRateCurve,MATCH(S$14,'Int Curves'!$L:$L,0),MATCH("Semi Annual Calculation",'Int Curves'!$L$3:$M$3,0))</f>
        <v>0.0647878457578243</v>
      </c>
      <c r="T18" s="247" t="n">
        <f aca="false">INDEX(InterestRateCurve,MATCH(T$14,'Int Curves'!$L:$L,0),MATCH("Semi Annual Calculation",'Int Curves'!$L$3:$M$3,0))</f>
        <v>0.0647014434479597</v>
      </c>
      <c r="U18" s="247" t="n">
        <f aca="false">INDEX(InterestRateCurve,MATCH(U$14,'Int Curves'!$L:$L,0),MATCH("Semi Annual Calculation",'Int Curves'!$L$3:$M$3,0))</f>
        <v>0.0646151199747913</v>
      </c>
      <c r="V18" s="247" t="n">
        <f aca="false">INDEX(InterestRateCurve,MATCH(V$14,'Int Curves'!$L:$L,0),MATCH("Semi Annual Calculation",'Int Curves'!$L$3:$M$3,0))</f>
        <v>0.0645287965040933</v>
      </c>
      <c r="W18" s="247" t="n">
        <f aca="false">INDEX(InterestRateCurve,MATCH(W$14,'Int Curves'!$L:$L,0),MATCH("Semi Annual Calculation",'Int Curves'!$L$3:$M$3,0))</f>
        <v>0.0644347957871349</v>
      </c>
      <c r="X18" s="247" t="n">
        <f aca="false">INDEX(InterestRateCurve,MATCH(X$14,'Int Curves'!$L:$L,0),MATCH("Semi Annual Calculation",'Int Curves'!$L$3:$M$3,0))</f>
        <v>0.0642047411346692</v>
      </c>
      <c r="Y18" s="247" t="n">
        <f aca="false">INDEX(InterestRateCurve,MATCH(Y$14,'Int Curves'!$L:$L,0),MATCH("Semi Annual Calculation",'Int Curves'!$L$3:$M$3,0))</f>
        <v>0.0639630603285137</v>
      </c>
      <c r="Z18" s="247" t="n">
        <f aca="false">INDEX(InterestRateCurve,MATCH(Z$14,'Int Curves'!$L:$L,0),MATCH("Semi Annual Calculation",'Int Curves'!$L$3:$M$3,0))</f>
        <v>0.0637213795417279</v>
      </c>
      <c r="AA18" s="247" t="n">
        <f aca="false">INDEX(InterestRateCurve,MATCH(AA$14,'Int Curves'!$L:$L,0),MATCH("Semi Annual Calculation",'Int Curves'!$L$3:$M$3,0))</f>
        <v>0.0634792573482762</v>
      </c>
      <c r="AB18" s="247" t="n">
        <f aca="false">INDEX(InterestRateCurve,MATCH(AB$14,'Int Curves'!$L:$L,0),MATCH("Semi Annual Calculation",'Int Curves'!$L$3:$M$3,0))</f>
        <v>0.0632373558872669</v>
      </c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7"/>
      <c r="EL18" s="237"/>
      <c r="EM18" s="237"/>
      <c r="EN18" s="237"/>
      <c r="EO18" s="237"/>
      <c r="EP18" s="237"/>
      <c r="EQ18" s="237"/>
      <c r="ER18" s="237"/>
      <c r="ES18" s="237"/>
      <c r="ET18" s="237"/>
      <c r="EU18" s="237"/>
      <c r="EV18" s="237"/>
      <c r="EW18" s="237"/>
      <c r="EX18" s="237"/>
      <c r="EY18" s="237"/>
      <c r="EZ18" s="237"/>
      <c r="FA18" s="237"/>
      <c r="FB18" s="237"/>
      <c r="FC18" s="237"/>
      <c r="FD18" s="237"/>
      <c r="FE18" s="237"/>
      <c r="FF18" s="237"/>
      <c r="FG18" s="237"/>
      <c r="FH18" s="237"/>
      <c r="FI18" s="237"/>
      <c r="FJ18" s="237"/>
      <c r="FK18" s="237"/>
      <c r="FL18" s="237"/>
      <c r="FM18" s="237"/>
      <c r="FN18" s="237"/>
      <c r="FO18" s="237"/>
      <c r="FP18" s="237"/>
      <c r="FQ18" s="237"/>
      <c r="FR18" s="237"/>
      <c r="FS18" s="237"/>
      <c r="FT18" s="237"/>
      <c r="FU18" s="237"/>
      <c r="FV18" s="237"/>
      <c r="FW18" s="237"/>
      <c r="FX18" s="237"/>
      <c r="FY18" s="237"/>
      <c r="FZ18" s="237"/>
      <c r="GA18" s="237"/>
      <c r="GB18" s="237"/>
      <c r="GC18" s="237"/>
      <c r="GD18" s="237"/>
      <c r="GE18" s="237"/>
      <c r="GF18" s="237"/>
      <c r="GG18" s="237"/>
      <c r="GH18" s="237"/>
      <c r="GI18" s="237"/>
      <c r="GJ18" s="237"/>
      <c r="GK18" s="237"/>
      <c r="GL18" s="237"/>
      <c r="GM18" s="237"/>
      <c r="GN18" s="237"/>
      <c r="GO18" s="237"/>
      <c r="GP18" s="237"/>
      <c r="GQ18" s="237"/>
      <c r="GR18" s="237"/>
      <c r="GS18" s="237"/>
      <c r="GT18" s="237"/>
      <c r="GU18" s="237"/>
      <c r="GV18" s="237"/>
      <c r="GW18" s="237"/>
      <c r="GX18" s="237"/>
      <c r="GY18" s="237"/>
      <c r="GZ18" s="237"/>
      <c r="HA18" s="237"/>
      <c r="HB18" s="237"/>
      <c r="HC18" s="237"/>
      <c r="HD18" s="237"/>
      <c r="HE18" s="237"/>
      <c r="HF18" s="237"/>
      <c r="HG18" s="237"/>
      <c r="HH18" s="237"/>
      <c r="HI18" s="237"/>
      <c r="HJ18" s="237"/>
      <c r="HK18" s="237"/>
      <c r="HL18" s="237"/>
      <c r="HM18" s="237"/>
      <c r="HN18" s="237"/>
      <c r="HO18" s="237"/>
      <c r="HP18" s="237"/>
      <c r="HQ18" s="237"/>
      <c r="HR18" s="237"/>
      <c r="HS18" s="237"/>
      <c r="HT18" s="237"/>
      <c r="HU18" s="237"/>
      <c r="HV18" s="237"/>
      <c r="HW18" s="237"/>
      <c r="HX18" s="237"/>
      <c r="HY18" s="237"/>
      <c r="HZ18" s="237"/>
      <c r="IA18" s="237"/>
      <c r="IB18" s="237"/>
      <c r="IC18" s="237"/>
      <c r="ID18" s="237"/>
      <c r="IE18" s="237"/>
      <c r="IF18" s="237"/>
      <c r="IG18" s="237"/>
      <c r="IH18" s="237"/>
      <c r="II18" s="237"/>
      <c r="IJ18" s="237"/>
      <c r="IK18" s="237"/>
      <c r="IL18" s="237"/>
      <c r="IM18" s="237"/>
      <c r="IN18" s="237"/>
      <c r="IO18" s="237"/>
      <c r="IP18" s="237"/>
      <c r="IQ18" s="237"/>
      <c r="IR18" s="237"/>
      <c r="IS18" s="237"/>
      <c r="IT18" s="237"/>
      <c r="IU18" s="237"/>
      <c r="IV18" s="237"/>
      <c r="IW18" s="237"/>
    </row>
    <row r="19" customFormat="false" ht="11.25" hidden="false" customHeight="false" outlineLevel="0" collapsed="false">
      <c r="A19" s="237"/>
      <c r="B19" s="246" t="s">
        <v>191</v>
      </c>
      <c r="C19" s="247" t="n">
        <f aca="false">INDEX(InterestRateCurve,MATCH(C$15,'Int Curves'!$L:$L,0),MATCH("Semi Annual Calculation",'Int Curves'!$L$3:$M$3,0))</f>
        <v>0.0567260685883425</v>
      </c>
      <c r="D19" s="247" t="n">
        <f aca="false">INDEX(InterestRateCurve,MATCH(D$15,'Int Curves'!$L:$L,0),MATCH("Semi Annual Calculation",'Int Curves'!$L$3:$M$3,0))</f>
        <v>0.0612272523674611</v>
      </c>
      <c r="E19" s="247" t="n">
        <f aca="false">INDEX(InterestRateCurve,MATCH(E$15,'Int Curves'!$L:$L,0),MATCH("Semi Annual Calculation",'Int Curves'!$L$3:$M$3,0))</f>
        <v>0.0626949028199917</v>
      </c>
      <c r="F19" s="247" t="n">
        <f aca="false">INDEX(InterestRateCurve,MATCH(F$15,'Int Curves'!$L:$L,0),MATCH("Semi Annual Calculation",'Int Curves'!$L$3:$M$3,0))</f>
        <v>0.0634245887318758</v>
      </c>
      <c r="G19" s="247" t="n">
        <f aca="false">INDEX(InterestRateCurve,MATCH(G$15,'Int Curves'!$L:$L,0),MATCH("Semi Annual Calculation",'Int Curves'!$L$3:$M$3,0))</f>
        <v>0.0636564727793529</v>
      </c>
      <c r="H19" s="247" t="n">
        <f aca="false">INDEX(InterestRateCurve,MATCH(H$15,'Int Curves'!$L:$L,0),MATCH("Semi Annual Calculation",'Int Curves'!$L$3:$M$3,0))</f>
        <v>0.0638186124813506</v>
      </c>
      <c r="I19" s="247" t="n">
        <f aca="false">INDEX(InterestRateCurve,MATCH(I$15,'Int Curves'!$L:$L,0),MATCH("Semi Annual Calculation",'Int Curves'!$L$3:$M$3,0))</f>
        <v>0.0639022018658963</v>
      </c>
      <c r="J19" s="247" t="n">
        <f aca="false">INDEX(InterestRateCurve,MATCH(J$15,'Int Curves'!$L:$L,0),MATCH("Semi Annual Calculation",'Int Curves'!$L$3:$M$3,0))</f>
        <v>0.0639857912527591</v>
      </c>
      <c r="K19" s="247" t="n">
        <f aca="false">INDEX(InterestRateCurve,MATCH(K$15,'Int Curves'!$L:$L,0),MATCH("Semi Annual Calculation",'Int Curves'!$L$3:$M$3,0))</f>
        <v>0.0640696096539674</v>
      </c>
      <c r="L19" s="247" t="n">
        <f aca="false">INDEX(InterestRateCurve,MATCH(L$15,'Int Curves'!$L:$L,0),MATCH("Semi Annual Calculation",'Int Curves'!$L$3:$M$3,0))</f>
        <v>0.0641531990454705</v>
      </c>
      <c r="M19" s="247" t="n">
        <f aca="false">INDEX(InterestRateCurve,MATCH(M$15,'Int Curves'!$L:$L,0),MATCH("Semi Annual Calculation",'Int Curves'!$L$3:$M$3,0))</f>
        <v>0.0642608229020421</v>
      </c>
      <c r="N19" s="247" t="n">
        <f aca="false">INDEX(InterestRateCurve,MATCH(N$15,'Int Curves'!$L:$L,0),MATCH("Semi Annual Calculation",'Int Curves'!$L$3:$M$3,0))</f>
        <v>0.0643957639822193</v>
      </c>
      <c r="O19" s="247" t="n">
        <f aca="false">INDEX(InterestRateCurve,MATCH(O$15,'Int Curves'!$L:$L,0),MATCH("Semi Annual Calculation",'Int Curves'!$L$3:$M$3,0))</f>
        <v>0.0645310747700483</v>
      </c>
      <c r="P19" s="247" t="n">
        <f aca="false">INDEX(InterestRateCurve,MATCH(P$15,'Int Curves'!$L:$L,0),MATCH("Semi Annual Calculation",'Int Curves'!$L$3:$M$3,0))</f>
        <v>0.0646660158623165</v>
      </c>
      <c r="Q19" s="247" t="n">
        <f aca="false">INDEX(InterestRateCurve,MATCH(Q$15,'Int Curves'!$L:$L,0),MATCH("Semi Annual Calculation",'Int Curves'!$L$3:$M$3,0))</f>
        <v>0.0648009569606212</v>
      </c>
      <c r="R19" s="247" t="n">
        <f aca="false">INDEX(InterestRateCurve,MATCH(R$15,'Int Curves'!$L:$L,0),MATCH("Semi Annual Calculation",'Int Curves'!$L$3:$M$3,0))</f>
        <v>0.0648311257479116</v>
      </c>
      <c r="S19" s="247" t="n">
        <f aca="false">INDEX(InterestRateCurve,MATCH(S$15,'Int Curves'!$L:$L,0),MATCH("Semi Annual Calculation",'Int Curves'!$L$3:$M$3,0))</f>
        <v>0.0647445657683591</v>
      </c>
      <c r="T19" s="247" t="n">
        <f aca="false">INDEX(InterestRateCurve,MATCH(T$15,'Int Curves'!$L:$L,0),MATCH("Semi Annual Calculation",'Int Curves'!$L$3:$M$3,0))</f>
        <v>0.0646582422939566</v>
      </c>
      <c r="U19" s="247" t="n">
        <f aca="false">INDEX(InterestRateCurve,MATCH(U$15,'Int Curves'!$L:$L,0),MATCH("Semi Annual Calculation",'Int Curves'!$L$3:$M$3,0))</f>
        <v>0.0645719188220244</v>
      </c>
      <c r="V19" s="247" t="n">
        <f aca="false">INDEX(InterestRateCurve,MATCH(V$15,'Int Curves'!$L:$L,0),MATCH("Semi Annual Calculation",'Int Curves'!$L$3:$M$3,0))</f>
        <v>0.0644855953525627</v>
      </c>
      <c r="W19" s="247" t="n">
        <f aca="false">INDEX(InterestRateCurve,MATCH(W$15,'Int Curves'!$L:$L,0),MATCH("Semi Annual Calculation",'Int Curves'!$L$3:$M$3,0))</f>
        <v>0.0643254711884753</v>
      </c>
      <c r="X19" s="247" t="n">
        <f aca="false">INDEX(InterestRateCurve,MATCH(X$15,'Int Curves'!$L:$L,0),MATCH("Semi Annual Calculation",'Int Curves'!$L$3:$M$3,0))</f>
        <v>0.0640837903726445</v>
      </c>
      <c r="Y19" s="247" t="n">
        <f aca="false">INDEX(InterestRateCurve,MATCH(Y$15,'Int Curves'!$L:$L,0),MATCH("Semi Annual Calculation",'Int Curves'!$L$3:$M$3,0))</f>
        <v>0.0638421095761823</v>
      </c>
      <c r="Z19" s="247" t="n">
        <f aca="false">INDEX(InterestRateCurve,MATCH(Z$15,'Int Curves'!$L:$L,0),MATCH("Semi Annual Calculation",'Int Curves'!$L$3:$M$3,0))</f>
        <v>0.0636004287990913</v>
      </c>
      <c r="AA19" s="247" t="n">
        <f aca="false">INDEX(InterestRateCurve,MATCH(AA$15,'Int Curves'!$L:$L,0),MATCH("Semi Annual Calculation",'Int Curves'!$L$3:$M$3,0))</f>
        <v>0.0633580859023384</v>
      </c>
      <c r="AB19" s="247" t="n">
        <f aca="false">INDEX(InterestRateCurve,MATCH(AB$15,'Int Curves'!$L:$L,0),MATCH("Semi Annual Calculation",'Int Curves'!$L$3:$M$3,0))</f>
        <v>0.0631164051640498</v>
      </c>
      <c r="AC19" s="23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237"/>
      <c r="BI19" s="237"/>
      <c r="BJ19" s="237"/>
      <c r="BK19" s="237"/>
      <c r="BL19" s="237"/>
      <c r="BM19" s="237"/>
      <c r="BN19" s="237"/>
      <c r="BO19" s="237"/>
      <c r="BP19" s="237"/>
      <c r="BQ19" s="237"/>
      <c r="BR19" s="237"/>
      <c r="BS19" s="237"/>
      <c r="BT19" s="237"/>
      <c r="BU19" s="237"/>
      <c r="BV19" s="237"/>
      <c r="BW19" s="237"/>
      <c r="BX19" s="237"/>
      <c r="BY19" s="237"/>
      <c r="BZ19" s="237"/>
      <c r="CA19" s="237"/>
      <c r="CB19" s="237"/>
      <c r="CC19" s="237"/>
      <c r="CD19" s="237"/>
      <c r="CE19" s="237"/>
      <c r="CF19" s="237"/>
      <c r="CG19" s="237"/>
      <c r="CH19" s="237"/>
      <c r="CI19" s="237"/>
      <c r="CJ19" s="237"/>
      <c r="CK19" s="237"/>
      <c r="CL19" s="237"/>
      <c r="CM19" s="237"/>
      <c r="CN19" s="237"/>
      <c r="CO19" s="237"/>
      <c r="CP19" s="237"/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7"/>
      <c r="EL19" s="237"/>
      <c r="EM19" s="237"/>
      <c r="EN19" s="237"/>
      <c r="EO19" s="237"/>
      <c r="EP19" s="237"/>
      <c r="EQ19" s="237"/>
      <c r="ER19" s="237"/>
      <c r="ES19" s="237"/>
      <c r="ET19" s="237"/>
      <c r="EU19" s="237"/>
      <c r="EV19" s="237"/>
      <c r="EW19" s="237"/>
      <c r="EX19" s="237"/>
      <c r="EY19" s="237"/>
      <c r="EZ19" s="237"/>
      <c r="FA19" s="237"/>
      <c r="FB19" s="237"/>
      <c r="FC19" s="237"/>
      <c r="FD19" s="237"/>
      <c r="FE19" s="237"/>
      <c r="FF19" s="237"/>
      <c r="FG19" s="237"/>
      <c r="FH19" s="237"/>
      <c r="FI19" s="237"/>
      <c r="FJ19" s="237"/>
      <c r="FK19" s="237"/>
      <c r="FL19" s="237"/>
      <c r="FM19" s="237"/>
      <c r="FN19" s="237"/>
      <c r="FO19" s="237"/>
      <c r="FP19" s="237"/>
      <c r="FQ19" s="237"/>
      <c r="FR19" s="237"/>
      <c r="FS19" s="237"/>
      <c r="FT19" s="237"/>
      <c r="FU19" s="237"/>
      <c r="FV19" s="237"/>
      <c r="FW19" s="237"/>
      <c r="FX19" s="237"/>
      <c r="FY19" s="237"/>
      <c r="FZ19" s="237"/>
      <c r="GA19" s="237"/>
      <c r="GB19" s="237"/>
      <c r="GC19" s="237"/>
      <c r="GD19" s="237"/>
      <c r="GE19" s="237"/>
      <c r="GF19" s="237"/>
      <c r="GG19" s="237"/>
      <c r="GH19" s="237"/>
      <c r="GI19" s="237"/>
      <c r="GJ19" s="237"/>
      <c r="GK19" s="237"/>
      <c r="GL19" s="237"/>
      <c r="GM19" s="237"/>
      <c r="GN19" s="237"/>
      <c r="GO19" s="237"/>
      <c r="GP19" s="237"/>
      <c r="GQ19" s="237"/>
      <c r="GR19" s="237"/>
      <c r="GS19" s="237"/>
      <c r="GT19" s="237"/>
      <c r="GU19" s="237"/>
      <c r="GV19" s="237"/>
      <c r="GW19" s="237"/>
      <c r="GX19" s="237"/>
      <c r="GY19" s="237"/>
      <c r="GZ19" s="237"/>
      <c r="HA19" s="237"/>
      <c r="HB19" s="237"/>
      <c r="HC19" s="237"/>
      <c r="HD19" s="237"/>
      <c r="HE19" s="237"/>
      <c r="HF19" s="237"/>
      <c r="HG19" s="237"/>
      <c r="HH19" s="237"/>
      <c r="HI19" s="237"/>
      <c r="HJ19" s="237"/>
      <c r="HK19" s="237"/>
      <c r="HL19" s="237"/>
      <c r="HM19" s="237"/>
      <c r="HN19" s="237"/>
      <c r="HO19" s="237"/>
      <c r="HP19" s="237"/>
      <c r="HQ19" s="237"/>
      <c r="HR19" s="237"/>
      <c r="HS19" s="237"/>
      <c r="HT19" s="237"/>
      <c r="HU19" s="237"/>
      <c r="HV19" s="237"/>
      <c r="HW19" s="237"/>
      <c r="HX19" s="237"/>
      <c r="HY19" s="237"/>
      <c r="HZ19" s="237"/>
      <c r="IA19" s="237"/>
      <c r="IB19" s="237"/>
      <c r="IC19" s="237"/>
      <c r="ID19" s="237"/>
      <c r="IE19" s="237"/>
      <c r="IF19" s="237"/>
      <c r="IG19" s="237"/>
      <c r="IH19" s="237"/>
      <c r="II19" s="237"/>
      <c r="IJ19" s="237"/>
      <c r="IK19" s="237"/>
      <c r="IL19" s="237"/>
      <c r="IM19" s="237"/>
      <c r="IN19" s="237"/>
      <c r="IO19" s="237"/>
      <c r="IP19" s="237"/>
      <c r="IQ19" s="237"/>
      <c r="IR19" s="237"/>
      <c r="IS19" s="237"/>
      <c r="IT19" s="237"/>
      <c r="IU19" s="237"/>
      <c r="IV19" s="237"/>
      <c r="IW19" s="237"/>
    </row>
    <row r="20" customFormat="false" ht="11.25" hidden="false" customHeight="false" outlineLevel="0" collapsed="false">
      <c r="A20" s="237"/>
      <c r="B20" s="246"/>
      <c r="C20" s="247" t="n">
        <v>0.015</v>
      </c>
      <c r="D20" s="247" t="n">
        <v>0.015</v>
      </c>
      <c r="E20" s="247" t="n">
        <v>0.015</v>
      </c>
      <c r="F20" s="247" t="n">
        <f aca="false">E20+0.0025</f>
        <v>0.0175</v>
      </c>
      <c r="G20" s="247" t="n">
        <f aca="false">F20</f>
        <v>0.0175</v>
      </c>
      <c r="H20" s="247" t="n">
        <f aca="false">F20</f>
        <v>0.0175</v>
      </c>
      <c r="I20" s="247" t="n">
        <f aca="false">H20+0.0025</f>
        <v>0.02</v>
      </c>
      <c r="J20" s="247" t="n">
        <f aca="false">I20</f>
        <v>0.02</v>
      </c>
      <c r="K20" s="247" t="n">
        <f aca="false">J20</f>
        <v>0.02</v>
      </c>
      <c r="L20" s="247" t="n">
        <f aca="false">K20+0.0025</f>
        <v>0.0225</v>
      </c>
      <c r="M20" s="247" t="n">
        <f aca="false">L20</f>
        <v>0.0225</v>
      </c>
      <c r="N20" s="248" t="n">
        <f aca="false">M20</f>
        <v>0.0225</v>
      </c>
      <c r="O20" s="247" t="n">
        <f aca="false">N20+0.0025</f>
        <v>0.025</v>
      </c>
      <c r="P20" s="249" t="n">
        <f aca="false">O20</f>
        <v>0.025</v>
      </c>
      <c r="Q20" s="249" t="n">
        <f aca="false">P20</f>
        <v>0.025</v>
      </c>
      <c r="R20" s="249" t="n">
        <f aca="false">Q20+0.0025</f>
        <v>0.0275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3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237"/>
      <c r="BI20" s="237"/>
      <c r="BJ20" s="237"/>
      <c r="BK20" s="237"/>
      <c r="BL20" s="237"/>
      <c r="BM20" s="237"/>
      <c r="BN20" s="237"/>
      <c r="BO20" s="237"/>
      <c r="BP20" s="237"/>
      <c r="BQ20" s="237"/>
      <c r="BR20" s="237"/>
      <c r="BS20" s="237"/>
      <c r="BT20" s="237"/>
      <c r="BU20" s="237"/>
      <c r="BV20" s="237"/>
      <c r="BW20" s="237"/>
      <c r="BX20" s="237"/>
      <c r="BY20" s="237"/>
      <c r="BZ20" s="237"/>
      <c r="CA20" s="237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7"/>
      <c r="CN20" s="237"/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7"/>
      <c r="EL20" s="237"/>
      <c r="EM20" s="237"/>
      <c r="EN20" s="237"/>
      <c r="EO20" s="237"/>
      <c r="EP20" s="237"/>
      <c r="EQ20" s="237"/>
      <c r="ER20" s="237"/>
      <c r="ES20" s="237"/>
      <c r="ET20" s="237"/>
      <c r="EU20" s="237"/>
      <c r="EV20" s="237"/>
      <c r="EW20" s="237"/>
      <c r="EX20" s="237"/>
      <c r="EY20" s="237"/>
      <c r="EZ20" s="237"/>
      <c r="FA20" s="237"/>
      <c r="FB20" s="237"/>
      <c r="FC20" s="237"/>
      <c r="FD20" s="237"/>
      <c r="FE20" s="237"/>
      <c r="FF20" s="237"/>
      <c r="FG20" s="237"/>
      <c r="FH20" s="237"/>
      <c r="FI20" s="237"/>
      <c r="FJ20" s="237"/>
      <c r="FK20" s="237"/>
      <c r="FL20" s="237"/>
      <c r="FM20" s="237"/>
      <c r="FN20" s="237"/>
      <c r="FO20" s="237"/>
      <c r="FP20" s="237"/>
      <c r="FQ20" s="237"/>
      <c r="FR20" s="237"/>
      <c r="FS20" s="237"/>
      <c r="FT20" s="237"/>
      <c r="FU20" s="237"/>
      <c r="FV20" s="237"/>
      <c r="FW20" s="237"/>
      <c r="FX20" s="237"/>
      <c r="FY20" s="237"/>
      <c r="FZ20" s="237"/>
      <c r="GA20" s="237"/>
      <c r="GB20" s="237"/>
      <c r="GC20" s="237"/>
      <c r="GD20" s="237"/>
      <c r="GE20" s="237"/>
      <c r="GF20" s="237"/>
      <c r="GG20" s="237"/>
      <c r="GH20" s="237"/>
      <c r="GI20" s="237"/>
      <c r="GJ20" s="237"/>
      <c r="GK20" s="237"/>
      <c r="GL20" s="237"/>
      <c r="GM20" s="237"/>
      <c r="GN20" s="237"/>
      <c r="GO20" s="237"/>
      <c r="GP20" s="237"/>
      <c r="GQ20" s="237"/>
      <c r="GR20" s="237"/>
      <c r="GS20" s="237"/>
      <c r="GT20" s="237"/>
      <c r="GU20" s="237"/>
      <c r="GV20" s="237"/>
      <c r="GW20" s="237"/>
      <c r="GX20" s="237"/>
      <c r="GY20" s="237"/>
      <c r="GZ20" s="237"/>
      <c r="HA20" s="237"/>
      <c r="HB20" s="237"/>
      <c r="HC20" s="237"/>
      <c r="HD20" s="237"/>
      <c r="HE20" s="237"/>
      <c r="HF20" s="237"/>
      <c r="HG20" s="237"/>
      <c r="HH20" s="237"/>
      <c r="HI20" s="237"/>
      <c r="HJ20" s="237"/>
      <c r="HK20" s="237"/>
      <c r="HL20" s="237"/>
      <c r="HM20" s="237"/>
      <c r="HN20" s="237"/>
      <c r="HO20" s="237"/>
      <c r="HP20" s="237"/>
      <c r="HQ20" s="237"/>
      <c r="HR20" s="237"/>
      <c r="HS20" s="237"/>
      <c r="HT20" s="237"/>
      <c r="HU20" s="237"/>
      <c r="HV20" s="237"/>
      <c r="HW20" s="237"/>
      <c r="HX20" s="237"/>
      <c r="HY20" s="237"/>
      <c r="HZ20" s="237"/>
      <c r="IA20" s="237"/>
      <c r="IB20" s="237"/>
      <c r="IC20" s="237"/>
      <c r="ID20" s="237"/>
      <c r="IE20" s="237"/>
      <c r="IF20" s="237"/>
      <c r="IG20" s="237"/>
      <c r="IH20" s="237"/>
      <c r="II20" s="237"/>
      <c r="IJ20" s="237"/>
      <c r="IK20" s="237"/>
      <c r="IL20" s="237"/>
      <c r="IM20" s="237"/>
      <c r="IN20" s="237"/>
      <c r="IO20" s="237"/>
      <c r="IP20" s="237"/>
      <c r="IQ20" s="237"/>
      <c r="IR20" s="237"/>
      <c r="IS20" s="237"/>
      <c r="IT20" s="237"/>
      <c r="IU20" s="237"/>
      <c r="IV20" s="237"/>
      <c r="IW20" s="237"/>
    </row>
    <row r="21" customFormat="false" ht="11.25" hidden="false" customHeight="false" outlineLevel="0" collapsed="false">
      <c r="A21" s="237"/>
      <c r="B21" s="246" t="s">
        <v>192</v>
      </c>
      <c r="C21" s="251" t="n">
        <f aca="false">C18+C20</f>
        <v>0.0683661601707364</v>
      </c>
      <c r="D21" s="251" t="n">
        <f aca="false">D18+D20</f>
        <v>0.0747341055761371</v>
      </c>
      <c r="E21" s="251" t="n">
        <f aca="false">E18+E20</f>
        <v>0.0770639234273657</v>
      </c>
      <c r="F21" s="251" t="n">
        <f aca="false">F18+F20</f>
        <v>0.0807375293197494</v>
      </c>
      <c r="G21" s="251" t="n">
        <f aca="false">G18+G20</f>
        <v>0.0810405307533816</v>
      </c>
      <c r="H21" s="251" t="n">
        <f aca="false">H18+H20</f>
        <v>0.0812652499174573</v>
      </c>
      <c r="I21" s="251" t="n">
        <f aca="false">I18+I20</f>
        <v>0.0838603690046642</v>
      </c>
      <c r="J21" s="251" t="n">
        <f aca="false">J18+J20</f>
        <v>0.0839439583903673</v>
      </c>
      <c r="K21" s="251" t="n">
        <f aca="false">K18+K20</f>
        <v>0.0840277004530715</v>
      </c>
      <c r="L21" s="251" t="n">
        <f aca="false">L18+L20</f>
        <v>0.0866113661807566</v>
      </c>
      <c r="M21" s="251" t="n">
        <f aca="false">M18+M20</f>
        <v>0.0866973003990201</v>
      </c>
      <c r="N21" s="251" t="n">
        <f aca="false">N18+N20</f>
        <v>0.0868282318244423</v>
      </c>
      <c r="O21" s="251" t="n">
        <f aca="false">O18+O20</f>
        <v>0.0894634193753739</v>
      </c>
      <c r="P21" s="251" t="n">
        <f aca="false">P18+P20</f>
        <v>0.0895984836984888</v>
      </c>
      <c r="Q21" s="251" t="n">
        <f aca="false">Q18+Q20</f>
        <v>0.0897334247937723</v>
      </c>
      <c r="R21" s="251" t="n">
        <f aca="false">R18+R20</f>
        <v>0.0923576562850886</v>
      </c>
      <c r="S21" s="251" t="n">
        <f aca="false">S18+S20</f>
        <v>0.0647878457578243</v>
      </c>
      <c r="T21" s="251" t="n">
        <f aca="false">T18+T20</f>
        <v>0.0647014434479597</v>
      </c>
      <c r="U21" s="251" t="n">
        <f aca="false">U18+U20</f>
        <v>0.0646151199747913</v>
      </c>
      <c r="V21" s="251" t="n">
        <f aca="false">V18+V20</f>
        <v>0.0645287965040933</v>
      </c>
      <c r="W21" s="251" t="n">
        <f aca="false">W18+W20</f>
        <v>0.0644347957871349</v>
      </c>
      <c r="X21" s="250"/>
      <c r="Y21" s="250"/>
      <c r="Z21" s="250"/>
      <c r="AA21" s="250"/>
      <c r="AB21" s="250"/>
      <c r="AC21" s="23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7"/>
      <c r="BP21" s="237"/>
      <c r="BQ21" s="237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7"/>
      <c r="EL21" s="237"/>
      <c r="EM21" s="237"/>
      <c r="EN21" s="237"/>
      <c r="EO21" s="237"/>
      <c r="EP21" s="237"/>
      <c r="EQ21" s="237"/>
      <c r="ER21" s="237"/>
      <c r="ES21" s="237"/>
      <c r="ET21" s="237"/>
      <c r="EU21" s="237"/>
      <c r="EV21" s="237"/>
      <c r="EW21" s="237"/>
      <c r="EX21" s="237"/>
      <c r="EY21" s="237"/>
      <c r="EZ21" s="237"/>
      <c r="FA21" s="237"/>
      <c r="FB21" s="237"/>
      <c r="FC21" s="237"/>
      <c r="FD21" s="237"/>
      <c r="FE21" s="237"/>
      <c r="FF21" s="237"/>
      <c r="FG21" s="237"/>
      <c r="FH21" s="237"/>
      <c r="FI21" s="237"/>
      <c r="FJ21" s="237"/>
      <c r="FK21" s="237"/>
      <c r="FL21" s="237"/>
      <c r="FM21" s="237"/>
      <c r="FN21" s="237"/>
      <c r="FO21" s="237"/>
      <c r="FP21" s="237"/>
      <c r="FQ21" s="237"/>
      <c r="FR21" s="237"/>
      <c r="FS21" s="237"/>
      <c r="FT21" s="237"/>
      <c r="FU21" s="237"/>
      <c r="FV21" s="237"/>
      <c r="FW21" s="237"/>
      <c r="FX21" s="237"/>
      <c r="FY21" s="237"/>
      <c r="FZ21" s="237"/>
      <c r="GA21" s="237"/>
      <c r="GB21" s="237"/>
      <c r="GC21" s="237"/>
      <c r="GD21" s="237"/>
      <c r="GE21" s="237"/>
      <c r="GF21" s="237"/>
      <c r="GG21" s="237"/>
      <c r="GH21" s="237"/>
      <c r="GI21" s="237"/>
      <c r="GJ21" s="237"/>
      <c r="GK21" s="237"/>
      <c r="GL21" s="237"/>
      <c r="GM21" s="237"/>
      <c r="GN21" s="237"/>
      <c r="GO21" s="237"/>
      <c r="GP21" s="237"/>
      <c r="GQ21" s="237"/>
      <c r="GR21" s="237"/>
      <c r="GS21" s="237"/>
      <c r="GT21" s="237"/>
      <c r="GU21" s="237"/>
      <c r="GV21" s="237"/>
      <c r="GW21" s="237"/>
      <c r="GX21" s="237"/>
      <c r="GY21" s="237"/>
      <c r="GZ21" s="237"/>
      <c r="HA21" s="237"/>
      <c r="HB21" s="237"/>
      <c r="HC21" s="237"/>
      <c r="HD21" s="237"/>
      <c r="HE21" s="237"/>
      <c r="HF21" s="237"/>
      <c r="HG21" s="237"/>
      <c r="HH21" s="237"/>
      <c r="HI21" s="237"/>
      <c r="HJ21" s="237"/>
      <c r="HK21" s="237"/>
      <c r="HL21" s="237"/>
      <c r="HM21" s="237"/>
      <c r="HN21" s="237"/>
      <c r="HO21" s="237"/>
      <c r="HP21" s="237"/>
      <c r="HQ21" s="237"/>
      <c r="HR21" s="237"/>
      <c r="HS21" s="237"/>
      <c r="HT21" s="237"/>
      <c r="HU21" s="237"/>
      <c r="HV21" s="237"/>
      <c r="HW21" s="237"/>
      <c r="HX21" s="237"/>
      <c r="HY21" s="237"/>
      <c r="HZ21" s="237"/>
      <c r="IA21" s="237"/>
      <c r="IB21" s="237"/>
      <c r="IC21" s="237"/>
      <c r="ID21" s="237"/>
      <c r="IE21" s="237"/>
      <c r="IF21" s="237"/>
      <c r="IG21" s="237"/>
      <c r="IH21" s="237"/>
      <c r="II21" s="237"/>
      <c r="IJ21" s="237"/>
      <c r="IK21" s="237"/>
      <c r="IL21" s="237"/>
      <c r="IM21" s="237"/>
      <c r="IN21" s="237"/>
      <c r="IO21" s="237"/>
      <c r="IP21" s="237"/>
      <c r="IQ21" s="237"/>
      <c r="IR21" s="237"/>
      <c r="IS21" s="237"/>
      <c r="IT21" s="237"/>
      <c r="IU21" s="237"/>
      <c r="IV21" s="237"/>
      <c r="IW21" s="237"/>
    </row>
    <row r="22" customFormat="false" ht="11.25" hidden="false" customHeight="false" outlineLevel="0" collapsed="false">
      <c r="A22" s="237"/>
      <c r="B22" s="246" t="s">
        <v>193</v>
      </c>
      <c r="C22" s="251" t="n">
        <f aca="false">C19+C20</f>
        <v>0.0717260685883425</v>
      </c>
      <c r="D22" s="251" t="n">
        <f aca="false">D19+D20</f>
        <v>0.0762272523674611</v>
      </c>
      <c r="E22" s="251" t="n">
        <f aca="false">E19+E20</f>
        <v>0.0776949028199917</v>
      </c>
      <c r="F22" s="251" t="n">
        <f aca="false">F19+F20</f>
        <v>0.0809245887318758</v>
      </c>
      <c r="G22" s="251" t="n">
        <f aca="false">G19+G20</f>
        <v>0.0811564727793529</v>
      </c>
      <c r="H22" s="251" t="n">
        <f aca="false">H19+H20</f>
        <v>0.0813186124813506</v>
      </c>
      <c r="I22" s="251" t="n">
        <f aca="false">I19+I20</f>
        <v>0.0839022018658963</v>
      </c>
      <c r="J22" s="251" t="n">
        <f aca="false">J19+J20</f>
        <v>0.0839857912527591</v>
      </c>
      <c r="K22" s="251" t="n">
        <f aca="false">K19+K20</f>
        <v>0.0840696096539674</v>
      </c>
      <c r="L22" s="251" t="n">
        <f aca="false">L19+L20</f>
        <v>0.0866531990454705</v>
      </c>
      <c r="M22" s="251" t="n">
        <f aca="false">M19+M20</f>
        <v>0.086760822902042</v>
      </c>
      <c r="N22" s="251" t="n">
        <f aca="false">N19+N20</f>
        <v>0.0868957639822193</v>
      </c>
      <c r="O22" s="251" t="n">
        <f aca="false">O19+O20</f>
        <v>0.0895310747700483</v>
      </c>
      <c r="P22" s="251" t="n">
        <f aca="false">P19+P20</f>
        <v>0.0896660158623165</v>
      </c>
      <c r="Q22" s="251" t="n">
        <f aca="false">Q19+Q20</f>
        <v>0.0898009569606212</v>
      </c>
      <c r="R22" s="251" t="n">
        <f aca="false">R19+R20</f>
        <v>0.0923311257479116</v>
      </c>
      <c r="S22" s="251" t="n">
        <f aca="false">S19+S20</f>
        <v>0.0647445657683591</v>
      </c>
      <c r="T22" s="251" t="n">
        <f aca="false">T19+T20</f>
        <v>0.0646582422939566</v>
      </c>
      <c r="U22" s="251" t="n">
        <f aca="false">U19+U20</f>
        <v>0.0645719188220244</v>
      </c>
      <c r="V22" s="251" t="n">
        <f aca="false">V19+V20</f>
        <v>0.0644855953525627</v>
      </c>
      <c r="W22" s="251" t="n">
        <f aca="false">W19+W20</f>
        <v>0.0643254711884753</v>
      </c>
      <c r="X22" s="250"/>
      <c r="Y22" s="250"/>
      <c r="Z22" s="250"/>
      <c r="AA22" s="250"/>
      <c r="AB22" s="250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237"/>
      <c r="BG22" s="237"/>
      <c r="BH22" s="237"/>
      <c r="BI22" s="237"/>
      <c r="BJ22" s="237"/>
      <c r="BK22" s="237"/>
      <c r="BL22" s="237"/>
      <c r="BM22" s="237"/>
      <c r="BN22" s="237"/>
      <c r="BO22" s="237"/>
      <c r="BP22" s="237"/>
      <c r="BQ22" s="237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7"/>
      <c r="EL22" s="237"/>
      <c r="EM22" s="237"/>
      <c r="EN22" s="237"/>
      <c r="EO22" s="237"/>
      <c r="EP22" s="237"/>
      <c r="EQ22" s="237"/>
      <c r="ER22" s="237"/>
      <c r="ES22" s="237"/>
      <c r="ET22" s="237"/>
      <c r="EU22" s="237"/>
      <c r="EV22" s="237"/>
      <c r="EW22" s="237"/>
      <c r="EX22" s="237"/>
      <c r="EY22" s="237"/>
      <c r="EZ22" s="237"/>
      <c r="FA22" s="237"/>
      <c r="FB22" s="237"/>
      <c r="FC22" s="237"/>
      <c r="FD22" s="237"/>
      <c r="FE22" s="237"/>
      <c r="FF22" s="237"/>
      <c r="FG22" s="237"/>
      <c r="FH22" s="237"/>
      <c r="FI22" s="237"/>
      <c r="FJ22" s="237"/>
      <c r="FK22" s="237"/>
      <c r="FL22" s="237"/>
      <c r="FM22" s="237"/>
      <c r="FN22" s="237"/>
      <c r="FO22" s="237"/>
      <c r="FP22" s="237"/>
      <c r="FQ22" s="237"/>
      <c r="FR22" s="237"/>
      <c r="FS22" s="237"/>
      <c r="FT22" s="237"/>
      <c r="FU22" s="237"/>
      <c r="FV22" s="237"/>
      <c r="FW22" s="237"/>
      <c r="FX22" s="237"/>
      <c r="FY22" s="237"/>
      <c r="FZ22" s="237"/>
      <c r="GA22" s="237"/>
      <c r="GB22" s="237"/>
      <c r="GC22" s="237"/>
      <c r="GD22" s="237"/>
      <c r="GE22" s="237"/>
      <c r="GF22" s="237"/>
      <c r="GG22" s="237"/>
      <c r="GH22" s="237"/>
      <c r="GI22" s="237"/>
      <c r="GJ22" s="237"/>
      <c r="GK22" s="237"/>
      <c r="GL22" s="237"/>
      <c r="GM22" s="237"/>
      <c r="GN22" s="237"/>
      <c r="GO22" s="237"/>
      <c r="GP22" s="237"/>
      <c r="GQ22" s="237"/>
      <c r="GR22" s="237"/>
      <c r="GS22" s="237"/>
      <c r="GT22" s="237"/>
      <c r="GU22" s="237"/>
      <c r="GV22" s="237"/>
      <c r="GW22" s="237"/>
      <c r="GX22" s="237"/>
      <c r="GY22" s="237"/>
      <c r="GZ22" s="237"/>
      <c r="HA22" s="237"/>
      <c r="HB22" s="237"/>
      <c r="HC22" s="237"/>
      <c r="HD22" s="237"/>
      <c r="HE22" s="237"/>
      <c r="HF22" s="237"/>
      <c r="HG22" s="237"/>
      <c r="HH22" s="237"/>
      <c r="HI22" s="237"/>
      <c r="HJ22" s="237"/>
      <c r="HK22" s="237"/>
      <c r="HL22" s="237"/>
      <c r="HM22" s="237"/>
      <c r="HN22" s="237"/>
      <c r="HO22" s="237"/>
      <c r="HP22" s="237"/>
      <c r="HQ22" s="237"/>
      <c r="HR22" s="237"/>
      <c r="HS22" s="237"/>
      <c r="HT22" s="237"/>
      <c r="HU22" s="237"/>
      <c r="HV22" s="237"/>
      <c r="HW22" s="237"/>
      <c r="HX22" s="237"/>
      <c r="HY22" s="237"/>
      <c r="HZ22" s="237"/>
      <c r="IA22" s="237"/>
      <c r="IB22" s="237"/>
      <c r="IC22" s="237"/>
      <c r="ID22" s="237"/>
      <c r="IE22" s="237"/>
      <c r="IF22" s="237"/>
      <c r="IG22" s="237"/>
      <c r="IH22" s="237"/>
      <c r="II22" s="237"/>
      <c r="IJ22" s="237"/>
      <c r="IK22" s="237"/>
      <c r="IL22" s="237"/>
      <c r="IM22" s="237"/>
      <c r="IN22" s="237"/>
      <c r="IO22" s="237"/>
      <c r="IP22" s="237"/>
      <c r="IQ22" s="237"/>
      <c r="IR22" s="237"/>
      <c r="IS22" s="237"/>
      <c r="IT22" s="237"/>
      <c r="IU22" s="237"/>
      <c r="IV22" s="237"/>
      <c r="IW22" s="237"/>
    </row>
    <row r="23" customFormat="false" ht="11.25" hidden="false" customHeight="false" outlineLevel="0" collapsed="false">
      <c r="A23" s="218"/>
      <c r="B23" s="252" t="s">
        <v>194</v>
      </c>
      <c r="C23" s="253" t="n">
        <v>0</v>
      </c>
      <c r="D23" s="254" t="n">
        <f aca="false">J3</f>
        <v>58632.2041341866</v>
      </c>
      <c r="E23" s="253" t="e">
        <f aca="false">D32</f>
        <v>#VALUE!</v>
      </c>
      <c r="F23" s="255" t="e">
        <f aca="false">E32</f>
        <v>#VALUE!</v>
      </c>
      <c r="G23" s="253" t="e">
        <f aca="false">F32</f>
        <v>#VALUE!</v>
      </c>
      <c r="H23" s="253" t="e">
        <f aca="false">G32</f>
        <v>#VALUE!</v>
      </c>
      <c r="I23" s="253" t="e">
        <f aca="false">H32</f>
        <v>#VALUE!</v>
      </c>
      <c r="J23" s="253" t="e">
        <f aca="false">I32</f>
        <v>#VALUE!</v>
      </c>
      <c r="K23" s="253" t="e">
        <f aca="false">J32</f>
        <v>#VALUE!</v>
      </c>
      <c r="L23" s="253" t="e">
        <f aca="false">K32</f>
        <v>#VALUE!</v>
      </c>
      <c r="M23" s="253" t="e">
        <f aca="false">L32</f>
        <v>#VALUE!</v>
      </c>
      <c r="N23" s="253" t="e">
        <f aca="false">M32</f>
        <v>#VALUE!</v>
      </c>
      <c r="O23" s="253" t="e">
        <f aca="false">N32</f>
        <v>#VALUE!</v>
      </c>
      <c r="P23" s="253" t="e">
        <f aca="false">O32</f>
        <v>#VALUE!</v>
      </c>
      <c r="Q23" s="253" t="e">
        <f aca="false">P32</f>
        <v>#VALUE!</v>
      </c>
      <c r="R23" s="253" t="e">
        <f aca="false">Q32</f>
        <v>#VALUE!</v>
      </c>
      <c r="S23" s="253" t="e">
        <f aca="false">R32</f>
        <v>#VALUE!</v>
      </c>
      <c r="T23" s="253" t="e">
        <f aca="false">S32</f>
        <v>#VALUE!</v>
      </c>
      <c r="U23" s="253" t="e">
        <f aca="false">T32</f>
        <v>#VALUE!</v>
      </c>
      <c r="V23" s="253" t="e">
        <f aca="false">U32</f>
        <v>#VALUE!</v>
      </c>
      <c r="W23" s="253" t="e">
        <f aca="false">V32</f>
        <v>#VALUE!</v>
      </c>
      <c r="X23" s="253" t="e">
        <f aca="false">W32</f>
        <v>#VALUE!</v>
      </c>
      <c r="Y23" s="253" t="e">
        <f aca="false">X32</f>
        <v>#VALUE!</v>
      </c>
      <c r="Z23" s="253" t="e">
        <f aca="false">Y32</f>
        <v>#VALUE!</v>
      </c>
      <c r="AA23" s="253" t="e">
        <f aca="false">Z32</f>
        <v>#VALUE!</v>
      </c>
      <c r="AB23" s="253" t="e">
        <f aca="false">AA32</f>
        <v>#VALUE!</v>
      </c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O23" s="218"/>
      <c r="AP23" s="218"/>
      <c r="AQ23" s="218"/>
      <c r="AR23" s="218"/>
      <c r="AS23" s="218"/>
      <c r="AT23" s="218"/>
      <c r="AU23" s="218"/>
      <c r="AV23" s="218"/>
      <c r="AW23" s="218"/>
      <c r="AX23" s="218"/>
      <c r="AY23" s="218"/>
      <c r="AZ23" s="218"/>
      <c r="BA23" s="218"/>
      <c r="BB23" s="218"/>
      <c r="BC23" s="218"/>
      <c r="BD23" s="218"/>
      <c r="BE23" s="218"/>
      <c r="BF23" s="218"/>
      <c r="BG23" s="218"/>
      <c r="BH23" s="218"/>
      <c r="BI23" s="218"/>
      <c r="BJ23" s="218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8"/>
      <c r="CA23" s="218"/>
      <c r="CB23" s="218"/>
      <c r="CC23" s="218"/>
      <c r="CD23" s="218"/>
      <c r="CE23" s="218"/>
      <c r="CF23" s="218"/>
      <c r="CG23" s="218"/>
      <c r="CH23" s="218"/>
      <c r="CI23" s="218"/>
      <c r="CJ23" s="218"/>
      <c r="CK23" s="218"/>
      <c r="CL23" s="218"/>
      <c r="CM23" s="218"/>
      <c r="CN23" s="218"/>
      <c r="CO23" s="218"/>
      <c r="CP23" s="218"/>
      <c r="CQ23" s="218"/>
      <c r="CR23" s="218"/>
      <c r="CS23" s="218"/>
      <c r="CT23" s="218"/>
      <c r="CU23" s="218"/>
      <c r="CV23" s="218"/>
      <c r="CW23" s="218"/>
      <c r="CX23" s="218"/>
      <c r="CY23" s="218"/>
      <c r="CZ23" s="218"/>
      <c r="DA23" s="218"/>
      <c r="DB23" s="218"/>
      <c r="DC23" s="218"/>
      <c r="DD23" s="218"/>
      <c r="DE23" s="218"/>
      <c r="DF23" s="218"/>
      <c r="DG23" s="218"/>
      <c r="DH23" s="218"/>
      <c r="DI23" s="218"/>
      <c r="DJ23" s="218"/>
      <c r="DK23" s="218"/>
      <c r="DL23" s="218"/>
      <c r="DM23" s="218"/>
      <c r="DN23" s="218"/>
      <c r="DO23" s="218"/>
      <c r="DP23" s="218"/>
      <c r="DQ23" s="218"/>
      <c r="DR23" s="218"/>
      <c r="DS23" s="218"/>
      <c r="DT23" s="218"/>
      <c r="DU23" s="218"/>
      <c r="DV23" s="218"/>
      <c r="DW23" s="218"/>
      <c r="DX23" s="218"/>
      <c r="DY23" s="218"/>
      <c r="DZ23" s="218"/>
      <c r="EA23" s="218"/>
      <c r="EB23" s="218"/>
      <c r="EC23" s="218"/>
      <c r="ED23" s="218"/>
      <c r="EE23" s="218"/>
      <c r="EF23" s="218"/>
      <c r="EG23" s="218"/>
      <c r="EH23" s="218"/>
      <c r="EI23" s="218"/>
      <c r="EJ23" s="218"/>
      <c r="EK23" s="218"/>
      <c r="EL23" s="218"/>
      <c r="EM23" s="218"/>
      <c r="EN23" s="218"/>
      <c r="EO23" s="218"/>
      <c r="EP23" s="218"/>
      <c r="EQ23" s="218"/>
      <c r="ER23" s="218"/>
      <c r="ES23" s="218"/>
      <c r="ET23" s="218"/>
      <c r="EU23" s="218"/>
      <c r="EV23" s="218"/>
      <c r="EW23" s="218"/>
      <c r="EX23" s="218"/>
      <c r="EY23" s="218"/>
      <c r="EZ23" s="218"/>
      <c r="FA23" s="218"/>
      <c r="FB23" s="218"/>
      <c r="FC23" s="218"/>
      <c r="FD23" s="218"/>
      <c r="FE23" s="218"/>
      <c r="FF23" s="218"/>
      <c r="FG23" s="218"/>
      <c r="FH23" s="218"/>
      <c r="FI23" s="218"/>
      <c r="FJ23" s="218"/>
      <c r="FK23" s="218"/>
      <c r="FL23" s="218"/>
      <c r="FM23" s="218"/>
      <c r="FN23" s="218"/>
      <c r="FO23" s="218"/>
      <c r="FP23" s="218"/>
      <c r="FQ23" s="218"/>
      <c r="FR23" s="218"/>
      <c r="FS23" s="218"/>
      <c r="FT23" s="218"/>
      <c r="FU23" s="218"/>
      <c r="FV23" s="218"/>
      <c r="FW23" s="218"/>
      <c r="FX23" s="218"/>
      <c r="FY23" s="218"/>
      <c r="FZ23" s="218"/>
      <c r="GA23" s="218"/>
      <c r="GB23" s="218"/>
      <c r="GC23" s="218"/>
      <c r="GD23" s="218"/>
      <c r="GE23" s="218"/>
      <c r="GF23" s="218"/>
      <c r="GG23" s="218"/>
      <c r="GH23" s="218"/>
      <c r="GI23" s="218"/>
      <c r="GJ23" s="218"/>
      <c r="GK23" s="218"/>
      <c r="GL23" s="218"/>
      <c r="GM23" s="218"/>
      <c r="GN23" s="218"/>
      <c r="GO23" s="218"/>
      <c r="GP23" s="218"/>
      <c r="GQ23" s="218"/>
      <c r="GR23" s="218"/>
      <c r="GS23" s="218"/>
      <c r="GT23" s="218"/>
      <c r="GU23" s="218"/>
      <c r="GV23" s="218"/>
      <c r="GW23" s="218"/>
      <c r="GX23" s="218"/>
      <c r="GY23" s="218"/>
      <c r="GZ23" s="218"/>
      <c r="HA23" s="218"/>
      <c r="HB23" s="218"/>
      <c r="HC23" s="218"/>
      <c r="HD23" s="218"/>
      <c r="HE23" s="218"/>
      <c r="HF23" s="218"/>
      <c r="HG23" s="218"/>
      <c r="HH23" s="218"/>
      <c r="HI23" s="218"/>
      <c r="HJ23" s="218"/>
      <c r="HK23" s="218"/>
      <c r="HL23" s="218"/>
      <c r="HM23" s="218"/>
      <c r="HN23" s="218"/>
      <c r="HO23" s="218"/>
      <c r="HP23" s="218"/>
      <c r="HQ23" s="218"/>
      <c r="HR23" s="218"/>
      <c r="HS23" s="218"/>
      <c r="HT23" s="218"/>
      <c r="HU23" s="218"/>
      <c r="HV23" s="218"/>
      <c r="HW23" s="218"/>
      <c r="HX23" s="218"/>
      <c r="HY23" s="218"/>
      <c r="HZ23" s="218"/>
      <c r="IA23" s="218"/>
      <c r="IB23" s="218"/>
      <c r="IC23" s="218"/>
      <c r="ID23" s="218"/>
      <c r="IE23" s="218"/>
      <c r="IF23" s="218"/>
      <c r="IG23" s="218"/>
      <c r="IH23" s="218"/>
      <c r="II23" s="218"/>
      <c r="IJ23" s="218"/>
      <c r="IK23" s="218"/>
      <c r="IL23" s="218"/>
      <c r="IM23" s="218"/>
      <c r="IN23" s="218"/>
      <c r="IO23" s="218"/>
      <c r="IP23" s="218"/>
      <c r="IQ23" s="218"/>
      <c r="IR23" s="218"/>
      <c r="IS23" s="218"/>
      <c r="IT23" s="218"/>
      <c r="IU23" s="218"/>
      <c r="IV23" s="218"/>
      <c r="IW23" s="218"/>
    </row>
    <row r="24" customFormat="false" ht="11.25" hidden="false" customHeight="false" outlineLevel="0" collapsed="false">
      <c r="A24" s="218"/>
      <c r="B24" s="256" t="s">
        <v>195</v>
      </c>
      <c r="C24" s="257" t="n">
        <f aca="false">C25+C26</f>
        <v>0</v>
      </c>
      <c r="D24" s="257" t="n">
        <f aca="false">D25+D26</f>
        <v>4445.99744135475</v>
      </c>
      <c r="E24" s="257" t="e">
        <f aca="false">E25+E26</f>
        <v>#VALUE!</v>
      </c>
      <c r="F24" s="257" t="e">
        <f aca="false">F25+F26</f>
        <v>#VALUE!</v>
      </c>
      <c r="G24" s="257" t="e">
        <f aca="false">G25+G26</f>
        <v>#VALUE!</v>
      </c>
      <c r="H24" s="257" t="e">
        <f aca="false">H25+H26</f>
        <v>#VALUE!</v>
      </c>
      <c r="I24" s="257" t="e">
        <f aca="false">I25+I26</f>
        <v>#VALUE!</v>
      </c>
      <c r="J24" s="257" t="e">
        <f aca="false">J25+J26</f>
        <v>#VALUE!</v>
      </c>
      <c r="K24" s="257" t="e">
        <f aca="false">K25+K26</f>
        <v>#VALUE!</v>
      </c>
      <c r="L24" s="257" t="e">
        <f aca="false">L25+L26</f>
        <v>#VALUE!</v>
      </c>
      <c r="M24" s="257" t="e">
        <f aca="false">M25+M26</f>
        <v>#VALUE!</v>
      </c>
      <c r="N24" s="257" t="e">
        <f aca="false">N25+N26</f>
        <v>#VALUE!</v>
      </c>
      <c r="O24" s="257" t="e">
        <f aca="false">O25+O26</f>
        <v>#VALUE!</v>
      </c>
      <c r="P24" s="257" t="e">
        <f aca="false">P25+P26</f>
        <v>#VALUE!</v>
      </c>
      <c r="Q24" s="257" t="e">
        <f aca="false">Q25+Q26</f>
        <v>#VALUE!</v>
      </c>
      <c r="R24" s="257" t="e">
        <f aca="false">R25+R26</f>
        <v>#VALUE!</v>
      </c>
      <c r="S24" s="257" t="e">
        <f aca="false">S25+S26</f>
        <v>#VALUE!</v>
      </c>
      <c r="T24" s="257" t="e">
        <f aca="false">T25+T26</f>
        <v>#VALUE!</v>
      </c>
      <c r="U24" s="257" t="e">
        <f aca="false">U25+U26</f>
        <v>#VALUE!</v>
      </c>
      <c r="V24" s="257" t="e">
        <f aca="false">V25+V26</f>
        <v>#VALUE!</v>
      </c>
      <c r="W24" s="257" t="e">
        <f aca="false">W25+W26</f>
        <v>#VALUE!</v>
      </c>
      <c r="X24" s="257" t="e">
        <f aca="false">X25+X26</f>
        <v>#VALUE!</v>
      </c>
      <c r="Y24" s="257" t="n">
        <f aca="false">PMT($G$3/2,$G$4*2,-$J$3)*Y17</f>
        <v>0</v>
      </c>
      <c r="Z24" s="257" t="n">
        <f aca="false">PMT($G$3/2,$G$4*2,-$J$3)*Z17</f>
        <v>0</v>
      </c>
      <c r="AA24" s="257" t="n">
        <f aca="false">PMT($G$3/2,$G$4*2,-$J$3)*AA17</f>
        <v>0</v>
      </c>
      <c r="AB24" s="257" t="n">
        <f aca="false">PMT($G$3/2,$G$4*2,-$J$3)*AB17</f>
        <v>0</v>
      </c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8"/>
      <c r="CA24" s="218"/>
      <c r="CB24" s="218"/>
      <c r="CC24" s="218"/>
      <c r="CD24" s="218"/>
      <c r="CE24" s="218"/>
      <c r="CF24" s="218"/>
      <c r="CG24" s="218"/>
      <c r="CH24" s="218"/>
      <c r="CI24" s="218"/>
      <c r="CJ24" s="218"/>
      <c r="CK24" s="218"/>
      <c r="CL24" s="218"/>
      <c r="CM24" s="218"/>
      <c r="CN24" s="218"/>
      <c r="CO24" s="218"/>
      <c r="CP24" s="218"/>
      <c r="CQ24" s="218"/>
      <c r="CR24" s="218"/>
      <c r="CS24" s="218"/>
      <c r="CT24" s="218"/>
      <c r="CU24" s="218"/>
      <c r="CV24" s="218"/>
      <c r="CW24" s="218"/>
      <c r="CX24" s="218"/>
      <c r="CY24" s="218"/>
      <c r="CZ24" s="218"/>
      <c r="DA24" s="218"/>
      <c r="DB24" s="218"/>
      <c r="DC24" s="218"/>
      <c r="DD24" s="218"/>
      <c r="DE24" s="218"/>
      <c r="DF24" s="218"/>
      <c r="DG24" s="218"/>
      <c r="DH24" s="218"/>
      <c r="DI24" s="218"/>
      <c r="DJ24" s="218"/>
      <c r="DK24" s="218"/>
      <c r="DL24" s="218"/>
      <c r="DM24" s="218"/>
      <c r="DN24" s="218"/>
      <c r="DO24" s="218"/>
      <c r="DP24" s="218"/>
      <c r="DQ24" s="218"/>
      <c r="DR24" s="218"/>
      <c r="DS24" s="218"/>
      <c r="DT24" s="218"/>
      <c r="DU24" s="218"/>
      <c r="DV24" s="218"/>
      <c r="DW24" s="218"/>
      <c r="DX24" s="218"/>
      <c r="DY24" s="218"/>
      <c r="DZ24" s="218"/>
      <c r="EA24" s="218"/>
      <c r="EB24" s="218"/>
      <c r="EC24" s="218"/>
      <c r="ED24" s="218"/>
      <c r="EE24" s="218"/>
      <c r="EF24" s="218"/>
      <c r="EG24" s="218"/>
      <c r="EH24" s="218"/>
      <c r="EI24" s="218"/>
      <c r="EJ24" s="218"/>
      <c r="EK24" s="218"/>
      <c r="EL24" s="218"/>
      <c r="EM24" s="218"/>
      <c r="EN24" s="218"/>
      <c r="EO24" s="218"/>
      <c r="EP24" s="218"/>
      <c r="EQ24" s="218"/>
      <c r="ER24" s="218"/>
      <c r="ES24" s="218"/>
      <c r="ET24" s="218"/>
      <c r="EU24" s="218"/>
      <c r="EV24" s="218"/>
      <c r="EW24" s="218"/>
      <c r="EX24" s="218"/>
      <c r="EY24" s="218"/>
      <c r="EZ24" s="218"/>
      <c r="FA24" s="218"/>
      <c r="FB24" s="218"/>
      <c r="FC24" s="218"/>
      <c r="FD24" s="218"/>
      <c r="FE24" s="218"/>
      <c r="FF24" s="218"/>
      <c r="FG24" s="218"/>
      <c r="FH24" s="218"/>
      <c r="FI24" s="218"/>
      <c r="FJ24" s="218"/>
      <c r="FK24" s="218"/>
      <c r="FL24" s="218"/>
      <c r="FM24" s="218"/>
      <c r="FN24" s="218"/>
      <c r="FO24" s="218"/>
      <c r="FP24" s="218"/>
      <c r="FQ24" s="218"/>
      <c r="FR24" s="218"/>
      <c r="FS24" s="218"/>
      <c r="FT24" s="218"/>
      <c r="FU24" s="218"/>
      <c r="FV24" s="218"/>
      <c r="FW24" s="218"/>
      <c r="FX24" s="218"/>
      <c r="FY24" s="218"/>
      <c r="FZ24" s="218"/>
      <c r="GA24" s="218"/>
      <c r="GB24" s="218"/>
      <c r="GC24" s="218"/>
      <c r="GD24" s="218"/>
      <c r="GE24" s="218"/>
      <c r="GF24" s="218"/>
      <c r="GG24" s="218"/>
      <c r="GH24" s="218"/>
      <c r="GI24" s="218"/>
      <c r="GJ24" s="218"/>
      <c r="GK24" s="218"/>
      <c r="GL24" s="218"/>
      <c r="GM24" s="218"/>
      <c r="GN24" s="218"/>
      <c r="GO24" s="218"/>
      <c r="GP24" s="218"/>
      <c r="GQ24" s="218"/>
      <c r="GR24" s="218"/>
      <c r="GS24" s="218"/>
      <c r="GT24" s="218"/>
      <c r="GU24" s="218"/>
      <c r="GV24" s="218"/>
      <c r="GW24" s="218"/>
      <c r="GX24" s="218"/>
      <c r="GY24" s="218"/>
      <c r="GZ24" s="218"/>
      <c r="HA24" s="218"/>
      <c r="HB24" s="218"/>
      <c r="HC24" s="218"/>
      <c r="HD24" s="218"/>
      <c r="HE24" s="218"/>
      <c r="HF24" s="218"/>
      <c r="HG24" s="218"/>
      <c r="HH24" s="218"/>
      <c r="HI24" s="218"/>
      <c r="HJ24" s="218"/>
      <c r="HK24" s="218"/>
      <c r="HL24" s="218"/>
      <c r="HM24" s="218"/>
      <c r="HN24" s="218"/>
      <c r="HO24" s="218"/>
      <c r="HP24" s="218"/>
      <c r="HQ24" s="218"/>
      <c r="HR24" s="218"/>
      <c r="HS24" s="218"/>
      <c r="HT24" s="218"/>
      <c r="HU24" s="218"/>
      <c r="HV24" s="218"/>
      <c r="HW24" s="218"/>
      <c r="HX24" s="218"/>
      <c r="HY24" s="218"/>
      <c r="HZ24" s="218"/>
      <c r="IA24" s="218"/>
      <c r="IB24" s="218"/>
      <c r="IC24" s="218"/>
      <c r="ID24" s="218"/>
      <c r="IE24" s="218"/>
      <c r="IF24" s="218"/>
      <c r="IG24" s="218"/>
      <c r="IH24" s="218"/>
      <c r="II24" s="218"/>
      <c r="IJ24" s="218"/>
      <c r="IK24" s="218"/>
      <c r="IL24" s="218"/>
      <c r="IM24" s="218"/>
      <c r="IN24" s="218"/>
      <c r="IO24" s="218"/>
      <c r="IP24" s="218"/>
      <c r="IQ24" s="218"/>
      <c r="IR24" s="218"/>
      <c r="IS24" s="218"/>
      <c r="IT24" s="218"/>
      <c r="IU24" s="218"/>
      <c r="IV24" s="218"/>
      <c r="IW24" s="218"/>
    </row>
    <row r="25" customFormat="false" ht="11.25" hidden="false" customHeight="false" outlineLevel="0" collapsed="false">
      <c r="A25" s="218"/>
      <c r="B25" s="256" t="s">
        <v>196</v>
      </c>
      <c r="C25" s="257" t="n">
        <v>0</v>
      </c>
      <c r="D25" s="257" t="n">
        <f aca="false">D23*D21/2</f>
        <v>2190.91266696296</v>
      </c>
      <c r="E25" s="257" t="e">
        <f aca="false">E23*E21/2</f>
        <v>#VALUE!</v>
      </c>
      <c r="F25" s="257" t="e">
        <f aca="false">F23*F21/2</f>
        <v>#VALUE!</v>
      </c>
      <c r="G25" s="257" t="e">
        <f aca="false">G23*G21/2</f>
        <v>#VALUE!</v>
      </c>
      <c r="H25" s="257" t="e">
        <f aca="false">H23*H21/2</f>
        <v>#VALUE!</v>
      </c>
      <c r="I25" s="257" t="e">
        <f aca="false">I23*I21/2</f>
        <v>#VALUE!</v>
      </c>
      <c r="J25" s="257" t="e">
        <f aca="false">J23*J21/2</f>
        <v>#VALUE!</v>
      </c>
      <c r="K25" s="257" t="e">
        <f aca="false">K23*K21/2</f>
        <v>#VALUE!</v>
      </c>
      <c r="L25" s="257" t="e">
        <f aca="false">L23*L21/2</f>
        <v>#VALUE!</v>
      </c>
      <c r="M25" s="257" t="e">
        <f aca="false">M23*M21/2</f>
        <v>#VALUE!</v>
      </c>
      <c r="N25" s="257" t="e">
        <f aca="false">N23*N21/2</f>
        <v>#VALUE!</v>
      </c>
      <c r="O25" s="257" t="e">
        <f aca="false">O23*O21/2</f>
        <v>#VALUE!</v>
      </c>
      <c r="P25" s="257" t="e">
        <f aca="false">P23*P21/2</f>
        <v>#VALUE!</v>
      </c>
      <c r="Q25" s="257" t="e">
        <f aca="false">Q23*Q21/2</f>
        <v>#VALUE!</v>
      </c>
      <c r="R25" s="257" t="e">
        <f aca="false">R23*R21/2</f>
        <v>#VALUE!</v>
      </c>
      <c r="S25" s="257" t="e">
        <f aca="false">S23*S21/2</f>
        <v>#VALUE!</v>
      </c>
      <c r="T25" s="257" t="e">
        <f aca="false">T23*T21/2</f>
        <v>#VALUE!</v>
      </c>
      <c r="U25" s="257" t="e">
        <f aca="false">U23*U21/2</f>
        <v>#VALUE!</v>
      </c>
      <c r="V25" s="257" t="e">
        <f aca="false">V23*V21/2</f>
        <v>#VALUE!</v>
      </c>
      <c r="W25" s="257" t="e">
        <f aca="false">W23*W21/2</f>
        <v>#VALUE!</v>
      </c>
      <c r="X25" s="257" t="e">
        <f aca="false">X23*X21/2</f>
        <v>#VALUE!</v>
      </c>
      <c r="Y25" s="257" t="e">
        <f aca="false">Y23*Y21/2</f>
        <v>#VALUE!</v>
      </c>
      <c r="Z25" s="257" t="e">
        <f aca="false">Z23*Z21/2</f>
        <v>#VALUE!</v>
      </c>
      <c r="AA25" s="257" t="e">
        <f aca="false">AA23*AA21/2</f>
        <v>#VALUE!</v>
      </c>
      <c r="AB25" s="257" t="e">
        <f aca="false">AB23*AB21/2</f>
        <v>#VALUE!</v>
      </c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218"/>
      <c r="AX25" s="218"/>
      <c r="AY25" s="218"/>
      <c r="AZ25" s="218"/>
      <c r="BA25" s="218"/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  <c r="CB25" s="218"/>
      <c r="CC25" s="218"/>
      <c r="CD25" s="218"/>
      <c r="CE25" s="218"/>
      <c r="CF25" s="218"/>
      <c r="CG25" s="218"/>
      <c r="CH25" s="218"/>
      <c r="CI25" s="218"/>
      <c r="CJ25" s="218"/>
      <c r="CK25" s="218"/>
      <c r="CL25" s="218"/>
      <c r="CM25" s="218"/>
      <c r="CN25" s="218"/>
      <c r="CO25" s="218"/>
      <c r="CP25" s="218"/>
      <c r="CQ25" s="218"/>
      <c r="CR25" s="218"/>
      <c r="CS25" s="218"/>
      <c r="CT25" s="218"/>
      <c r="CU25" s="218"/>
      <c r="CV25" s="218"/>
      <c r="CW25" s="218"/>
      <c r="CX25" s="218"/>
      <c r="CY25" s="218"/>
      <c r="CZ25" s="218"/>
      <c r="DA25" s="218"/>
      <c r="DB25" s="218"/>
      <c r="DC25" s="218"/>
      <c r="DD25" s="218"/>
      <c r="DE25" s="218"/>
      <c r="DF25" s="218"/>
      <c r="DG25" s="218"/>
      <c r="DH25" s="218"/>
      <c r="DI25" s="218"/>
      <c r="DJ25" s="218"/>
      <c r="DK25" s="218"/>
      <c r="DL25" s="218"/>
      <c r="DM25" s="218"/>
      <c r="DN25" s="218"/>
      <c r="DO25" s="218"/>
      <c r="DP25" s="218"/>
      <c r="DQ25" s="218"/>
      <c r="DR25" s="218"/>
      <c r="DS25" s="218"/>
      <c r="DT25" s="218"/>
      <c r="DU25" s="218"/>
      <c r="DV25" s="218"/>
      <c r="DW25" s="218"/>
      <c r="DX25" s="218"/>
      <c r="DY25" s="218"/>
      <c r="DZ25" s="218"/>
      <c r="EA25" s="218"/>
      <c r="EB25" s="218"/>
      <c r="EC25" s="218"/>
      <c r="ED25" s="218"/>
      <c r="EE25" s="218"/>
      <c r="EF25" s="218"/>
      <c r="EG25" s="218"/>
      <c r="EH25" s="218"/>
      <c r="EI25" s="218"/>
      <c r="EJ25" s="218"/>
      <c r="EK25" s="218"/>
      <c r="EL25" s="218"/>
      <c r="EM25" s="218"/>
      <c r="EN25" s="218"/>
      <c r="EO25" s="218"/>
      <c r="EP25" s="218"/>
      <c r="EQ25" s="218"/>
      <c r="ER25" s="218"/>
      <c r="ES25" s="218"/>
      <c r="ET25" s="218"/>
      <c r="EU25" s="218"/>
      <c r="EV25" s="218"/>
      <c r="EW25" s="218"/>
      <c r="EX25" s="218"/>
      <c r="EY25" s="218"/>
      <c r="EZ25" s="218"/>
      <c r="FA25" s="218"/>
      <c r="FB25" s="218"/>
      <c r="FC25" s="218"/>
      <c r="FD25" s="218"/>
      <c r="FE25" s="218"/>
      <c r="FF25" s="218"/>
      <c r="FG25" s="218"/>
      <c r="FH25" s="218"/>
      <c r="FI25" s="218"/>
      <c r="FJ25" s="218"/>
      <c r="FK25" s="218"/>
      <c r="FL25" s="218"/>
      <c r="FM25" s="218"/>
      <c r="FN25" s="218"/>
      <c r="FO25" s="218"/>
      <c r="FP25" s="218"/>
      <c r="FQ25" s="218"/>
      <c r="FR25" s="218"/>
      <c r="FS25" s="218"/>
      <c r="FT25" s="218"/>
      <c r="FU25" s="218"/>
      <c r="FV25" s="218"/>
      <c r="FW25" s="218"/>
      <c r="FX25" s="218"/>
      <c r="FY25" s="218"/>
      <c r="FZ25" s="218"/>
      <c r="GA25" s="218"/>
      <c r="GB25" s="218"/>
      <c r="GC25" s="218"/>
      <c r="GD25" s="218"/>
      <c r="GE25" s="218"/>
      <c r="GF25" s="218"/>
      <c r="GG25" s="218"/>
      <c r="GH25" s="218"/>
      <c r="GI25" s="218"/>
      <c r="GJ25" s="218"/>
      <c r="GK25" s="218"/>
      <c r="GL25" s="218"/>
      <c r="GM25" s="218"/>
      <c r="GN25" s="218"/>
      <c r="GO25" s="218"/>
      <c r="GP25" s="218"/>
      <c r="GQ25" s="218"/>
      <c r="GR25" s="218"/>
      <c r="GS25" s="218"/>
      <c r="GT25" s="218"/>
      <c r="GU25" s="218"/>
      <c r="GV25" s="218"/>
      <c r="GW25" s="218"/>
      <c r="GX25" s="218"/>
      <c r="GY25" s="218"/>
      <c r="GZ25" s="218"/>
      <c r="HA25" s="218"/>
      <c r="HB25" s="218"/>
      <c r="HC25" s="218"/>
      <c r="HD25" s="218"/>
      <c r="HE25" s="218"/>
      <c r="HF25" s="218"/>
      <c r="HG25" s="218"/>
      <c r="HH25" s="218"/>
      <c r="HI25" s="218"/>
      <c r="HJ25" s="218"/>
      <c r="HK25" s="218"/>
      <c r="HL25" s="218"/>
      <c r="HM25" s="218"/>
      <c r="HN25" s="218"/>
      <c r="HO25" s="218"/>
      <c r="HP25" s="218"/>
      <c r="HQ25" s="218"/>
      <c r="HR25" s="218"/>
      <c r="HS25" s="218"/>
      <c r="HT25" s="218"/>
      <c r="HU25" s="218"/>
      <c r="HV25" s="218"/>
      <c r="HW25" s="218"/>
      <c r="HX25" s="218"/>
      <c r="HY25" s="218"/>
      <c r="HZ25" s="218"/>
      <c r="IA25" s="218"/>
      <c r="IB25" s="218"/>
      <c r="IC25" s="218"/>
      <c r="ID25" s="218"/>
      <c r="IE25" s="218"/>
      <c r="IF25" s="218"/>
      <c r="IG25" s="218"/>
      <c r="IH25" s="218"/>
      <c r="II25" s="218"/>
      <c r="IJ25" s="218"/>
      <c r="IK25" s="218"/>
      <c r="IL25" s="218"/>
      <c r="IM25" s="218"/>
      <c r="IN25" s="218"/>
      <c r="IO25" s="218"/>
      <c r="IP25" s="218"/>
      <c r="IQ25" s="218"/>
      <c r="IR25" s="218"/>
      <c r="IS25" s="218"/>
      <c r="IT25" s="218"/>
      <c r="IU25" s="218"/>
      <c r="IV25" s="218"/>
      <c r="IW25" s="218"/>
    </row>
    <row r="26" customFormat="false" ht="11.25" hidden="false" customHeight="false" outlineLevel="0" collapsed="false">
      <c r="A26" s="218"/>
      <c r="B26" s="256" t="s">
        <v>197</v>
      </c>
      <c r="C26" s="257" t="n">
        <v>0</v>
      </c>
      <c r="D26" s="257" t="n">
        <f aca="false">IF(D23&gt;0,MIN($J$3/($G$4*$G$5),D23),0)</f>
        <v>2255.08477439179</v>
      </c>
      <c r="E26" s="257" t="e">
        <f aca="false">IF(D32&gt;0,MIN($J$3/($G$4*$G$5),D32),0)</f>
        <v>#VALUE!</v>
      </c>
      <c r="F26" s="257" t="e">
        <f aca="false">IF(E32&gt;0,MIN($J$3/($G$4*$G$5),E32),0)</f>
        <v>#VALUE!</v>
      </c>
      <c r="G26" s="257" t="e">
        <f aca="false">IF(F32&gt;0,MIN($J$3/($G$4*$G$5),F32),0)</f>
        <v>#VALUE!</v>
      </c>
      <c r="H26" s="257" t="e">
        <f aca="false">IF(H$23&gt;0,MIN(IF(SUM($D$31:$G$31)&gt;0,(($J$3-SUM($D$36:$G$36))/((($G$4-$G$16)*$G$5))),G30),H$23),0)</f>
        <v>#VALUE!</v>
      </c>
      <c r="I26" s="257" t="e">
        <f aca="false">IF(I$23&gt;0,MIN(IF(SUM($D$31:$G$31)&gt;0,(($J$3-SUM($D$36:$G$36))/((($G$4-$G$16)*$G$5))),H30),I$23),0)</f>
        <v>#VALUE!</v>
      </c>
      <c r="J26" s="257" t="e">
        <f aca="false">IF(J$23&gt;0,MIN(IF(SUM($D$31:$G$31)&gt;0,(($J$3-SUM($D$36:$G$36))/((($G$4-$G$16)*$G$5))),I30),J$23),0)</f>
        <v>#VALUE!</v>
      </c>
      <c r="K26" s="257" t="e">
        <f aca="false">IF(K$23&gt;0,MIN(IF(SUM($D$31:$G$31)&gt;0,(($J$3-SUM($D$36:$G$36))/((($G$4-$G$16)*$G$5))),J30),K$23),0)</f>
        <v>#VALUE!</v>
      </c>
      <c r="L26" s="257" t="e">
        <f aca="false">IF(L$23&gt;0,MIN(IF(SUM($D$31:$G$31)&gt;0,(($J$3-SUM($D$36:$G$36))/((($G$4-$G$16)*$G$5))),K30),L$23),0)</f>
        <v>#VALUE!</v>
      </c>
      <c r="M26" s="257" t="e">
        <f aca="false">IF(M$23&gt;0,MIN(IF(SUM($D$31:$G$31)&gt;0,(($J$3-SUM($D$36:$G$36))/((($G$4-$G$16)*$G$5))),L30),M$23),0)</f>
        <v>#VALUE!</v>
      </c>
      <c r="N26" s="257" t="e">
        <f aca="false">IF(N$23&gt;0,MIN(IF(SUM($D$31:$G$31)&gt;0,(($J$3-SUM($D$36:$G$36))/((($G$4-$G$16)*$G$5))),M30),N$23),0)</f>
        <v>#VALUE!</v>
      </c>
      <c r="O26" s="257" t="e">
        <f aca="false">IF(O$23&gt;0,MIN(IF(SUM($D$31:$G$31)&gt;0,(($J$3-SUM($D$36:$G$36))/((($G$4-$G$16)*$G$5))),N30),O$23),0)</f>
        <v>#VALUE!</v>
      </c>
      <c r="P26" s="257" t="e">
        <f aca="false">IF(P$23&gt;0,MIN(IF(SUM($D$31:$G$31)&gt;0,(($J$3-SUM($D$36:$G$36))/((($G$4-$G$16)*$G$5))),O30),P$23),0)</f>
        <v>#VALUE!</v>
      </c>
      <c r="Q26" s="257" t="e">
        <f aca="false">IF(Q$23&gt;0,MIN(IF(SUM($D$31:$G$31)&gt;0,(($J$3-SUM($D$36:$G$36))/((($G$4-$G$16)*$G$5))),P30),Q$23),0)</f>
        <v>#VALUE!</v>
      </c>
      <c r="R26" s="257" t="e">
        <f aca="false">IF(R$23&gt;0,MIN(IF(SUM($D$31:$G$31)&gt;0,(($J$3-SUM($D$36:$G$36))/((($G$4-$G$16)*$G$5))),Q30),R$23),0)</f>
        <v>#VALUE!</v>
      </c>
      <c r="S26" s="257" t="e">
        <f aca="false">IF(S$23&gt;0,MIN(IF(SUM($D$31:$G$31)&gt;0,(($J$3-SUM($D$36:$G$36))/((($G$4-$G$16)*$G$5))),R30),S$23),0)</f>
        <v>#VALUE!</v>
      </c>
      <c r="T26" s="257" t="e">
        <f aca="false">IF(T$23&gt;0,MIN(IF(SUM($D$31:$G$31)&gt;0,(($J$3-SUM($D$36:$G$36))/((($G$4-$G$16)*$G$5))),S30),T$23),0)</f>
        <v>#VALUE!</v>
      </c>
      <c r="U26" s="257" t="e">
        <f aca="false">IF(U$23&gt;0,MIN(IF(SUM($D$31:$G$31)&gt;0,(($J$3-SUM($D$36:$G$36))/((($G$4-$G$16)*$G$5))),T30),U$23),0)</f>
        <v>#VALUE!</v>
      </c>
      <c r="V26" s="257" t="e">
        <f aca="false">IF(V$23&gt;0,MIN(IF(SUM($D$31:$G$31)&gt;0,(($J$3-SUM($D$36:$G$36))/((($G$4-$G$16)*$G$5))),U30),V$23),0)</f>
        <v>#VALUE!</v>
      </c>
      <c r="W26" s="257" t="e">
        <f aca="false">IF(W$23&gt;0,MIN(IF(SUM($D$31:$G$31)&gt;0,(($J$3-SUM($D$36:$G$36))/((($G$4-$G$16)*$G$5))),V30),W$23),0)</f>
        <v>#VALUE!</v>
      </c>
      <c r="X26" s="257" t="e">
        <f aca="false">IF(X$23&gt;0,MIN(IF(SUM($D$31:$G$31)&gt;0,(($J$3-SUM($D$36:$G$36))/((($G$4-$G$16)*$G$5))),W30),X$23),0)</f>
        <v>#VALUE!</v>
      </c>
      <c r="Y26" s="257" t="e">
        <f aca="false">IF(Y$23&gt;0,MIN(IF(SUM($D$31:$G$31)&gt;0,(($J$3-SUM($D$36:$G$36))/((($G$4-$G$16)*$G$5))),X30),Y$23),0)</f>
        <v>#VALUE!</v>
      </c>
      <c r="Z26" s="257" t="e">
        <f aca="false">IF(Z$23&gt;0,MIN(IF(SUM($D$31:$G$31)&gt;0,(($J$3-SUM($D$36:$G$36))/((($G$4-$G$16)*$G$5))),Y30),Z$23),0)</f>
        <v>#VALUE!</v>
      </c>
      <c r="AA26" s="257" t="e">
        <f aca="false">IF(AA$23&gt;0,MIN(IF(SUM($D$31:$G$31)&gt;0,(($J$3-SUM($D$36:$G$36))/((($G$4-$G$16)*$G$5))),Z30),AA$23),0)</f>
        <v>#VALUE!</v>
      </c>
      <c r="AB26" s="257" t="e">
        <f aca="false">IF(AB$23&gt;0,MIN(IF(SUM($D$31:$G$31)&gt;0,(($J$3-SUM($D$36:$G$36))/((($G$4-$G$16)*$G$5))),AA30),AB$23),0)</f>
        <v>#VALUE!</v>
      </c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8"/>
      <c r="BC26" s="218"/>
      <c r="BD26" s="218"/>
      <c r="BE26" s="218"/>
      <c r="BF26" s="218"/>
      <c r="BG26" s="218"/>
      <c r="BH26" s="218"/>
      <c r="BI26" s="218"/>
      <c r="BJ26" s="218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8"/>
      <c r="CA26" s="218"/>
      <c r="CB26" s="218"/>
      <c r="CC26" s="218"/>
      <c r="CD26" s="218"/>
      <c r="CE26" s="218"/>
      <c r="CF26" s="218"/>
      <c r="CG26" s="218"/>
      <c r="CH26" s="218"/>
      <c r="CI26" s="218"/>
      <c r="CJ26" s="218"/>
      <c r="CK26" s="218"/>
      <c r="CL26" s="218"/>
      <c r="CM26" s="218"/>
      <c r="CN26" s="218"/>
      <c r="CO26" s="218"/>
      <c r="CP26" s="218"/>
      <c r="CQ26" s="218"/>
      <c r="CR26" s="218"/>
      <c r="CS26" s="218"/>
      <c r="CT26" s="218"/>
      <c r="CU26" s="218"/>
      <c r="CV26" s="218"/>
      <c r="CW26" s="218"/>
      <c r="CX26" s="218"/>
      <c r="CY26" s="218"/>
      <c r="CZ26" s="218"/>
      <c r="DA26" s="218"/>
      <c r="DB26" s="218"/>
      <c r="DC26" s="218"/>
      <c r="DD26" s="218"/>
      <c r="DE26" s="218"/>
      <c r="DF26" s="218"/>
      <c r="DG26" s="218"/>
      <c r="DH26" s="218"/>
      <c r="DI26" s="218"/>
      <c r="DJ26" s="218"/>
      <c r="DK26" s="218"/>
      <c r="DL26" s="218"/>
      <c r="DM26" s="218"/>
      <c r="DN26" s="218"/>
      <c r="DO26" s="218"/>
      <c r="DP26" s="218"/>
      <c r="DQ26" s="218"/>
      <c r="DR26" s="218"/>
      <c r="DS26" s="218"/>
      <c r="DT26" s="218"/>
      <c r="DU26" s="218"/>
      <c r="DV26" s="218"/>
      <c r="DW26" s="218"/>
      <c r="DX26" s="218"/>
      <c r="DY26" s="218"/>
      <c r="DZ26" s="218"/>
      <c r="EA26" s="218"/>
      <c r="EB26" s="218"/>
      <c r="EC26" s="218"/>
      <c r="ED26" s="218"/>
      <c r="EE26" s="218"/>
      <c r="EF26" s="218"/>
      <c r="EG26" s="218"/>
      <c r="EH26" s="218"/>
      <c r="EI26" s="218"/>
      <c r="EJ26" s="218"/>
      <c r="EK26" s="218"/>
      <c r="EL26" s="218"/>
      <c r="EM26" s="218"/>
      <c r="EN26" s="218"/>
      <c r="EO26" s="218"/>
      <c r="EP26" s="218"/>
      <c r="EQ26" s="218"/>
      <c r="ER26" s="218"/>
      <c r="ES26" s="218"/>
      <c r="ET26" s="218"/>
      <c r="EU26" s="218"/>
      <c r="EV26" s="218"/>
      <c r="EW26" s="218"/>
      <c r="EX26" s="218"/>
      <c r="EY26" s="218"/>
      <c r="EZ26" s="218"/>
      <c r="FA26" s="218"/>
      <c r="FB26" s="218"/>
      <c r="FC26" s="218"/>
      <c r="FD26" s="218"/>
      <c r="FE26" s="218"/>
      <c r="FF26" s="218"/>
      <c r="FG26" s="218"/>
      <c r="FH26" s="218"/>
      <c r="FI26" s="218"/>
      <c r="FJ26" s="218"/>
      <c r="FK26" s="218"/>
      <c r="FL26" s="218"/>
      <c r="FM26" s="218"/>
      <c r="FN26" s="218"/>
      <c r="FO26" s="218"/>
      <c r="FP26" s="218"/>
      <c r="FQ26" s="218"/>
      <c r="FR26" s="218"/>
      <c r="FS26" s="218"/>
      <c r="FT26" s="218"/>
      <c r="FU26" s="218"/>
      <c r="FV26" s="218"/>
      <c r="FW26" s="218"/>
      <c r="FX26" s="218"/>
      <c r="FY26" s="218"/>
      <c r="FZ26" s="218"/>
      <c r="GA26" s="218"/>
      <c r="GB26" s="218"/>
      <c r="GC26" s="218"/>
      <c r="GD26" s="218"/>
      <c r="GE26" s="218"/>
      <c r="GF26" s="218"/>
      <c r="GG26" s="218"/>
      <c r="GH26" s="218"/>
      <c r="GI26" s="218"/>
      <c r="GJ26" s="218"/>
      <c r="GK26" s="218"/>
      <c r="GL26" s="218"/>
      <c r="GM26" s="218"/>
      <c r="GN26" s="218"/>
      <c r="GO26" s="218"/>
      <c r="GP26" s="218"/>
      <c r="GQ26" s="218"/>
      <c r="GR26" s="218"/>
      <c r="GS26" s="218"/>
      <c r="GT26" s="218"/>
      <c r="GU26" s="218"/>
      <c r="GV26" s="218"/>
      <c r="GW26" s="218"/>
      <c r="GX26" s="218"/>
      <c r="GY26" s="218"/>
      <c r="GZ26" s="218"/>
      <c r="HA26" s="218"/>
      <c r="HB26" s="218"/>
      <c r="HC26" s="218"/>
      <c r="HD26" s="218"/>
      <c r="HE26" s="218"/>
      <c r="HF26" s="218"/>
      <c r="HG26" s="218"/>
      <c r="HH26" s="218"/>
      <c r="HI26" s="218"/>
      <c r="HJ26" s="218"/>
      <c r="HK26" s="218"/>
      <c r="HL26" s="218"/>
      <c r="HM26" s="218"/>
      <c r="HN26" s="218"/>
      <c r="HO26" s="218"/>
      <c r="HP26" s="218"/>
      <c r="HQ26" s="218"/>
      <c r="HR26" s="218"/>
      <c r="HS26" s="218"/>
      <c r="HT26" s="218"/>
      <c r="HU26" s="218"/>
      <c r="HV26" s="218"/>
      <c r="HW26" s="218"/>
      <c r="HX26" s="218"/>
      <c r="HY26" s="218"/>
      <c r="HZ26" s="218"/>
      <c r="IA26" s="218"/>
      <c r="IB26" s="218"/>
      <c r="IC26" s="218"/>
      <c r="ID26" s="218"/>
      <c r="IE26" s="218"/>
      <c r="IF26" s="218"/>
      <c r="IG26" s="218"/>
      <c r="IH26" s="218"/>
      <c r="II26" s="218"/>
      <c r="IJ26" s="218"/>
      <c r="IK26" s="218"/>
      <c r="IL26" s="218"/>
      <c r="IM26" s="218"/>
      <c r="IN26" s="218"/>
      <c r="IO26" s="218"/>
      <c r="IP26" s="218"/>
      <c r="IQ26" s="218"/>
      <c r="IR26" s="218"/>
      <c r="IS26" s="218"/>
      <c r="IT26" s="218"/>
      <c r="IU26" s="218"/>
      <c r="IV26" s="218"/>
      <c r="IW26" s="218"/>
    </row>
    <row r="27" customFormat="false" ht="11.25" hidden="false" customHeight="false" outlineLevel="0" collapsed="false">
      <c r="A27" s="218"/>
      <c r="B27" s="258" t="s">
        <v>198</v>
      </c>
      <c r="C27" s="259" t="n">
        <f aca="false">C23-C26</f>
        <v>0</v>
      </c>
      <c r="D27" s="259" t="n">
        <f aca="false">D23-D26</f>
        <v>56377.1193597948</v>
      </c>
      <c r="E27" s="259" t="e">
        <f aca="false">E23-E26</f>
        <v>#VALUE!</v>
      </c>
      <c r="F27" s="259" t="e">
        <f aca="false">F23-F26</f>
        <v>#VALUE!</v>
      </c>
      <c r="G27" s="259" t="e">
        <f aca="false">G23-G26</f>
        <v>#VALUE!</v>
      </c>
      <c r="H27" s="259" t="e">
        <f aca="false">H23-H26</f>
        <v>#VALUE!</v>
      </c>
      <c r="I27" s="259" t="e">
        <f aca="false">I23-I26</f>
        <v>#VALUE!</v>
      </c>
      <c r="J27" s="259" t="e">
        <f aca="false">J23-J26</f>
        <v>#VALUE!</v>
      </c>
      <c r="K27" s="259" t="e">
        <f aca="false">K23-K26</f>
        <v>#VALUE!</v>
      </c>
      <c r="L27" s="259" t="e">
        <f aca="false">L23-L26</f>
        <v>#VALUE!</v>
      </c>
      <c r="M27" s="259" t="e">
        <f aca="false">M23-M26</f>
        <v>#VALUE!</v>
      </c>
      <c r="N27" s="259" t="e">
        <f aca="false">N23-N26</f>
        <v>#VALUE!</v>
      </c>
      <c r="O27" s="259" t="e">
        <f aca="false">O23-O26</f>
        <v>#VALUE!</v>
      </c>
      <c r="P27" s="259" t="e">
        <f aca="false">P23-P26</f>
        <v>#VALUE!</v>
      </c>
      <c r="Q27" s="259" t="e">
        <f aca="false">Q23-Q26</f>
        <v>#VALUE!</v>
      </c>
      <c r="R27" s="259" t="e">
        <f aca="false">R23-R26</f>
        <v>#VALUE!</v>
      </c>
      <c r="S27" s="259" t="e">
        <f aca="false">S23-S26</f>
        <v>#VALUE!</v>
      </c>
      <c r="T27" s="259" t="e">
        <f aca="false">T23-T26</f>
        <v>#VALUE!</v>
      </c>
      <c r="U27" s="259" t="e">
        <f aca="false">U23-U26</f>
        <v>#VALUE!</v>
      </c>
      <c r="V27" s="259" t="e">
        <f aca="false">V23-V26</f>
        <v>#VALUE!</v>
      </c>
      <c r="W27" s="259" t="e">
        <f aca="false">W23-W26</f>
        <v>#VALUE!</v>
      </c>
      <c r="X27" s="259" t="e">
        <f aca="false">X23-X26</f>
        <v>#VALUE!</v>
      </c>
      <c r="Y27" s="259" t="e">
        <f aca="false">Y23-Y26</f>
        <v>#VALUE!</v>
      </c>
      <c r="Z27" s="259" t="e">
        <f aca="false">Z23-Z26</f>
        <v>#VALUE!</v>
      </c>
      <c r="AA27" s="259" t="e">
        <f aca="false">AA23-AA26</f>
        <v>#VALUE!</v>
      </c>
      <c r="AB27" s="259" t="e">
        <f aca="false">AB23-AB26</f>
        <v>#VALUE!</v>
      </c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U27" s="218"/>
      <c r="AV27" s="218"/>
      <c r="AW27" s="218"/>
      <c r="AX27" s="218"/>
      <c r="AY27" s="218"/>
      <c r="AZ27" s="218"/>
      <c r="BA27" s="218"/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  <c r="CB27" s="218"/>
      <c r="CC27" s="218"/>
      <c r="CD27" s="218"/>
      <c r="CE27" s="218"/>
      <c r="CF27" s="218"/>
      <c r="CG27" s="218"/>
      <c r="CH27" s="218"/>
      <c r="CI27" s="218"/>
      <c r="CJ27" s="218"/>
      <c r="CK27" s="218"/>
      <c r="CL27" s="218"/>
      <c r="CM27" s="218"/>
      <c r="CN27" s="218"/>
      <c r="CO27" s="218"/>
      <c r="CP27" s="218"/>
      <c r="CQ27" s="218"/>
      <c r="CR27" s="218"/>
      <c r="CS27" s="218"/>
      <c r="CT27" s="218"/>
      <c r="CU27" s="218"/>
      <c r="CV27" s="218"/>
      <c r="CW27" s="218"/>
      <c r="CX27" s="218"/>
      <c r="CY27" s="218"/>
      <c r="CZ27" s="218"/>
      <c r="DA27" s="218"/>
      <c r="DB27" s="218"/>
      <c r="DC27" s="218"/>
      <c r="DD27" s="218"/>
      <c r="DE27" s="218"/>
      <c r="DF27" s="218"/>
      <c r="DG27" s="218"/>
      <c r="DH27" s="218"/>
      <c r="DI27" s="218"/>
      <c r="DJ27" s="218"/>
      <c r="DK27" s="218"/>
      <c r="DL27" s="218"/>
      <c r="DM27" s="218"/>
      <c r="DN27" s="218"/>
      <c r="DO27" s="218"/>
      <c r="DP27" s="218"/>
      <c r="DQ27" s="218"/>
      <c r="DR27" s="218"/>
      <c r="DS27" s="218"/>
      <c r="DT27" s="218"/>
      <c r="DU27" s="218"/>
      <c r="DV27" s="218"/>
      <c r="DW27" s="218"/>
      <c r="DX27" s="218"/>
      <c r="DY27" s="218"/>
      <c r="DZ27" s="218"/>
      <c r="EA27" s="218"/>
      <c r="EB27" s="218"/>
      <c r="EC27" s="218"/>
      <c r="ED27" s="218"/>
      <c r="EE27" s="218"/>
      <c r="EF27" s="218"/>
      <c r="EG27" s="218"/>
      <c r="EH27" s="218"/>
      <c r="EI27" s="218"/>
      <c r="EJ27" s="218"/>
      <c r="EK27" s="218"/>
      <c r="EL27" s="218"/>
      <c r="EM27" s="218"/>
      <c r="EN27" s="218"/>
      <c r="EO27" s="218"/>
      <c r="EP27" s="218"/>
      <c r="EQ27" s="218"/>
      <c r="ER27" s="218"/>
      <c r="ES27" s="218"/>
      <c r="ET27" s="218"/>
      <c r="EU27" s="218"/>
      <c r="EV27" s="218"/>
      <c r="EW27" s="218"/>
      <c r="EX27" s="218"/>
      <c r="EY27" s="218"/>
      <c r="EZ27" s="218"/>
      <c r="FA27" s="218"/>
      <c r="FB27" s="218"/>
      <c r="FC27" s="218"/>
      <c r="FD27" s="218"/>
      <c r="FE27" s="218"/>
      <c r="FF27" s="218"/>
      <c r="FG27" s="218"/>
      <c r="FH27" s="218"/>
      <c r="FI27" s="218"/>
      <c r="FJ27" s="218"/>
      <c r="FK27" s="218"/>
      <c r="FL27" s="218"/>
      <c r="FM27" s="218"/>
      <c r="FN27" s="218"/>
      <c r="FO27" s="218"/>
      <c r="FP27" s="218"/>
      <c r="FQ27" s="218"/>
      <c r="FR27" s="218"/>
      <c r="FS27" s="218"/>
      <c r="FT27" s="218"/>
      <c r="FU27" s="218"/>
      <c r="FV27" s="218"/>
      <c r="FW27" s="218"/>
      <c r="FX27" s="218"/>
      <c r="FY27" s="218"/>
      <c r="FZ27" s="218"/>
      <c r="GA27" s="218"/>
      <c r="GB27" s="218"/>
      <c r="GC27" s="218"/>
      <c r="GD27" s="218"/>
      <c r="GE27" s="218"/>
      <c r="GF27" s="218"/>
      <c r="GG27" s="218"/>
      <c r="GH27" s="218"/>
      <c r="GI27" s="218"/>
      <c r="GJ27" s="218"/>
      <c r="GK27" s="218"/>
      <c r="GL27" s="218"/>
      <c r="GM27" s="218"/>
      <c r="GN27" s="218"/>
      <c r="GO27" s="218"/>
      <c r="GP27" s="218"/>
      <c r="GQ27" s="218"/>
      <c r="GR27" s="218"/>
      <c r="GS27" s="218"/>
      <c r="GT27" s="218"/>
      <c r="GU27" s="218"/>
      <c r="GV27" s="218"/>
      <c r="GW27" s="218"/>
      <c r="GX27" s="218"/>
      <c r="GY27" s="218"/>
      <c r="GZ27" s="218"/>
      <c r="HA27" s="218"/>
      <c r="HB27" s="218"/>
      <c r="HC27" s="218"/>
      <c r="HD27" s="218"/>
      <c r="HE27" s="218"/>
      <c r="HF27" s="218"/>
      <c r="HG27" s="218"/>
      <c r="HH27" s="218"/>
      <c r="HI27" s="218"/>
      <c r="HJ27" s="218"/>
      <c r="HK27" s="218"/>
      <c r="HL27" s="218"/>
      <c r="HM27" s="218"/>
      <c r="HN27" s="218"/>
      <c r="HO27" s="218"/>
      <c r="HP27" s="218"/>
      <c r="HQ27" s="218"/>
      <c r="HR27" s="218"/>
      <c r="HS27" s="218"/>
      <c r="HT27" s="218"/>
      <c r="HU27" s="218"/>
      <c r="HV27" s="218"/>
      <c r="HW27" s="218"/>
      <c r="HX27" s="218"/>
      <c r="HY27" s="218"/>
      <c r="HZ27" s="218"/>
      <c r="IA27" s="218"/>
      <c r="IB27" s="218"/>
      <c r="IC27" s="218"/>
      <c r="ID27" s="218"/>
      <c r="IE27" s="218"/>
      <c r="IF27" s="218"/>
      <c r="IG27" s="218"/>
      <c r="IH27" s="218"/>
      <c r="II27" s="218"/>
      <c r="IJ27" s="218"/>
      <c r="IK27" s="218"/>
      <c r="IL27" s="218"/>
      <c r="IM27" s="218"/>
      <c r="IN27" s="218"/>
      <c r="IO27" s="218"/>
      <c r="IP27" s="218"/>
      <c r="IQ27" s="218"/>
      <c r="IR27" s="218"/>
      <c r="IS27" s="218"/>
      <c r="IT27" s="218"/>
      <c r="IU27" s="218"/>
      <c r="IV27" s="218"/>
      <c r="IW27" s="218"/>
    </row>
    <row r="28" customFormat="false" ht="11.25" hidden="false" customHeight="false" outlineLevel="0" collapsed="false">
      <c r="A28" s="218"/>
      <c r="B28" s="252" t="s">
        <v>199</v>
      </c>
      <c r="C28" s="253" t="n">
        <f aca="false">C29+C30</f>
        <v>0</v>
      </c>
      <c r="D28" s="253" t="n">
        <f aca="false">D29+D30</f>
        <v>4403.82122698657</v>
      </c>
      <c r="E28" s="253" t="e">
        <f aca="false">E29+E30</f>
        <v>#VALUE!</v>
      </c>
      <c r="F28" s="253" t="e">
        <f aca="false">F29+F30</f>
        <v>#VALUE!</v>
      </c>
      <c r="G28" s="253" t="e">
        <f aca="false">G29+G30</f>
        <v>#VALUE!</v>
      </c>
      <c r="H28" s="253" t="e">
        <f aca="false">H29+H30</f>
        <v>#VALUE!</v>
      </c>
      <c r="I28" s="253" t="e">
        <f aca="false">I29+I30</f>
        <v>#VALUE!</v>
      </c>
      <c r="J28" s="253" t="e">
        <f aca="false">J29+J30</f>
        <v>#VALUE!</v>
      </c>
      <c r="K28" s="253" t="e">
        <f aca="false">K29+K30</f>
        <v>#VALUE!</v>
      </c>
      <c r="L28" s="253" t="e">
        <f aca="false">L29+L30</f>
        <v>#VALUE!</v>
      </c>
      <c r="M28" s="253" t="e">
        <f aca="false">M29+M30</f>
        <v>#VALUE!</v>
      </c>
      <c r="N28" s="253" t="e">
        <f aca="false">N29+N30</f>
        <v>#VALUE!</v>
      </c>
      <c r="O28" s="253" t="e">
        <f aca="false">O29+O30</f>
        <v>#VALUE!</v>
      </c>
      <c r="P28" s="253" t="e">
        <f aca="false">P29+P30</f>
        <v>#VALUE!</v>
      </c>
      <c r="Q28" s="253" t="e">
        <f aca="false">Q29+Q30</f>
        <v>#VALUE!</v>
      </c>
      <c r="R28" s="253" t="e">
        <f aca="false">R29+R30</f>
        <v>#VALUE!</v>
      </c>
      <c r="S28" s="253" t="e">
        <f aca="false">S29+S30</f>
        <v>#VALUE!</v>
      </c>
      <c r="T28" s="253" t="e">
        <f aca="false">T29+T30</f>
        <v>#VALUE!</v>
      </c>
      <c r="U28" s="253" t="e">
        <f aca="false">U29+U30</f>
        <v>#VALUE!</v>
      </c>
      <c r="V28" s="253" t="e">
        <f aca="false">V29+V30</f>
        <v>#VALUE!</v>
      </c>
      <c r="W28" s="253" t="e">
        <f aca="false">W29+W30</f>
        <v>#VALUE!</v>
      </c>
      <c r="X28" s="253" t="n">
        <f aca="false">PMT($G$3/2,$G$4*2,-$J$3)*X17</f>
        <v>0</v>
      </c>
      <c r="Y28" s="253" t="n">
        <f aca="false">PMT($G$3/2,$G$4*2,-$J$3)*Y17</f>
        <v>0</v>
      </c>
      <c r="Z28" s="253" t="n">
        <f aca="false">PMT($G$3/2,$G$4*2,-$J$3)*Z17</f>
        <v>0</v>
      </c>
      <c r="AA28" s="253" t="n">
        <f aca="false">PMT($G$3/2,$G$4*2,-$J$3)*AA17</f>
        <v>0</v>
      </c>
      <c r="AB28" s="253" t="n">
        <f aca="false">PMT($G$3/2,$G$4*2,-$J$3)*AB17</f>
        <v>0</v>
      </c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8"/>
      <c r="CA28" s="218"/>
      <c r="CB28" s="218"/>
      <c r="CC28" s="218"/>
      <c r="CD28" s="218"/>
      <c r="CE28" s="218"/>
      <c r="CF28" s="218"/>
      <c r="CG28" s="218"/>
      <c r="CH28" s="218"/>
      <c r="CI28" s="218"/>
      <c r="CJ28" s="218"/>
      <c r="CK28" s="218"/>
      <c r="CL28" s="218"/>
      <c r="CM28" s="218"/>
      <c r="CN28" s="218"/>
      <c r="CO28" s="218"/>
      <c r="CP28" s="218"/>
      <c r="CQ28" s="218"/>
      <c r="CR28" s="218"/>
      <c r="CS28" s="218"/>
      <c r="CT28" s="218"/>
      <c r="CU28" s="218"/>
      <c r="CV28" s="218"/>
      <c r="CW28" s="218"/>
      <c r="CX28" s="218"/>
      <c r="CY28" s="218"/>
      <c r="CZ28" s="218"/>
      <c r="DA28" s="218"/>
      <c r="DB28" s="218"/>
      <c r="DC28" s="218"/>
      <c r="DD28" s="218"/>
      <c r="DE28" s="218"/>
      <c r="DF28" s="218"/>
      <c r="DG28" s="218"/>
      <c r="DH28" s="218"/>
      <c r="DI28" s="218"/>
      <c r="DJ28" s="218"/>
      <c r="DK28" s="218"/>
      <c r="DL28" s="218"/>
      <c r="DM28" s="218"/>
      <c r="DN28" s="218"/>
      <c r="DO28" s="218"/>
      <c r="DP28" s="218"/>
      <c r="DQ28" s="218"/>
      <c r="DR28" s="218"/>
      <c r="DS28" s="218"/>
      <c r="DT28" s="218"/>
      <c r="DU28" s="218"/>
      <c r="DV28" s="218"/>
      <c r="DW28" s="218"/>
      <c r="DX28" s="218"/>
      <c r="DY28" s="218"/>
      <c r="DZ28" s="218"/>
      <c r="EA28" s="218"/>
      <c r="EB28" s="218"/>
      <c r="EC28" s="218"/>
      <c r="ED28" s="218"/>
      <c r="EE28" s="218"/>
      <c r="EF28" s="218"/>
      <c r="EG28" s="218"/>
      <c r="EH28" s="218"/>
      <c r="EI28" s="218"/>
      <c r="EJ28" s="218"/>
      <c r="EK28" s="218"/>
      <c r="EL28" s="218"/>
      <c r="EM28" s="218"/>
      <c r="EN28" s="218"/>
      <c r="EO28" s="218"/>
      <c r="EP28" s="218"/>
      <c r="EQ28" s="218"/>
      <c r="ER28" s="218"/>
      <c r="ES28" s="218"/>
      <c r="ET28" s="218"/>
      <c r="EU28" s="218"/>
      <c r="EV28" s="218"/>
      <c r="EW28" s="218"/>
      <c r="EX28" s="218"/>
      <c r="EY28" s="218"/>
      <c r="EZ28" s="218"/>
      <c r="FA28" s="218"/>
      <c r="FB28" s="218"/>
      <c r="FC28" s="218"/>
      <c r="FD28" s="218"/>
      <c r="FE28" s="218"/>
      <c r="FF28" s="218"/>
      <c r="FG28" s="218"/>
      <c r="FH28" s="218"/>
      <c r="FI28" s="218"/>
      <c r="FJ28" s="218"/>
      <c r="FK28" s="218"/>
      <c r="FL28" s="218"/>
      <c r="FM28" s="218"/>
      <c r="FN28" s="218"/>
      <c r="FO28" s="218"/>
      <c r="FP28" s="218"/>
      <c r="FQ28" s="218"/>
      <c r="FR28" s="218"/>
      <c r="FS28" s="218"/>
      <c r="FT28" s="218"/>
      <c r="FU28" s="218"/>
      <c r="FV28" s="218"/>
      <c r="FW28" s="218"/>
      <c r="FX28" s="218"/>
      <c r="FY28" s="218"/>
      <c r="FZ28" s="218"/>
      <c r="GA28" s="218"/>
      <c r="GB28" s="218"/>
      <c r="GC28" s="218"/>
      <c r="GD28" s="218"/>
      <c r="GE28" s="218"/>
      <c r="GF28" s="218"/>
      <c r="GG28" s="218"/>
      <c r="GH28" s="218"/>
      <c r="GI28" s="218"/>
      <c r="GJ28" s="218"/>
      <c r="GK28" s="218"/>
      <c r="GL28" s="218"/>
      <c r="GM28" s="218"/>
      <c r="GN28" s="218"/>
      <c r="GO28" s="218"/>
      <c r="GP28" s="218"/>
      <c r="GQ28" s="218"/>
      <c r="GR28" s="218"/>
      <c r="GS28" s="218"/>
      <c r="GT28" s="218"/>
      <c r="GU28" s="218"/>
      <c r="GV28" s="218"/>
      <c r="GW28" s="218"/>
      <c r="GX28" s="218"/>
      <c r="GY28" s="218"/>
      <c r="GZ28" s="218"/>
      <c r="HA28" s="218"/>
      <c r="HB28" s="218"/>
      <c r="HC28" s="218"/>
      <c r="HD28" s="218"/>
      <c r="HE28" s="218"/>
      <c r="HF28" s="218"/>
      <c r="HG28" s="218"/>
      <c r="HH28" s="218"/>
      <c r="HI28" s="218"/>
      <c r="HJ28" s="218"/>
      <c r="HK28" s="218"/>
      <c r="HL28" s="218"/>
      <c r="HM28" s="218"/>
      <c r="HN28" s="218"/>
      <c r="HO28" s="218"/>
      <c r="HP28" s="218"/>
      <c r="HQ28" s="218"/>
      <c r="HR28" s="218"/>
      <c r="HS28" s="218"/>
      <c r="HT28" s="218"/>
      <c r="HU28" s="218"/>
      <c r="HV28" s="218"/>
      <c r="HW28" s="218"/>
      <c r="HX28" s="218"/>
      <c r="HY28" s="218"/>
      <c r="HZ28" s="218"/>
      <c r="IA28" s="218"/>
      <c r="IB28" s="218"/>
      <c r="IC28" s="218"/>
      <c r="ID28" s="218"/>
      <c r="IE28" s="218"/>
      <c r="IF28" s="218"/>
      <c r="IG28" s="218"/>
      <c r="IH28" s="218"/>
      <c r="II28" s="218"/>
      <c r="IJ28" s="218"/>
      <c r="IK28" s="218"/>
      <c r="IL28" s="218"/>
      <c r="IM28" s="218"/>
      <c r="IN28" s="218"/>
      <c r="IO28" s="218"/>
      <c r="IP28" s="218"/>
      <c r="IQ28" s="218"/>
      <c r="IR28" s="218"/>
      <c r="IS28" s="218"/>
      <c r="IT28" s="218"/>
      <c r="IU28" s="218"/>
      <c r="IV28" s="218"/>
      <c r="IW28" s="218"/>
    </row>
    <row r="29" customFormat="false" ht="11.25" hidden="false" customHeight="false" outlineLevel="0" collapsed="false">
      <c r="A29" s="218"/>
      <c r="B29" s="256" t="s">
        <v>200</v>
      </c>
      <c r="C29" s="257" t="n">
        <f aca="false">C27*C22/2</f>
        <v>0</v>
      </c>
      <c r="D29" s="257" t="n">
        <f aca="false">D27*D22/2</f>
        <v>2148.73645259478</v>
      </c>
      <c r="E29" s="257" t="e">
        <f aca="false">E27*E22/2</f>
        <v>#VALUE!</v>
      </c>
      <c r="F29" s="257" t="e">
        <f aca="false">F27*F22/2</f>
        <v>#VALUE!</v>
      </c>
      <c r="G29" s="257" t="e">
        <f aca="false">G27*G22/2</f>
        <v>#VALUE!</v>
      </c>
      <c r="H29" s="257" t="e">
        <f aca="false">H27*H22/2</f>
        <v>#VALUE!</v>
      </c>
      <c r="I29" s="257" t="e">
        <f aca="false">I27*I22/2</f>
        <v>#VALUE!</v>
      </c>
      <c r="J29" s="257" t="e">
        <f aca="false">J27*J22/2</f>
        <v>#VALUE!</v>
      </c>
      <c r="K29" s="257" t="e">
        <f aca="false">K27*K22/2</f>
        <v>#VALUE!</v>
      </c>
      <c r="L29" s="257" t="e">
        <f aca="false">L27*L22/2</f>
        <v>#VALUE!</v>
      </c>
      <c r="M29" s="257" t="e">
        <f aca="false">M27*M22/2</f>
        <v>#VALUE!</v>
      </c>
      <c r="N29" s="257" t="e">
        <f aca="false">N27*N22/2</f>
        <v>#VALUE!</v>
      </c>
      <c r="O29" s="257" t="e">
        <f aca="false">O27*O22/2</f>
        <v>#VALUE!</v>
      </c>
      <c r="P29" s="257" t="e">
        <f aca="false">P27*P22/2</f>
        <v>#VALUE!</v>
      </c>
      <c r="Q29" s="257" t="e">
        <f aca="false">Q27*Q22/2</f>
        <v>#VALUE!</v>
      </c>
      <c r="R29" s="257" t="e">
        <f aca="false">R27*R22/2</f>
        <v>#VALUE!</v>
      </c>
      <c r="S29" s="257" t="e">
        <f aca="false">S27*S22/2</f>
        <v>#VALUE!</v>
      </c>
      <c r="T29" s="257" t="e">
        <f aca="false">T27*T22/2</f>
        <v>#VALUE!</v>
      </c>
      <c r="U29" s="257" t="e">
        <f aca="false">U27*U22/2</f>
        <v>#VALUE!</v>
      </c>
      <c r="V29" s="257" t="e">
        <f aca="false">V27*V22/2</f>
        <v>#VALUE!</v>
      </c>
      <c r="W29" s="257" t="e">
        <f aca="false">W27*W22/2</f>
        <v>#VALUE!</v>
      </c>
      <c r="X29" s="257" t="e">
        <f aca="false">X27*X22/2</f>
        <v>#VALUE!</v>
      </c>
      <c r="Y29" s="257" t="e">
        <f aca="false">Y27*Y22/2</f>
        <v>#VALUE!</v>
      </c>
      <c r="Z29" s="257" t="e">
        <f aca="false">Z27*Z22/2</f>
        <v>#VALUE!</v>
      </c>
      <c r="AA29" s="257" t="e">
        <f aca="false">AA27*AA22/2</f>
        <v>#VALUE!</v>
      </c>
      <c r="AB29" s="257" t="e">
        <f aca="false">AB27*AB22/2</f>
        <v>#VALUE!</v>
      </c>
      <c r="AC29" s="218"/>
      <c r="AD29" s="218"/>
      <c r="AE29" s="218"/>
      <c r="AF29" s="218"/>
      <c r="AG29" s="218"/>
      <c r="AH29" s="218"/>
      <c r="AI29" s="218"/>
      <c r="AJ29" s="218"/>
      <c r="AK29" s="218"/>
      <c r="AL29" s="218"/>
      <c r="AM29" s="218"/>
      <c r="AN29" s="218"/>
      <c r="AO29" s="218"/>
      <c r="AP29" s="218"/>
      <c r="AQ29" s="218"/>
      <c r="AR29" s="218"/>
      <c r="AS29" s="218"/>
      <c r="AT29" s="218"/>
      <c r="AU29" s="218"/>
      <c r="AV29" s="218"/>
      <c r="AW29" s="218"/>
      <c r="AX29" s="218"/>
      <c r="AY29" s="218"/>
      <c r="AZ29" s="218"/>
      <c r="BA29" s="218"/>
      <c r="BB29" s="218"/>
      <c r="BC29" s="218"/>
      <c r="BD29" s="218"/>
      <c r="BE29" s="218"/>
      <c r="BF29" s="218"/>
      <c r="BG29" s="218"/>
      <c r="BH29" s="218"/>
      <c r="BI29" s="218"/>
      <c r="BJ29" s="218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8"/>
      <c r="CA29" s="218"/>
      <c r="CB29" s="218"/>
      <c r="CC29" s="218"/>
      <c r="CD29" s="218"/>
      <c r="CE29" s="218"/>
      <c r="CF29" s="218"/>
      <c r="CG29" s="218"/>
      <c r="CH29" s="218"/>
      <c r="CI29" s="218"/>
      <c r="CJ29" s="218"/>
      <c r="CK29" s="218"/>
      <c r="CL29" s="218"/>
      <c r="CM29" s="218"/>
      <c r="CN29" s="218"/>
      <c r="CO29" s="218"/>
      <c r="CP29" s="218"/>
      <c r="CQ29" s="218"/>
      <c r="CR29" s="218"/>
      <c r="CS29" s="218"/>
      <c r="CT29" s="218"/>
      <c r="CU29" s="218"/>
      <c r="CV29" s="218"/>
      <c r="CW29" s="218"/>
      <c r="CX29" s="218"/>
      <c r="CY29" s="218"/>
      <c r="CZ29" s="218"/>
      <c r="DA29" s="218"/>
      <c r="DB29" s="218"/>
      <c r="DC29" s="218"/>
      <c r="DD29" s="218"/>
      <c r="DE29" s="218"/>
      <c r="DF29" s="218"/>
      <c r="DG29" s="218"/>
      <c r="DH29" s="218"/>
      <c r="DI29" s="218"/>
      <c r="DJ29" s="218"/>
      <c r="DK29" s="218"/>
      <c r="DL29" s="218"/>
      <c r="DM29" s="218"/>
      <c r="DN29" s="218"/>
      <c r="DO29" s="218"/>
      <c r="DP29" s="218"/>
      <c r="DQ29" s="218"/>
      <c r="DR29" s="218"/>
      <c r="DS29" s="218"/>
      <c r="DT29" s="218"/>
      <c r="DU29" s="218"/>
      <c r="DV29" s="218"/>
      <c r="DW29" s="218"/>
      <c r="DX29" s="218"/>
      <c r="DY29" s="218"/>
      <c r="DZ29" s="218"/>
      <c r="EA29" s="218"/>
      <c r="EB29" s="218"/>
      <c r="EC29" s="218"/>
      <c r="ED29" s="218"/>
      <c r="EE29" s="218"/>
      <c r="EF29" s="218"/>
      <c r="EG29" s="218"/>
      <c r="EH29" s="218"/>
      <c r="EI29" s="218"/>
      <c r="EJ29" s="218"/>
      <c r="EK29" s="218"/>
      <c r="EL29" s="218"/>
      <c r="EM29" s="218"/>
      <c r="EN29" s="218"/>
      <c r="EO29" s="218"/>
      <c r="EP29" s="218"/>
      <c r="EQ29" s="218"/>
      <c r="ER29" s="218"/>
      <c r="ES29" s="218"/>
      <c r="ET29" s="218"/>
      <c r="EU29" s="218"/>
      <c r="EV29" s="218"/>
      <c r="EW29" s="218"/>
      <c r="EX29" s="218"/>
      <c r="EY29" s="218"/>
      <c r="EZ29" s="218"/>
      <c r="FA29" s="218"/>
      <c r="FB29" s="218"/>
      <c r="FC29" s="218"/>
      <c r="FD29" s="218"/>
      <c r="FE29" s="218"/>
      <c r="FF29" s="218"/>
      <c r="FG29" s="218"/>
      <c r="FH29" s="218"/>
      <c r="FI29" s="218"/>
      <c r="FJ29" s="218"/>
      <c r="FK29" s="218"/>
      <c r="FL29" s="218"/>
      <c r="FM29" s="218"/>
      <c r="FN29" s="218"/>
      <c r="FO29" s="218"/>
      <c r="FP29" s="218"/>
      <c r="FQ29" s="218"/>
      <c r="FR29" s="218"/>
      <c r="FS29" s="218"/>
      <c r="FT29" s="218"/>
      <c r="FU29" s="218"/>
      <c r="FV29" s="218"/>
      <c r="FW29" s="218"/>
      <c r="FX29" s="218"/>
      <c r="FY29" s="218"/>
      <c r="FZ29" s="218"/>
      <c r="GA29" s="218"/>
      <c r="GB29" s="218"/>
      <c r="GC29" s="218"/>
      <c r="GD29" s="218"/>
      <c r="GE29" s="218"/>
      <c r="GF29" s="218"/>
      <c r="GG29" s="218"/>
      <c r="GH29" s="218"/>
      <c r="GI29" s="218"/>
      <c r="GJ29" s="218"/>
      <c r="GK29" s="218"/>
      <c r="GL29" s="218"/>
      <c r="GM29" s="218"/>
      <c r="GN29" s="218"/>
      <c r="GO29" s="218"/>
      <c r="GP29" s="218"/>
      <c r="GQ29" s="218"/>
      <c r="GR29" s="218"/>
      <c r="GS29" s="218"/>
      <c r="GT29" s="218"/>
      <c r="GU29" s="218"/>
      <c r="GV29" s="218"/>
      <c r="GW29" s="218"/>
      <c r="GX29" s="218"/>
      <c r="GY29" s="218"/>
      <c r="GZ29" s="218"/>
      <c r="HA29" s="218"/>
      <c r="HB29" s="218"/>
      <c r="HC29" s="218"/>
      <c r="HD29" s="218"/>
      <c r="HE29" s="218"/>
      <c r="HF29" s="218"/>
      <c r="HG29" s="218"/>
      <c r="HH29" s="218"/>
      <c r="HI29" s="218"/>
      <c r="HJ29" s="218"/>
      <c r="HK29" s="218"/>
      <c r="HL29" s="218"/>
      <c r="HM29" s="218"/>
      <c r="HN29" s="218"/>
      <c r="HO29" s="218"/>
      <c r="HP29" s="218"/>
      <c r="HQ29" s="218"/>
      <c r="HR29" s="218"/>
      <c r="HS29" s="218"/>
      <c r="HT29" s="218"/>
      <c r="HU29" s="218"/>
      <c r="HV29" s="218"/>
      <c r="HW29" s="218"/>
      <c r="HX29" s="218"/>
      <c r="HY29" s="218"/>
      <c r="HZ29" s="218"/>
      <c r="IA29" s="218"/>
      <c r="IB29" s="218"/>
      <c r="IC29" s="218"/>
      <c r="ID29" s="218"/>
      <c r="IE29" s="218"/>
      <c r="IF29" s="218"/>
      <c r="IG29" s="218"/>
      <c r="IH29" s="218"/>
      <c r="II29" s="218"/>
      <c r="IJ29" s="218"/>
      <c r="IK29" s="218"/>
      <c r="IL29" s="218"/>
      <c r="IM29" s="218"/>
      <c r="IN29" s="218"/>
      <c r="IO29" s="218"/>
      <c r="IP29" s="218"/>
      <c r="IQ29" s="218"/>
      <c r="IR29" s="218"/>
      <c r="IS29" s="218"/>
      <c r="IT29" s="218"/>
      <c r="IU29" s="218"/>
      <c r="IV29" s="218"/>
      <c r="IW29" s="218"/>
    </row>
    <row r="30" customFormat="false" ht="11.25" hidden="false" customHeight="false" outlineLevel="0" collapsed="false">
      <c r="A30" s="218"/>
      <c r="B30" s="256" t="s">
        <v>201</v>
      </c>
      <c r="C30" s="257" t="n">
        <f aca="false">IF(C27&gt;0,MIN($J$3/($G$4*$G$5),C27),0)</f>
        <v>0</v>
      </c>
      <c r="D30" s="257" t="n">
        <f aca="false">IF(D27&gt;0,MIN($J$3/($G$4*$G$5),D27),0)</f>
        <v>2255.08477439179</v>
      </c>
      <c r="E30" s="257" t="e">
        <f aca="false">IF(E27&gt;0,MIN($J$3/($G$4*$G$5),E27),0)</f>
        <v>#VALUE!</v>
      </c>
      <c r="F30" s="257" t="e">
        <f aca="false">IF(F27&gt;0,MIN($J$3/($G$4*$G$5),F27),0)</f>
        <v>#VALUE!</v>
      </c>
      <c r="G30" s="257" t="e">
        <f aca="false">IF(G27&gt;0,MIN($J$3/($G$4*$G$5),G27),0)</f>
        <v>#VALUE!</v>
      </c>
      <c r="H30" s="257" t="e">
        <f aca="false">IF(H$27&gt;0,MIN(IF(SUM($D$31:$G$31)&gt;0,(($J$3-SUM($D$36:$G$36))/((($G$4-$G$16)*$G$5))),H26),H$27),0)</f>
        <v>#VALUE!</v>
      </c>
      <c r="I30" s="257" t="e">
        <f aca="false">IF(I$27&gt;0,MIN(IF(SUM($D$31:$G$31)&gt;0,(($J$3-SUM($D$36:$G$36))/((($G$4-$G$16)*$G$5))),I26),I$27),0)</f>
        <v>#VALUE!</v>
      </c>
      <c r="J30" s="257" t="e">
        <f aca="false">IF(J$27&gt;0,MIN(IF(SUM($D$31:$G$31)&gt;0,(($J$3-SUM($D$36:$G$36))/((($G$4-$G$16)*$G$5))),J26),J$27),0)</f>
        <v>#VALUE!</v>
      </c>
      <c r="K30" s="257" t="e">
        <f aca="false">IF(K$27&gt;0,MIN(IF(SUM($D$31:$G$31)&gt;0,(($J$3-SUM($D$36:$G$36))/((($G$4-$G$16)*$G$5))),K26),K$27),0)</f>
        <v>#VALUE!</v>
      </c>
      <c r="L30" s="257" t="e">
        <f aca="false">IF(L$27&gt;0,MIN(IF(SUM($D$31:$G$31)&gt;0,(($J$3-SUM($D$36:$G$36))/((($G$4-$G$16)*$G$5))),L26),L$27),0)</f>
        <v>#VALUE!</v>
      </c>
      <c r="M30" s="257" t="e">
        <f aca="false">IF(M$27&gt;0,MIN(IF(SUM($D$31:$G$31)&gt;0,(($J$3-SUM($D$36:$G$36))/((($G$4-$G$16)*$G$5))),M26),M$27),0)</f>
        <v>#VALUE!</v>
      </c>
      <c r="N30" s="257" t="e">
        <f aca="false">IF(N$27&gt;0,MIN(IF(SUM($D$31:$G$31)&gt;0,(($J$3-SUM($D$36:$G$36))/((($G$4-$G$16)*$G$5))),N26),N$27),0)</f>
        <v>#VALUE!</v>
      </c>
      <c r="O30" s="257" t="e">
        <f aca="false">IF(O$27&gt;0,MIN(IF(SUM($D$31:$G$31)&gt;0,(($J$3-SUM($D$36:$G$36))/((($G$4-$G$16)*$G$5))),O26),O$27),0)</f>
        <v>#VALUE!</v>
      </c>
      <c r="P30" s="257" t="e">
        <f aca="false">IF(P$27&gt;0,MIN(IF(SUM($D$31:$G$31)&gt;0,(($J$3-SUM($D$36:$G$36))/((($G$4-$G$16)*$G$5))),P26),P$27),0)</f>
        <v>#VALUE!</v>
      </c>
      <c r="Q30" s="257" t="e">
        <f aca="false">IF(Q$27&gt;0,MIN(IF(SUM($D$31:$G$31)&gt;0,(($J$3-SUM($D$36:$G$36))/((($G$4-$G$16)*$G$5))),Q26),Q$27),0)</f>
        <v>#VALUE!</v>
      </c>
      <c r="R30" s="257" t="e">
        <f aca="false">IF(R$27&gt;0,MIN(IF(SUM($D$31:$G$31)&gt;0,(($J$3-SUM($D$36:$G$36))/((($G$4-$G$16)*$G$5))),R26),R$27),0)</f>
        <v>#VALUE!</v>
      </c>
      <c r="S30" s="257" t="e">
        <f aca="false">IF(S$27&gt;0,MIN(IF(SUM($D$31:$G$31)&gt;0,(($J$3-SUM($D$36:$G$36))/((($G$4-$G$16)*$G$5))),S26),S$27),0)</f>
        <v>#VALUE!</v>
      </c>
      <c r="T30" s="257" t="e">
        <f aca="false">IF(T$27&gt;0,MIN(IF(SUM($D$31:$G$31)&gt;0,(($J$3-SUM($D$36:$G$36))/((($G$4-$G$16)*$G$5))),T26),T$27),0)</f>
        <v>#VALUE!</v>
      </c>
      <c r="U30" s="257" t="e">
        <f aca="false">IF(U$27&gt;0,MIN(IF(SUM($D$31:$G$31)&gt;0,(($J$3-SUM($D$36:$G$36))/((($G$4-$G$16)*$G$5))),U26),U$27),0)</f>
        <v>#VALUE!</v>
      </c>
      <c r="V30" s="257" t="e">
        <f aca="false">IF(V$27&gt;0,MIN(IF(SUM($D$31:$G$31)&gt;0,(($J$3-SUM($D$36:$G$36))/((($G$4-$G$16)*$G$5))),V26),V$27),0)</f>
        <v>#VALUE!</v>
      </c>
      <c r="W30" s="257" t="e">
        <f aca="false">IF(W$27&gt;0,MIN(IF(SUM($D$31:$G$31)&gt;0,(($J$3-SUM($D$36:$G$36))/((($G$4-$G$16)*$G$5))),W26),W$27),0)</f>
        <v>#VALUE!</v>
      </c>
      <c r="X30" s="257" t="e">
        <f aca="false">IF(X$27&gt;0,MIN(IF(SUM($D$31:$G$31)&gt;0,(($J$3-SUM($D$36:$G$36))/((($G$4-$G$16)*$G$5))),X26),X$27),0)</f>
        <v>#VALUE!</v>
      </c>
      <c r="Y30" s="257" t="e">
        <f aca="false">IF(Y$27&gt;0,MIN(IF(SUM($D$31:$G$31)&gt;0,(($J$3-SUM($D$36:$G$36))/((($G$4-$G$16)*$G$5))),Y26),Y$27),0)</f>
        <v>#VALUE!</v>
      </c>
      <c r="Z30" s="257" t="e">
        <f aca="false">IF(Z$27&gt;0,MIN(IF(SUM($D$31:$G$31)&gt;0,(($J$3-SUM($D$36:$G$36))/((($G$4-$G$16)*$G$5))),Z26),Z$27),0)</f>
        <v>#VALUE!</v>
      </c>
      <c r="AA30" s="257" t="e">
        <f aca="false">IF(AA$27&gt;0,MIN(IF(SUM($D$31:$G$31)&gt;0,(($J$3-SUM($D$36:$G$36))/((($G$4-$G$16)*$G$5))),AA26),AA$27),0)</f>
        <v>#VALUE!</v>
      </c>
      <c r="AB30" s="257" t="e">
        <f aca="false">IF(AB$27&gt;0,MIN(IF(SUM($D$31:$G$31)&gt;0,(($J$3-SUM($D$36:$G$36))/((($G$4-$G$16)*$G$5))),AB26),AB$27),0)</f>
        <v>#VALUE!</v>
      </c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8"/>
      <c r="AU30" s="218"/>
      <c r="AV30" s="218"/>
      <c r="AW30" s="218"/>
      <c r="AX30" s="218"/>
      <c r="AY30" s="218"/>
      <c r="AZ30" s="218"/>
      <c r="BA30" s="218"/>
      <c r="BB30" s="218"/>
      <c r="BC30" s="218"/>
      <c r="BD30" s="218"/>
      <c r="BE30" s="218"/>
      <c r="BF30" s="218"/>
      <c r="BG30" s="218"/>
      <c r="BH30" s="218"/>
      <c r="BI30" s="218"/>
      <c r="BJ30" s="218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8"/>
      <c r="CA30" s="218"/>
      <c r="CB30" s="218"/>
      <c r="CC30" s="218"/>
      <c r="CD30" s="218"/>
      <c r="CE30" s="218"/>
      <c r="CF30" s="218"/>
      <c r="CG30" s="218"/>
      <c r="CH30" s="218"/>
      <c r="CI30" s="218"/>
      <c r="CJ30" s="218"/>
      <c r="CK30" s="218"/>
      <c r="CL30" s="218"/>
      <c r="CM30" s="218"/>
      <c r="CN30" s="218"/>
      <c r="CO30" s="218"/>
      <c r="CP30" s="218"/>
      <c r="CQ30" s="218"/>
      <c r="CR30" s="218"/>
      <c r="CS30" s="218"/>
      <c r="CT30" s="218"/>
      <c r="CU30" s="218"/>
      <c r="CV30" s="218"/>
      <c r="CW30" s="218"/>
      <c r="CX30" s="218"/>
      <c r="CY30" s="218"/>
      <c r="CZ30" s="218"/>
      <c r="DA30" s="218"/>
      <c r="DB30" s="218"/>
      <c r="DC30" s="218"/>
      <c r="DD30" s="218"/>
      <c r="DE30" s="218"/>
      <c r="DF30" s="218"/>
      <c r="DG30" s="218"/>
      <c r="DH30" s="218"/>
      <c r="DI30" s="218"/>
      <c r="DJ30" s="218"/>
      <c r="DK30" s="218"/>
      <c r="DL30" s="218"/>
      <c r="DM30" s="218"/>
      <c r="DN30" s="218"/>
      <c r="DO30" s="218"/>
      <c r="DP30" s="218"/>
      <c r="DQ30" s="218"/>
      <c r="DR30" s="218"/>
      <c r="DS30" s="218"/>
      <c r="DT30" s="218"/>
      <c r="DU30" s="218"/>
      <c r="DV30" s="218"/>
      <c r="DW30" s="218"/>
      <c r="DX30" s="218"/>
      <c r="DY30" s="218"/>
      <c r="DZ30" s="218"/>
      <c r="EA30" s="218"/>
      <c r="EB30" s="218"/>
      <c r="EC30" s="218"/>
      <c r="ED30" s="218"/>
      <c r="EE30" s="218"/>
      <c r="EF30" s="218"/>
      <c r="EG30" s="218"/>
      <c r="EH30" s="218"/>
      <c r="EI30" s="218"/>
      <c r="EJ30" s="218"/>
      <c r="EK30" s="218"/>
      <c r="EL30" s="218"/>
      <c r="EM30" s="218"/>
      <c r="EN30" s="218"/>
      <c r="EO30" s="218"/>
      <c r="EP30" s="218"/>
      <c r="EQ30" s="218"/>
      <c r="ER30" s="218"/>
      <c r="ES30" s="218"/>
      <c r="ET30" s="218"/>
      <c r="EU30" s="218"/>
      <c r="EV30" s="218"/>
      <c r="EW30" s="218"/>
      <c r="EX30" s="218"/>
      <c r="EY30" s="218"/>
      <c r="EZ30" s="218"/>
      <c r="FA30" s="218"/>
      <c r="FB30" s="218"/>
      <c r="FC30" s="218"/>
      <c r="FD30" s="218"/>
      <c r="FE30" s="218"/>
      <c r="FF30" s="218"/>
      <c r="FG30" s="218"/>
      <c r="FH30" s="218"/>
      <c r="FI30" s="218"/>
      <c r="FJ30" s="218"/>
      <c r="FK30" s="218"/>
      <c r="FL30" s="218"/>
      <c r="FM30" s="218"/>
      <c r="FN30" s="218"/>
      <c r="FO30" s="218"/>
      <c r="FP30" s="218"/>
      <c r="FQ30" s="218"/>
      <c r="FR30" s="218"/>
      <c r="FS30" s="218"/>
      <c r="FT30" s="218"/>
      <c r="FU30" s="218"/>
      <c r="FV30" s="218"/>
      <c r="FW30" s="218"/>
      <c r="FX30" s="218"/>
      <c r="FY30" s="218"/>
      <c r="FZ30" s="218"/>
      <c r="GA30" s="218"/>
      <c r="GB30" s="218"/>
      <c r="GC30" s="218"/>
      <c r="GD30" s="218"/>
      <c r="GE30" s="218"/>
      <c r="GF30" s="218"/>
      <c r="GG30" s="218"/>
      <c r="GH30" s="218"/>
      <c r="GI30" s="218"/>
      <c r="GJ30" s="218"/>
      <c r="GK30" s="218"/>
      <c r="GL30" s="218"/>
      <c r="GM30" s="218"/>
      <c r="GN30" s="218"/>
      <c r="GO30" s="218"/>
      <c r="GP30" s="218"/>
      <c r="GQ30" s="218"/>
      <c r="GR30" s="218"/>
      <c r="GS30" s="218"/>
      <c r="GT30" s="218"/>
      <c r="GU30" s="218"/>
      <c r="GV30" s="218"/>
      <c r="GW30" s="218"/>
      <c r="GX30" s="218"/>
      <c r="GY30" s="218"/>
      <c r="GZ30" s="218"/>
      <c r="HA30" s="218"/>
      <c r="HB30" s="218"/>
      <c r="HC30" s="218"/>
      <c r="HD30" s="218"/>
      <c r="HE30" s="218"/>
      <c r="HF30" s="218"/>
      <c r="HG30" s="218"/>
      <c r="HH30" s="218"/>
      <c r="HI30" s="218"/>
      <c r="HJ30" s="218"/>
      <c r="HK30" s="218"/>
      <c r="HL30" s="218"/>
      <c r="HM30" s="218"/>
      <c r="HN30" s="218"/>
      <c r="HO30" s="218"/>
      <c r="HP30" s="218"/>
      <c r="HQ30" s="218"/>
      <c r="HR30" s="218"/>
      <c r="HS30" s="218"/>
      <c r="HT30" s="218"/>
      <c r="HU30" s="218"/>
      <c r="HV30" s="218"/>
      <c r="HW30" s="218"/>
      <c r="HX30" s="218"/>
      <c r="HY30" s="218"/>
      <c r="HZ30" s="218"/>
      <c r="IA30" s="218"/>
      <c r="IB30" s="218"/>
      <c r="IC30" s="218"/>
      <c r="ID30" s="218"/>
      <c r="IE30" s="218"/>
      <c r="IF30" s="218"/>
      <c r="IG30" s="218"/>
      <c r="IH30" s="218"/>
      <c r="II30" s="218"/>
      <c r="IJ30" s="218"/>
      <c r="IK30" s="218"/>
      <c r="IL30" s="218"/>
      <c r="IM30" s="218"/>
      <c r="IN30" s="218"/>
      <c r="IO30" s="218"/>
      <c r="IP30" s="218"/>
      <c r="IQ30" s="218"/>
      <c r="IR30" s="218"/>
      <c r="IS30" s="218"/>
      <c r="IT30" s="218"/>
      <c r="IU30" s="218"/>
      <c r="IV30" s="218"/>
      <c r="IW30" s="218"/>
    </row>
    <row r="31" customFormat="false" ht="11.25" hidden="false" customHeight="false" outlineLevel="0" collapsed="false">
      <c r="A31" s="218"/>
      <c r="B31" s="256" t="s">
        <v>202</v>
      </c>
      <c r="C31" s="257"/>
      <c r="D31" s="257" t="str">
        <f aca="false">IF($C5&gt;0,$C5,"")</f>
        <v/>
      </c>
      <c r="E31" s="257" t="str">
        <f aca="false">IF($C6&gt;0,$C6,"")</f>
        <v/>
      </c>
      <c r="F31" s="257" t="str">
        <f aca="false">IF($C7&gt;0,$C7,"")</f>
        <v/>
      </c>
      <c r="G31" s="257" t="str">
        <f aca="false">IF($C8&gt;0,$C8,"")</f>
        <v/>
      </c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218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218"/>
      <c r="CN31" s="218"/>
      <c r="CO31" s="218"/>
      <c r="CP31" s="218"/>
      <c r="CQ31" s="218"/>
      <c r="CR31" s="218"/>
      <c r="CS31" s="218"/>
      <c r="CT31" s="218"/>
      <c r="CU31" s="218"/>
      <c r="CV31" s="218"/>
      <c r="CW31" s="218"/>
      <c r="CX31" s="218"/>
      <c r="CY31" s="218"/>
      <c r="CZ31" s="218"/>
      <c r="DA31" s="218"/>
      <c r="DB31" s="218"/>
      <c r="DC31" s="218"/>
      <c r="DD31" s="218"/>
      <c r="DE31" s="218"/>
      <c r="DF31" s="218"/>
      <c r="DG31" s="218"/>
      <c r="DH31" s="218"/>
      <c r="DI31" s="218"/>
      <c r="DJ31" s="218"/>
      <c r="DK31" s="218"/>
      <c r="DL31" s="218"/>
      <c r="DM31" s="218"/>
      <c r="DN31" s="218"/>
      <c r="DO31" s="218"/>
      <c r="DP31" s="218"/>
      <c r="DQ31" s="218"/>
      <c r="DR31" s="218"/>
      <c r="DS31" s="218"/>
      <c r="DT31" s="218"/>
      <c r="DU31" s="218"/>
      <c r="DV31" s="218"/>
      <c r="DW31" s="218"/>
      <c r="DX31" s="218"/>
      <c r="DY31" s="218"/>
      <c r="DZ31" s="218"/>
      <c r="EA31" s="218"/>
      <c r="EB31" s="218"/>
      <c r="EC31" s="218"/>
      <c r="ED31" s="218"/>
      <c r="EE31" s="218"/>
      <c r="EF31" s="218"/>
      <c r="EG31" s="218"/>
      <c r="EH31" s="218"/>
      <c r="EI31" s="218"/>
      <c r="EJ31" s="218"/>
      <c r="EK31" s="218"/>
      <c r="EL31" s="218"/>
      <c r="EM31" s="218"/>
      <c r="EN31" s="218"/>
      <c r="EO31" s="218"/>
      <c r="EP31" s="218"/>
      <c r="EQ31" s="218"/>
      <c r="ER31" s="218"/>
      <c r="ES31" s="218"/>
      <c r="ET31" s="218"/>
      <c r="EU31" s="218"/>
      <c r="EV31" s="218"/>
      <c r="EW31" s="218"/>
      <c r="EX31" s="218"/>
      <c r="EY31" s="218"/>
      <c r="EZ31" s="218"/>
      <c r="FA31" s="218"/>
      <c r="FB31" s="218"/>
      <c r="FC31" s="218"/>
      <c r="FD31" s="218"/>
      <c r="FE31" s="218"/>
      <c r="FF31" s="218"/>
      <c r="FG31" s="218"/>
      <c r="FH31" s="218"/>
      <c r="FI31" s="218"/>
      <c r="FJ31" s="218"/>
      <c r="FK31" s="218"/>
      <c r="FL31" s="218"/>
      <c r="FM31" s="218"/>
      <c r="FN31" s="218"/>
      <c r="FO31" s="218"/>
      <c r="FP31" s="218"/>
      <c r="FQ31" s="218"/>
      <c r="FR31" s="218"/>
      <c r="FS31" s="218"/>
      <c r="FT31" s="218"/>
      <c r="FU31" s="218"/>
      <c r="FV31" s="218"/>
      <c r="FW31" s="218"/>
      <c r="FX31" s="218"/>
      <c r="FY31" s="218"/>
      <c r="FZ31" s="218"/>
      <c r="GA31" s="218"/>
      <c r="GB31" s="218"/>
      <c r="GC31" s="218"/>
      <c r="GD31" s="218"/>
      <c r="GE31" s="218"/>
      <c r="GF31" s="218"/>
      <c r="GG31" s="218"/>
      <c r="GH31" s="218"/>
      <c r="GI31" s="218"/>
      <c r="GJ31" s="218"/>
      <c r="GK31" s="218"/>
      <c r="GL31" s="218"/>
      <c r="GM31" s="218"/>
      <c r="GN31" s="218"/>
      <c r="GO31" s="218"/>
      <c r="GP31" s="218"/>
      <c r="GQ31" s="218"/>
      <c r="GR31" s="218"/>
      <c r="GS31" s="218"/>
      <c r="GT31" s="218"/>
      <c r="GU31" s="218"/>
      <c r="GV31" s="218"/>
      <c r="GW31" s="218"/>
      <c r="GX31" s="218"/>
      <c r="GY31" s="218"/>
      <c r="GZ31" s="218"/>
      <c r="HA31" s="218"/>
      <c r="HB31" s="218"/>
      <c r="HC31" s="218"/>
      <c r="HD31" s="218"/>
      <c r="HE31" s="218"/>
      <c r="HF31" s="218"/>
      <c r="HG31" s="218"/>
      <c r="HH31" s="218"/>
      <c r="HI31" s="218"/>
      <c r="HJ31" s="218"/>
      <c r="HK31" s="218"/>
      <c r="HL31" s="218"/>
      <c r="HM31" s="218"/>
      <c r="HN31" s="218"/>
      <c r="HO31" s="218"/>
      <c r="HP31" s="218"/>
      <c r="HQ31" s="218"/>
      <c r="HR31" s="218"/>
      <c r="HS31" s="218"/>
      <c r="HT31" s="218"/>
      <c r="HU31" s="218"/>
      <c r="HV31" s="218"/>
      <c r="HW31" s="218"/>
      <c r="HX31" s="218"/>
      <c r="HY31" s="218"/>
      <c r="HZ31" s="218"/>
      <c r="IA31" s="218"/>
      <c r="IB31" s="218"/>
      <c r="IC31" s="218"/>
      <c r="ID31" s="218"/>
      <c r="IE31" s="218"/>
      <c r="IF31" s="218"/>
      <c r="IG31" s="218"/>
      <c r="IH31" s="218"/>
      <c r="II31" s="218"/>
      <c r="IJ31" s="218"/>
      <c r="IK31" s="218"/>
      <c r="IL31" s="218"/>
      <c r="IM31" s="218"/>
      <c r="IN31" s="218"/>
      <c r="IO31" s="218"/>
      <c r="IP31" s="218"/>
      <c r="IQ31" s="218"/>
      <c r="IR31" s="218"/>
      <c r="IS31" s="218"/>
      <c r="IT31" s="218"/>
      <c r="IU31" s="218"/>
      <c r="IV31" s="218"/>
      <c r="IW31" s="218"/>
    </row>
    <row r="32" customFormat="false" ht="12" hidden="false" customHeight="false" outlineLevel="0" collapsed="false">
      <c r="A32" s="218"/>
      <c r="B32" s="260" t="s">
        <v>203</v>
      </c>
      <c r="C32" s="261" t="n">
        <f aca="false">C27-C30-C31</f>
        <v>0</v>
      </c>
      <c r="D32" s="261" t="e">
        <f aca="false">D27-D30-D31</f>
        <v>#VALUE!</v>
      </c>
      <c r="E32" s="261" t="e">
        <f aca="false">E27-E30-E31</f>
        <v>#VALUE!</v>
      </c>
      <c r="F32" s="261" t="e">
        <f aca="false">F27-F30-F31</f>
        <v>#VALUE!</v>
      </c>
      <c r="G32" s="261" t="e">
        <f aca="false">G27-G30-G31</f>
        <v>#VALUE!</v>
      </c>
      <c r="H32" s="261" t="e">
        <f aca="false">H27-H30-H31</f>
        <v>#VALUE!</v>
      </c>
      <c r="I32" s="261" t="e">
        <f aca="false">I27-I30-I31</f>
        <v>#VALUE!</v>
      </c>
      <c r="J32" s="261" t="e">
        <f aca="false">J27-J30-J31</f>
        <v>#VALUE!</v>
      </c>
      <c r="K32" s="261" t="e">
        <f aca="false">K27-K30-K31</f>
        <v>#VALUE!</v>
      </c>
      <c r="L32" s="261" t="e">
        <f aca="false">L27-L30-L31</f>
        <v>#VALUE!</v>
      </c>
      <c r="M32" s="261" t="e">
        <f aca="false">M27-M30-M31</f>
        <v>#VALUE!</v>
      </c>
      <c r="N32" s="261" t="e">
        <f aca="false">N27-N30-N31</f>
        <v>#VALUE!</v>
      </c>
      <c r="O32" s="261" t="e">
        <f aca="false">O27-O30-O31</f>
        <v>#VALUE!</v>
      </c>
      <c r="P32" s="261" t="e">
        <f aca="false">P27-P30-P31</f>
        <v>#VALUE!</v>
      </c>
      <c r="Q32" s="261" t="e">
        <f aca="false">Q27-Q30-Q31</f>
        <v>#VALUE!</v>
      </c>
      <c r="R32" s="261" t="e">
        <f aca="false">R27-R30-R31</f>
        <v>#VALUE!</v>
      </c>
      <c r="S32" s="261" t="e">
        <f aca="false">S27-S30-S31</f>
        <v>#VALUE!</v>
      </c>
      <c r="T32" s="261" t="e">
        <f aca="false">T27-T30-T31</f>
        <v>#VALUE!</v>
      </c>
      <c r="U32" s="261" t="e">
        <f aca="false">U27-U30-U31</f>
        <v>#VALUE!</v>
      </c>
      <c r="V32" s="261" t="e">
        <f aca="false">V27-V30-V31</f>
        <v>#VALUE!</v>
      </c>
      <c r="W32" s="261" t="e">
        <f aca="false">W27-W30-W31</f>
        <v>#VALUE!</v>
      </c>
      <c r="X32" s="261" t="e">
        <f aca="false">X27-X30-X31</f>
        <v>#VALUE!</v>
      </c>
      <c r="Y32" s="261" t="e">
        <f aca="false">Y27-Y30-Y31</f>
        <v>#VALUE!</v>
      </c>
      <c r="Z32" s="261" t="e">
        <f aca="false">Z27-Z30-Z31</f>
        <v>#VALUE!</v>
      </c>
      <c r="AA32" s="261" t="e">
        <f aca="false">AA27-AA30-AA31</f>
        <v>#VALUE!</v>
      </c>
      <c r="AB32" s="261" t="e">
        <f aca="false">AB27-AB30-AB31</f>
        <v>#VALUE!</v>
      </c>
      <c r="AC32" s="218"/>
      <c r="AD32" s="218"/>
      <c r="AE32" s="218"/>
      <c r="AF32" s="218"/>
      <c r="AG32" s="218"/>
      <c r="AH32" s="218"/>
      <c r="AI32" s="218"/>
      <c r="AJ32" s="218"/>
      <c r="AK32" s="218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218"/>
      <c r="AX32" s="218"/>
      <c r="AY32" s="218"/>
      <c r="AZ32" s="218"/>
      <c r="BA32" s="218"/>
      <c r="BB32" s="218"/>
      <c r="BC32" s="218"/>
      <c r="BD32" s="218"/>
      <c r="BE32" s="218"/>
      <c r="BF32" s="218"/>
      <c r="BG32" s="218"/>
      <c r="BH32" s="218"/>
      <c r="BI32" s="218"/>
      <c r="BJ32" s="218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8"/>
      <c r="CA32" s="218"/>
      <c r="CB32" s="218"/>
      <c r="CC32" s="218"/>
      <c r="CD32" s="218"/>
      <c r="CE32" s="218"/>
      <c r="CF32" s="218"/>
      <c r="CG32" s="218"/>
      <c r="CH32" s="218"/>
      <c r="CI32" s="218"/>
      <c r="CJ32" s="218"/>
      <c r="CK32" s="218"/>
      <c r="CL32" s="218"/>
      <c r="CM32" s="218"/>
      <c r="CN32" s="218"/>
      <c r="CO32" s="218"/>
      <c r="CP32" s="218"/>
      <c r="CQ32" s="218"/>
      <c r="CR32" s="218"/>
      <c r="CS32" s="218"/>
      <c r="CT32" s="218"/>
      <c r="CU32" s="218"/>
      <c r="CV32" s="218"/>
      <c r="CW32" s="218"/>
      <c r="CX32" s="218"/>
      <c r="CY32" s="218"/>
      <c r="CZ32" s="218"/>
      <c r="DA32" s="218"/>
      <c r="DB32" s="218"/>
      <c r="DC32" s="218"/>
      <c r="DD32" s="218"/>
      <c r="DE32" s="218"/>
      <c r="DF32" s="218"/>
      <c r="DG32" s="218"/>
      <c r="DH32" s="218"/>
      <c r="DI32" s="218"/>
      <c r="DJ32" s="218"/>
      <c r="DK32" s="218"/>
      <c r="DL32" s="218"/>
      <c r="DM32" s="218"/>
      <c r="DN32" s="218"/>
      <c r="DO32" s="218"/>
      <c r="DP32" s="218"/>
      <c r="DQ32" s="218"/>
      <c r="DR32" s="218"/>
      <c r="DS32" s="218"/>
      <c r="DT32" s="218"/>
      <c r="DU32" s="218"/>
      <c r="DV32" s="218"/>
      <c r="DW32" s="218"/>
      <c r="DX32" s="218"/>
      <c r="DY32" s="218"/>
      <c r="DZ32" s="218"/>
      <c r="EA32" s="218"/>
      <c r="EB32" s="218"/>
      <c r="EC32" s="218"/>
      <c r="ED32" s="218"/>
      <c r="EE32" s="218"/>
      <c r="EF32" s="218"/>
      <c r="EG32" s="218"/>
      <c r="EH32" s="218"/>
      <c r="EI32" s="218"/>
      <c r="EJ32" s="218"/>
      <c r="EK32" s="218"/>
      <c r="EL32" s="218"/>
      <c r="EM32" s="218"/>
      <c r="EN32" s="218"/>
      <c r="EO32" s="218"/>
      <c r="EP32" s="218"/>
      <c r="EQ32" s="218"/>
      <c r="ER32" s="218"/>
      <c r="ES32" s="218"/>
      <c r="ET32" s="218"/>
      <c r="EU32" s="218"/>
      <c r="EV32" s="218"/>
      <c r="EW32" s="218"/>
      <c r="EX32" s="218"/>
      <c r="EY32" s="218"/>
      <c r="EZ32" s="218"/>
      <c r="FA32" s="218"/>
      <c r="FB32" s="218"/>
      <c r="FC32" s="218"/>
      <c r="FD32" s="218"/>
      <c r="FE32" s="218"/>
      <c r="FF32" s="218"/>
      <c r="FG32" s="218"/>
      <c r="FH32" s="218"/>
      <c r="FI32" s="218"/>
      <c r="FJ32" s="218"/>
      <c r="FK32" s="218"/>
      <c r="FL32" s="218"/>
      <c r="FM32" s="218"/>
      <c r="FN32" s="218"/>
      <c r="FO32" s="218"/>
      <c r="FP32" s="218"/>
      <c r="FQ32" s="218"/>
      <c r="FR32" s="218"/>
      <c r="FS32" s="218"/>
      <c r="FT32" s="218"/>
      <c r="FU32" s="218"/>
      <c r="FV32" s="218"/>
      <c r="FW32" s="218"/>
      <c r="FX32" s="218"/>
      <c r="FY32" s="218"/>
      <c r="FZ32" s="218"/>
      <c r="GA32" s="218"/>
      <c r="GB32" s="218"/>
      <c r="GC32" s="218"/>
      <c r="GD32" s="218"/>
      <c r="GE32" s="218"/>
      <c r="GF32" s="218"/>
      <c r="GG32" s="218"/>
      <c r="GH32" s="218"/>
      <c r="GI32" s="218"/>
      <c r="GJ32" s="218"/>
      <c r="GK32" s="218"/>
      <c r="GL32" s="218"/>
      <c r="GM32" s="218"/>
      <c r="GN32" s="218"/>
      <c r="GO32" s="218"/>
      <c r="GP32" s="218"/>
      <c r="GQ32" s="218"/>
      <c r="GR32" s="218"/>
      <c r="GS32" s="218"/>
      <c r="GT32" s="218"/>
      <c r="GU32" s="218"/>
      <c r="GV32" s="218"/>
      <c r="GW32" s="218"/>
      <c r="GX32" s="218"/>
      <c r="GY32" s="218"/>
      <c r="GZ32" s="218"/>
      <c r="HA32" s="218"/>
      <c r="HB32" s="218"/>
      <c r="HC32" s="218"/>
      <c r="HD32" s="218"/>
      <c r="HE32" s="218"/>
      <c r="HF32" s="218"/>
      <c r="HG32" s="218"/>
      <c r="HH32" s="218"/>
      <c r="HI32" s="218"/>
      <c r="HJ32" s="218"/>
      <c r="HK32" s="218"/>
      <c r="HL32" s="218"/>
      <c r="HM32" s="218"/>
      <c r="HN32" s="218"/>
      <c r="HO32" s="218"/>
      <c r="HP32" s="218"/>
      <c r="HQ32" s="218"/>
      <c r="HR32" s="218"/>
      <c r="HS32" s="218"/>
      <c r="HT32" s="218"/>
      <c r="HU32" s="218"/>
      <c r="HV32" s="218"/>
      <c r="HW32" s="218"/>
      <c r="HX32" s="218"/>
      <c r="HY32" s="218"/>
      <c r="HZ32" s="218"/>
      <c r="IA32" s="218"/>
      <c r="IB32" s="218"/>
      <c r="IC32" s="218"/>
      <c r="ID32" s="218"/>
      <c r="IE32" s="218"/>
      <c r="IF32" s="218"/>
      <c r="IG32" s="218"/>
      <c r="IH32" s="218"/>
      <c r="II32" s="218"/>
      <c r="IJ32" s="218"/>
      <c r="IK32" s="218"/>
      <c r="IL32" s="218"/>
      <c r="IM32" s="218"/>
      <c r="IN32" s="218"/>
      <c r="IO32" s="218"/>
      <c r="IP32" s="218"/>
      <c r="IQ32" s="218"/>
      <c r="IR32" s="218"/>
      <c r="IS32" s="218"/>
      <c r="IT32" s="218"/>
      <c r="IU32" s="218"/>
      <c r="IV32" s="218"/>
      <c r="IW32" s="218"/>
    </row>
    <row r="33" customFormat="false" ht="11.25" hidden="false" customHeight="false" outlineLevel="0" collapsed="false">
      <c r="A33" s="218"/>
      <c r="B33" s="256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18"/>
      <c r="AD33" s="218"/>
      <c r="AE33" s="218"/>
      <c r="AF33" s="218"/>
      <c r="AG33" s="218"/>
      <c r="AH33" s="218"/>
      <c r="AI33" s="218"/>
      <c r="AJ33" s="218"/>
      <c r="AK33" s="218"/>
      <c r="AL33" s="218"/>
      <c r="AM33" s="218"/>
      <c r="AN33" s="218"/>
      <c r="AO33" s="218"/>
      <c r="AP33" s="218"/>
      <c r="AQ33" s="218"/>
      <c r="AR33" s="218"/>
      <c r="AS33" s="218"/>
      <c r="AT33" s="218"/>
      <c r="AU33" s="218"/>
      <c r="AV33" s="218"/>
      <c r="AW33" s="218"/>
      <c r="AX33" s="218"/>
      <c r="AY33" s="218"/>
      <c r="AZ33" s="218"/>
      <c r="BA33" s="218"/>
      <c r="BB33" s="218"/>
      <c r="BC33" s="218"/>
      <c r="BD33" s="218"/>
      <c r="BE33" s="218"/>
      <c r="BF33" s="218"/>
      <c r="BG33" s="218"/>
      <c r="BH33" s="218"/>
      <c r="BI33" s="218"/>
      <c r="BJ33" s="218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8"/>
      <c r="CA33" s="218"/>
      <c r="CB33" s="218"/>
      <c r="CC33" s="218"/>
      <c r="CD33" s="218"/>
      <c r="CE33" s="218"/>
      <c r="CF33" s="218"/>
      <c r="CG33" s="218"/>
      <c r="CH33" s="218"/>
      <c r="CI33" s="218"/>
      <c r="CJ33" s="218"/>
      <c r="CK33" s="218"/>
      <c r="CL33" s="218"/>
      <c r="CM33" s="218"/>
      <c r="CN33" s="218"/>
      <c r="CO33" s="218"/>
      <c r="CP33" s="218"/>
      <c r="CQ33" s="218"/>
      <c r="CR33" s="218"/>
      <c r="CS33" s="218"/>
      <c r="CT33" s="218"/>
      <c r="CU33" s="218"/>
      <c r="CV33" s="218"/>
      <c r="CW33" s="218"/>
      <c r="CX33" s="218"/>
      <c r="CY33" s="218"/>
      <c r="CZ33" s="218"/>
      <c r="DA33" s="218"/>
      <c r="DB33" s="218"/>
      <c r="DC33" s="218"/>
      <c r="DD33" s="218"/>
      <c r="DE33" s="218"/>
      <c r="DF33" s="218"/>
      <c r="DG33" s="218"/>
      <c r="DH33" s="218"/>
      <c r="DI33" s="218"/>
      <c r="DJ33" s="218"/>
      <c r="DK33" s="218"/>
      <c r="DL33" s="218"/>
      <c r="DM33" s="218"/>
      <c r="DN33" s="218"/>
      <c r="DO33" s="218"/>
      <c r="DP33" s="218"/>
      <c r="DQ33" s="218"/>
      <c r="DR33" s="218"/>
      <c r="DS33" s="218"/>
      <c r="DT33" s="218"/>
      <c r="DU33" s="218"/>
      <c r="DV33" s="218"/>
      <c r="DW33" s="218"/>
      <c r="DX33" s="218"/>
      <c r="DY33" s="218"/>
      <c r="DZ33" s="218"/>
      <c r="EA33" s="218"/>
      <c r="EB33" s="218"/>
      <c r="EC33" s="218"/>
      <c r="ED33" s="218"/>
      <c r="EE33" s="218"/>
      <c r="EF33" s="218"/>
      <c r="EG33" s="218"/>
      <c r="EH33" s="218"/>
      <c r="EI33" s="218"/>
      <c r="EJ33" s="218"/>
      <c r="EK33" s="218"/>
      <c r="EL33" s="218"/>
      <c r="EM33" s="218"/>
      <c r="EN33" s="218"/>
      <c r="EO33" s="218"/>
      <c r="EP33" s="218"/>
      <c r="EQ33" s="218"/>
      <c r="ER33" s="218"/>
      <c r="ES33" s="218"/>
      <c r="ET33" s="218"/>
      <c r="EU33" s="218"/>
      <c r="EV33" s="218"/>
      <c r="EW33" s="218"/>
      <c r="EX33" s="218"/>
      <c r="EY33" s="218"/>
      <c r="EZ33" s="218"/>
      <c r="FA33" s="218"/>
      <c r="FB33" s="218"/>
      <c r="FC33" s="218"/>
      <c r="FD33" s="218"/>
      <c r="FE33" s="218"/>
      <c r="FF33" s="218"/>
      <c r="FG33" s="218"/>
      <c r="FH33" s="218"/>
      <c r="FI33" s="218"/>
      <c r="FJ33" s="218"/>
      <c r="FK33" s="218"/>
      <c r="FL33" s="218"/>
      <c r="FM33" s="218"/>
      <c r="FN33" s="218"/>
      <c r="FO33" s="218"/>
      <c r="FP33" s="218"/>
      <c r="FQ33" s="218"/>
      <c r="FR33" s="218"/>
      <c r="FS33" s="218"/>
      <c r="FT33" s="218"/>
      <c r="FU33" s="218"/>
      <c r="FV33" s="218"/>
      <c r="FW33" s="218"/>
      <c r="FX33" s="218"/>
      <c r="FY33" s="218"/>
      <c r="FZ33" s="218"/>
      <c r="GA33" s="218"/>
      <c r="GB33" s="218"/>
      <c r="GC33" s="218"/>
      <c r="GD33" s="218"/>
      <c r="GE33" s="218"/>
      <c r="GF33" s="218"/>
      <c r="GG33" s="218"/>
      <c r="GH33" s="218"/>
      <c r="GI33" s="218"/>
      <c r="GJ33" s="218"/>
      <c r="GK33" s="218"/>
      <c r="GL33" s="218"/>
      <c r="GM33" s="218"/>
      <c r="GN33" s="218"/>
      <c r="GO33" s="218"/>
      <c r="GP33" s="218"/>
      <c r="GQ33" s="218"/>
      <c r="GR33" s="218"/>
      <c r="GS33" s="218"/>
      <c r="GT33" s="218"/>
      <c r="GU33" s="218"/>
      <c r="GV33" s="218"/>
      <c r="GW33" s="218"/>
      <c r="GX33" s="218"/>
      <c r="GY33" s="218"/>
      <c r="GZ33" s="218"/>
      <c r="HA33" s="218"/>
      <c r="HB33" s="218"/>
      <c r="HC33" s="218"/>
      <c r="HD33" s="218"/>
      <c r="HE33" s="218"/>
      <c r="HF33" s="218"/>
      <c r="HG33" s="218"/>
      <c r="HH33" s="218"/>
      <c r="HI33" s="218"/>
      <c r="HJ33" s="218"/>
      <c r="HK33" s="218"/>
      <c r="HL33" s="218"/>
      <c r="HM33" s="218"/>
      <c r="HN33" s="218"/>
      <c r="HO33" s="218"/>
      <c r="HP33" s="218"/>
      <c r="HQ33" s="218"/>
      <c r="HR33" s="218"/>
      <c r="HS33" s="218"/>
      <c r="HT33" s="218"/>
      <c r="HU33" s="218"/>
      <c r="HV33" s="218"/>
      <c r="HW33" s="218"/>
      <c r="HX33" s="218"/>
      <c r="HY33" s="218"/>
      <c r="HZ33" s="218"/>
      <c r="IA33" s="218"/>
      <c r="IB33" s="218"/>
      <c r="IC33" s="218"/>
      <c r="ID33" s="218"/>
      <c r="IE33" s="218"/>
      <c r="IF33" s="218"/>
      <c r="IG33" s="218"/>
      <c r="IH33" s="218"/>
      <c r="II33" s="218"/>
      <c r="IJ33" s="218"/>
      <c r="IK33" s="218"/>
      <c r="IL33" s="218"/>
      <c r="IM33" s="218"/>
      <c r="IN33" s="218"/>
      <c r="IO33" s="218"/>
      <c r="IP33" s="218"/>
      <c r="IQ33" s="218"/>
      <c r="IR33" s="218"/>
      <c r="IS33" s="218"/>
      <c r="IT33" s="218"/>
      <c r="IU33" s="218"/>
      <c r="IV33" s="218"/>
      <c r="IW33" s="218"/>
    </row>
    <row r="34" customFormat="false" ht="11.25" hidden="false" customHeight="false" outlineLevel="0" collapsed="false">
      <c r="A34" s="218"/>
      <c r="B34" s="256" t="s">
        <v>204</v>
      </c>
      <c r="C34" s="257" t="n">
        <f aca="false">C24+C28</f>
        <v>0</v>
      </c>
      <c r="D34" s="257" t="n">
        <f aca="false">D24+D28</f>
        <v>8849.81866834132</v>
      </c>
      <c r="E34" s="257" t="e">
        <f aca="false">E24+E28</f>
        <v>#VALUE!</v>
      </c>
      <c r="F34" s="257" t="e">
        <f aca="false">F24+F28</f>
        <v>#VALUE!</v>
      </c>
      <c r="G34" s="257" t="e">
        <f aca="false">G24+G28</f>
        <v>#VALUE!</v>
      </c>
      <c r="H34" s="257" t="e">
        <f aca="false">H24+H28</f>
        <v>#VALUE!</v>
      </c>
      <c r="I34" s="257" t="e">
        <f aca="false">I24+I28</f>
        <v>#VALUE!</v>
      </c>
      <c r="J34" s="257" t="e">
        <f aca="false">J24+J28</f>
        <v>#VALUE!</v>
      </c>
      <c r="K34" s="257" t="e">
        <f aca="false">K24+K28</f>
        <v>#VALUE!</v>
      </c>
      <c r="L34" s="257" t="e">
        <f aca="false">L24+L28</f>
        <v>#VALUE!</v>
      </c>
      <c r="M34" s="257" t="e">
        <f aca="false">M24+M28</f>
        <v>#VALUE!</v>
      </c>
      <c r="N34" s="257" t="e">
        <f aca="false">N24+N28</f>
        <v>#VALUE!</v>
      </c>
      <c r="O34" s="257" t="e">
        <f aca="false">O24+O28</f>
        <v>#VALUE!</v>
      </c>
      <c r="P34" s="257" t="e">
        <f aca="false">P24+P28</f>
        <v>#VALUE!</v>
      </c>
      <c r="Q34" s="257" t="e">
        <f aca="false">Q24+Q28</f>
        <v>#VALUE!</v>
      </c>
      <c r="R34" s="257" t="e">
        <f aca="false">R24+R28</f>
        <v>#VALUE!</v>
      </c>
      <c r="S34" s="257" t="e">
        <f aca="false">S24+S28</f>
        <v>#VALUE!</v>
      </c>
      <c r="T34" s="257" t="e">
        <f aca="false">T24+T28</f>
        <v>#VALUE!</v>
      </c>
      <c r="U34" s="257" t="e">
        <f aca="false">U24+U28</f>
        <v>#VALUE!</v>
      </c>
      <c r="V34" s="257" t="e">
        <f aca="false">V24+V28</f>
        <v>#VALUE!</v>
      </c>
      <c r="W34" s="257" t="e">
        <f aca="false">W24+W28</f>
        <v>#VALUE!</v>
      </c>
      <c r="X34" s="257" t="e">
        <f aca="false">X24+X28</f>
        <v>#VALUE!</v>
      </c>
      <c r="Y34" s="257" t="n">
        <f aca="false">Y24+Y28</f>
        <v>0</v>
      </c>
      <c r="Z34" s="257" t="n">
        <f aca="false">Z24+Z28</f>
        <v>0</v>
      </c>
      <c r="AA34" s="257" t="n">
        <f aca="false">AA24+AA28</f>
        <v>0</v>
      </c>
      <c r="AB34" s="257" t="n">
        <f aca="false">AB24+AB28</f>
        <v>0</v>
      </c>
      <c r="AC34" s="218"/>
      <c r="AD34" s="218"/>
      <c r="AE34" s="218"/>
      <c r="AF34" s="218"/>
      <c r="AG34" s="218"/>
      <c r="AH34" s="218"/>
      <c r="AI34" s="218"/>
      <c r="AJ34" s="218"/>
      <c r="AK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  <c r="AX34" s="218"/>
      <c r="AY34" s="218"/>
      <c r="AZ34" s="218"/>
      <c r="BA34" s="218"/>
      <c r="BB34" s="218"/>
      <c r="BC34" s="218"/>
      <c r="BD34" s="218"/>
      <c r="BE34" s="218"/>
      <c r="BF34" s="218"/>
      <c r="BG34" s="218"/>
      <c r="BH34" s="218"/>
      <c r="BI34" s="218"/>
      <c r="BJ34" s="218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8"/>
      <c r="CA34" s="218"/>
      <c r="CB34" s="218"/>
      <c r="CC34" s="218"/>
      <c r="CD34" s="218"/>
      <c r="CE34" s="218"/>
      <c r="CF34" s="218"/>
      <c r="CG34" s="218"/>
      <c r="CH34" s="218"/>
      <c r="CI34" s="218"/>
      <c r="CJ34" s="218"/>
      <c r="CK34" s="218"/>
      <c r="CL34" s="218"/>
      <c r="CM34" s="218"/>
      <c r="CN34" s="218"/>
      <c r="CO34" s="218"/>
      <c r="CP34" s="218"/>
      <c r="CQ34" s="218"/>
      <c r="CR34" s="218"/>
      <c r="CS34" s="218"/>
      <c r="CT34" s="218"/>
      <c r="CU34" s="218"/>
      <c r="CV34" s="218"/>
      <c r="CW34" s="218"/>
      <c r="CX34" s="218"/>
      <c r="CY34" s="218"/>
      <c r="CZ34" s="218"/>
      <c r="DA34" s="218"/>
      <c r="DB34" s="218"/>
      <c r="DC34" s="218"/>
      <c r="DD34" s="218"/>
      <c r="DE34" s="218"/>
      <c r="DF34" s="218"/>
      <c r="DG34" s="218"/>
      <c r="DH34" s="218"/>
      <c r="DI34" s="218"/>
      <c r="DJ34" s="218"/>
      <c r="DK34" s="218"/>
      <c r="DL34" s="218"/>
      <c r="DM34" s="218"/>
      <c r="DN34" s="218"/>
      <c r="DO34" s="218"/>
      <c r="DP34" s="218"/>
      <c r="DQ34" s="218"/>
      <c r="DR34" s="218"/>
      <c r="DS34" s="218"/>
      <c r="DT34" s="218"/>
      <c r="DU34" s="218"/>
      <c r="DV34" s="218"/>
      <c r="DW34" s="218"/>
      <c r="DX34" s="218"/>
      <c r="DY34" s="218"/>
      <c r="DZ34" s="218"/>
      <c r="EA34" s="218"/>
      <c r="EB34" s="218"/>
      <c r="EC34" s="218"/>
      <c r="ED34" s="218"/>
      <c r="EE34" s="218"/>
      <c r="EF34" s="218"/>
      <c r="EG34" s="218"/>
      <c r="EH34" s="218"/>
      <c r="EI34" s="218"/>
      <c r="EJ34" s="218"/>
      <c r="EK34" s="218"/>
      <c r="EL34" s="218"/>
      <c r="EM34" s="218"/>
      <c r="EN34" s="218"/>
      <c r="EO34" s="218"/>
      <c r="EP34" s="218"/>
      <c r="EQ34" s="218"/>
      <c r="ER34" s="218"/>
      <c r="ES34" s="218"/>
      <c r="ET34" s="218"/>
      <c r="EU34" s="218"/>
      <c r="EV34" s="218"/>
      <c r="EW34" s="218"/>
      <c r="EX34" s="218"/>
      <c r="EY34" s="218"/>
      <c r="EZ34" s="218"/>
      <c r="FA34" s="218"/>
      <c r="FB34" s="218"/>
      <c r="FC34" s="218"/>
      <c r="FD34" s="218"/>
      <c r="FE34" s="218"/>
      <c r="FF34" s="218"/>
      <c r="FG34" s="218"/>
      <c r="FH34" s="218"/>
      <c r="FI34" s="218"/>
      <c r="FJ34" s="218"/>
      <c r="FK34" s="218"/>
      <c r="FL34" s="218"/>
      <c r="FM34" s="218"/>
      <c r="FN34" s="218"/>
      <c r="FO34" s="218"/>
      <c r="FP34" s="218"/>
      <c r="FQ34" s="218"/>
      <c r="FR34" s="218"/>
      <c r="FS34" s="218"/>
      <c r="FT34" s="218"/>
      <c r="FU34" s="218"/>
      <c r="FV34" s="218"/>
      <c r="FW34" s="218"/>
      <c r="FX34" s="218"/>
      <c r="FY34" s="218"/>
      <c r="FZ34" s="218"/>
      <c r="GA34" s="218"/>
      <c r="GB34" s="218"/>
      <c r="GC34" s="218"/>
      <c r="GD34" s="218"/>
      <c r="GE34" s="218"/>
      <c r="GF34" s="218"/>
      <c r="GG34" s="218"/>
      <c r="GH34" s="218"/>
      <c r="GI34" s="218"/>
      <c r="GJ34" s="218"/>
      <c r="GK34" s="218"/>
      <c r="GL34" s="218"/>
      <c r="GM34" s="218"/>
      <c r="GN34" s="218"/>
      <c r="GO34" s="218"/>
      <c r="GP34" s="218"/>
      <c r="GQ34" s="218"/>
      <c r="GR34" s="218"/>
      <c r="GS34" s="218"/>
      <c r="GT34" s="218"/>
      <c r="GU34" s="218"/>
      <c r="GV34" s="218"/>
      <c r="GW34" s="218"/>
      <c r="GX34" s="218"/>
      <c r="GY34" s="218"/>
      <c r="GZ34" s="218"/>
      <c r="HA34" s="218"/>
      <c r="HB34" s="218"/>
      <c r="HC34" s="218"/>
      <c r="HD34" s="218"/>
      <c r="HE34" s="218"/>
      <c r="HF34" s="218"/>
      <c r="HG34" s="218"/>
      <c r="HH34" s="218"/>
      <c r="HI34" s="218"/>
      <c r="HJ34" s="218"/>
      <c r="HK34" s="218"/>
      <c r="HL34" s="218"/>
      <c r="HM34" s="218"/>
      <c r="HN34" s="218"/>
      <c r="HO34" s="218"/>
      <c r="HP34" s="218"/>
      <c r="HQ34" s="218"/>
      <c r="HR34" s="218"/>
      <c r="HS34" s="218"/>
      <c r="HT34" s="218"/>
      <c r="HU34" s="218"/>
      <c r="HV34" s="218"/>
      <c r="HW34" s="218"/>
      <c r="HX34" s="218"/>
      <c r="HY34" s="218"/>
      <c r="HZ34" s="218"/>
      <c r="IA34" s="218"/>
      <c r="IB34" s="218"/>
      <c r="IC34" s="218"/>
      <c r="ID34" s="218"/>
      <c r="IE34" s="218"/>
      <c r="IF34" s="218"/>
      <c r="IG34" s="218"/>
      <c r="IH34" s="218"/>
      <c r="II34" s="218"/>
      <c r="IJ34" s="218"/>
      <c r="IK34" s="218"/>
      <c r="IL34" s="218"/>
      <c r="IM34" s="218"/>
      <c r="IN34" s="218"/>
      <c r="IO34" s="218"/>
      <c r="IP34" s="218"/>
      <c r="IQ34" s="218"/>
      <c r="IR34" s="218"/>
      <c r="IS34" s="218"/>
      <c r="IT34" s="218"/>
      <c r="IU34" s="218"/>
      <c r="IV34" s="218"/>
      <c r="IW34" s="218"/>
    </row>
    <row r="35" customFormat="false" ht="11.25" hidden="false" customHeight="false" outlineLevel="0" collapsed="false">
      <c r="A35" s="218"/>
      <c r="B35" s="127" t="s">
        <v>205</v>
      </c>
      <c r="C35" s="257" t="n">
        <f aca="false">C25+C29</f>
        <v>0</v>
      </c>
      <c r="D35" s="257" t="n">
        <f aca="false">D25+D29</f>
        <v>4339.64911955774</v>
      </c>
      <c r="E35" s="257" t="e">
        <f aca="false">E25+E29</f>
        <v>#VALUE!</v>
      </c>
      <c r="F35" s="257" t="e">
        <f aca="false">F25+F29</f>
        <v>#VALUE!</v>
      </c>
      <c r="G35" s="257" t="e">
        <f aca="false">G25+G29</f>
        <v>#VALUE!</v>
      </c>
      <c r="H35" s="257" t="e">
        <f aca="false">H25+H29</f>
        <v>#VALUE!</v>
      </c>
      <c r="I35" s="257" t="e">
        <f aca="false">I25+I29</f>
        <v>#VALUE!</v>
      </c>
      <c r="J35" s="257" t="e">
        <f aca="false">J25+J29</f>
        <v>#VALUE!</v>
      </c>
      <c r="K35" s="257" t="e">
        <f aca="false">K25+K29</f>
        <v>#VALUE!</v>
      </c>
      <c r="L35" s="257" t="e">
        <f aca="false">L25+L29</f>
        <v>#VALUE!</v>
      </c>
      <c r="M35" s="257" t="e">
        <f aca="false">M25+M29</f>
        <v>#VALUE!</v>
      </c>
      <c r="N35" s="257" t="e">
        <f aca="false">N25+N29</f>
        <v>#VALUE!</v>
      </c>
      <c r="O35" s="257" t="e">
        <f aca="false">O25+O29</f>
        <v>#VALUE!</v>
      </c>
      <c r="P35" s="257" t="e">
        <f aca="false">P25+P29</f>
        <v>#VALUE!</v>
      </c>
      <c r="Q35" s="257" t="e">
        <f aca="false">Q25+Q29</f>
        <v>#VALUE!</v>
      </c>
      <c r="R35" s="257" t="e">
        <f aca="false">R25+R29</f>
        <v>#VALUE!</v>
      </c>
      <c r="S35" s="257" t="e">
        <f aca="false">S25+S29</f>
        <v>#VALUE!</v>
      </c>
      <c r="T35" s="257" t="e">
        <f aca="false">T25+T29</f>
        <v>#VALUE!</v>
      </c>
      <c r="U35" s="257" t="e">
        <f aca="false">U25+U29</f>
        <v>#VALUE!</v>
      </c>
      <c r="V35" s="257" t="e">
        <f aca="false">V25+V29</f>
        <v>#VALUE!</v>
      </c>
      <c r="W35" s="257" t="e">
        <f aca="false">W25+W29</f>
        <v>#VALUE!</v>
      </c>
      <c r="X35" s="257" t="e">
        <f aca="false">X25+X29</f>
        <v>#VALUE!</v>
      </c>
      <c r="Y35" s="257" t="e">
        <f aca="false">Y25+Y29</f>
        <v>#VALUE!</v>
      </c>
      <c r="Z35" s="257" t="e">
        <f aca="false">Z25+Z29</f>
        <v>#VALUE!</v>
      </c>
      <c r="AA35" s="257" t="e">
        <f aca="false">AA25+AA29</f>
        <v>#VALUE!</v>
      </c>
      <c r="AB35" s="257" t="e">
        <f aca="false">AB25+AB29</f>
        <v>#VALUE!</v>
      </c>
      <c r="AC35" s="218"/>
      <c r="AD35" s="218"/>
      <c r="AE35" s="218"/>
      <c r="AF35" s="218"/>
      <c r="AG35" s="218"/>
      <c r="AH35" s="218"/>
      <c r="AI35" s="218"/>
      <c r="AJ35" s="218"/>
      <c r="AK35" s="218"/>
      <c r="AL35" s="218"/>
      <c r="AM35" s="218"/>
      <c r="AN35" s="218"/>
      <c r="AO35" s="218"/>
      <c r="AP35" s="218"/>
      <c r="AQ35" s="218"/>
      <c r="AR35" s="218"/>
      <c r="AS35" s="218"/>
      <c r="AT35" s="218"/>
      <c r="AU35" s="218"/>
      <c r="AV35" s="218"/>
      <c r="AW35" s="218"/>
      <c r="AX35" s="218"/>
      <c r="AY35" s="218"/>
      <c r="AZ35" s="218"/>
      <c r="BA35" s="218"/>
      <c r="BB35" s="218"/>
      <c r="BC35" s="218"/>
      <c r="BD35" s="218"/>
      <c r="BE35" s="218"/>
      <c r="BF35" s="218"/>
      <c r="BG35" s="218"/>
      <c r="BH35" s="218"/>
      <c r="BI35" s="218"/>
      <c r="BJ35" s="218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8"/>
      <c r="CA35" s="218"/>
      <c r="CB35" s="218"/>
      <c r="CC35" s="218"/>
      <c r="CD35" s="218"/>
      <c r="CE35" s="218"/>
      <c r="CF35" s="218"/>
      <c r="CG35" s="218"/>
      <c r="CH35" s="218"/>
      <c r="CI35" s="218"/>
      <c r="CJ35" s="218"/>
      <c r="CK35" s="218"/>
      <c r="CL35" s="218"/>
      <c r="CM35" s="218"/>
      <c r="CN35" s="218"/>
      <c r="CO35" s="218"/>
      <c r="CP35" s="218"/>
      <c r="CQ35" s="218"/>
      <c r="CR35" s="218"/>
      <c r="CS35" s="218"/>
      <c r="CT35" s="218"/>
      <c r="CU35" s="218"/>
      <c r="CV35" s="218"/>
      <c r="CW35" s="218"/>
      <c r="CX35" s="218"/>
      <c r="CY35" s="218"/>
      <c r="CZ35" s="218"/>
      <c r="DA35" s="218"/>
      <c r="DB35" s="218"/>
      <c r="DC35" s="218"/>
      <c r="DD35" s="218"/>
      <c r="DE35" s="218"/>
      <c r="DF35" s="218"/>
      <c r="DG35" s="218"/>
      <c r="DH35" s="218"/>
      <c r="DI35" s="218"/>
      <c r="DJ35" s="218"/>
      <c r="DK35" s="218"/>
      <c r="DL35" s="218"/>
      <c r="DM35" s="218"/>
      <c r="DN35" s="218"/>
      <c r="DO35" s="218"/>
      <c r="DP35" s="218"/>
      <c r="DQ35" s="218"/>
      <c r="DR35" s="218"/>
      <c r="DS35" s="218"/>
      <c r="DT35" s="218"/>
      <c r="DU35" s="218"/>
      <c r="DV35" s="218"/>
      <c r="DW35" s="218"/>
      <c r="DX35" s="218"/>
      <c r="DY35" s="218"/>
      <c r="DZ35" s="218"/>
      <c r="EA35" s="218"/>
      <c r="EB35" s="218"/>
      <c r="EC35" s="218"/>
      <c r="ED35" s="218"/>
      <c r="EE35" s="218"/>
      <c r="EF35" s="218"/>
      <c r="EG35" s="218"/>
      <c r="EH35" s="218"/>
      <c r="EI35" s="218"/>
      <c r="EJ35" s="218"/>
      <c r="EK35" s="218"/>
      <c r="EL35" s="218"/>
      <c r="EM35" s="218"/>
      <c r="EN35" s="218"/>
      <c r="EO35" s="218"/>
      <c r="EP35" s="218"/>
      <c r="EQ35" s="218"/>
      <c r="ER35" s="218"/>
      <c r="ES35" s="218"/>
      <c r="ET35" s="218"/>
      <c r="EU35" s="218"/>
      <c r="EV35" s="218"/>
      <c r="EW35" s="218"/>
      <c r="EX35" s="218"/>
      <c r="EY35" s="218"/>
      <c r="EZ35" s="218"/>
      <c r="FA35" s="218"/>
      <c r="FB35" s="218"/>
      <c r="FC35" s="218"/>
      <c r="FD35" s="218"/>
      <c r="FE35" s="218"/>
      <c r="FF35" s="218"/>
      <c r="FG35" s="218"/>
      <c r="FH35" s="218"/>
      <c r="FI35" s="218"/>
      <c r="FJ35" s="218"/>
      <c r="FK35" s="218"/>
      <c r="FL35" s="218"/>
      <c r="FM35" s="218"/>
      <c r="FN35" s="218"/>
      <c r="FO35" s="218"/>
      <c r="FP35" s="218"/>
      <c r="FQ35" s="218"/>
      <c r="FR35" s="218"/>
      <c r="FS35" s="218"/>
      <c r="FT35" s="218"/>
      <c r="FU35" s="218"/>
      <c r="FV35" s="218"/>
      <c r="FW35" s="218"/>
      <c r="FX35" s="218"/>
      <c r="FY35" s="218"/>
      <c r="FZ35" s="218"/>
      <c r="GA35" s="218"/>
      <c r="GB35" s="218"/>
      <c r="GC35" s="218"/>
      <c r="GD35" s="218"/>
      <c r="GE35" s="218"/>
      <c r="GF35" s="218"/>
      <c r="GG35" s="218"/>
      <c r="GH35" s="218"/>
      <c r="GI35" s="218"/>
      <c r="GJ35" s="218"/>
      <c r="GK35" s="218"/>
      <c r="GL35" s="218"/>
      <c r="GM35" s="218"/>
      <c r="GN35" s="218"/>
      <c r="GO35" s="218"/>
      <c r="GP35" s="218"/>
      <c r="GQ35" s="218"/>
      <c r="GR35" s="218"/>
      <c r="GS35" s="218"/>
      <c r="GT35" s="218"/>
      <c r="GU35" s="218"/>
      <c r="GV35" s="218"/>
      <c r="GW35" s="218"/>
      <c r="GX35" s="218"/>
      <c r="GY35" s="218"/>
      <c r="GZ35" s="218"/>
      <c r="HA35" s="218"/>
      <c r="HB35" s="218"/>
      <c r="HC35" s="218"/>
      <c r="HD35" s="218"/>
      <c r="HE35" s="218"/>
      <c r="HF35" s="218"/>
      <c r="HG35" s="218"/>
      <c r="HH35" s="218"/>
      <c r="HI35" s="218"/>
      <c r="HJ35" s="218"/>
      <c r="HK35" s="218"/>
      <c r="HL35" s="218"/>
      <c r="HM35" s="218"/>
      <c r="HN35" s="218"/>
      <c r="HO35" s="218"/>
      <c r="HP35" s="218"/>
      <c r="HQ35" s="218"/>
      <c r="HR35" s="218"/>
      <c r="HS35" s="218"/>
      <c r="HT35" s="218"/>
      <c r="HU35" s="218"/>
      <c r="HV35" s="218"/>
      <c r="HW35" s="218"/>
      <c r="HX35" s="218"/>
      <c r="HY35" s="218"/>
      <c r="HZ35" s="218"/>
      <c r="IA35" s="218"/>
      <c r="IB35" s="218"/>
      <c r="IC35" s="218"/>
      <c r="ID35" s="218"/>
      <c r="IE35" s="218"/>
      <c r="IF35" s="218"/>
      <c r="IG35" s="218"/>
      <c r="IH35" s="218"/>
      <c r="II35" s="218"/>
      <c r="IJ35" s="218"/>
      <c r="IK35" s="218"/>
      <c r="IL35" s="218"/>
      <c r="IM35" s="218"/>
      <c r="IN35" s="218"/>
      <c r="IO35" s="218"/>
      <c r="IP35" s="218"/>
      <c r="IQ35" s="218"/>
      <c r="IR35" s="218"/>
      <c r="IS35" s="218"/>
      <c r="IT35" s="218"/>
      <c r="IU35" s="218"/>
      <c r="IV35" s="218"/>
      <c r="IW35" s="218"/>
    </row>
    <row r="36" customFormat="false" ht="11.25" hidden="false" customHeight="false" outlineLevel="0" collapsed="false">
      <c r="A36" s="218"/>
      <c r="B36" s="258" t="s">
        <v>206</v>
      </c>
      <c r="C36" s="259" t="n">
        <f aca="false">C26+C30</f>
        <v>0</v>
      </c>
      <c r="D36" s="259" t="e">
        <f aca="false">D26+D30+D31</f>
        <v>#VALUE!</v>
      </c>
      <c r="E36" s="259" t="e">
        <f aca="false">E26+E30+E31</f>
        <v>#VALUE!</v>
      </c>
      <c r="F36" s="259" t="e">
        <f aca="false">F26+F30+F31</f>
        <v>#VALUE!</v>
      </c>
      <c r="G36" s="259" t="e">
        <f aca="false">G26+G30+G31</f>
        <v>#VALUE!</v>
      </c>
      <c r="H36" s="259" t="e">
        <f aca="false">H26+H30+H31</f>
        <v>#VALUE!</v>
      </c>
      <c r="I36" s="259" t="e">
        <f aca="false">I26+I30+I31</f>
        <v>#VALUE!</v>
      </c>
      <c r="J36" s="259" t="e">
        <f aca="false">J26+J30+J31</f>
        <v>#VALUE!</v>
      </c>
      <c r="K36" s="259" t="e">
        <f aca="false">K26+K30+K31</f>
        <v>#VALUE!</v>
      </c>
      <c r="L36" s="259" t="e">
        <f aca="false">L26+L30+L31</f>
        <v>#VALUE!</v>
      </c>
      <c r="M36" s="259" t="e">
        <f aca="false">M26+M30+M31</f>
        <v>#VALUE!</v>
      </c>
      <c r="N36" s="259" t="e">
        <f aca="false">N26+N30+N31</f>
        <v>#VALUE!</v>
      </c>
      <c r="O36" s="259" t="e">
        <f aca="false">O26+O30+O31</f>
        <v>#VALUE!</v>
      </c>
      <c r="P36" s="259" t="e">
        <f aca="false">P26+P30+P31</f>
        <v>#VALUE!</v>
      </c>
      <c r="Q36" s="259" t="e">
        <f aca="false">Q26+Q30+Q31</f>
        <v>#VALUE!</v>
      </c>
      <c r="R36" s="259" t="e">
        <f aca="false">R26+R30+R31</f>
        <v>#VALUE!</v>
      </c>
      <c r="S36" s="259" t="e">
        <f aca="false">S26+S30+S31</f>
        <v>#VALUE!</v>
      </c>
      <c r="T36" s="259" t="e">
        <f aca="false">T26+T30+T31</f>
        <v>#VALUE!</v>
      </c>
      <c r="U36" s="259" t="e">
        <f aca="false">U26+U30+U31</f>
        <v>#VALUE!</v>
      </c>
      <c r="V36" s="259" t="e">
        <f aca="false">V26+V30+V31</f>
        <v>#VALUE!</v>
      </c>
      <c r="W36" s="259" t="e">
        <f aca="false">W26+W30+W31</f>
        <v>#VALUE!</v>
      </c>
      <c r="X36" s="259" t="e">
        <f aca="false">X26+X30+X31</f>
        <v>#VALUE!</v>
      </c>
      <c r="Y36" s="259" t="e">
        <f aca="false">Y26+Y30+Y31</f>
        <v>#VALUE!</v>
      </c>
      <c r="Z36" s="259" t="e">
        <f aca="false">Z26+Z30+Z31</f>
        <v>#VALUE!</v>
      </c>
      <c r="AA36" s="259" t="e">
        <f aca="false">AA26+AA30+AA31</f>
        <v>#VALUE!</v>
      </c>
      <c r="AB36" s="259" t="e">
        <f aca="false">AB26+AB30+AB31</f>
        <v>#VALUE!</v>
      </c>
      <c r="AC36" s="218"/>
      <c r="AD36" s="218"/>
      <c r="AE36" s="218"/>
      <c r="AF36" s="218"/>
      <c r="AG36" s="218"/>
      <c r="AH36" s="218"/>
      <c r="AI36" s="218"/>
      <c r="AJ36" s="218"/>
      <c r="AK36" s="218"/>
      <c r="AL36" s="218"/>
      <c r="AM36" s="218"/>
      <c r="AN36" s="218"/>
      <c r="AO36" s="218"/>
      <c r="AP36" s="218"/>
      <c r="AQ36" s="218"/>
      <c r="AR36" s="218"/>
      <c r="AS36" s="218"/>
      <c r="AT36" s="218"/>
      <c r="AU36" s="218"/>
      <c r="AV36" s="218"/>
      <c r="AW36" s="218"/>
      <c r="AX36" s="218"/>
      <c r="AY36" s="218"/>
      <c r="AZ36" s="218"/>
      <c r="BA36" s="218"/>
      <c r="BB36" s="218"/>
      <c r="BC36" s="218"/>
      <c r="BD36" s="218"/>
      <c r="BE36" s="218"/>
      <c r="BF36" s="218"/>
      <c r="BG36" s="218"/>
      <c r="BH36" s="218"/>
      <c r="BI36" s="218"/>
      <c r="BJ36" s="218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8"/>
      <c r="CA36" s="218"/>
      <c r="CB36" s="218"/>
      <c r="CC36" s="218"/>
      <c r="CD36" s="218"/>
      <c r="CE36" s="218"/>
      <c r="CF36" s="218"/>
      <c r="CG36" s="218"/>
      <c r="CH36" s="218"/>
      <c r="CI36" s="218"/>
      <c r="CJ36" s="218"/>
      <c r="CK36" s="218"/>
      <c r="CL36" s="218"/>
      <c r="CM36" s="218"/>
      <c r="CN36" s="218"/>
      <c r="CO36" s="218"/>
      <c r="CP36" s="218"/>
      <c r="CQ36" s="218"/>
      <c r="CR36" s="218"/>
      <c r="CS36" s="218"/>
      <c r="CT36" s="218"/>
      <c r="CU36" s="218"/>
      <c r="CV36" s="218"/>
      <c r="CW36" s="218"/>
      <c r="CX36" s="218"/>
      <c r="CY36" s="218"/>
      <c r="CZ36" s="218"/>
      <c r="DA36" s="218"/>
      <c r="DB36" s="218"/>
      <c r="DC36" s="218"/>
      <c r="DD36" s="218"/>
      <c r="DE36" s="218"/>
      <c r="DF36" s="218"/>
      <c r="DG36" s="218"/>
      <c r="DH36" s="218"/>
      <c r="DI36" s="218"/>
      <c r="DJ36" s="218"/>
      <c r="DK36" s="218"/>
      <c r="DL36" s="218"/>
      <c r="DM36" s="218"/>
      <c r="DN36" s="218"/>
      <c r="DO36" s="218"/>
      <c r="DP36" s="218"/>
      <c r="DQ36" s="218"/>
      <c r="DR36" s="218"/>
      <c r="DS36" s="218"/>
      <c r="DT36" s="218"/>
      <c r="DU36" s="218"/>
      <c r="DV36" s="218"/>
      <c r="DW36" s="218"/>
      <c r="DX36" s="218"/>
      <c r="DY36" s="218"/>
      <c r="DZ36" s="218"/>
      <c r="EA36" s="218"/>
      <c r="EB36" s="218"/>
      <c r="EC36" s="218"/>
      <c r="ED36" s="218"/>
      <c r="EE36" s="218"/>
      <c r="EF36" s="218"/>
      <c r="EG36" s="218"/>
      <c r="EH36" s="218"/>
      <c r="EI36" s="218"/>
      <c r="EJ36" s="218"/>
      <c r="EK36" s="218"/>
      <c r="EL36" s="218"/>
      <c r="EM36" s="218"/>
      <c r="EN36" s="218"/>
      <c r="EO36" s="218"/>
      <c r="EP36" s="218"/>
      <c r="EQ36" s="218"/>
      <c r="ER36" s="218"/>
      <c r="ES36" s="218"/>
      <c r="ET36" s="218"/>
      <c r="EU36" s="218"/>
      <c r="EV36" s="218"/>
      <c r="EW36" s="218"/>
      <c r="EX36" s="218"/>
      <c r="EY36" s="218"/>
      <c r="EZ36" s="218"/>
      <c r="FA36" s="218"/>
      <c r="FB36" s="218"/>
      <c r="FC36" s="218"/>
      <c r="FD36" s="218"/>
      <c r="FE36" s="218"/>
      <c r="FF36" s="218"/>
      <c r="FG36" s="218"/>
      <c r="FH36" s="218"/>
      <c r="FI36" s="218"/>
      <c r="FJ36" s="218"/>
      <c r="FK36" s="218"/>
      <c r="FL36" s="218"/>
      <c r="FM36" s="218"/>
      <c r="FN36" s="218"/>
      <c r="FO36" s="218"/>
      <c r="FP36" s="218"/>
      <c r="FQ36" s="218"/>
      <c r="FR36" s="218"/>
      <c r="FS36" s="218"/>
      <c r="FT36" s="218"/>
      <c r="FU36" s="218"/>
      <c r="FV36" s="218"/>
      <c r="FW36" s="218"/>
      <c r="FX36" s="218"/>
      <c r="FY36" s="218"/>
      <c r="FZ36" s="218"/>
      <c r="GA36" s="218"/>
      <c r="GB36" s="218"/>
      <c r="GC36" s="218"/>
      <c r="GD36" s="218"/>
      <c r="GE36" s="218"/>
      <c r="GF36" s="218"/>
      <c r="GG36" s="218"/>
      <c r="GH36" s="218"/>
      <c r="GI36" s="218"/>
      <c r="GJ36" s="218"/>
      <c r="GK36" s="218"/>
      <c r="GL36" s="218"/>
      <c r="GM36" s="218"/>
      <c r="GN36" s="218"/>
      <c r="GO36" s="218"/>
      <c r="GP36" s="218"/>
      <c r="GQ36" s="218"/>
      <c r="GR36" s="218"/>
      <c r="GS36" s="218"/>
      <c r="GT36" s="218"/>
      <c r="GU36" s="218"/>
      <c r="GV36" s="218"/>
      <c r="GW36" s="218"/>
      <c r="GX36" s="218"/>
      <c r="GY36" s="218"/>
      <c r="GZ36" s="218"/>
      <c r="HA36" s="218"/>
      <c r="HB36" s="218"/>
      <c r="HC36" s="218"/>
      <c r="HD36" s="218"/>
      <c r="HE36" s="218"/>
      <c r="HF36" s="218"/>
      <c r="HG36" s="218"/>
      <c r="HH36" s="218"/>
      <c r="HI36" s="218"/>
      <c r="HJ36" s="218"/>
      <c r="HK36" s="218"/>
      <c r="HL36" s="218"/>
      <c r="HM36" s="218"/>
      <c r="HN36" s="218"/>
      <c r="HO36" s="218"/>
      <c r="HP36" s="218"/>
      <c r="HQ36" s="218"/>
      <c r="HR36" s="218"/>
      <c r="HS36" s="218"/>
      <c r="HT36" s="218"/>
      <c r="HU36" s="218"/>
      <c r="HV36" s="218"/>
      <c r="HW36" s="218"/>
      <c r="HX36" s="218"/>
      <c r="HY36" s="218"/>
      <c r="HZ36" s="218"/>
      <c r="IA36" s="218"/>
      <c r="IB36" s="218"/>
      <c r="IC36" s="218"/>
      <c r="ID36" s="218"/>
      <c r="IE36" s="218"/>
      <c r="IF36" s="218"/>
      <c r="IG36" s="218"/>
      <c r="IH36" s="218"/>
      <c r="II36" s="218"/>
      <c r="IJ36" s="218"/>
      <c r="IK36" s="218"/>
      <c r="IL36" s="218"/>
      <c r="IM36" s="218"/>
      <c r="IN36" s="218"/>
      <c r="IO36" s="218"/>
      <c r="IP36" s="218"/>
      <c r="IQ36" s="218"/>
      <c r="IR36" s="218"/>
      <c r="IS36" s="218"/>
      <c r="IT36" s="218"/>
      <c r="IU36" s="218"/>
      <c r="IV36" s="218"/>
      <c r="IW36" s="218"/>
    </row>
    <row r="37" customFormat="false" ht="11.25" hidden="false" customHeight="false" outlineLevel="0" collapsed="false">
      <c r="A37" s="218"/>
      <c r="B37" s="256" t="s">
        <v>207</v>
      </c>
      <c r="C37" s="262" t="n">
        <f aca="false">C36/$J$3</f>
        <v>0</v>
      </c>
      <c r="D37" s="262" t="e">
        <f aca="false">D36/$J$3</f>
        <v>#VALUE!</v>
      </c>
      <c r="E37" s="262" t="e">
        <f aca="false">E36/$J$3</f>
        <v>#VALUE!</v>
      </c>
      <c r="F37" s="262" t="e">
        <f aca="false">F36/$J$3</f>
        <v>#VALUE!</v>
      </c>
      <c r="G37" s="262" t="e">
        <f aca="false">G36/$J$3</f>
        <v>#VALUE!</v>
      </c>
      <c r="H37" s="262" t="e">
        <f aca="false">H36/$J$3</f>
        <v>#VALUE!</v>
      </c>
      <c r="I37" s="262" t="e">
        <f aca="false">I36/$J$3</f>
        <v>#VALUE!</v>
      </c>
      <c r="J37" s="262" t="e">
        <f aca="false">J36/$J$3</f>
        <v>#VALUE!</v>
      </c>
      <c r="K37" s="262" t="e">
        <f aca="false">K36/$J$3</f>
        <v>#VALUE!</v>
      </c>
      <c r="L37" s="262" t="e">
        <f aca="false">L36/$J$3</f>
        <v>#VALUE!</v>
      </c>
      <c r="M37" s="262" t="e">
        <f aca="false">M36/$J$3</f>
        <v>#VALUE!</v>
      </c>
      <c r="N37" s="262" t="e">
        <f aca="false">N36/$J$3</f>
        <v>#VALUE!</v>
      </c>
      <c r="O37" s="262" t="e">
        <f aca="false">O36/$J$3</f>
        <v>#VALUE!</v>
      </c>
      <c r="P37" s="262" t="e">
        <f aca="false">P36/$J$3</f>
        <v>#VALUE!</v>
      </c>
      <c r="Q37" s="262" t="e">
        <f aca="false">Q36/$J$3</f>
        <v>#VALUE!</v>
      </c>
      <c r="R37" s="262" t="e">
        <f aca="false">R36/$J$3</f>
        <v>#VALUE!</v>
      </c>
      <c r="S37" s="262" t="e">
        <f aca="false">S36/$J$3</f>
        <v>#VALUE!</v>
      </c>
      <c r="T37" s="262" t="e">
        <f aca="false">T36/$J$3</f>
        <v>#VALUE!</v>
      </c>
      <c r="U37" s="262" t="e">
        <f aca="false">U36/$J$3</f>
        <v>#VALUE!</v>
      </c>
      <c r="V37" s="262" t="e">
        <f aca="false">V36/$J$3</f>
        <v>#VALUE!</v>
      </c>
      <c r="W37" s="262" t="e">
        <f aca="false">W36/$J$3</f>
        <v>#VALUE!</v>
      </c>
      <c r="X37" s="262" t="e">
        <f aca="false">X36/$J$3</f>
        <v>#VALUE!</v>
      </c>
      <c r="Y37" s="262" t="e">
        <f aca="false">Y36/$J$3</f>
        <v>#VALUE!</v>
      </c>
      <c r="Z37" s="262" t="e">
        <f aca="false">Z36/$J$3</f>
        <v>#VALUE!</v>
      </c>
      <c r="AA37" s="262" t="e">
        <f aca="false">AA36/$J$3</f>
        <v>#VALUE!</v>
      </c>
      <c r="AB37" s="262" t="e">
        <f aca="false">AB36/$J$3</f>
        <v>#VALUE!</v>
      </c>
      <c r="AC37" s="218"/>
      <c r="AD37" s="218"/>
      <c r="AE37" s="263" t="e">
        <f aca="false">SUM($C$37:$AA$37)</f>
        <v>#VALUE!</v>
      </c>
      <c r="AF37" s="218"/>
      <c r="AG37" s="218"/>
      <c r="AH37" s="218"/>
      <c r="AI37" s="218"/>
      <c r="AJ37" s="218"/>
      <c r="AK37" s="218"/>
      <c r="AL37" s="218"/>
      <c r="AM37" s="218"/>
      <c r="AN37" s="218"/>
      <c r="AO37" s="218"/>
      <c r="AP37" s="218"/>
      <c r="AQ37" s="218"/>
      <c r="AR37" s="218"/>
      <c r="AS37" s="218"/>
      <c r="AT37" s="218"/>
      <c r="AU37" s="218"/>
      <c r="AV37" s="218"/>
      <c r="AW37" s="218"/>
      <c r="AX37" s="218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8"/>
      <c r="CA37" s="218"/>
      <c r="CB37" s="218"/>
      <c r="CC37" s="218"/>
      <c r="CD37" s="218"/>
      <c r="CE37" s="218"/>
      <c r="CF37" s="218"/>
      <c r="CG37" s="218"/>
      <c r="CH37" s="218"/>
      <c r="CI37" s="218"/>
      <c r="CJ37" s="218"/>
      <c r="CK37" s="218"/>
      <c r="CL37" s="218"/>
      <c r="CM37" s="218"/>
      <c r="CN37" s="218"/>
      <c r="CO37" s="218"/>
      <c r="CP37" s="218"/>
      <c r="CQ37" s="218"/>
      <c r="CR37" s="218"/>
      <c r="CS37" s="218"/>
      <c r="CT37" s="218"/>
      <c r="CU37" s="218"/>
      <c r="CV37" s="218"/>
      <c r="CW37" s="218"/>
      <c r="CX37" s="218"/>
      <c r="CY37" s="218"/>
      <c r="CZ37" s="218"/>
      <c r="DA37" s="218"/>
      <c r="DB37" s="218"/>
      <c r="DC37" s="218"/>
      <c r="DD37" s="218"/>
      <c r="DE37" s="218"/>
      <c r="DF37" s="218"/>
      <c r="DG37" s="218"/>
      <c r="DH37" s="218"/>
      <c r="DI37" s="218"/>
      <c r="DJ37" s="218"/>
      <c r="DK37" s="218"/>
      <c r="DL37" s="218"/>
      <c r="DM37" s="218"/>
      <c r="DN37" s="218"/>
      <c r="DO37" s="218"/>
      <c r="DP37" s="218"/>
      <c r="DQ37" s="218"/>
      <c r="DR37" s="218"/>
      <c r="DS37" s="218"/>
      <c r="DT37" s="218"/>
      <c r="DU37" s="218"/>
      <c r="DV37" s="218"/>
      <c r="DW37" s="218"/>
      <c r="DX37" s="218"/>
      <c r="DY37" s="218"/>
      <c r="DZ37" s="218"/>
      <c r="EA37" s="218"/>
      <c r="EB37" s="218"/>
      <c r="EC37" s="218"/>
      <c r="ED37" s="218"/>
      <c r="EE37" s="218"/>
      <c r="EF37" s="218"/>
      <c r="EG37" s="218"/>
      <c r="EH37" s="218"/>
      <c r="EI37" s="218"/>
      <c r="EJ37" s="218"/>
      <c r="EK37" s="218"/>
      <c r="EL37" s="218"/>
      <c r="EM37" s="218"/>
      <c r="EN37" s="218"/>
      <c r="EO37" s="218"/>
      <c r="EP37" s="218"/>
      <c r="EQ37" s="218"/>
      <c r="ER37" s="218"/>
      <c r="ES37" s="218"/>
      <c r="ET37" s="218"/>
      <c r="EU37" s="218"/>
      <c r="EV37" s="218"/>
      <c r="EW37" s="218"/>
      <c r="EX37" s="218"/>
      <c r="EY37" s="218"/>
      <c r="EZ37" s="218"/>
      <c r="FA37" s="218"/>
      <c r="FB37" s="218"/>
      <c r="FC37" s="218"/>
      <c r="FD37" s="218"/>
      <c r="FE37" s="218"/>
      <c r="FF37" s="218"/>
      <c r="FG37" s="218"/>
      <c r="FH37" s="218"/>
      <c r="FI37" s="218"/>
      <c r="FJ37" s="218"/>
      <c r="FK37" s="218"/>
      <c r="FL37" s="218"/>
      <c r="FM37" s="218"/>
      <c r="FN37" s="218"/>
      <c r="FO37" s="218"/>
      <c r="FP37" s="218"/>
      <c r="FQ37" s="218"/>
      <c r="FR37" s="218"/>
      <c r="FS37" s="218"/>
      <c r="FT37" s="218"/>
      <c r="FU37" s="218"/>
      <c r="FV37" s="218"/>
      <c r="FW37" s="218"/>
      <c r="FX37" s="218"/>
      <c r="FY37" s="218"/>
      <c r="FZ37" s="218"/>
      <c r="GA37" s="218"/>
      <c r="GB37" s="218"/>
      <c r="GC37" s="218"/>
      <c r="GD37" s="218"/>
      <c r="GE37" s="218"/>
      <c r="GF37" s="218"/>
      <c r="GG37" s="218"/>
      <c r="GH37" s="218"/>
      <c r="GI37" s="218"/>
      <c r="GJ37" s="218"/>
      <c r="GK37" s="218"/>
      <c r="GL37" s="218"/>
      <c r="GM37" s="218"/>
      <c r="GN37" s="218"/>
      <c r="GO37" s="218"/>
      <c r="GP37" s="218"/>
      <c r="GQ37" s="218"/>
      <c r="GR37" s="218"/>
      <c r="GS37" s="218"/>
      <c r="GT37" s="218"/>
      <c r="GU37" s="218"/>
      <c r="GV37" s="218"/>
      <c r="GW37" s="218"/>
      <c r="GX37" s="218"/>
      <c r="GY37" s="218"/>
      <c r="GZ37" s="218"/>
      <c r="HA37" s="218"/>
      <c r="HB37" s="218"/>
      <c r="HC37" s="218"/>
      <c r="HD37" s="218"/>
      <c r="HE37" s="218"/>
      <c r="HF37" s="218"/>
      <c r="HG37" s="218"/>
      <c r="HH37" s="218"/>
      <c r="HI37" s="218"/>
      <c r="HJ37" s="218"/>
      <c r="HK37" s="218"/>
      <c r="HL37" s="218"/>
      <c r="HM37" s="218"/>
      <c r="HN37" s="218"/>
      <c r="HO37" s="218"/>
      <c r="HP37" s="218"/>
      <c r="HQ37" s="218"/>
      <c r="HR37" s="218"/>
      <c r="HS37" s="218"/>
      <c r="HT37" s="218"/>
      <c r="HU37" s="218"/>
      <c r="HV37" s="218"/>
      <c r="HW37" s="218"/>
      <c r="HX37" s="218"/>
      <c r="HY37" s="218"/>
      <c r="HZ37" s="218"/>
      <c r="IA37" s="218"/>
      <c r="IB37" s="218"/>
      <c r="IC37" s="218"/>
      <c r="ID37" s="218"/>
      <c r="IE37" s="218"/>
      <c r="IF37" s="218"/>
      <c r="IG37" s="218"/>
      <c r="IH37" s="218"/>
      <c r="II37" s="218"/>
      <c r="IJ37" s="218"/>
      <c r="IK37" s="218"/>
      <c r="IL37" s="218"/>
      <c r="IM37" s="218"/>
      <c r="IN37" s="218"/>
      <c r="IO37" s="218"/>
      <c r="IP37" s="218"/>
      <c r="IQ37" s="218"/>
      <c r="IR37" s="218"/>
      <c r="IS37" s="218"/>
      <c r="IT37" s="218"/>
      <c r="IU37" s="218"/>
      <c r="IV37" s="218"/>
      <c r="IW37" s="218"/>
    </row>
    <row r="38" customFormat="false" ht="11.25" hidden="false" customHeight="false" outlineLevel="0" collapsed="false">
      <c r="A38" s="218"/>
      <c r="B38" s="256" t="s">
        <v>208</v>
      </c>
      <c r="C38" s="264" t="n">
        <f aca="false">SUM($C36:C36)/$J$3</f>
        <v>0</v>
      </c>
      <c r="D38" s="264" t="e">
        <f aca="false">SUM($C36:D36)/$J$3</f>
        <v>#VALUE!</v>
      </c>
      <c r="E38" s="264" t="e">
        <f aca="false">SUM($C36:E36)/$J$3</f>
        <v>#VALUE!</v>
      </c>
      <c r="F38" s="264" t="e">
        <f aca="false">SUM($C36:F36)/$J$3</f>
        <v>#VALUE!</v>
      </c>
      <c r="G38" s="264" t="e">
        <f aca="false">SUM($C36:G36)/$J$3</f>
        <v>#VALUE!</v>
      </c>
      <c r="H38" s="264" t="e">
        <f aca="false">SUM($C36:H36)/$J$3</f>
        <v>#VALUE!</v>
      </c>
      <c r="I38" s="264" t="e">
        <f aca="false">SUM($C36:I36)/$J$3</f>
        <v>#VALUE!</v>
      </c>
      <c r="J38" s="264" t="e">
        <f aca="false">SUM($C36:J36)/$J$3</f>
        <v>#VALUE!</v>
      </c>
      <c r="K38" s="264" t="e">
        <f aca="false">SUM($C36:K36)/$J$3</f>
        <v>#VALUE!</v>
      </c>
      <c r="L38" s="264" t="e">
        <f aca="false">SUM($C36:L36)/$J$3</f>
        <v>#VALUE!</v>
      </c>
      <c r="M38" s="264" t="e">
        <f aca="false">SUM($C36:M36)/$J$3</f>
        <v>#VALUE!</v>
      </c>
      <c r="N38" s="264" t="e">
        <f aca="false">SUM($C36:N36)/$J$3</f>
        <v>#VALUE!</v>
      </c>
      <c r="O38" s="264" t="e">
        <f aca="false">SUM($C36:O36)/$J$3</f>
        <v>#VALUE!</v>
      </c>
      <c r="P38" s="264" t="e">
        <f aca="false">SUM($C36:P36)/$J$3</f>
        <v>#VALUE!</v>
      </c>
      <c r="Q38" s="264" t="e">
        <f aca="false">SUM($C36:Q36)/$J$3</f>
        <v>#VALUE!</v>
      </c>
      <c r="R38" s="264" t="e">
        <f aca="false">SUM($C36:R36)/$J$3</f>
        <v>#VALUE!</v>
      </c>
      <c r="S38" s="264" t="e">
        <f aca="false">SUM($C36:S36)/$J$3</f>
        <v>#VALUE!</v>
      </c>
      <c r="T38" s="264" t="e">
        <f aca="false">SUM($C36:T36)/$J$3</f>
        <v>#VALUE!</v>
      </c>
      <c r="U38" s="264" t="e">
        <f aca="false">SUM($C36:U36)/$J$3</f>
        <v>#VALUE!</v>
      </c>
      <c r="V38" s="264" t="e">
        <f aca="false">SUM($C36:V36)/$J$3</f>
        <v>#VALUE!</v>
      </c>
      <c r="W38" s="264" t="e">
        <f aca="false">SUM($C36:W36)/$J$3</f>
        <v>#VALUE!</v>
      </c>
      <c r="X38" s="264" t="e">
        <f aca="false">SUM($C36:X36)/$J$3</f>
        <v>#VALUE!</v>
      </c>
      <c r="Y38" s="264" t="e">
        <f aca="false">SUM($C36:Y36)/$J$3</f>
        <v>#VALUE!</v>
      </c>
      <c r="Z38" s="264" t="e">
        <f aca="false">SUM($C36:Z36)/$J$3</f>
        <v>#VALUE!</v>
      </c>
      <c r="AA38" s="264" t="e">
        <f aca="false">SUM($C36:AA36)/$J$3</f>
        <v>#VALUE!</v>
      </c>
      <c r="AB38" s="264" t="e">
        <f aca="false">SUM($C36:AB36)/$J$3</f>
        <v>#VALUE!</v>
      </c>
      <c r="AC38" s="218"/>
      <c r="AD38" s="218"/>
      <c r="AE38" s="218"/>
      <c r="AF38" s="218"/>
      <c r="AG38" s="218"/>
      <c r="AH38" s="218"/>
      <c r="AI38" s="218"/>
      <c r="AJ38" s="218"/>
      <c r="AK38" s="218"/>
      <c r="AL38" s="218"/>
      <c r="AM38" s="218"/>
      <c r="AN38" s="218"/>
      <c r="AO38" s="218"/>
      <c r="AP38" s="218"/>
      <c r="AQ38" s="218"/>
      <c r="AR38" s="218"/>
      <c r="AS38" s="218"/>
      <c r="AT38" s="218"/>
      <c r="AU38" s="218"/>
      <c r="AV38" s="218"/>
      <c r="AW38" s="218"/>
      <c r="AX38" s="218"/>
      <c r="AY38" s="218"/>
      <c r="AZ38" s="218"/>
      <c r="BA38" s="218"/>
      <c r="BB38" s="218"/>
      <c r="BC38" s="218"/>
      <c r="BD38" s="218"/>
      <c r="BE38" s="218"/>
      <c r="BF38" s="218"/>
      <c r="BG38" s="218"/>
      <c r="BH38" s="218"/>
      <c r="BI38" s="218"/>
      <c r="BJ38" s="218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8"/>
      <c r="CA38" s="218"/>
      <c r="CB38" s="218"/>
      <c r="CC38" s="218"/>
      <c r="CD38" s="218"/>
      <c r="CE38" s="218"/>
      <c r="CF38" s="218"/>
      <c r="CG38" s="218"/>
      <c r="CH38" s="218"/>
      <c r="CI38" s="218"/>
      <c r="CJ38" s="218"/>
      <c r="CK38" s="218"/>
      <c r="CL38" s="218"/>
      <c r="CM38" s="218"/>
      <c r="CN38" s="218"/>
      <c r="CO38" s="218"/>
      <c r="CP38" s="218"/>
      <c r="CQ38" s="218"/>
      <c r="CR38" s="218"/>
      <c r="CS38" s="218"/>
      <c r="CT38" s="218"/>
      <c r="CU38" s="218"/>
      <c r="CV38" s="218"/>
      <c r="CW38" s="218"/>
      <c r="CX38" s="218"/>
      <c r="CY38" s="218"/>
      <c r="CZ38" s="218"/>
      <c r="DA38" s="218"/>
      <c r="DB38" s="218"/>
      <c r="DC38" s="218"/>
      <c r="DD38" s="218"/>
      <c r="DE38" s="218"/>
      <c r="DF38" s="218"/>
      <c r="DG38" s="218"/>
      <c r="DH38" s="218"/>
      <c r="DI38" s="218"/>
      <c r="DJ38" s="218"/>
      <c r="DK38" s="218"/>
      <c r="DL38" s="218"/>
      <c r="DM38" s="218"/>
      <c r="DN38" s="218"/>
      <c r="DO38" s="218"/>
      <c r="DP38" s="218"/>
      <c r="DQ38" s="218"/>
      <c r="DR38" s="218"/>
      <c r="DS38" s="218"/>
      <c r="DT38" s="218"/>
      <c r="DU38" s="218"/>
      <c r="DV38" s="218"/>
      <c r="DW38" s="218"/>
      <c r="DX38" s="218"/>
      <c r="DY38" s="218"/>
      <c r="DZ38" s="218"/>
      <c r="EA38" s="218"/>
      <c r="EB38" s="218"/>
      <c r="EC38" s="218"/>
      <c r="ED38" s="218"/>
      <c r="EE38" s="218"/>
      <c r="EF38" s="218"/>
      <c r="EG38" s="218"/>
      <c r="EH38" s="218"/>
      <c r="EI38" s="218"/>
      <c r="EJ38" s="218"/>
      <c r="EK38" s="218"/>
      <c r="EL38" s="218"/>
      <c r="EM38" s="218"/>
      <c r="EN38" s="218"/>
      <c r="EO38" s="218"/>
      <c r="EP38" s="218"/>
      <c r="EQ38" s="218"/>
      <c r="ER38" s="218"/>
      <c r="ES38" s="218"/>
      <c r="ET38" s="218"/>
      <c r="EU38" s="218"/>
      <c r="EV38" s="218"/>
      <c r="EW38" s="218"/>
      <c r="EX38" s="218"/>
      <c r="EY38" s="218"/>
      <c r="EZ38" s="218"/>
      <c r="FA38" s="218"/>
      <c r="FB38" s="218"/>
      <c r="FC38" s="218"/>
      <c r="FD38" s="218"/>
      <c r="FE38" s="218"/>
      <c r="FF38" s="218"/>
      <c r="FG38" s="218"/>
      <c r="FH38" s="218"/>
      <c r="FI38" s="218"/>
      <c r="FJ38" s="218"/>
      <c r="FK38" s="218"/>
      <c r="FL38" s="218"/>
      <c r="FM38" s="218"/>
      <c r="FN38" s="218"/>
      <c r="FO38" s="218"/>
      <c r="FP38" s="218"/>
      <c r="FQ38" s="218"/>
      <c r="FR38" s="218"/>
      <c r="FS38" s="218"/>
      <c r="FT38" s="218"/>
      <c r="FU38" s="218"/>
      <c r="FV38" s="218"/>
      <c r="FW38" s="218"/>
      <c r="FX38" s="218"/>
      <c r="FY38" s="218"/>
      <c r="FZ38" s="218"/>
      <c r="GA38" s="218"/>
      <c r="GB38" s="218"/>
      <c r="GC38" s="218"/>
      <c r="GD38" s="218"/>
      <c r="GE38" s="218"/>
      <c r="GF38" s="218"/>
      <c r="GG38" s="218"/>
      <c r="GH38" s="218"/>
      <c r="GI38" s="218"/>
      <c r="GJ38" s="218"/>
      <c r="GK38" s="218"/>
      <c r="GL38" s="218"/>
      <c r="GM38" s="218"/>
      <c r="GN38" s="218"/>
      <c r="GO38" s="218"/>
      <c r="GP38" s="218"/>
      <c r="GQ38" s="218"/>
      <c r="GR38" s="218"/>
      <c r="GS38" s="218"/>
      <c r="GT38" s="218"/>
      <c r="GU38" s="218"/>
      <c r="GV38" s="218"/>
      <c r="GW38" s="218"/>
      <c r="GX38" s="218"/>
      <c r="GY38" s="218"/>
      <c r="GZ38" s="218"/>
      <c r="HA38" s="218"/>
      <c r="HB38" s="218"/>
      <c r="HC38" s="218"/>
      <c r="HD38" s="218"/>
      <c r="HE38" s="218"/>
      <c r="HF38" s="218"/>
      <c r="HG38" s="218"/>
      <c r="HH38" s="218"/>
      <c r="HI38" s="218"/>
      <c r="HJ38" s="218"/>
      <c r="HK38" s="218"/>
      <c r="HL38" s="218"/>
      <c r="HM38" s="218"/>
      <c r="HN38" s="218"/>
      <c r="HO38" s="218"/>
      <c r="HP38" s="218"/>
      <c r="HQ38" s="218"/>
      <c r="HR38" s="218"/>
      <c r="HS38" s="218"/>
      <c r="HT38" s="218"/>
      <c r="HU38" s="218"/>
      <c r="HV38" s="218"/>
      <c r="HW38" s="218"/>
      <c r="HX38" s="218"/>
      <c r="HY38" s="218"/>
      <c r="HZ38" s="218"/>
      <c r="IA38" s="218"/>
      <c r="IB38" s="218"/>
      <c r="IC38" s="218"/>
      <c r="ID38" s="218"/>
      <c r="IE38" s="218"/>
      <c r="IF38" s="218"/>
      <c r="IG38" s="218"/>
      <c r="IH38" s="218"/>
      <c r="II38" s="218"/>
      <c r="IJ38" s="218"/>
      <c r="IK38" s="218"/>
      <c r="IL38" s="218"/>
      <c r="IM38" s="218"/>
      <c r="IN38" s="218"/>
      <c r="IO38" s="218"/>
      <c r="IP38" s="218"/>
      <c r="IQ38" s="218"/>
      <c r="IR38" s="218"/>
      <c r="IS38" s="218"/>
      <c r="IT38" s="218"/>
      <c r="IU38" s="218"/>
      <c r="IV38" s="218"/>
      <c r="IW38" s="218"/>
    </row>
    <row r="39" customFormat="false" ht="11.25" hidden="false" customHeight="false" outlineLevel="0" collapsed="false">
      <c r="A39" s="218"/>
      <c r="B39" s="258" t="s">
        <v>209</v>
      </c>
      <c r="C39" s="265" t="n">
        <f aca="false">C16</f>
        <v>0</v>
      </c>
      <c r="D39" s="265" t="n">
        <f aca="false">D16</f>
        <v>1</v>
      </c>
      <c r="E39" s="265" t="n">
        <f aca="false">E16</f>
        <v>2</v>
      </c>
      <c r="F39" s="265" t="n">
        <f aca="false">F16</f>
        <v>3</v>
      </c>
      <c r="G39" s="265" t="n">
        <f aca="false">G16</f>
        <v>4</v>
      </c>
      <c r="H39" s="265" t="n">
        <f aca="false">H16</f>
        <v>5</v>
      </c>
      <c r="I39" s="265" t="n">
        <f aca="false">I16</f>
        <v>6</v>
      </c>
      <c r="J39" s="265" t="n">
        <f aca="false">J16</f>
        <v>7</v>
      </c>
      <c r="K39" s="265" t="n">
        <f aca="false">K16</f>
        <v>8</v>
      </c>
      <c r="L39" s="265" t="n">
        <f aca="false">L16</f>
        <v>9</v>
      </c>
      <c r="M39" s="265" t="n">
        <f aca="false">M16</f>
        <v>10</v>
      </c>
      <c r="N39" s="265" t="n">
        <f aca="false">N16</f>
        <v>11</v>
      </c>
      <c r="O39" s="265" t="n">
        <f aca="false">O16</f>
        <v>12</v>
      </c>
      <c r="P39" s="265" t="n">
        <f aca="false">P16</f>
        <v>13</v>
      </c>
      <c r="Q39" s="265" t="n">
        <f aca="false">Q16</f>
        <v>14</v>
      </c>
      <c r="R39" s="265" t="n">
        <f aca="false">R16</f>
        <v>15</v>
      </c>
      <c r="S39" s="265" t="n">
        <f aca="false">S16</f>
        <v>16</v>
      </c>
      <c r="T39" s="265" t="n">
        <f aca="false">T16</f>
        <v>17</v>
      </c>
      <c r="U39" s="265" t="n">
        <f aca="false">U16</f>
        <v>18</v>
      </c>
      <c r="V39" s="265" t="n">
        <f aca="false">V16</f>
        <v>19</v>
      </c>
      <c r="W39" s="265" t="n">
        <f aca="false">W16</f>
        <v>20</v>
      </c>
      <c r="X39" s="265" t="n">
        <f aca="false">X16</f>
        <v>21</v>
      </c>
      <c r="Y39" s="265" t="n">
        <f aca="false">Y16</f>
        <v>22</v>
      </c>
      <c r="Z39" s="265" t="n">
        <f aca="false">Z16</f>
        <v>23</v>
      </c>
      <c r="AA39" s="265" t="n">
        <f aca="false">AA16</f>
        <v>24</v>
      </c>
      <c r="AB39" s="265" t="n">
        <f aca="false">AB16</f>
        <v>25</v>
      </c>
      <c r="AC39" s="218"/>
      <c r="AD39" s="218"/>
      <c r="AE39" s="266" t="n">
        <f aca="false">HLOOKUP(0.5,$C$38:$AB$39,1+1)+1</f>
        <v>1</v>
      </c>
      <c r="AF39" s="218"/>
      <c r="AG39" s="218"/>
      <c r="AH39" s="218"/>
      <c r="AI39" s="218"/>
      <c r="AJ39" s="218"/>
      <c r="AK39" s="218"/>
      <c r="AL39" s="218"/>
      <c r="AM39" s="218"/>
      <c r="AN39" s="218"/>
      <c r="AO39" s="218"/>
      <c r="AP39" s="218"/>
      <c r="AQ39" s="218"/>
      <c r="AR39" s="218"/>
      <c r="AS39" s="218"/>
      <c r="AT39" s="218"/>
      <c r="AU39" s="218"/>
      <c r="AV39" s="218"/>
      <c r="AW39" s="218"/>
      <c r="AX39" s="218"/>
      <c r="AY39" s="218"/>
      <c r="AZ39" s="218"/>
      <c r="BA39" s="218"/>
      <c r="BB39" s="218"/>
      <c r="BC39" s="218"/>
      <c r="BD39" s="218"/>
      <c r="BE39" s="218"/>
      <c r="BF39" s="218"/>
      <c r="BG39" s="218"/>
      <c r="BH39" s="218"/>
      <c r="BI39" s="218"/>
      <c r="BJ39" s="218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8"/>
      <c r="CA39" s="218"/>
      <c r="CB39" s="218"/>
      <c r="CC39" s="218"/>
      <c r="CD39" s="218"/>
      <c r="CE39" s="218"/>
      <c r="CF39" s="218"/>
      <c r="CG39" s="218"/>
      <c r="CH39" s="218"/>
      <c r="CI39" s="218"/>
      <c r="CJ39" s="218"/>
      <c r="CK39" s="218"/>
      <c r="CL39" s="218"/>
      <c r="CM39" s="218"/>
      <c r="CN39" s="218"/>
      <c r="CO39" s="218"/>
      <c r="CP39" s="218"/>
      <c r="CQ39" s="218"/>
      <c r="CR39" s="218"/>
      <c r="CS39" s="218"/>
      <c r="CT39" s="218"/>
      <c r="CU39" s="218"/>
      <c r="CV39" s="218"/>
      <c r="CW39" s="218"/>
      <c r="CX39" s="218"/>
      <c r="CY39" s="218"/>
      <c r="CZ39" s="218"/>
      <c r="DA39" s="218"/>
      <c r="DB39" s="218"/>
      <c r="DC39" s="218"/>
      <c r="DD39" s="218"/>
      <c r="DE39" s="218"/>
      <c r="DF39" s="218"/>
      <c r="DG39" s="218"/>
      <c r="DH39" s="218"/>
      <c r="DI39" s="218"/>
      <c r="DJ39" s="218"/>
      <c r="DK39" s="218"/>
      <c r="DL39" s="218"/>
      <c r="DM39" s="218"/>
      <c r="DN39" s="218"/>
      <c r="DO39" s="218"/>
      <c r="DP39" s="218"/>
      <c r="DQ39" s="218"/>
      <c r="DR39" s="218"/>
      <c r="DS39" s="218"/>
      <c r="DT39" s="218"/>
      <c r="DU39" s="218"/>
      <c r="DV39" s="218"/>
      <c r="DW39" s="218"/>
      <c r="DX39" s="218"/>
      <c r="DY39" s="218"/>
      <c r="DZ39" s="218"/>
      <c r="EA39" s="218"/>
      <c r="EB39" s="218"/>
      <c r="EC39" s="218"/>
      <c r="ED39" s="218"/>
      <c r="EE39" s="218"/>
      <c r="EF39" s="218"/>
      <c r="EG39" s="218"/>
      <c r="EH39" s="218"/>
      <c r="EI39" s="218"/>
      <c r="EJ39" s="218"/>
      <c r="EK39" s="218"/>
      <c r="EL39" s="218"/>
      <c r="EM39" s="218"/>
      <c r="EN39" s="218"/>
      <c r="EO39" s="218"/>
      <c r="EP39" s="218"/>
      <c r="EQ39" s="218"/>
      <c r="ER39" s="218"/>
      <c r="ES39" s="218"/>
      <c r="ET39" s="218"/>
      <c r="EU39" s="218"/>
      <c r="EV39" s="218"/>
      <c r="EW39" s="218"/>
      <c r="EX39" s="218"/>
      <c r="EY39" s="218"/>
      <c r="EZ39" s="218"/>
      <c r="FA39" s="218"/>
      <c r="FB39" s="218"/>
      <c r="FC39" s="218"/>
      <c r="FD39" s="218"/>
      <c r="FE39" s="218"/>
      <c r="FF39" s="218"/>
      <c r="FG39" s="218"/>
      <c r="FH39" s="218"/>
      <c r="FI39" s="218"/>
      <c r="FJ39" s="218"/>
      <c r="FK39" s="218"/>
      <c r="FL39" s="218"/>
      <c r="FM39" s="218"/>
      <c r="FN39" s="218"/>
      <c r="FO39" s="218"/>
      <c r="FP39" s="218"/>
      <c r="FQ39" s="218"/>
      <c r="FR39" s="218"/>
      <c r="FS39" s="218"/>
      <c r="FT39" s="218"/>
      <c r="FU39" s="218"/>
      <c r="FV39" s="218"/>
      <c r="FW39" s="218"/>
      <c r="FX39" s="218"/>
      <c r="FY39" s="218"/>
      <c r="FZ39" s="218"/>
      <c r="GA39" s="218"/>
      <c r="GB39" s="218"/>
      <c r="GC39" s="218"/>
      <c r="GD39" s="218"/>
      <c r="GE39" s="218"/>
      <c r="GF39" s="218"/>
      <c r="GG39" s="218"/>
      <c r="GH39" s="218"/>
      <c r="GI39" s="218"/>
      <c r="GJ39" s="218"/>
      <c r="GK39" s="218"/>
      <c r="GL39" s="218"/>
      <c r="GM39" s="218"/>
      <c r="GN39" s="218"/>
      <c r="GO39" s="218"/>
      <c r="GP39" s="218"/>
      <c r="GQ39" s="218"/>
      <c r="GR39" s="218"/>
      <c r="GS39" s="218"/>
      <c r="GT39" s="218"/>
      <c r="GU39" s="218"/>
      <c r="GV39" s="218"/>
      <c r="GW39" s="218"/>
      <c r="GX39" s="218"/>
      <c r="GY39" s="218"/>
      <c r="GZ39" s="218"/>
      <c r="HA39" s="218"/>
      <c r="HB39" s="218"/>
      <c r="HC39" s="218"/>
      <c r="HD39" s="218"/>
      <c r="HE39" s="218"/>
      <c r="HF39" s="218"/>
      <c r="HG39" s="218"/>
      <c r="HH39" s="218"/>
      <c r="HI39" s="218"/>
      <c r="HJ39" s="218"/>
      <c r="HK39" s="218"/>
      <c r="HL39" s="218"/>
      <c r="HM39" s="218"/>
      <c r="HN39" s="218"/>
      <c r="HO39" s="218"/>
      <c r="HP39" s="218"/>
      <c r="HQ39" s="218"/>
      <c r="HR39" s="218"/>
      <c r="HS39" s="218"/>
      <c r="HT39" s="218"/>
      <c r="HU39" s="218"/>
      <c r="HV39" s="218"/>
      <c r="HW39" s="218"/>
      <c r="HX39" s="218"/>
      <c r="HY39" s="218"/>
      <c r="HZ39" s="218"/>
      <c r="IA39" s="218"/>
      <c r="IB39" s="218"/>
      <c r="IC39" s="218"/>
      <c r="ID39" s="218"/>
      <c r="IE39" s="218"/>
      <c r="IF39" s="218"/>
      <c r="IG39" s="218"/>
      <c r="IH39" s="218"/>
      <c r="II39" s="218"/>
      <c r="IJ39" s="218"/>
      <c r="IK39" s="218"/>
      <c r="IL39" s="218"/>
      <c r="IM39" s="218"/>
      <c r="IN39" s="218"/>
      <c r="IO39" s="218"/>
      <c r="IP39" s="218"/>
      <c r="IQ39" s="218"/>
      <c r="IR39" s="218"/>
      <c r="IS39" s="218"/>
      <c r="IT39" s="218"/>
      <c r="IU39" s="218"/>
      <c r="IV39" s="218"/>
      <c r="IW39" s="218"/>
    </row>
    <row r="40" customFormat="false" ht="11.25" hidden="false" customHeight="false" outlineLevel="0" collapsed="false">
      <c r="A40" s="218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18"/>
      <c r="AD40" s="218"/>
      <c r="AE40" s="267"/>
      <c r="AF40" s="218"/>
      <c r="AG40" s="218"/>
      <c r="AH40" s="218"/>
      <c r="AI40" s="218"/>
      <c r="AJ40" s="218"/>
      <c r="AK40" s="218"/>
      <c r="AL40" s="218"/>
      <c r="AM40" s="218"/>
      <c r="AN40" s="218"/>
      <c r="AO40" s="218"/>
      <c r="AP40" s="218"/>
      <c r="AQ40" s="218"/>
      <c r="AR40" s="218"/>
      <c r="AS40" s="218"/>
      <c r="AT40" s="218"/>
      <c r="AU40" s="218"/>
      <c r="AV40" s="218"/>
      <c r="AW40" s="218"/>
      <c r="AX40" s="218"/>
      <c r="AY40" s="218"/>
      <c r="AZ40" s="218"/>
      <c r="BA40" s="218"/>
      <c r="BB40" s="218"/>
      <c r="BC40" s="218"/>
      <c r="BD40" s="218"/>
      <c r="BE40" s="218"/>
      <c r="BF40" s="218"/>
      <c r="BG40" s="218"/>
      <c r="BH40" s="218"/>
      <c r="BI40" s="218"/>
      <c r="BJ40" s="218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8"/>
      <c r="CA40" s="218"/>
      <c r="CB40" s="218"/>
      <c r="CC40" s="218"/>
      <c r="CD40" s="218"/>
      <c r="CE40" s="218"/>
      <c r="CF40" s="218"/>
      <c r="CG40" s="218"/>
      <c r="CH40" s="218"/>
      <c r="CI40" s="218"/>
      <c r="CJ40" s="218"/>
      <c r="CK40" s="218"/>
      <c r="CL40" s="218"/>
      <c r="CM40" s="218"/>
      <c r="CN40" s="218"/>
      <c r="CO40" s="218"/>
      <c r="CP40" s="218"/>
      <c r="CQ40" s="218"/>
      <c r="CR40" s="218"/>
      <c r="CS40" s="218"/>
      <c r="CT40" s="218"/>
      <c r="CU40" s="218"/>
      <c r="CV40" s="218"/>
      <c r="CW40" s="218"/>
      <c r="CX40" s="218"/>
      <c r="CY40" s="218"/>
      <c r="CZ40" s="218"/>
      <c r="DA40" s="218"/>
      <c r="DB40" s="218"/>
      <c r="DC40" s="218"/>
      <c r="DD40" s="218"/>
      <c r="DE40" s="218"/>
      <c r="DF40" s="218"/>
      <c r="DG40" s="218"/>
      <c r="DH40" s="218"/>
      <c r="DI40" s="218"/>
      <c r="DJ40" s="218"/>
      <c r="DK40" s="218"/>
      <c r="DL40" s="218"/>
      <c r="DM40" s="218"/>
      <c r="DN40" s="218"/>
      <c r="DO40" s="218"/>
      <c r="DP40" s="218"/>
      <c r="DQ40" s="218"/>
      <c r="DR40" s="218"/>
      <c r="DS40" s="218"/>
      <c r="DT40" s="218"/>
      <c r="DU40" s="218"/>
      <c r="DV40" s="218"/>
      <c r="DW40" s="218"/>
      <c r="DX40" s="218"/>
      <c r="DY40" s="218"/>
      <c r="DZ40" s="218"/>
      <c r="EA40" s="218"/>
      <c r="EB40" s="218"/>
      <c r="EC40" s="218"/>
      <c r="ED40" s="218"/>
      <c r="EE40" s="218"/>
      <c r="EF40" s="218"/>
      <c r="EG40" s="218"/>
      <c r="EH40" s="218"/>
      <c r="EI40" s="218"/>
      <c r="EJ40" s="218"/>
      <c r="EK40" s="218"/>
      <c r="EL40" s="218"/>
      <c r="EM40" s="218"/>
      <c r="EN40" s="218"/>
      <c r="EO40" s="218"/>
      <c r="EP40" s="218"/>
      <c r="EQ40" s="218"/>
      <c r="ER40" s="218"/>
      <c r="ES40" s="218"/>
      <c r="ET40" s="218"/>
      <c r="EU40" s="218"/>
      <c r="EV40" s="218"/>
      <c r="EW40" s="218"/>
      <c r="EX40" s="218"/>
      <c r="EY40" s="218"/>
      <c r="EZ40" s="218"/>
      <c r="FA40" s="218"/>
      <c r="FB40" s="218"/>
      <c r="FC40" s="218"/>
      <c r="FD40" s="218"/>
      <c r="FE40" s="218"/>
      <c r="FF40" s="218"/>
      <c r="FG40" s="218"/>
      <c r="FH40" s="218"/>
      <c r="FI40" s="218"/>
      <c r="FJ40" s="218"/>
      <c r="FK40" s="218"/>
      <c r="FL40" s="218"/>
      <c r="FM40" s="218"/>
      <c r="FN40" s="218"/>
      <c r="FO40" s="218"/>
      <c r="FP40" s="218"/>
      <c r="FQ40" s="218"/>
      <c r="FR40" s="218"/>
      <c r="FS40" s="218"/>
      <c r="FT40" s="218"/>
      <c r="FU40" s="218"/>
      <c r="FV40" s="218"/>
      <c r="FW40" s="218"/>
      <c r="FX40" s="218"/>
      <c r="FY40" s="218"/>
      <c r="FZ40" s="218"/>
      <c r="GA40" s="218"/>
      <c r="GB40" s="218"/>
      <c r="GC40" s="218"/>
      <c r="GD40" s="218"/>
      <c r="GE40" s="218"/>
      <c r="GF40" s="218"/>
      <c r="GG40" s="218"/>
      <c r="GH40" s="218"/>
      <c r="GI40" s="218"/>
      <c r="GJ40" s="218"/>
      <c r="GK40" s="218"/>
      <c r="GL40" s="218"/>
      <c r="GM40" s="218"/>
      <c r="GN40" s="218"/>
      <c r="GO40" s="218"/>
      <c r="GP40" s="218"/>
      <c r="GQ40" s="218"/>
      <c r="GR40" s="218"/>
      <c r="GS40" s="218"/>
      <c r="GT40" s="218"/>
      <c r="GU40" s="218"/>
      <c r="GV40" s="218"/>
      <c r="GW40" s="218"/>
      <c r="GX40" s="218"/>
      <c r="GY40" s="218"/>
      <c r="GZ40" s="218"/>
      <c r="HA40" s="218"/>
      <c r="HB40" s="218"/>
      <c r="HC40" s="218"/>
      <c r="HD40" s="218"/>
      <c r="HE40" s="218"/>
      <c r="HF40" s="218"/>
      <c r="HG40" s="218"/>
      <c r="HH40" s="218"/>
      <c r="HI40" s="218"/>
      <c r="HJ40" s="218"/>
      <c r="HK40" s="218"/>
      <c r="HL40" s="218"/>
      <c r="HM40" s="218"/>
      <c r="HN40" s="218"/>
      <c r="HO40" s="218"/>
      <c r="HP40" s="218"/>
      <c r="HQ40" s="218"/>
      <c r="HR40" s="218"/>
      <c r="HS40" s="218"/>
      <c r="HT40" s="218"/>
      <c r="HU40" s="218"/>
      <c r="HV40" s="218"/>
      <c r="HW40" s="218"/>
      <c r="HX40" s="218"/>
      <c r="HY40" s="218"/>
      <c r="HZ40" s="218"/>
      <c r="IA40" s="218"/>
      <c r="IB40" s="218"/>
      <c r="IC40" s="218"/>
      <c r="ID40" s="218"/>
      <c r="IE40" s="218"/>
      <c r="IF40" s="218"/>
      <c r="IG40" s="218"/>
      <c r="IH40" s="218"/>
      <c r="II40" s="218"/>
      <c r="IJ40" s="218"/>
      <c r="IK40" s="218"/>
      <c r="IL40" s="218"/>
      <c r="IM40" s="218"/>
      <c r="IN40" s="218"/>
      <c r="IO40" s="218"/>
      <c r="IP40" s="218"/>
      <c r="IQ40" s="218"/>
      <c r="IR40" s="218"/>
      <c r="IS40" s="218"/>
      <c r="IT40" s="218"/>
      <c r="IU40" s="218"/>
      <c r="IV40" s="218"/>
      <c r="IW40" s="218"/>
    </row>
    <row r="41" customFormat="false" ht="11.25" hidden="false" customHeight="false" outlineLevel="0" collapsed="false">
      <c r="A41" s="218"/>
      <c r="B41" s="229" t="s">
        <v>210</v>
      </c>
      <c r="C41" s="268" t="n">
        <f aca="false">J3-C42</f>
        <v>54122.034585403</v>
      </c>
      <c r="D41" s="232" t="e">
        <f aca="false">D32-D42</f>
        <v>#VALUE!</v>
      </c>
      <c r="E41" s="232" t="e">
        <f aca="false">E32-E42</f>
        <v>#VALUE!</v>
      </c>
      <c r="F41" s="232" t="e">
        <f aca="false">F32-F42</f>
        <v>#VALUE!</v>
      </c>
      <c r="G41" s="232" t="e">
        <f aca="false">G32-G42</f>
        <v>#VALUE!</v>
      </c>
      <c r="H41" s="232" t="e">
        <f aca="false">H32-H42</f>
        <v>#VALUE!</v>
      </c>
      <c r="I41" s="232" t="e">
        <f aca="false">I32-I42</f>
        <v>#VALUE!</v>
      </c>
      <c r="J41" s="232" t="e">
        <f aca="false">J32-J42</f>
        <v>#VALUE!</v>
      </c>
      <c r="K41" s="232" t="e">
        <f aca="false">K32-K42</f>
        <v>#VALUE!</v>
      </c>
      <c r="L41" s="232" t="e">
        <f aca="false">L32-L42</f>
        <v>#VALUE!</v>
      </c>
      <c r="M41" s="232" t="e">
        <f aca="false">M32-M42</f>
        <v>#VALUE!</v>
      </c>
      <c r="N41" s="232" t="e">
        <f aca="false">N32-N42</f>
        <v>#VALUE!</v>
      </c>
      <c r="O41" s="232" t="e">
        <f aca="false">O32-O42</f>
        <v>#VALUE!</v>
      </c>
      <c r="P41" s="232" t="e">
        <f aca="false">P32-P42</f>
        <v>#VALUE!</v>
      </c>
      <c r="Q41" s="232" t="e">
        <f aca="false">Q32-Q42</f>
        <v>#VALUE!</v>
      </c>
      <c r="R41" s="232" t="e">
        <f aca="false">R32-R42</f>
        <v>#VALUE!</v>
      </c>
      <c r="S41" s="232" t="e">
        <f aca="false">S32-S42</f>
        <v>#VALUE!</v>
      </c>
      <c r="T41" s="232" t="e">
        <f aca="false">T32-T42</f>
        <v>#VALUE!</v>
      </c>
      <c r="U41" s="232" t="e">
        <f aca="false">U32-U42</f>
        <v>#VALUE!</v>
      </c>
      <c r="V41" s="232" t="e">
        <f aca="false">V32-V42</f>
        <v>#VALUE!</v>
      </c>
      <c r="W41" s="232" t="e">
        <f aca="false">W32-W42</f>
        <v>#VALUE!</v>
      </c>
      <c r="X41" s="232" t="e">
        <f aca="false">X32-X42</f>
        <v>#VALUE!</v>
      </c>
      <c r="Y41" s="232" t="e">
        <f aca="false">Y32-Y42</f>
        <v>#VALUE!</v>
      </c>
      <c r="Z41" s="232" t="e">
        <f aca="false">Z32-Z42</f>
        <v>#VALUE!</v>
      </c>
      <c r="AA41" s="232" t="e">
        <f aca="false">AA32-AA42</f>
        <v>#VALUE!</v>
      </c>
      <c r="AB41" s="232" t="e">
        <f aca="false">AB32-AB42</f>
        <v>#VALUE!</v>
      </c>
      <c r="AC41" s="218"/>
      <c r="AD41" s="218"/>
      <c r="AE41" s="267"/>
      <c r="AF41" s="218"/>
      <c r="AG41" s="218"/>
      <c r="AH41" s="218"/>
      <c r="AI41" s="218"/>
      <c r="AJ41" s="218"/>
      <c r="AK41" s="218"/>
      <c r="AL41" s="218"/>
      <c r="AM41" s="218"/>
      <c r="AN41" s="218"/>
      <c r="AO41" s="218"/>
      <c r="AP41" s="218"/>
      <c r="AQ41" s="218"/>
      <c r="AR41" s="218"/>
      <c r="AS41" s="218"/>
      <c r="AT41" s="218"/>
      <c r="AU41" s="218"/>
      <c r="AV41" s="218"/>
      <c r="AW41" s="218"/>
      <c r="AX41" s="218"/>
      <c r="AY41" s="218"/>
      <c r="AZ41" s="218"/>
      <c r="BA41" s="218"/>
      <c r="BB41" s="218"/>
      <c r="BC41" s="218"/>
      <c r="BD41" s="218"/>
      <c r="BE41" s="218"/>
      <c r="BF41" s="218"/>
      <c r="BG41" s="218"/>
      <c r="BH41" s="218"/>
      <c r="BI41" s="218"/>
      <c r="BJ41" s="218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8"/>
      <c r="CA41" s="218"/>
      <c r="CB41" s="218"/>
      <c r="CC41" s="218"/>
      <c r="CD41" s="218"/>
      <c r="CE41" s="218"/>
      <c r="CF41" s="218"/>
      <c r="CG41" s="218"/>
      <c r="CH41" s="218"/>
      <c r="CI41" s="218"/>
      <c r="CJ41" s="218"/>
      <c r="CK41" s="218"/>
      <c r="CL41" s="218"/>
      <c r="CM41" s="218"/>
      <c r="CN41" s="218"/>
      <c r="CO41" s="218"/>
      <c r="CP41" s="218"/>
      <c r="CQ41" s="218"/>
      <c r="CR41" s="218"/>
      <c r="CS41" s="218"/>
      <c r="CT41" s="218"/>
      <c r="CU41" s="218"/>
      <c r="CV41" s="218"/>
      <c r="CW41" s="218"/>
      <c r="CX41" s="218"/>
      <c r="CY41" s="218"/>
      <c r="CZ41" s="218"/>
      <c r="DA41" s="218"/>
      <c r="DB41" s="218"/>
      <c r="DC41" s="218"/>
      <c r="DD41" s="218"/>
      <c r="DE41" s="218"/>
      <c r="DF41" s="218"/>
      <c r="DG41" s="218"/>
      <c r="DH41" s="218"/>
      <c r="DI41" s="218"/>
      <c r="DJ41" s="218"/>
      <c r="DK41" s="218"/>
      <c r="DL41" s="218"/>
      <c r="DM41" s="218"/>
      <c r="DN41" s="218"/>
      <c r="DO41" s="218"/>
      <c r="DP41" s="218"/>
      <c r="DQ41" s="218"/>
      <c r="DR41" s="218"/>
      <c r="DS41" s="218"/>
      <c r="DT41" s="218"/>
      <c r="DU41" s="218"/>
      <c r="DV41" s="218"/>
      <c r="DW41" s="218"/>
      <c r="DX41" s="218"/>
      <c r="DY41" s="218"/>
      <c r="DZ41" s="218"/>
      <c r="EA41" s="218"/>
      <c r="EB41" s="218"/>
      <c r="EC41" s="218"/>
      <c r="ED41" s="218"/>
      <c r="EE41" s="218"/>
      <c r="EF41" s="218"/>
      <c r="EG41" s="218"/>
      <c r="EH41" s="218"/>
      <c r="EI41" s="218"/>
      <c r="EJ41" s="218"/>
      <c r="EK41" s="218"/>
      <c r="EL41" s="218"/>
      <c r="EM41" s="218"/>
      <c r="EN41" s="218"/>
      <c r="EO41" s="218"/>
      <c r="EP41" s="218"/>
      <c r="EQ41" s="218"/>
      <c r="ER41" s="218"/>
      <c r="ES41" s="218"/>
      <c r="ET41" s="218"/>
      <c r="EU41" s="218"/>
      <c r="EV41" s="218"/>
      <c r="EW41" s="218"/>
      <c r="EX41" s="218"/>
      <c r="EY41" s="218"/>
      <c r="EZ41" s="218"/>
      <c r="FA41" s="218"/>
      <c r="FB41" s="218"/>
      <c r="FC41" s="218"/>
      <c r="FD41" s="218"/>
      <c r="FE41" s="218"/>
      <c r="FF41" s="218"/>
      <c r="FG41" s="218"/>
      <c r="FH41" s="218"/>
      <c r="FI41" s="218"/>
      <c r="FJ41" s="218"/>
      <c r="FK41" s="218"/>
      <c r="FL41" s="218"/>
      <c r="FM41" s="218"/>
      <c r="FN41" s="218"/>
      <c r="FO41" s="218"/>
      <c r="FP41" s="218"/>
      <c r="FQ41" s="218"/>
      <c r="FR41" s="218"/>
      <c r="FS41" s="218"/>
      <c r="FT41" s="218"/>
      <c r="FU41" s="218"/>
      <c r="FV41" s="218"/>
      <c r="FW41" s="218"/>
      <c r="FX41" s="218"/>
      <c r="FY41" s="218"/>
      <c r="FZ41" s="218"/>
      <c r="GA41" s="218"/>
      <c r="GB41" s="218"/>
      <c r="GC41" s="218"/>
      <c r="GD41" s="218"/>
      <c r="GE41" s="218"/>
      <c r="GF41" s="218"/>
      <c r="GG41" s="218"/>
      <c r="GH41" s="218"/>
      <c r="GI41" s="218"/>
      <c r="GJ41" s="218"/>
      <c r="GK41" s="218"/>
      <c r="GL41" s="218"/>
      <c r="GM41" s="218"/>
      <c r="GN41" s="218"/>
      <c r="GO41" s="218"/>
      <c r="GP41" s="218"/>
      <c r="GQ41" s="218"/>
      <c r="GR41" s="218"/>
      <c r="GS41" s="218"/>
      <c r="GT41" s="218"/>
      <c r="GU41" s="218"/>
      <c r="GV41" s="218"/>
      <c r="GW41" s="218"/>
      <c r="GX41" s="218"/>
      <c r="GY41" s="218"/>
      <c r="GZ41" s="218"/>
      <c r="HA41" s="218"/>
      <c r="HB41" s="218"/>
      <c r="HC41" s="218"/>
      <c r="HD41" s="218"/>
      <c r="HE41" s="218"/>
      <c r="HF41" s="218"/>
      <c r="HG41" s="218"/>
      <c r="HH41" s="218"/>
      <c r="HI41" s="218"/>
      <c r="HJ41" s="218"/>
      <c r="HK41" s="218"/>
      <c r="HL41" s="218"/>
      <c r="HM41" s="218"/>
      <c r="HN41" s="218"/>
      <c r="HO41" s="218"/>
      <c r="HP41" s="218"/>
      <c r="HQ41" s="218"/>
      <c r="HR41" s="218"/>
      <c r="HS41" s="218"/>
      <c r="HT41" s="218"/>
      <c r="HU41" s="218"/>
      <c r="HV41" s="218"/>
      <c r="HW41" s="218"/>
      <c r="HX41" s="218"/>
      <c r="HY41" s="218"/>
      <c r="HZ41" s="218"/>
      <c r="IA41" s="218"/>
      <c r="IB41" s="218"/>
      <c r="IC41" s="218"/>
      <c r="ID41" s="218"/>
      <c r="IE41" s="218"/>
      <c r="IF41" s="218"/>
      <c r="IG41" s="218"/>
      <c r="IH41" s="218"/>
      <c r="II41" s="218"/>
      <c r="IJ41" s="218"/>
      <c r="IK41" s="218"/>
      <c r="IL41" s="218"/>
      <c r="IM41" s="218"/>
      <c r="IN41" s="218"/>
      <c r="IO41" s="218"/>
      <c r="IP41" s="218"/>
      <c r="IQ41" s="218"/>
      <c r="IR41" s="218"/>
      <c r="IS41" s="218"/>
      <c r="IT41" s="218"/>
      <c r="IU41" s="218"/>
      <c r="IV41" s="218"/>
      <c r="IW41" s="218"/>
    </row>
    <row r="42" customFormat="false" ht="11.25" hidden="false" customHeight="false" outlineLevel="0" collapsed="false">
      <c r="A42" s="218"/>
      <c r="B42" s="218" t="s">
        <v>90</v>
      </c>
      <c r="C42" s="269" t="n">
        <f aca="false">D26+D30-$C6</f>
        <v>4510.16954878358</v>
      </c>
      <c r="D42" s="269" t="e">
        <f aca="false">E26+E30</f>
        <v>#VALUE!</v>
      </c>
      <c r="E42" s="269" t="e">
        <f aca="false">F26+F30</f>
        <v>#VALUE!</v>
      </c>
      <c r="F42" s="269" t="e">
        <f aca="false">G26+G30</f>
        <v>#VALUE!</v>
      </c>
      <c r="G42" s="269" t="e">
        <f aca="false">H26+H30</f>
        <v>#VALUE!</v>
      </c>
      <c r="H42" s="269" t="e">
        <f aca="false">I26+I30</f>
        <v>#VALUE!</v>
      </c>
      <c r="I42" s="269" t="e">
        <f aca="false">J26+J30</f>
        <v>#VALUE!</v>
      </c>
      <c r="J42" s="269" t="e">
        <f aca="false">K26+K30</f>
        <v>#VALUE!</v>
      </c>
      <c r="K42" s="269" t="e">
        <f aca="false">L26+L30</f>
        <v>#VALUE!</v>
      </c>
      <c r="L42" s="269" t="e">
        <f aca="false">M26+M30</f>
        <v>#VALUE!</v>
      </c>
      <c r="M42" s="269" t="e">
        <f aca="false">N26+N30</f>
        <v>#VALUE!</v>
      </c>
      <c r="N42" s="269" t="e">
        <f aca="false">O26+O30</f>
        <v>#VALUE!</v>
      </c>
      <c r="O42" s="269" t="e">
        <f aca="false">P26+P30</f>
        <v>#VALUE!</v>
      </c>
      <c r="P42" s="269" t="e">
        <f aca="false">Q26+Q30</f>
        <v>#VALUE!</v>
      </c>
      <c r="Q42" s="269" t="e">
        <f aca="false">R26+R30</f>
        <v>#VALUE!</v>
      </c>
      <c r="R42" s="269" t="e">
        <f aca="false">S26+S30</f>
        <v>#VALUE!</v>
      </c>
      <c r="S42" s="269" t="e">
        <f aca="false">T26+T30</f>
        <v>#VALUE!</v>
      </c>
      <c r="T42" s="269" t="e">
        <f aca="false">U26+U30</f>
        <v>#VALUE!</v>
      </c>
      <c r="U42" s="269" t="e">
        <f aca="false">V26+V30</f>
        <v>#VALUE!</v>
      </c>
      <c r="V42" s="269" t="e">
        <f aca="false">W26+W30</f>
        <v>#VALUE!</v>
      </c>
      <c r="W42" s="269" t="e">
        <f aca="false">X26+X30</f>
        <v>#VALUE!</v>
      </c>
      <c r="X42" s="269" t="e">
        <f aca="false">Y26+Y30</f>
        <v>#VALUE!</v>
      </c>
      <c r="Y42" s="269" t="e">
        <f aca="false">Z26+Z30</f>
        <v>#VALUE!</v>
      </c>
      <c r="Z42" s="269" t="e">
        <f aca="false">AA26+AA30</f>
        <v>#VALUE!</v>
      </c>
      <c r="AA42" s="269" t="e">
        <f aca="false">AB26+AB30</f>
        <v>#VALUE!</v>
      </c>
      <c r="AB42" s="269" t="n">
        <f aca="false">AC26+AC30</f>
        <v>0</v>
      </c>
      <c r="AC42" s="218"/>
      <c r="AD42" s="218"/>
      <c r="AE42" s="218"/>
      <c r="AF42" s="218"/>
      <c r="AG42" s="218"/>
      <c r="AH42" s="218"/>
      <c r="AI42" s="218"/>
      <c r="AJ42" s="218"/>
      <c r="AK42" s="218"/>
      <c r="AL42" s="218"/>
      <c r="AM42" s="218"/>
      <c r="AN42" s="218"/>
      <c r="AO42" s="218"/>
      <c r="AP42" s="218"/>
      <c r="AQ42" s="218"/>
      <c r="AR42" s="218"/>
      <c r="AS42" s="218"/>
      <c r="AT42" s="218"/>
      <c r="AU42" s="218"/>
      <c r="AV42" s="218"/>
      <c r="AW42" s="218"/>
      <c r="AX42" s="218"/>
      <c r="AY42" s="218"/>
      <c r="AZ42" s="218"/>
      <c r="BA42" s="218"/>
      <c r="BB42" s="218"/>
      <c r="BC42" s="218"/>
      <c r="BD42" s="218"/>
      <c r="BE42" s="218"/>
      <c r="BF42" s="218"/>
      <c r="BG42" s="218"/>
      <c r="BH42" s="218"/>
      <c r="BI42" s="218"/>
      <c r="BJ42" s="218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8"/>
      <c r="CA42" s="218"/>
      <c r="CB42" s="218"/>
      <c r="CC42" s="218"/>
      <c r="CD42" s="218"/>
      <c r="CE42" s="218"/>
      <c r="CF42" s="218"/>
      <c r="CG42" s="218"/>
      <c r="CH42" s="218"/>
      <c r="CI42" s="218"/>
      <c r="CJ42" s="218"/>
      <c r="CK42" s="218"/>
      <c r="CL42" s="218"/>
      <c r="CM42" s="218"/>
      <c r="CN42" s="218"/>
      <c r="CO42" s="218"/>
      <c r="CP42" s="218"/>
      <c r="CQ42" s="218"/>
      <c r="CR42" s="218"/>
      <c r="CS42" s="218"/>
      <c r="CT42" s="218"/>
      <c r="CU42" s="218"/>
      <c r="CV42" s="218"/>
      <c r="CW42" s="218"/>
      <c r="CX42" s="218"/>
      <c r="CY42" s="218"/>
      <c r="CZ42" s="218"/>
      <c r="DA42" s="218"/>
      <c r="DB42" s="218"/>
      <c r="DC42" s="218"/>
      <c r="DD42" s="218"/>
      <c r="DE42" s="218"/>
      <c r="DF42" s="218"/>
      <c r="DG42" s="218"/>
      <c r="DH42" s="218"/>
      <c r="DI42" s="218"/>
      <c r="DJ42" s="218"/>
      <c r="DK42" s="218"/>
      <c r="DL42" s="218"/>
      <c r="DM42" s="218"/>
      <c r="DN42" s="218"/>
      <c r="DO42" s="218"/>
      <c r="DP42" s="218"/>
      <c r="DQ42" s="218"/>
      <c r="DR42" s="218"/>
      <c r="DS42" s="218"/>
      <c r="DT42" s="218"/>
      <c r="DU42" s="218"/>
      <c r="DV42" s="218"/>
      <c r="DW42" s="218"/>
      <c r="DX42" s="218"/>
      <c r="DY42" s="218"/>
      <c r="DZ42" s="218"/>
      <c r="EA42" s="218"/>
      <c r="EB42" s="218"/>
      <c r="EC42" s="218"/>
      <c r="ED42" s="218"/>
      <c r="EE42" s="218"/>
      <c r="EF42" s="218"/>
      <c r="EG42" s="218"/>
      <c r="EH42" s="218"/>
      <c r="EI42" s="218"/>
      <c r="EJ42" s="218"/>
      <c r="EK42" s="218"/>
      <c r="EL42" s="218"/>
      <c r="EM42" s="218"/>
      <c r="EN42" s="218"/>
      <c r="EO42" s="218"/>
      <c r="EP42" s="218"/>
      <c r="EQ42" s="218"/>
      <c r="ER42" s="218"/>
      <c r="ES42" s="218"/>
      <c r="ET42" s="218"/>
      <c r="EU42" s="218"/>
      <c r="EV42" s="218"/>
      <c r="EW42" s="218"/>
      <c r="EX42" s="218"/>
      <c r="EY42" s="218"/>
      <c r="EZ42" s="218"/>
      <c r="FA42" s="218"/>
      <c r="FB42" s="218"/>
      <c r="FC42" s="218"/>
      <c r="FD42" s="218"/>
      <c r="FE42" s="218"/>
      <c r="FF42" s="218"/>
      <c r="FG42" s="218"/>
      <c r="FH42" s="218"/>
      <c r="FI42" s="218"/>
      <c r="FJ42" s="218"/>
      <c r="FK42" s="218"/>
      <c r="FL42" s="218"/>
      <c r="FM42" s="218"/>
      <c r="FN42" s="218"/>
      <c r="FO42" s="218"/>
      <c r="FP42" s="218"/>
      <c r="FQ42" s="218"/>
      <c r="FR42" s="218"/>
      <c r="FS42" s="218"/>
      <c r="FT42" s="218"/>
      <c r="FU42" s="218"/>
      <c r="FV42" s="218"/>
      <c r="FW42" s="218"/>
      <c r="FX42" s="218"/>
      <c r="FY42" s="218"/>
      <c r="FZ42" s="218"/>
      <c r="GA42" s="218"/>
      <c r="GB42" s="218"/>
      <c r="GC42" s="218"/>
      <c r="GD42" s="218"/>
      <c r="GE42" s="218"/>
      <c r="GF42" s="218"/>
      <c r="GG42" s="218"/>
      <c r="GH42" s="218"/>
      <c r="GI42" s="218"/>
      <c r="GJ42" s="218"/>
      <c r="GK42" s="218"/>
      <c r="GL42" s="218"/>
      <c r="GM42" s="218"/>
      <c r="GN42" s="218"/>
      <c r="GO42" s="218"/>
      <c r="GP42" s="218"/>
      <c r="GQ42" s="218"/>
      <c r="GR42" s="218"/>
      <c r="GS42" s="218"/>
      <c r="GT42" s="218"/>
      <c r="GU42" s="218"/>
      <c r="GV42" s="218"/>
      <c r="GW42" s="218"/>
      <c r="GX42" s="218"/>
      <c r="GY42" s="218"/>
      <c r="GZ42" s="218"/>
      <c r="HA42" s="218"/>
      <c r="HB42" s="218"/>
      <c r="HC42" s="218"/>
      <c r="HD42" s="218"/>
      <c r="HE42" s="218"/>
      <c r="HF42" s="218"/>
      <c r="HG42" s="218"/>
      <c r="HH42" s="218"/>
      <c r="HI42" s="218"/>
      <c r="HJ42" s="218"/>
      <c r="HK42" s="218"/>
      <c r="HL42" s="218"/>
      <c r="HM42" s="218"/>
      <c r="HN42" s="218"/>
      <c r="HO42" s="218"/>
      <c r="HP42" s="218"/>
      <c r="HQ42" s="218"/>
      <c r="HR42" s="218"/>
      <c r="HS42" s="218"/>
      <c r="HT42" s="218"/>
      <c r="HU42" s="218"/>
      <c r="HV42" s="218"/>
      <c r="HW42" s="218"/>
      <c r="HX42" s="218"/>
      <c r="HY42" s="218"/>
      <c r="HZ42" s="218"/>
      <c r="IA42" s="218"/>
      <c r="IB42" s="218"/>
      <c r="IC42" s="218"/>
      <c r="ID42" s="218"/>
      <c r="IE42" s="218"/>
      <c r="IF42" s="218"/>
      <c r="IG42" s="218"/>
      <c r="IH42" s="218"/>
      <c r="II42" s="218"/>
      <c r="IJ42" s="218"/>
      <c r="IK42" s="218"/>
      <c r="IL42" s="218"/>
      <c r="IM42" s="218"/>
      <c r="IN42" s="218"/>
      <c r="IO42" s="218"/>
      <c r="IP42" s="218"/>
      <c r="IQ42" s="218"/>
      <c r="IR42" s="218"/>
      <c r="IS42" s="218"/>
      <c r="IT42" s="218"/>
      <c r="IU42" s="218"/>
      <c r="IV42" s="218"/>
      <c r="IW42" s="218"/>
    </row>
    <row r="43" customFormat="false" ht="11.25" hidden="false" customHeight="false" outlineLevel="0" collapsed="false">
      <c r="A43" s="218"/>
      <c r="B43" s="218"/>
      <c r="C43" s="269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18"/>
      <c r="AI43" s="218"/>
      <c r="AJ43" s="218"/>
      <c r="AK43" s="218"/>
      <c r="AL43" s="218"/>
      <c r="AM43" s="218"/>
      <c r="AN43" s="218"/>
      <c r="AO43" s="218"/>
      <c r="AP43" s="218"/>
      <c r="AQ43" s="218"/>
      <c r="AR43" s="218"/>
      <c r="AS43" s="218"/>
      <c r="AT43" s="218"/>
      <c r="AU43" s="218"/>
      <c r="AV43" s="218"/>
      <c r="AW43" s="218"/>
      <c r="AX43" s="218"/>
      <c r="AY43" s="218"/>
      <c r="AZ43" s="218"/>
      <c r="BA43" s="218"/>
      <c r="BB43" s="218"/>
      <c r="BC43" s="218"/>
      <c r="BD43" s="218"/>
      <c r="BE43" s="218"/>
      <c r="BF43" s="218"/>
      <c r="BG43" s="218"/>
      <c r="BH43" s="218"/>
      <c r="BI43" s="218"/>
      <c r="BJ43" s="218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8"/>
      <c r="CA43" s="218"/>
      <c r="CB43" s="218"/>
      <c r="CC43" s="218"/>
      <c r="CD43" s="218"/>
      <c r="CE43" s="218"/>
      <c r="CF43" s="218"/>
      <c r="CG43" s="218"/>
      <c r="CH43" s="218"/>
      <c r="CI43" s="218"/>
      <c r="CJ43" s="218"/>
      <c r="CK43" s="218"/>
      <c r="CL43" s="218"/>
      <c r="CM43" s="218"/>
      <c r="CN43" s="218"/>
      <c r="CO43" s="218"/>
      <c r="CP43" s="218"/>
      <c r="CQ43" s="218"/>
      <c r="CR43" s="218"/>
      <c r="CS43" s="218"/>
      <c r="CT43" s="218"/>
      <c r="CU43" s="218"/>
      <c r="CV43" s="218"/>
      <c r="CW43" s="218"/>
      <c r="CX43" s="218"/>
      <c r="CY43" s="218"/>
      <c r="CZ43" s="218"/>
      <c r="DA43" s="218"/>
      <c r="DB43" s="218"/>
      <c r="DC43" s="218"/>
      <c r="DD43" s="218"/>
      <c r="DE43" s="218"/>
      <c r="DF43" s="218"/>
      <c r="DG43" s="218"/>
      <c r="DH43" s="218"/>
      <c r="DI43" s="218"/>
      <c r="DJ43" s="218"/>
      <c r="DK43" s="218"/>
      <c r="DL43" s="218"/>
      <c r="DM43" s="218"/>
      <c r="DN43" s="218"/>
      <c r="DO43" s="218"/>
      <c r="DP43" s="218"/>
      <c r="DQ43" s="218"/>
      <c r="DR43" s="218"/>
      <c r="DS43" s="218"/>
      <c r="DT43" s="218"/>
      <c r="DU43" s="218"/>
      <c r="DV43" s="218"/>
      <c r="DW43" s="218"/>
      <c r="DX43" s="218"/>
      <c r="DY43" s="218"/>
      <c r="DZ43" s="218"/>
      <c r="EA43" s="218"/>
      <c r="EB43" s="218"/>
      <c r="EC43" s="218"/>
      <c r="ED43" s="218"/>
      <c r="EE43" s="218"/>
      <c r="EF43" s="218"/>
      <c r="EG43" s="218"/>
      <c r="EH43" s="218"/>
      <c r="EI43" s="218"/>
      <c r="EJ43" s="218"/>
      <c r="EK43" s="218"/>
      <c r="EL43" s="218"/>
      <c r="EM43" s="218"/>
      <c r="EN43" s="218"/>
      <c r="EO43" s="218"/>
      <c r="EP43" s="218"/>
      <c r="EQ43" s="218"/>
      <c r="ER43" s="218"/>
      <c r="ES43" s="218"/>
      <c r="ET43" s="218"/>
      <c r="EU43" s="218"/>
      <c r="EV43" s="218"/>
      <c r="EW43" s="218"/>
      <c r="EX43" s="218"/>
      <c r="EY43" s="218"/>
      <c r="EZ43" s="218"/>
      <c r="FA43" s="218"/>
      <c r="FB43" s="218"/>
      <c r="FC43" s="218"/>
      <c r="FD43" s="218"/>
      <c r="FE43" s="218"/>
      <c r="FF43" s="218"/>
      <c r="FG43" s="218"/>
      <c r="FH43" s="218"/>
      <c r="FI43" s="218"/>
      <c r="FJ43" s="218"/>
      <c r="FK43" s="218"/>
      <c r="FL43" s="218"/>
      <c r="FM43" s="218"/>
      <c r="FN43" s="218"/>
      <c r="FO43" s="218"/>
      <c r="FP43" s="218"/>
      <c r="FQ43" s="218"/>
      <c r="FR43" s="218"/>
      <c r="FS43" s="218"/>
      <c r="FT43" s="218"/>
      <c r="FU43" s="218"/>
      <c r="FV43" s="218"/>
      <c r="FW43" s="218"/>
      <c r="FX43" s="218"/>
      <c r="FY43" s="218"/>
      <c r="FZ43" s="218"/>
      <c r="GA43" s="218"/>
      <c r="GB43" s="218"/>
      <c r="GC43" s="218"/>
      <c r="GD43" s="218"/>
      <c r="GE43" s="218"/>
      <c r="GF43" s="218"/>
      <c r="GG43" s="218"/>
      <c r="GH43" s="218"/>
      <c r="GI43" s="218"/>
      <c r="GJ43" s="218"/>
      <c r="GK43" s="218"/>
      <c r="GL43" s="218"/>
      <c r="GM43" s="218"/>
      <c r="GN43" s="218"/>
      <c r="GO43" s="218"/>
      <c r="GP43" s="218"/>
      <c r="GQ43" s="218"/>
      <c r="GR43" s="218"/>
      <c r="GS43" s="218"/>
      <c r="GT43" s="218"/>
      <c r="GU43" s="218"/>
      <c r="GV43" s="218"/>
      <c r="GW43" s="218"/>
      <c r="GX43" s="218"/>
      <c r="GY43" s="218"/>
      <c r="GZ43" s="218"/>
      <c r="HA43" s="218"/>
      <c r="HB43" s="218"/>
      <c r="HC43" s="218"/>
      <c r="HD43" s="218"/>
      <c r="HE43" s="218"/>
      <c r="HF43" s="218"/>
      <c r="HG43" s="218"/>
      <c r="HH43" s="218"/>
      <c r="HI43" s="218"/>
      <c r="HJ43" s="218"/>
      <c r="HK43" s="218"/>
      <c r="HL43" s="218"/>
      <c r="HM43" s="218"/>
      <c r="HN43" s="218"/>
      <c r="HO43" s="218"/>
      <c r="HP43" s="218"/>
      <c r="HQ43" s="218"/>
      <c r="HR43" s="218"/>
      <c r="HS43" s="218"/>
      <c r="HT43" s="218"/>
      <c r="HU43" s="218"/>
      <c r="HV43" s="218"/>
      <c r="HW43" s="218"/>
      <c r="HX43" s="218"/>
      <c r="HY43" s="218"/>
      <c r="HZ43" s="218"/>
      <c r="IA43" s="218"/>
      <c r="IB43" s="218"/>
      <c r="IC43" s="218"/>
      <c r="ID43" s="218"/>
      <c r="IE43" s="218"/>
      <c r="IF43" s="218"/>
      <c r="IG43" s="218"/>
      <c r="IH43" s="218"/>
      <c r="II43" s="218"/>
      <c r="IJ43" s="218"/>
      <c r="IK43" s="218"/>
      <c r="IL43" s="218"/>
      <c r="IM43" s="218"/>
      <c r="IN43" s="218"/>
      <c r="IO43" s="218"/>
      <c r="IP43" s="218"/>
      <c r="IQ43" s="218"/>
      <c r="IR43" s="218"/>
      <c r="IS43" s="218"/>
      <c r="IT43" s="218"/>
      <c r="IU43" s="218"/>
      <c r="IV43" s="218"/>
      <c r="IW43" s="218"/>
    </row>
    <row r="44" customFormat="false" ht="11.25" hidden="false" customHeight="false" outlineLevel="0" collapsed="false">
      <c r="A44" s="218"/>
      <c r="B44" s="218"/>
      <c r="C44" s="218"/>
      <c r="D44" s="218"/>
      <c r="E44" s="218"/>
      <c r="F44" s="218"/>
      <c r="G44" s="218"/>
      <c r="H44" s="218"/>
      <c r="I44" s="218"/>
      <c r="J44" s="218"/>
      <c r="K44" s="218"/>
      <c r="L44" s="218"/>
      <c r="M44" s="218"/>
      <c r="N44" s="218"/>
      <c r="O44" s="218"/>
      <c r="P44" s="218"/>
      <c r="Q44" s="218"/>
      <c r="R44" s="218"/>
      <c r="S44" s="218"/>
      <c r="T44" s="218"/>
      <c r="U44" s="218"/>
      <c r="V44" s="218"/>
      <c r="W44" s="218"/>
      <c r="X44" s="218"/>
      <c r="Y44" s="218"/>
      <c r="Z44" s="218"/>
      <c r="AA44" s="218"/>
      <c r="AB44" s="218"/>
      <c r="AC44" s="218"/>
      <c r="AD44" s="218"/>
      <c r="AE44" s="218"/>
      <c r="AF44" s="218"/>
      <c r="AG44" s="218"/>
      <c r="AH44" s="218"/>
      <c r="AI44" s="218"/>
      <c r="AJ44" s="218"/>
      <c r="AK44" s="218"/>
      <c r="AL44" s="218"/>
      <c r="AM44" s="218"/>
      <c r="AN44" s="218"/>
      <c r="AO44" s="218"/>
      <c r="AP44" s="218"/>
      <c r="AQ44" s="218"/>
      <c r="AR44" s="218"/>
      <c r="AS44" s="218"/>
      <c r="AT44" s="218"/>
      <c r="AU44" s="218"/>
      <c r="AV44" s="218"/>
      <c r="AW44" s="218"/>
      <c r="AX44" s="218"/>
      <c r="AY44" s="218"/>
      <c r="AZ44" s="218"/>
      <c r="BA44" s="218"/>
      <c r="BB44" s="218"/>
      <c r="BC44" s="218"/>
      <c r="BD44" s="218"/>
      <c r="BE44" s="218"/>
      <c r="BF44" s="218"/>
      <c r="BG44" s="218"/>
      <c r="BH44" s="218"/>
      <c r="BI44" s="218"/>
      <c r="BJ44" s="218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8"/>
      <c r="CA44" s="218"/>
      <c r="CB44" s="218"/>
      <c r="CC44" s="218"/>
      <c r="CD44" s="218"/>
      <c r="CE44" s="218"/>
      <c r="CF44" s="218"/>
      <c r="CG44" s="218"/>
      <c r="CH44" s="218"/>
      <c r="CI44" s="218"/>
      <c r="CJ44" s="218"/>
      <c r="CK44" s="218"/>
      <c r="CL44" s="218"/>
      <c r="CM44" s="218"/>
      <c r="CN44" s="218"/>
      <c r="CO44" s="218"/>
      <c r="CP44" s="218"/>
      <c r="CQ44" s="218"/>
      <c r="CR44" s="218"/>
      <c r="CS44" s="218"/>
      <c r="CT44" s="218"/>
      <c r="CU44" s="218"/>
      <c r="CV44" s="218"/>
      <c r="CW44" s="218"/>
      <c r="CX44" s="218"/>
      <c r="CY44" s="218"/>
      <c r="CZ44" s="218"/>
      <c r="DA44" s="218"/>
      <c r="DB44" s="218"/>
      <c r="DC44" s="218"/>
      <c r="DD44" s="218"/>
      <c r="DE44" s="218"/>
      <c r="DF44" s="218"/>
      <c r="DG44" s="218"/>
      <c r="DH44" s="218"/>
      <c r="DI44" s="218"/>
      <c r="DJ44" s="218"/>
      <c r="DK44" s="218"/>
      <c r="DL44" s="218"/>
      <c r="DM44" s="218"/>
      <c r="DN44" s="218"/>
      <c r="DO44" s="218"/>
      <c r="DP44" s="218"/>
      <c r="DQ44" s="218"/>
      <c r="DR44" s="218"/>
      <c r="DS44" s="218"/>
      <c r="DT44" s="218"/>
      <c r="DU44" s="218"/>
      <c r="DV44" s="218"/>
      <c r="DW44" s="218"/>
      <c r="DX44" s="218"/>
      <c r="DY44" s="218"/>
      <c r="DZ44" s="218"/>
      <c r="EA44" s="218"/>
      <c r="EB44" s="218"/>
      <c r="EC44" s="218"/>
      <c r="ED44" s="218"/>
      <c r="EE44" s="218"/>
      <c r="EF44" s="218"/>
      <c r="EG44" s="218"/>
      <c r="EH44" s="218"/>
      <c r="EI44" s="218"/>
      <c r="EJ44" s="218"/>
      <c r="EK44" s="218"/>
      <c r="EL44" s="218"/>
      <c r="EM44" s="218"/>
      <c r="EN44" s="218"/>
      <c r="EO44" s="218"/>
      <c r="EP44" s="218"/>
      <c r="EQ44" s="218"/>
      <c r="ER44" s="218"/>
      <c r="ES44" s="218"/>
      <c r="ET44" s="218"/>
      <c r="EU44" s="218"/>
      <c r="EV44" s="218"/>
      <c r="EW44" s="218"/>
      <c r="EX44" s="218"/>
      <c r="EY44" s="218"/>
      <c r="EZ44" s="218"/>
      <c r="FA44" s="218"/>
      <c r="FB44" s="218"/>
      <c r="FC44" s="218"/>
      <c r="FD44" s="218"/>
      <c r="FE44" s="218"/>
      <c r="FF44" s="218"/>
      <c r="FG44" s="218"/>
      <c r="FH44" s="218"/>
      <c r="FI44" s="218"/>
      <c r="FJ44" s="218"/>
      <c r="FK44" s="218"/>
      <c r="FL44" s="218"/>
      <c r="FM44" s="218"/>
      <c r="FN44" s="218"/>
      <c r="FO44" s="218"/>
      <c r="FP44" s="218"/>
      <c r="FQ44" s="218"/>
      <c r="FR44" s="218"/>
      <c r="FS44" s="218"/>
      <c r="FT44" s="218"/>
      <c r="FU44" s="218"/>
      <c r="FV44" s="218"/>
      <c r="FW44" s="218"/>
      <c r="FX44" s="218"/>
      <c r="FY44" s="218"/>
      <c r="FZ44" s="218"/>
      <c r="GA44" s="218"/>
      <c r="GB44" s="218"/>
      <c r="GC44" s="218"/>
      <c r="GD44" s="218"/>
      <c r="GE44" s="218"/>
      <c r="GF44" s="218"/>
      <c r="GG44" s="218"/>
      <c r="GH44" s="218"/>
      <c r="GI44" s="218"/>
      <c r="GJ44" s="218"/>
      <c r="GK44" s="218"/>
      <c r="GL44" s="218"/>
      <c r="GM44" s="218"/>
      <c r="GN44" s="218"/>
      <c r="GO44" s="218"/>
      <c r="GP44" s="218"/>
      <c r="GQ44" s="218"/>
      <c r="GR44" s="218"/>
      <c r="GS44" s="218"/>
      <c r="GT44" s="218"/>
      <c r="GU44" s="218"/>
      <c r="GV44" s="218"/>
      <c r="GW44" s="218"/>
      <c r="GX44" s="218"/>
      <c r="GY44" s="218"/>
      <c r="GZ44" s="218"/>
      <c r="HA44" s="218"/>
      <c r="HB44" s="218"/>
      <c r="HC44" s="218"/>
      <c r="HD44" s="218"/>
      <c r="HE44" s="218"/>
      <c r="HF44" s="218"/>
      <c r="HG44" s="218"/>
      <c r="HH44" s="218"/>
      <c r="HI44" s="218"/>
      <c r="HJ44" s="218"/>
      <c r="HK44" s="218"/>
      <c r="HL44" s="218"/>
      <c r="HM44" s="218"/>
      <c r="HN44" s="218"/>
      <c r="HO44" s="218"/>
      <c r="HP44" s="218"/>
      <c r="HQ44" s="218"/>
      <c r="HR44" s="218"/>
      <c r="HS44" s="218"/>
      <c r="HT44" s="218"/>
      <c r="HU44" s="218"/>
      <c r="HV44" s="218"/>
      <c r="HW44" s="218"/>
      <c r="HX44" s="218"/>
      <c r="HY44" s="218"/>
      <c r="HZ44" s="218"/>
      <c r="IA44" s="218"/>
      <c r="IB44" s="218"/>
      <c r="IC44" s="218"/>
      <c r="ID44" s="218"/>
      <c r="IE44" s="218"/>
      <c r="IF44" s="218"/>
      <c r="IG44" s="218"/>
      <c r="IH44" s="218"/>
      <c r="II44" s="218"/>
      <c r="IJ44" s="218"/>
      <c r="IK44" s="218"/>
      <c r="IL44" s="218"/>
      <c r="IM44" s="218"/>
      <c r="IN44" s="218"/>
      <c r="IO44" s="218"/>
      <c r="IP44" s="218"/>
      <c r="IQ44" s="218"/>
      <c r="IR44" s="218"/>
      <c r="IS44" s="218"/>
      <c r="IT44" s="218"/>
      <c r="IU44" s="218"/>
      <c r="IV44" s="218"/>
      <c r="IW44" s="218"/>
    </row>
    <row r="45" customFormat="false" ht="11.25" hidden="false" customHeight="false" outlineLevel="0" collapsed="false">
      <c r="A45" s="218"/>
      <c r="B45" s="218"/>
      <c r="C45" s="218" t="s">
        <v>206</v>
      </c>
      <c r="D45" s="218"/>
      <c r="E45" s="269" t="e">
        <f aca="false">SUM(C36:V36)</f>
        <v>#VALUE!</v>
      </c>
      <c r="F45" s="218"/>
      <c r="G45" s="218"/>
      <c r="H45" s="232"/>
      <c r="I45" s="218"/>
      <c r="J45" s="218"/>
      <c r="K45" s="218"/>
      <c r="L45" s="218"/>
      <c r="M45" s="218"/>
      <c r="N45" s="218"/>
      <c r="O45" s="218"/>
      <c r="P45" s="218"/>
      <c r="Q45" s="218"/>
      <c r="R45" s="218"/>
      <c r="S45" s="218"/>
      <c r="T45" s="218"/>
      <c r="U45" s="218"/>
      <c r="V45" s="218"/>
      <c r="W45" s="218"/>
      <c r="X45" s="218"/>
      <c r="Y45" s="218"/>
      <c r="Z45" s="218"/>
      <c r="AA45" s="218"/>
      <c r="AB45" s="218"/>
      <c r="AC45" s="218"/>
      <c r="AD45" s="218"/>
      <c r="AE45" s="218"/>
      <c r="AF45" s="218"/>
      <c r="AG45" s="218"/>
      <c r="AH45" s="218"/>
      <c r="AI45" s="218"/>
      <c r="AJ45" s="218"/>
      <c r="AK45" s="218"/>
      <c r="AL45" s="218"/>
      <c r="AM45" s="218"/>
      <c r="AN45" s="218"/>
      <c r="AO45" s="218"/>
      <c r="AP45" s="218"/>
      <c r="AQ45" s="218"/>
      <c r="AR45" s="218"/>
      <c r="AS45" s="218"/>
      <c r="AT45" s="218"/>
      <c r="AU45" s="218"/>
      <c r="AV45" s="218"/>
      <c r="AW45" s="218"/>
      <c r="AX45" s="218"/>
      <c r="AY45" s="218"/>
      <c r="AZ45" s="218"/>
      <c r="BA45" s="218"/>
      <c r="BB45" s="218"/>
      <c r="BC45" s="218"/>
      <c r="BD45" s="218"/>
      <c r="BE45" s="218"/>
      <c r="BF45" s="218"/>
      <c r="BG45" s="218"/>
      <c r="BH45" s="218"/>
      <c r="BI45" s="218"/>
      <c r="BJ45" s="218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8"/>
      <c r="CA45" s="218"/>
      <c r="CB45" s="218"/>
      <c r="CC45" s="218"/>
      <c r="CD45" s="218"/>
      <c r="CE45" s="218"/>
      <c r="CF45" s="218"/>
      <c r="CG45" s="218"/>
      <c r="CH45" s="218"/>
      <c r="CI45" s="218"/>
      <c r="CJ45" s="218"/>
      <c r="CK45" s="218"/>
      <c r="CL45" s="218"/>
      <c r="CM45" s="218"/>
      <c r="CN45" s="218"/>
      <c r="CO45" s="218"/>
      <c r="CP45" s="218"/>
      <c r="CQ45" s="218"/>
      <c r="CR45" s="218"/>
      <c r="CS45" s="218"/>
      <c r="CT45" s="218"/>
      <c r="CU45" s="218"/>
      <c r="CV45" s="218"/>
      <c r="CW45" s="218"/>
      <c r="CX45" s="218"/>
      <c r="CY45" s="218"/>
      <c r="CZ45" s="218"/>
      <c r="DA45" s="218"/>
      <c r="DB45" s="218"/>
      <c r="DC45" s="218"/>
      <c r="DD45" s="218"/>
      <c r="DE45" s="218"/>
      <c r="DF45" s="218"/>
      <c r="DG45" s="218"/>
      <c r="DH45" s="218"/>
      <c r="DI45" s="218"/>
      <c r="DJ45" s="218"/>
      <c r="DK45" s="218"/>
      <c r="DL45" s="218"/>
      <c r="DM45" s="218"/>
      <c r="DN45" s="218"/>
      <c r="DO45" s="218"/>
      <c r="DP45" s="218"/>
      <c r="DQ45" s="218"/>
      <c r="DR45" s="218"/>
      <c r="DS45" s="218"/>
      <c r="DT45" s="218"/>
      <c r="DU45" s="218"/>
      <c r="DV45" s="218"/>
      <c r="DW45" s="218"/>
      <c r="DX45" s="218"/>
      <c r="DY45" s="218"/>
      <c r="DZ45" s="218"/>
      <c r="EA45" s="218"/>
      <c r="EB45" s="218"/>
      <c r="EC45" s="218"/>
      <c r="ED45" s="218"/>
      <c r="EE45" s="218"/>
      <c r="EF45" s="218"/>
      <c r="EG45" s="218"/>
      <c r="EH45" s="218"/>
      <c r="EI45" s="218"/>
      <c r="EJ45" s="218"/>
      <c r="EK45" s="218"/>
      <c r="EL45" s="218"/>
      <c r="EM45" s="218"/>
      <c r="EN45" s="218"/>
      <c r="EO45" s="218"/>
      <c r="EP45" s="218"/>
      <c r="EQ45" s="218"/>
      <c r="ER45" s="218"/>
      <c r="ES45" s="218"/>
      <c r="ET45" s="218"/>
      <c r="EU45" s="218"/>
      <c r="EV45" s="218"/>
      <c r="EW45" s="218"/>
      <c r="EX45" s="218"/>
      <c r="EY45" s="218"/>
      <c r="EZ45" s="218"/>
      <c r="FA45" s="218"/>
      <c r="FB45" s="218"/>
      <c r="FC45" s="218"/>
      <c r="FD45" s="218"/>
      <c r="FE45" s="218"/>
      <c r="FF45" s="218"/>
      <c r="FG45" s="218"/>
      <c r="FH45" s="218"/>
      <c r="FI45" s="218"/>
      <c r="FJ45" s="218"/>
      <c r="FK45" s="218"/>
      <c r="FL45" s="218"/>
      <c r="FM45" s="218"/>
      <c r="FN45" s="218"/>
      <c r="FO45" s="218"/>
      <c r="FP45" s="218"/>
      <c r="FQ45" s="218"/>
      <c r="FR45" s="218"/>
      <c r="FS45" s="218"/>
      <c r="FT45" s="218"/>
      <c r="FU45" s="218"/>
      <c r="FV45" s="218"/>
      <c r="FW45" s="218"/>
      <c r="FX45" s="218"/>
      <c r="FY45" s="218"/>
      <c r="FZ45" s="218"/>
      <c r="GA45" s="218"/>
      <c r="GB45" s="218"/>
      <c r="GC45" s="218"/>
      <c r="GD45" s="218"/>
      <c r="GE45" s="218"/>
      <c r="GF45" s="218"/>
      <c r="GG45" s="218"/>
      <c r="GH45" s="218"/>
      <c r="GI45" s="218"/>
      <c r="GJ45" s="218"/>
      <c r="GK45" s="218"/>
      <c r="GL45" s="218"/>
      <c r="GM45" s="218"/>
      <c r="GN45" s="218"/>
      <c r="GO45" s="218"/>
      <c r="GP45" s="218"/>
      <c r="GQ45" s="218"/>
      <c r="GR45" s="218"/>
      <c r="GS45" s="218"/>
      <c r="GT45" s="218"/>
      <c r="GU45" s="218"/>
      <c r="GV45" s="218"/>
      <c r="GW45" s="218"/>
      <c r="GX45" s="218"/>
      <c r="GY45" s="218"/>
      <c r="GZ45" s="218"/>
      <c r="HA45" s="218"/>
      <c r="HB45" s="218"/>
      <c r="HC45" s="218"/>
      <c r="HD45" s="218"/>
      <c r="HE45" s="218"/>
      <c r="HF45" s="218"/>
      <c r="HG45" s="218"/>
      <c r="HH45" s="218"/>
      <c r="HI45" s="218"/>
      <c r="HJ45" s="218"/>
      <c r="HK45" s="218"/>
      <c r="HL45" s="218"/>
      <c r="HM45" s="218"/>
      <c r="HN45" s="218"/>
      <c r="HO45" s="218"/>
      <c r="HP45" s="218"/>
      <c r="HQ45" s="218"/>
      <c r="HR45" s="218"/>
      <c r="HS45" s="218"/>
      <c r="HT45" s="218"/>
      <c r="HU45" s="218"/>
      <c r="HV45" s="218"/>
      <c r="HW45" s="218"/>
      <c r="HX45" s="218"/>
      <c r="HY45" s="218"/>
      <c r="HZ45" s="218"/>
      <c r="IA45" s="218"/>
      <c r="IB45" s="218"/>
      <c r="IC45" s="218"/>
      <c r="ID45" s="218"/>
      <c r="IE45" s="218"/>
      <c r="IF45" s="218"/>
      <c r="IG45" s="218"/>
      <c r="IH45" s="218"/>
      <c r="II45" s="218"/>
      <c r="IJ45" s="218"/>
      <c r="IK45" s="218"/>
      <c r="IL45" s="218"/>
      <c r="IM45" s="218"/>
      <c r="IN45" s="218"/>
      <c r="IO45" s="218"/>
      <c r="IP45" s="218"/>
      <c r="IQ45" s="218"/>
      <c r="IR45" s="218"/>
      <c r="IS45" s="218"/>
      <c r="IT45" s="218"/>
      <c r="IU45" s="218"/>
      <c r="IV45" s="218"/>
      <c r="IW45" s="218"/>
    </row>
    <row r="46" customFormat="false" ht="11.25" hidden="false" customHeight="false" outlineLevel="0" collapsed="false">
      <c r="A46" s="218"/>
      <c r="B46" s="218"/>
      <c r="C46" s="270" t="s">
        <v>211</v>
      </c>
      <c r="D46" s="218"/>
      <c r="E46" s="269" t="e">
        <f aca="false">E45-(J3+(Assumptions!E14*Assumptions!E34))</f>
        <v>#VALUE!</v>
      </c>
      <c r="F46" s="269"/>
      <c r="G46" s="271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8"/>
      <c r="W46" s="218"/>
      <c r="X46" s="218"/>
      <c r="Y46" s="218"/>
      <c r="Z46" s="218"/>
      <c r="AA46" s="218"/>
      <c r="AB46" s="218"/>
      <c r="AC46" s="218"/>
      <c r="AD46" s="218"/>
      <c r="AE46" s="218"/>
      <c r="AF46" s="218"/>
      <c r="AG46" s="218"/>
      <c r="AH46" s="218"/>
      <c r="AI46" s="218"/>
      <c r="AJ46" s="218"/>
      <c r="AK46" s="218"/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8"/>
      <c r="AW46" s="218"/>
      <c r="AX46" s="218"/>
      <c r="AY46" s="218"/>
      <c r="AZ46" s="218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  <c r="CB46" s="218"/>
      <c r="CC46" s="218"/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8"/>
      <c r="CO46" s="218"/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8"/>
      <c r="DB46" s="218"/>
      <c r="DC46" s="218"/>
      <c r="DD46" s="218"/>
      <c r="DE46" s="218"/>
      <c r="DF46" s="218"/>
      <c r="DG46" s="218"/>
      <c r="DH46" s="218"/>
      <c r="DI46" s="218"/>
      <c r="DJ46" s="218"/>
      <c r="DK46" s="218"/>
      <c r="DL46" s="218"/>
      <c r="DM46" s="218"/>
      <c r="DN46" s="218"/>
      <c r="DO46" s="218"/>
      <c r="DP46" s="218"/>
      <c r="DQ46" s="218"/>
      <c r="DR46" s="218"/>
      <c r="DS46" s="218"/>
      <c r="DT46" s="218"/>
      <c r="DU46" s="218"/>
      <c r="DV46" s="218"/>
      <c r="DW46" s="218"/>
      <c r="DX46" s="218"/>
      <c r="DY46" s="218"/>
      <c r="DZ46" s="218"/>
      <c r="EA46" s="218"/>
      <c r="EB46" s="218"/>
      <c r="EC46" s="218"/>
      <c r="ED46" s="218"/>
      <c r="EE46" s="218"/>
      <c r="EF46" s="218"/>
      <c r="EG46" s="218"/>
      <c r="EH46" s="218"/>
      <c r="EI46" s="218"/>
      <c r="EJ46" s="218"/>
      <c r="EK46" s="218"/>
      <c r="EL46" s="218"/>
      <c r="EM46" s="218"/>
      <c r="EN46" s="218"/>
      <c r="EO46" s="218"/>
      <c r="EP46" s="218"/>
      <c r="EQ46" s="218"/>
      <c r="ER46" s="218"/>
      <c r="ES46" s="218"/>
      <c r="ET46" s="218"/>
      <c r="EU46" s="218"/>
      <c r="EV46" s="218"/>
      <c r="EW46" s="218"/>
      <c r="EX46" s="218"/>
      <c r="EY46" s="218"/>
      <c r="EZ46" s="218"/>
      <c r="FA46" s="218"/>
      <c r="FB46" s="218"/>
      <c r="FC46" s="218"/>
      <c r="FD46" s="218"/>
      <c r="FE46" s="218"/>
      <c r="FF46" s="218"/>
      <c r="FG46" s="218"/>
      <c r="FH46" s="218"/>
      <c r="FI46" s="218"/>
      <c r="FJ46" s="218"/>
      <c r="FK46" s="218"/>
      <c r="FL46" s="218"/>
      <c r="FM46" s="218"/>
      <c r="FN46" s="218"/>
      <c r="FO46" s="218"/>
      <c r="FP46" s="218"/>
      <c r="FQ46" s="218"/>
      <c r="FR46" s="218"/>
      <c r="FS46" s="218"/>
      <c r="FT46" s="218"/>
      <c r="FU46" s="218"/>
      <c r="FV46" s="218"/>
      <c r="FW46" s="218"/>
      <c r="FX46" s="218"/>
      <c r="FY46" s="218"/>
      <c r="FZ46" s="218"/>
      <c r="GA46" s="218"/>
      <c r="GB46" s="218"/>
      <c r="GC46" s="218"/>
      <c r="GD46" s="218"/>
      <c r="GE46" s="218"/>
      <c r="GF46" s="218"/>
      <c r="GG46" s="218"/>
      <c r="GH46" s="218"/>
      <c r="GI46" s="218"/>
      <c r="GJ46" s="218"/>
      <c r="GK46" s="218"/>
      <c r="GL46" s="218"/>
      <c r="GM46" s="218"/>
      <c r="GN46" s="218"/>
      <c r="GO46" s="218"/>
      <c r="GP46" s="218"/>
      <c r="GQ46" s="218"/>
      <c r="GR46" s="218"/>
      <c r="GS46" s="218"/>
      <c r="GT46" s="218"/>
      <c r="GU46" s="218"/>
      <c r="GV46" s="218"/>
      <c r="GW46" s="218"/>
      <c r="GX46" s="218"/>
      <c r="GY46" s="218"/>
      <c r="GZ46" s="218"/>
      <c r="HA46" s="218"/>
      <c r="HB46" s="218"/>
      <c r="HC46" s="218"/>
      <c r="HD46" s="218"/>
      <c r="HE46" s="218"/>
      <c r="HF46" s="218"/>
      <c r="HG46" s="218"/>
      <c r="HH46" s="218"/>
      <c r="HI46" s="218"/>
      <c r="HJ46" s="218"/>
      <c r="HK46" s="218"/>
      <c r="HL46" s="218"/>
      <c r="HM46" s="218"/>
      <c r="HN46" s="218"/>
      <c r="HO46" s="218"/>
      <c r="HP46" s="218"/>
      <c r="HQ46" s="218"/>
      <c r="HR46" s="218"/>
      <c r="HS46" s="218"/>
      <c r="HT46" s="218"/>
      <c r="HU46" s="218"/>
      <c r="HV46" s="218"/>
      <c r="HW46" s="218"/>
      <c r="HX46" s="218"/>
      <c r="HY46" s="218"/>
      <c r="HZ46" s="218"/>
      <c r="IA46" s="218"/>
      <c r="IB46" s="218"/>
      <c r="IC46" s="218"/>
      <c r="ID46" s="218"/>
      <c r="IE46" s="218"/>
      <c r="IF46" s="218"/>
      <c r="IG46" s="218"/>
      <c r="IH46" s="218"/>
      <c r="II46" s="218"/>
      <c r="IJ46" s="218"/>
      <c r="IK46" s="218"/>
      <c r="IL46" s="218"/>
      <c r="IM46" s="218"/>
      <c r="IN46" s="218"/>
      <c r="IO46" s="218"/>
      <c r="IP46" s="218"/>
      <c r="IQ46" s="218"/>
      <c r="IR46" s="218"/>
      <c r="IS46" s="218"/>
      <c r="IT46" s="218"/>
      <c r="IU46" s="218"/>
      <c r="IV46" s="218"/>
      <c r="IW46" s="218"/>
    </row>
    <row r="47" customFormat="false" ht="15" hidden="false" customHeight="false" outlineLevel="0" collapsed="false">
      <c r="D47" s="272"/>
      <c r="F47" s="273"/>
    </row>
    <row r="48" customFormat="false" ht="15" hidden="false" customHeight="false" outlineLevel="0" collapsed="false">
      <c r="C48" s="274" t="s">
        <v>212</v>
      </c>
      <c r="F48" s="273"/>
    </row>
    <row r="49" customFormat="false" ht="15" hidden="false" customHeight="false" outlineLevel="0" collapsed="false">
      <c r="C49" s="274" t="s">
        <v>213</v>
      </c>
      <c r="E49" s="275"/>
      <c r="F49" s="275"/>
      <c r="G49" s="275"/>
      <c r="H49" s="275"/>
      <c r="I49" s="275"/>
      <c r="J49" s="275"/>
      <c r="K49" s="275"/>
      <c r="L49" s="275"/>
      <c r="M49" s="275"/>
      <c r="N49" s="275"/>
      <c r="O49" s="275"/>
    </row>
    <row r="50" customFormat="false" ht="15" hidden="false" customHeight="false" outlineLevel="0" collapsed="false">
      <c r="A50" s="276"/>
      <c r="B50" s="276"/>
      <c r="C50" s="274" t="s">
        <v>214</v>
      </c>
      <c r="D50" s="274"/>
    </row>
    <row r="51" customFormat="false" ht="15" hidden="false" customHeight="false" outlineLevel="0" collapsed="false">
      <c r="A51" s="276"/>
      <c r="B51" s="276"/>
      <c r="C51" s="274"/>
      <c r="D51" s="274"/>
    </row>
    <row r="52" customFormat="false" ht="15" hidden="false" customHeight="false" outlineLevel="0" collapsed="false">
      <c r="A52" s="276"/>
      <c r="B52" s="276"/>
      <c r="C52" s="274"/>
      <c r="D52" s="274"/>
    </row>
    <row r="53" customFormat="false" ht="15.75" hidden="false" customHeight="false" outlineLevel="0" collapsed="false">
      <c r="A53" s="216"/>
      <c r="B53" s="217" t="s">
        <v>215</v>
      </c>
      <c r="C53" s="216"/>
      <c r="D53" s="216"/>
      <c r="E53" s="216"/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6"/>
      <c r="S53" s="216"/>
      <c r="T53" s="216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</row>
    <row r="54" customFormat="false" ht="12" hidden="false" customHeight="false" outlineLevel="0" collapsed="false">
      <c r="A54" s="218"/>
      <c r="B54" s="218"/>
      <c r="C54" s="218"/>
      <c r="D54" s="218"/>
      <c r="E54" s="218"/>
      <c r="F54" s="219" t="s">
        <v>176</v>
      </c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  <c r="CB54" s="218"/>
      <c r="CC54" s="218"/>
      <c r="CD54" s="218"/>
      <c r="CE54" s="218"/>
      <c r="CF54" s="218"/>
      <c r="CG54" s="218"/>
      <c r="CH54" s="218"/>
      <c r="CI54" s="218"/>
      <c r="CJ54" s="218"/>
      <c r="CK54" s="218"/>
      <c r="CL54" s="218"/>
      <c r="CM54" s="218"/>
      <c r="CN54" s="218"/>
      <c r="CO54" s="218"/>
      <c r="CP54" s="218"/>
      <c r="CQ54" s="218"/>
      <c r="CR54" s="218"/>
      <c r="CS54" s="218"/>
      <c r="CT54" s="218"/>
      <c r="CU54" s="218"/>
      <c r="CV54" s="218"/>
      <c r="CW54" s="218"/>
      <c r="CX54" s="218"/>
      <c r="CY54" s="218"/>
      <c r="CZ54" s="218"/>
      <c r="DA54" s="218"/>
      <c r="DB54" s="218"/>
      <c r="DC54" s="218"/>
      <c r="DD54" s="218"/>
      <c r="DE54" s="218"/>
      <c r="DF54" s="218"/>
      <c r="DG54" s="218"/>
      <c r="DH54" s="218"/>
      <c r="DI54" s="218"/>
      <c r="DJ54" s="218"/>
      <c r="DK54" s="218"/>
      <c r="DL54" s="218"/>
      <c r="DM54" s="218"/>
      <c r="DN54" s="218"/>
      <c r="DO54" s="218"/>
      <c r="DP54" s="218"/>
      <c r="DQ54" s="218"/>
      <c r="DR54" s="218"/>
      <c r="DS54" s="218"/>
      <c r="DT54" s="218"/>
      <c r="DU54" s="218"/>
      <c r="DV54" s="218"/>
      <c r="DW54" s="218"/>
      <c r="DX54" s="218"/>
      <c r="DY54" s="218"/>
      <c r="DZ54" s="218"/>
      <c r="EA54" s="218"/>
      <c r="EB54" s="218"/>
      <c r="EC54" s="218"/>
      <c r="ED54" s="218"/>
      <c r="EE54" s="218"/>
      <c r="EF54" s="218"/>
      <c r="EG54" s="218"/>
      <c r="EH54" s="218"/>
      <c r="EI54" s="218"/>
      <c r="EJ54" s="218"/>
      <c r="EK54" s="218"/>
      <c r="EL54" s="218"/>
      <c r="EM54" s="218"/>
      <c r="EN54" s="218"/>
      <c r="EO54" s="218"/>
      <c r="EP54" s="218"/>
      <c r="EQ54" s="218"/>
      <c r="ER54" s="218"/>
      <c r="ES54" s="218"/>
      <c r="ET54" s="218"/>
      <c r="EU54" s="218"/>
      <c r="EV54" s="218"/>
      <c r="EW54" s="218"/>
      <c r="EX54" s="218"/>
      <c r="EY54" s="218"/>
      <c r="EZ54" s="218"/>
      <c r="FA54" s="218"/>
      <c r="FB54" s="218"/>
      <c r="FC54" s="218"/>
      <c r="FD54" s="218"/>
      <c r="FE54" s="218"/>
      <c r="FF54" s="218"/>
      <c r="FG54" s="218"/>
      <c r="FH54" s="218"/>
      <c r="FI54" s="218"/>
      <c r="FJ54" s="218"/>
      <c r="FK54" s="218"/>
      <c r="FL54" s="218"/>
      <c r="FM54" s="218"/>
      <c r="FN54" s="218"/>
      <c r="FO54" s="218"/>
      <c r="FP54" s="218"/>
      <c r="FQ54" s="218"/>
      <c r="FR54" s="218"/>
      <c r="FS54" s="218"/>
      <c r="FT54" s="218"/>
      <c r="FU54" s="218"/>
      <c r="FV54" s="218"/>
      <c r="FW54" s="218"/>
      <c r="FX54" s="218"/>
      <c r="FY54" s="218"/>
      <c r="FZ54" s="218"/>
      <c r="GA54" s="218"/>
      <c r="GB54" s="218"/>
      <c r="GC54" s="218"/>
      <c r="GD54" s="218"/>
      <c r="GE54" s="218"/>
      <c r="GF54" s="218"/>
      <c r="GG54" s="218"/>
      <c r="GH54" s="218"/>
      <c r="GI54" s="218"/>
      <c r="GJ54" s="218"/>
      <c r="GK54" s="218"/>
      <c r="GL54" s="218"/>
      <c r="GM54" s="218"/>
      <c r="GN54" s="218"/>
      <c r="GO54" s="218"/>
      <c r="GP54" s="218"/>
      <c r="GQ54" s="218"/>
      <c r="GR54" s="218"/>
      <c r="GS54" s="218"/>
      <c r="GT54" s="218"/>
      <c r="GU54" s="218"/>
      <c r="GV54" s="218"/>
      <c r="GW54" s="218"/>
      <c r="GX54" s="218"/>
      <c r="GY54" s="218"/>
      <c r="GZ54" s="218"/>
      <c r="HA54" s="218"/>
      <c r="HB54" s="218"/>
      <c r="HC54" s="218"/>
      <c r="HD54" s="218"/>
      <c r="HE54" s="218"/>
      <c r="HF54" s="218"/>
      <c r="HG54" s="218"/>
      <c r="HH54" s="218"/>
      <c r="HI54" s="218"/>
      <c r="HJ54" s="218"/>
      <c r="HK54" s="218"/>
      <c r="HL54" s="218"/>
      <c r="HM54" s="218"/>
      <c r="HN54" s="218"/>
      <c r="HO54" s="218"/>
      <c r="HP54" s="218"/>
      <c r="HQ54" s="218"/>
      <c r="HR54" s="218"/>
      <c r="HS54" s="218"/>
      <c r="HT54" s="218"/>
      <c r="HU54" s="218"/>
      <c r="HV54" s="218"/>
      <c r="HW54" s="218"/>
      <c r="HX54" s="218"/>
      <c r="HY54" s="218"/>
      <c r="HZ54" s="218"/>
      <c r="IA54" s="218"/>
      <c r="IB54" s="218"/>
      <c r="IC54" s="218"/>
      <c r="ID54" s="218"/>
      <c r="IE54" s="218"/>
      <c r="IF54" s="218"/>
      <c r="IG54" s="218"/>
      <c r="IH54" s="218"/>
      <c r="II54" s="218"/>
      <c r="IJ54" s="218"/>
      <c r="IK54" s="218"/>
      <c r="IL54" s="218"/>
      <c r="IM54" s="218"/>
      <c r="IN54" s="218"/>
      <c r="IO54" s="218"/>
      <c r="IP54" s="218"/>
      <c r="IQ54" s="218"/>
      <c r="IR54" s="218"/>
      <c r="IS54" s="218"/>
      <c r="IT54" s="218"/>
      <c r="IU54" s="218"/>
      <c r="IV54" s="218"/>
      <c r="IW54" s="218"/>
    </row>
    <row r="55" customFormat="false" ht="11.25" hidden="false" customHeight="false" outlineLevel="0" collapsed="false">
      <c r="A55" s="218"/>
      <c r="B55" s="218"/>
      <c r="C55" s="218"/>
      <c r="D55" s="218"/>
      <c r="E55" s="218"/>
      <c r="F55" s="220" t="s">
        <v>177</v>
      </c>
      <c r="G55" s="221"/>
      <c r="H55" s="218"/>
      <c r="I55" s="220" t="s">
        <v>178</v>
      </c>
      <c r="J55" s="222" t="n">
        <f aca="false">Assumptions!E17*Assumptions!E37</f>
        <v>0</v>
      </c>
      <c r="K55" s="218"/>
      <c r="L55" s="218"/>
      <c r="M55" s="218"/>
      <c r="N55" s="218"/>
      <c r="O55" s="218"/>
      <c r="P55" s="218"/>
      <c r="Q55" s="218"/>
      <c r="R55" s="218"/>
      <c r="S55" s="218"/>
      <c r="T55" s="218"/>
      <c r="U55" s="218"/>
      <c r="V55" s="218"/>
      <c r="W55" s="218"/>
      <c r="X55" s="218"/>
      <c r="Y55" s="218"/>
      <c r="Z55" s="218"/>
      <c r="AA55" s="218"/>
      <c r="AB55" s="218"/>
      <c r="AC55" s="218"/>
      <c r="AD55" s="218"/>
      <c r="AE55" s="218"/>
      <c r="AF55" s="218"/>
      <c r="AG55" s="218"/>
      <c r="AH55" s="218"/>
      <c r="AI55" s="218"/>
      <c r="AJ55" s="218"/>
      <c r="AK55" s="218"/>
      <c r="AL55" s="218"/>
      <c r="AM55" s="218"/>
      <c r="AN55" s="218"/>
      <c r="AO55" s="218"/>
      <c r="AP55" s="218"/>
      <c r="AQ55" s="218"/>
      <c r="AR55" s="218"/>
      <c r="AS55" s="218"/>
      <c r="AT55" s="218"/>
      <c r="AU55" s="218"/>
      <c r="AV55" s="218"/>
      <c r="AW55" s="218"/>
      <c r="AX55" s="218"/>
      <c r="AY55" s="218"/>
      <c r="AZ55" s="218"/>
      <c r="BA55" s="218"/>
      <c r="BB55" s="218"/>
      <c r="BC55" s="218"/>
      <c r="BD55" s="218"/>
      <c r="BE55" s="218"/>
      <c r="BF55" s="218"/>
      <c r="BG55" s="218"/>
      <c r="BH55" s="218"/>
      <c r="BI55" s="218"/>
      <c r="BJ55" s="218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8"/>
      <c r="CA55" s="218"/>
      <c r="CB55" s="218"/>
      <c r="CC55" s="218"/>
      <c r="CD55" s="218"/>
      <c r="CE55" s="218"/>
      <c r="CF55" s="218"/>
      <c r="CG55" s="218"/>
      <c r="CH55" s="218"/>
      <c r="CI55" s="218"/>
      <c r="CJ55" s="218"/>
      <c r="CK55" s="218"/>
      <c r="CL55" s="218"/>
      <c r="CM55" s="218"/>
      <c r="CN55" s="218"/>
      <c r="CO55" s="218"/>
      <c r="CP55" s="218"/>
      <c r="CQ55" s="218"/>
      <c r="CR55" s="218"/>
      <c r="CS55" s="218"/>
      <c r="CT55" s="218"/>
      <c r="CU55" s="218"/>
      <c r="CV55" s="218"/>
      <c r="CW55" s="218"/>
      <c r="CX55" s="218"/>
      <c r="CY55" s="218"/>
      <c r="CZ55" s="218"/>
      <c r="DA55" s="218"/>
      <c r="DB55" s="218"/>
      <c r="DC55" s="218"/>
      <c r="DD55" s="218"/>
      <c r="DE55" s="218"/>
      <c r="DF55" s="218"/>
      <c r="DG55" s="218"/>
      <c r="DH55" s="218"/>
      <c r="DI55" s="218"/>
      <c r="DJ55" s="218"/>
      <c r="DK55" s="218"/>
      <c r="DL55" s="218"/>
      <c r="DM55" s="218"/>
      <c r="DN55" s="218"/>
      <c r="DO55" s="218"/>
      <c r="DP55" s="218"/>
      <c r="DQ55" s="218"/>
      <c r="DR55" s="218"/>
      <c r="DS55" s="218"/>
      <c r="DT55" s="218"/>
      <c r="DU55" s="218"/>
      <c r="DV55" s="218"/>
      <c r="DW55" s="218"/>
      <c r="DX55" s="218"/>
      <c r="DY55" s="218"/>
      <c r="DZ55" s="218"/>
      <c r="EA55" s="218"/>
      <c r="EB55" s="218"/>
      <c r="EC55" s="218"/>
      <c r="ED55" s="218"/>
      <c r="EE55" s="218"/>
      <c r="EF55" s="218"/>
      <c r="EG55" s="218"/>
      <c r="EH55" s="218"/>
      <c r="EI55" s="218"/>
      <c r="EJ55" s="218"/>
      <c r="EK55" s="218"/>
      <c r="EL55" s="218"/>
      <c r="EM55" s="218"/>
      <c r="EN55" s="218"/>
      <c r="EO55" s="218"/>
      <c r="EP55" s="218"/>
      <c r="EQ55" s="218"/>
      <c r="ER55" s="218"/>
      <c r="ES55" s="218"/>
      <c r="ET55" s="218"/>
      <c r="EU55" s="218"/>
      <c r="EV55" s="218"/>
      <c r="EW55" s="218"/>
      <c r="EX55" s="218"/>
      <c r="EY55" s="218"/>
      <c r="EZ55" s="218"/>
      <c r="FA55" s="218"/>
      <c r="FB55" s="218"/>
      <c r="FC55" s="218"/>
      <c r="FD55" s="218"/>
      <c r="FE55" s="218"/>
      <c r="FF55" s="218"/>
      <c r="FG55" s="218"/>
      <c r="FH55" s="218"/>
      <c r="FI55" s="218"/>
      <c r="FJ55" s="218"/>
      <c r="FK55" s="218"/>
      <c r="FL55" s="218"/>
      <c r="FM55" s="218"/>
      <c r="FN55" s="218"/>
      <c r="FO55" s="218"/>
      <c r="FP55" s="218"/>
      <c r="FQ55" s="218"/>
      <c r="FR55" s="218"/>
      <c r="FS55" s="218"/>
      <c r="FT55" s="218"/>
      <c r="FU55" s="218"/>
      <c r="FV55" s="218"/>
      <c r="FW55" s="218"/>
      <c r="FX55" s="218"/>
      <c r="FY55" s="218"/>
      <c r="FZ55" s="218"/>
      <c r="GA55" s="218"/>
      <c r="GB55" s="218"/>
      <c r="GC55" s="218"/>
      <c r="GD55" s="218"/>
      <c r="GE55" s="218"/>
      <c r="GF55" s="218"/>
      <c r="GG55" s="218"/>
      <c r="GH55" s="218"/>
      <c r="GI55" s="218"/>
      <c r="GJ55" s="218"/>
      <c r="GK55" s="218"/>
      <c r="GL55" s="218"/>
      <c r="GM55" s="218"/>
      <c r="GN55" s="218"/>
      <c r="GO55" s="218"/>
      <c r="GP55" s="218"/>
      <c r="GQ55" s="218"/>
      <c r="GR55" s="218"/>
      <c r="GS55" s="218"/>
      <c r="GT55" s="218"/>
      <c r="GU55" s="218"/>
      <c r="GV55" s="218"/>
      <c r="GW55" s="218"/>
      <c r="GX55" s="218"/>
      <c r="GY55" s="218"/>
      <c r="GZ55" s="218"/>
      <c r="HA55" s="218"/>
      <c r="HB55" s="218"/>
      <c r="HC55" s="218"/>
      <c r="HD55" s="218"/>
      <c r="HE55" s="218"/>
      <c r="HF55" s="218"/>
      <c r="HG55" s="218"/>
      <c r="HH55" s="218"/>
      <c r="HI55" s="218"/>
      <c r="HJ55" s="218"/>
      <c r="HK55" s="218"/>
      <c r="HL55" s="218"/>
      <c r="HM55" s="218"/>
      <c r="HN55" s="218"/>
      <c r="HO55" s="218"/>
      <c r="HP55" s="218"/>
      <c r="HQ55" s="218"/>
      <c r="HR55" s="218"/>
      <c r="HS55" s="218"/>
      <c r="HT55" s="218"/>
      <c r="HU55" s="218"/>
      <c r="HV55" s="218"/>
      <c r="HW55" s="218"/>
      <c r="HX55" s="218"/>
      <c r="HY55" s="218"/>
      <c r="HZ55" s="218"/>
      <c r="IA55" s="218"/>
      <c r="IB55" s="218"/>
      <c r="IC55" s="218"/>
      <c r="ID55" s="218"/>
      <c r="IE55" s="218"/>
      <c r="IF55" s="218"/>
      <c r="IG55" s="218"/>
      <c r="IH55" s="218"/>
      <c r="II55" s="218"/>
      <c r="IJ55" s="218"/>
      <c r="IK55" s="218"/>
      <c r="IL55" s="218"/>
      <c r="IM55" s="218"/>
      <c r="IN55" s="218"/>
      <c r="IO55" s="218"/>
      <c r="IP55" s="218"/>
      <c r="IQ55" s="218"/>
      <c r="IR55" s="218"/>
      <c r="IS55" s="218"/>
      <c r="IT55" s="218"/>
      <c r="IU55" s="218"/>
      <c r="IV55" s="218"/>
      <c r="IW55" s="218"/>
    </row>
    <row r="56" customFormat="false" ht="12" hidden="false" customHeight="false" outlineLevel="0" collapsed="false">
      <c r="A56" s="218"/>
      <c r="B56" s="218"/>
      <c r="C56" s="218"/>
      <c r="D56" s="218"/>
      <c r="E56" s="218"/>
      <c r="F56" s="223" t="s">
        <v>179</v>
      </c>
      <c r="G56" s="224" t="n">
        <f aca="false">Assumptions!E23</f>
        <v>13</v>
      </c>
      <c r="H56" s="218"/>
      <c r="I56" s="225" t="s">
        <v>180</v>
      </c>
      <c r="J56" s="226" t="n">
        <f aca="false">Assumptions!E17*Assumptions!E36</f>
        <v>0</v>
      </c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18"/>
      <c r="AJ56" s="218"/>
      <c r="AK56" s="218"/>
      <c r="AL56" s="218"/>
      <c r="AM56" s="218"/>
      <c r="AN56" s="218"/>
      <c r="AO56" s="218"/>
      <c r="AP56" s="218"/>
      <c r="AQ56" s="218"/>
      <c r="AR56" s="218"/>
      <c r="AS56" s="218"/>
      <c r="AT56" s="218"/>
      <c r="AU56" s="218"/>
      <c r="AV56" s="218"/>
      <c r="AW56" s="218"/>
      <c r="AX56" s="218"/>
      <c r="AY56" s="218"/>
      <c r="AZ56" s="218"/>
      <c r="BA56" s="218"/>
      <c r="BB56" s="218"/>
      <c r="BC56" s="218"/>
      <c r="BD56" s="218"/>
      <c r="BE56" s="218"/>
      <c r="BF56" s="218"/>
      <c r="BG56" s="218"/>
      <c r="BH56" s="218"/>
      <c r="BI56" s="218"/>
      <c r="BJ56" s="218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8"/>
      <c r="CA56" s="218"/>
      <c r="CB56" s="218"/>
      <c r="CC56" s="218"/>
      <c r="CD56" s="218"/>
      <c r="CE56" s="218"/>
      <c r="CF56" s="218"/>
      <c r="CG56" s="218"/>
      <c r="CH56" s="218"/>
      <c r="CI56" s="218"/>
      <c r="CJ56" s="218"/>
      <c r="CK56" s="218"/>
      <c r="CL56" s="218"/>
      <c r="CM56" s="218"/>
      <c r="CN56" s="218"/>
      <c r="CO56" s="218"/>
      <c r="CP56" s="218"/>
      <c r="CQ56" s="218"/>
      <c r="CR56" s="218"/>
      <c r="CS56" s="218"/>
      <c r="CT56" s="218"/>
      <c r="CU56" s="218"/>
      <c r="CV56" s="218"/>
      <c r="CW56" s="218"/>
      <c r="CX56" s="218"/>
      <c r="CY56" s="218"/>
      <c r="CZ56" s="218"/>
      <c r="DA56" s="218"/>
      <c r="DB56" s="218"/>
      <c r="DC56" s="218"/>
      <c r="DD56" s="218"/>
      <c r="DE56" s="218"/>
      <c r="DF56" s="218"/>
      <c r="DG56" s="218"/>
      <c r="DH56" s="218"/>
      <c r="DI56" s="218"/>
      <c r="DJ56" s="218"/>
      <c r="DK56" s="218"/>
      <c r="DL56" s="218"/>
      <c r="DM56" s="218"/>
      <c r="DN56" s="218"/>
      <c r="DO56" s="218"/>
      <c r="DP56" s="218"/>
      <c r="DQ56" s="218"/>
      <c r="DR56" s="218"/>
      <c r="DS56" s="218"/>
      <c r="DT56" s="218"/>
      <c r="DU56" s="218"/>
      <c r="DV56" s="218"/>
      <c r="DW56" s="218"/>
      <c r="DX56" s="218"/>
      <c r="DY56" s="218"/>
      <c r="DZ56" s="218"/>
      <c r="EA56" s="218"/>
      <c r="EB56" s="218"/>
      <c r="EC56" s="218"/>
      <c r="ED56" s="218"/>
      <c r="EE56" s="218"/>
      <c r="EF56" s="218"/>
      <c r="EG56" s="218"/>
      <c r="EH56" s="218"/>
      <c r="EI56" s="218"/>
      <c r="EJ56" s="218"/>
      <c r="EK56" s="218"/>
      <c r="EL56" s="218"/>
      <c r="EM56" s="218"/>
      <c r="EN56" s="218"/>
      <c r="EO56" s="218"/>
      <c r="EP56" s="218"/>
      <c r="EQ56" s="218"/>
      <c r="ER56" s="218"/>
      <c r="ES56" s="218"/>
      <c r="ET56" s="218"/>
      <c r="EU56" s="218"/>
      <c r="EV56" s="218"/>
      <c r="EW56" s="218"/>
      <c r="EX56" s="218"/>
      <c r="EY56" s="218"/>
      <c r="EZ56" s="218"/>
      <c r="FA56" s="218"/>
      <c r="FB56" s="218"/>
      <c r="FC56" s="218"/>
      <c r="FD56" s="218"/>
      <c r="FE56" s="218"/>
      <c r="FF56" s="218"/>
      <c r="FG56" s="218"/>
      <c r="FH56" s="218"/>
      <c r="FI56" s="218"/>
      <c r="FJ56" s="218"/>
      <c r="FK56" s="218"/>
      <c r="FL56" s="218"/>
      <c r="FM56" s="218"/>
      <c r="FN56" s="218"/>
      <c r="FO56" s="218"/>
      <c r="FP56" s="218"/>
      <c r="FQ56" s="218"/>
      <c r="FR56" s="218"/>
      <c r="FS56" s="218"/>
      <c r="FT56" s="218"/>
      <c r="FU56" s="218"/>
      <c r="FV56" s="218"/>
      <c r="FW56" s="218"/>
      <c r="FX56" s="218"/>
      <c r="FY56" s="218"/>
      <c r="FZ56" s="218"/>
      <c r="GA56" s="218"/>
      <c r="GB56" s="218"/>
      <c r="GC56" s="218"/>
      <c r="GD56" s="218"/>
      <c r="GE56" s="218"/>
      <c r="GF56" s="218"/>
      <c r="GG56" s="218"/>
      <c r="GH56" s="218"/>
      <c r="GI56" s="218"/>
      <c r="GJ56" s="218"/>
      <c r="GK56" s="218"/>
      <c r="GL56" s="218"/>
      <c r="GM56" s="218"/>
      <c r="GN56" s="218"/>
      <c r="GO56" s="218"/>
      <c r="GP56" s="218"/>
      <c r="GQ56" s="218"/>
      <c r="GR56" s="218"/>
      <c r="GS56" s="218"/>
      <c r="GT56" s="218"/>
      <c r="GU56" s="218"/>
      <c r="GV56" s="218"/>
      <c r="GW56" s="218"/>
      <c r="GX56" s="218"/>
      <c r="GY56" s="218"/>
      <c r="GZ56" s="218"/>
      <c r="HA56" s="218"/>
      <c r="HB56" s="218"/>
      <c r="HC56" s="218"/>
      <c r="HD56" s="218"/>
      <c r="HE56" s="218"/>
      <c r="HF56" s="218"/>
      <c r="HG56" s="218"/>
      <c r="HH56" s="218"/>
      <c r="HI56" s="218"/>
      <c r="HJ56" s="218"/>
      <c r="HK56" s="218"/>
      <c r="HL56" s="218"/>
      <c r="HM56" s="218"/>
      <c r="HN56" s="218"/>
      <c r="HO56" s="218"/>
      <c r="HP56" s="218"/>
      <c r="HQ56" s="218"/>
      <c r="HR56" s="218"/>
      <c r="HS56" s="218"/>
      <c r="HT56" s="218"/>
      <c r="HU56" s="218"/>
      <c r="HV56" s="218"/>
      <c r="HW56" s="218"/>
      <c r="HX56" s="218"/>
      <c r="HY56" s="218"/>
      <c r="HZ56" s="218"/>
      <c r="IA56" s="218"/>
      <c r="IB56" s="218"/>
      <c r="IC56" s="218"/>
      <c r="ID56" s="218"/>
      <c r="IE56" s="218"/>
      <c r="IF56" s="218"/>
      <c r="IG56" s="218"/>
      <c r="IH56" s="218"/>
      <c r="II56" s="218"/>
      <c r="IJ56" s="218"/>
      <c r="IK56" s="218"/>
      <c r="IL56" s="218"/>
      <c r="IM56" s="218"/>
      <c r="IN56" s="218"/>
      <c r="IO56" s="218"/>
      <c r="IP56" s="218"/>
      <c r="IQ56" s="218"/>
      <c r="IR56" s="218"/>
      <c r="IS56" s="218"/>
      <c r="IT56" s="218"/>
      <c r="IU56" s="218"/>
      <c r="IV56" s="218"/>
      <c r="IW56" s="218"/>
    </row>
    <row r="57" customFormat="false" ht="12" hidden="false" customHeight="false" outlineLevel="0" collapsed="false">
      <c r="A57" s="218"/>
      <c r="B57" s="218"/>
      <c r="C57" s="227"/>
      <c r="D57" s="218"/>
      <c r="E57" s="218"/>
      <c r="F57" s="225" t="s">
        <v>182</v>
      </c>
      <c r="G57" s="228" t="n">
        <v>2</v>
      </c>
      <c r="H57" s="218"/>
      <c r="I57" s="229"/>
      <c r="J57" s="230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  <c r="CB57" s="218"/>
      <c r="CC57" s="218"/>
      <c r="CD57" s="218"/>
      <c r="CE57" s="218"/>
      <c r="CF57" s="218"/>
      <c r="CG57" s="218"/>
      <c r="CH57" s="218"/>
      <c r="CI57" s="218"/>
      <c r="CJ57" s="218"/>
      <c r="CK57" s="218"/>
      <c r="CL57" s="218"/>
      <c r="CM57" s="218"/>
      <c r="CN57" s="218"/>
      <c r="CO57" s="218"/>
      <c r="CP57" s="218"/>
      <c r="CQ57" s="218"/>
      <c r="CR57" s="218"/>
      <c r="CS57" s="218"/>
      <c r="CT57" s="218"/>
      <c r="CU57" s="218"/>
      <c r="CV57" s="218"/>
      <c r="CW57" s="218"/>
      <c r="CX57" s="218"/>
      <c r="CY57" s="218"/>
      <c r="CZ57" s="218"/>
      <c r="DA57" s="218"/>
      <c r="DB57" s="218"/>
      <c r="DC57" s="218"/>
      <c r="DD57" s="218"/>
      <c r="DE57" s="218"/>
      <c r="DF57" s="218"/>
      <c r="DG57" s="218"/>
      <c r="DH57" s="218"/>
      <c r="DI57" s="218"/>
      <c r="DJ57" s="218"/>
      <c r="DK57" s="218"/>
      <c r="DL57" s="218"/>
      <c r="DM57" s="218"/>
      <c r="DN57" s="218"/>
      <c r="DO57" s="218"/>
      <c r="DP57" s="218"/>
      <c r="DQ57" s="218"/>
      <c r="DR57" s="218"/>
      <c r="DS57" s="218"/>
      <c r="DT57" s="218"/>
      <c r="DU57" s="218"/>
      <c r="DV57" s="218"/>
      <c r="DW57" s="218"/>
      <c r="DX57" s="218"/>
      <c r="DY57" s="218"/>
      <c r="DZ57" s="218"/>
      <c r="EA57" s="218"/>
      <c r="EB57" s="218"/>
      <c r="EC57" s="218"/>
      <c r="ED57" s="218"/>
      <c r="EE57" s="218"/>
      <c r="EF57" s="218"/>
      <c r="EG57" s="218"/>
      <c r="EH57" s="218"/>
      <c r="EI57" s="218"/>
      <c r="EJ57" s="218"/>
      <c r="EK57" s="218"/>
      <c r="EL57" s="218"/>
      <c r="EM57" s="218"/>
      <c r="EN57" s="218"/>
      <c r="EO57" s="218"/>
      <c r="EP57" s="218"/>
      <c r="EQ57" s="218"/>
      <c r="ER57" s="218"/>
      <c r="ES57" s="218"/>
      <c r="ET57" s="218"/>
      <c r="EU57" s="218"/>
      <c r="EV57" s="218"/>
      <c r="EW57" s="218"/>
      <c r="EX57" s="218"/>
      <c r="EY57" s="218"/>
      <c r="EZ57" s="218"/>
      <c r="FA57" s="218"/>
      <c r="FB57" s="218"/>
      <c r="FC57" s="218"/>
      <c r="FD57" s="218"/>
      <c r="FE57" s="218"/>
      <c r="FF57" s="218"/>
      <c r="FG57" s="218"/>
      <c r="FH57" s="218"/>
      <c r="FI57" s="218"/>
      <c r="FJ57" s="218"/>
      <c r="FK57" s="218"/>
      <c r="FL57" s="218"/>
      <c r="FM57" s="218"/>
      <c r="FN57" s="218"/>
      <c r="FO57" s="218"/>
      <c r="FP57" s="218"/>
      <c r="FQ57" s="218"/>
      <c r="FR57" s="218"/>
      <c r="FS57" s="218"/>
      <c r="FT57" s="218"/>
      <c r="FU57" s="218"/>
      <c r="FV57" s="218"/>
      <c r="FW57" s="218"/>
      <c r="FX57" s="218"/>
      <c r="FY57" s="218"/>
      <c r="FZ57" s="218"/>
      <c r="GA57" s="218"/>
      <c r="GB57" s="218"/>
      <c r="GC57" s="218"/>
      <c r="GD57" s="218"/>
      <c r="GE57" s="218"/>
      <c r="GF57" s="218"/>
      <c r="GG57" s="218"/>
      <c r="GH57" s="218"/>
      <c r="GI57" s="218"/>
      <c r="GJ57" s="218"/>
      <c r="GK57" s="218"/>
      <c r="GL57" s="218"/>
      <c r="GM57" s="218"/>
      <c r="GN57" s="218"/>
      <c r="GO57" s="218"/>
      <c r="GP57" s="218"/>
      <c r="GQ57" s="218"/>
      <c r="GR57" s="218"/>
      <c r="GS57" s="218"/>
      <c r="GT57" s="218"/>
      <c r="GU57" s="218"/>
      <c r="GV57" s="218"/>
      <c r="GW57" s="218"/>
      <c r="GX57" s="218"/>
      <c r="GY57" s="218"/>
      <c r="GZ57" s="218"/>
      <c r="HA57" s="218"/>
      <c r="HB57" s="218"/>
      <c r="HC57" s="218"/>
      <c r="HD57" s="218"/>
      <c r="HE57" s="218"/>
      <c r="HF57" s="218"/>
      <c r="HG57" s="218"/>
      <c r="HH57" s="218"/>
      <c r="HI57" s="218"/>
      <c r="HJ57" s="218"/>
      <c r="HK57" s="218"/>
      <c r="HL57" s="218"/>
      <c r="HM57" s="218"/>
      <c r="HN57" s="218"/>
      <c r="HO57" s="218"/>
      <c r="HP57" s="218"/>
      <c r="HQ57" s="218"/>
      <c r="HR57" s="218"/>
      <c r="HS57" s="218"/>
      <c r="HT57" s="218"/>
      <c r="HU57" s="218"/>
      <c r="HV57" s="218"/>
      <c r="HW57" s="218"/>
      <c r="HX57" s="218"/>
      <c r="HY57" s="218"/>
      <c r="HZ57" s="218"/>
      <c r="IA57" s="218"/>
      <c r="IB57" s="218"/>
      <c r="IC57" s="218"/>
      <c r="ID57" s="218"/>
      <c r="IE57" s="218"/>
      <c r="IF57" s="218"/>
      <c r="IG57" s="218"/>
      <c r="IH57" s="218"/>
      <c r="II57" s="218"/>
      <c r="IJ57" s="218"/>
      <c r="IK57" s="218"/>
      <c r="IL57" s="218"/>
      <c r="IM57" s="218"/>
      <c r="IN57" s="218"/>
      <c r="IO57" s="218"/>
      <c r="IP57" s="218"/>
      <c r="IQ57" s="218"/>
      <c r="IR57" s="218"/>
      <c r="IS57" s="218"/>
      <c r="IT57" s="218"/>
      <c r="IU57" s="218"/>
      <c r="IV57" s="218"/>
      <c r="IW57" s="218"/>
    </row>
    <row r="58" customFormat="false" ht="11.25" hidden="false" customHeight="false" outlineLevel="0" collapsed="false">
      <c r="A58" s="218"/>
      <c r="B58" s="218"/>
      <c r="C58" s="227"/>
      <c r="D58" s="231"/>
      <c r="E58" s="218"/>
      <c r="F58" s="218"/>
      <c r="G58" s="218"/>
      <c r="H58" s="218"/>
      <c r="I58" s="218"/>
      <c r="J58" s="271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8"/>
      <c r="X58" s="218"/>
      <c r="Y58" s="218"/>
      <c r="Z58" s="218"/>
      <c r="AA58" s="218"/>
      <c r="AB58" s="218"/>
      <c r="AC58" s="218"/>
      <c r="AD58" s="218"/>
      <c r="AE58" s="218"/>
      <c r="AF58" s="218"/>
      <c r="AG58" s="218"/>
      <c r="AH58" s="218"/>
      <c r="AI58" s="218"/>
      <c r="AJ58" s="218"/>
      <c r="AK58" s="218"/>
      <c r="AL58" s="218"/>
      <c r="AM58" s="218"/>
      <c r="AN58" s="218"/>
      <c r="AO58" s="218"/>
      <c r="AP58" s="218"/>
      <c r="AQ58" s="218"/>
      <c r="AR58" s="218"/>
      <c r="AS58" s="218"/>
      <c r="AT58" s="218"/>
      <c r="AU58" s="218"/>
      <c r="AV58" s="218"/>
      <c r="AW58" s="218"/>
      <c r="AX58" s="218"/>
      <c r="AY58" s="218"/>
      <c r="AZ58" s="218"/>
      <c r="BA58" s="218"/>
      <c r="BB58" s="218"/>
      <c r="BC58" s="218"/>
      <c r="BD58" s="218"/>
      <c r="BE58" s="218"/>
      <c r="BF58" s="218"/>
      <c r="BG58" s="218"/>
      <c r="BH58" s="218"/>
      <c r="BI58" s="218"/>
      <c r="BJ58" s="218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8"/>
      <c r="CA58" s="218"/>
      <c r="CB58" s="218"/>
      <c r="CC58" s="218"/>
      <c r="CD58" s="218"/>
      <c r="CE58" s="218"/>
      <c r="CF58" s="218"/>
      <c r="CG58" s="218"/>
      <c r="CH58" s="218"/>
      <c r="CI58" s="218"/>
      <c r="CJ58" s="218"/>
      <c r="CK58" s="218"/>
      <c r="CL58" s="218"/>
      <c r="CM58" s="218"/>
      <c r="CN58" s="218"/>
      <c r="CO58" s="218"/>
      <c r="CP58" s="218"/>
      <c r="CQ58" s="218"/>
      <c r="CR58" s="218"/>
      <c r="CS58" s="218"/>
      <c r="CT58" s="218"/>
      <c r="CU58" s="218"/>
      <c r="CV58" s="218"/>
      <c r="CW58" s="218"/>
      <c r="CX58" s="218"/>
      <c r="CY58" s="218"/>
      <c r="CZ58" s="218"/>
      <c r="DA58" s="218"/>
      <c r="DB58" s="218"/>
      <c r="DC58" s="218"/>
      <c r="DD58" s="218"/>
      <c r="DE58" s="218"/>
      <c r="DF58" s="218"/>
      <c r="DG58" s="218"/>
      <c r="DH58" s="218"/>
      <c r="DI58" s="218"/>
      <c r="DJ58" s="218"/>
      <c r="DK58" s="218"/>
      <c r="DL58" s="218"/>
      <c r="DM58" s="218"/>
      <c r="DN58" s="218"/>
      <c r="DO58" s="218"/>
      <c r="DP58" s="218"/>
      <c r="DQ58" s="218"/>
      <c r="DR58" s="218"/>
      <c r="DS58" s="218"/>
      <c r="DT58" s="218"/>
      <c r="DU58" s="218"/>
      <c r="DV58" s="218"/>
      <c r="DW58" s="218"/>
      <c r="DX58" s="218"/>
      <c r="DY58" s="218"/>
      <c r="DZ58" s="218"/>
      <c r="EA58" s="218"/>
      <c r="EB58" s="218"/>
      <c r="EC58" s="218"/>
      <c r="ED58" s="218"/>
      <c r="EE58" s="218"/>
      <c r="EF58" s="218"/>
      <c r="EG58" s="218"/>
      <c r="EH58" s="218"/>
      <c r="EI58" s="218"/>
      <c r="EJ58" s="218"/>
      <c r="EK58" s="218"/>
      <c r="EL58" s="218"/>
      <c r="EM58" s="218"/>
      <c r="EN58" s="218"/>
      <c r="EO58" s="218"/>
      <c r="EP58" s="218"/>
      <c r="EQ58" s="218"/>
      <c r="ER58" s="218"/>
      <c r="ES58" s="218"/>
      <c r="ET58" s="218"/>
      <c r="EU58" s="218"/>
      <c r="EV58" s="218"/>
      <c r="EW58" s="218"/>
      <c r="EX58" s="218"/>
      <c r="EY58" s="218"/>
      <c r="EZ58" s="218"/>
      <c r="FA58" s="218"/>
      <c r="FB58" s="218"/>
      <c r="FC58" s="218"/>
      <c r="FD58" s="218"/>
      <c r="FE58" s="218"/>
      <c r="FF58" s="218"/>
      <c r="FG58" s="218"/>
      <c r="FH58" s="218"/>
      <c r="FI58" s="218"/>
      <c r="FJ58" s="218"/>
      <c r="FK58" s="218"/>
      <c r="FL58" s="218"/>
      <c r="FM58" s="218"/>
      <c r="FN58" s="218"/>
      <c r="FO58" s="218"/>
      <c r="FP58" s="218"/>
      <c r="FQ58" s="218"/>
      <c r="FR58" s="218"/>
      <c r="FS58" s="218"/>
      <c r="FT58" s="218"/>
      <c r="FU58" s="218"/>
      <c r="FV58" s="218"/>
      <c r="FW58" s="218"/>
      <c r="FX58" s="218"/>
      <c r="FY58" s="218"/>
      <c r="FZ58" s="218"/>
      <c r="GA58" s="218"/>
      <c r="GB58" s="218"/>
      <c r="GC58" s="218"/>
      <c r="GD58" s="218"/>
      <c r="GE58" s="218"/>
      <c r="GF58" s="218"/>
      <c r="GG58" s="218"/>
      <c r="GH58" s="218"/>
      <c r="GI58" s="218"/>
      <c r="GJ58" s="218"/>
      <c r="GK58" s="218"/>
      <c r="GL58" s="218"/>
      <c r="GM58" s="218"/>
      <c r="GN58" s="218"/>
      <c r="GO58" s="218"/>
      <c r="GP58" s="218"/>
      <c r="GQ58" s="218"/>
      <c r="GR58" s="218"/>
      <c r="GS58" s="218"/>
      <c r="GT58" s="218"/>
      <c r="GU58" s="218"/>
      <c r="GV58" s="218"/>
      <c r="GW58" s="218"/>
      <c r="GX58" s="218"/>
      <c r="GY58" s="218"/>
      <c r="GZ58" s="218"/>
      <c r="HA58" s="218"/>
      <c r="HB58" s="218"/>
      <c r="HC58" s="218"/>
      <c r="HD58" s="218"/>
      <c r="HE58" s="218"/>
      <c r="HF58" s="218"/>
      <c r="HG58" s="218"/>
      <c r="HH58" s="218"/>
      <c r="HI58" s="218"/>
      <c r="HJ58" s="218"/>
      <c r="HK58" s="218"/>
      <c r="HL58" s="218"/>
      <c r="HM58" s="218"/>
      <c r="HN58" s="218"/>
      <c r="HO58" s="218"/>
      <c r="HP58" s="218"/>
      <c r="HQ58" s="218"/>
      <c r="HR58" s="218"/>
      <c r="HS58" s="218"/>
      <c r="HT58" s="218"/>
      <c r="HU58" s="218"/>
      <c r="HV58" s="218"/>
      <c r="HW58" s="218"/>
      <c r="HX58" s="218"/>
      <c r="HY58" s="218"/>
      <c r="HZ58" s="218"/>
      <c r="IA58" s="218"/>
      <c r="IB58" s="218"/>
      <c r="IC58" s="218"/>
      <c r="ID58" s="218"/>
      <c r="IE58" s="218"/>
      <c r="IF58" s="218"/>
      <c r="IG58" s="218"/>
      <c r="IH58" s="218"/>
      <c r="II58" s="218"/>
      <c r="IJ58" s="218"/>
      <c r="IK58" s="218"/>
      <c r="IL58" s="218"/>
      <c r="IM58" s="218"/>
      <c r="IN58" s="218"/>
      <c r="IO58" s="218"/>
      <c r="IP58" s="218"/>
      <c r="IQ58" s="218"/>
      <c r="IR58" s="218"/>
      <c r="IS58" s="218"/>
      <c r="IT58" s="218"/>
      <c r="IU58" s="218"/>
      <c r="IV58" s="218"/>
      <c r="IW58" s="218"/>
    </row>
    <row r="59" customFormat="false" ht="11.25" hidden="false" customHeight="false" outlineLevel="0" collapsed="false">
      <c r="A59" s="218"/>
      <c r="B59" s="218"/>
      <c r="C59" s="232"/>
      <c r="D59" s="233"/>
      <c r="E59" s="218"/>
      <c r="F59" s="218"/>
      <c r="G59" s="218"/>
      <c r="H59" s="218"/>
      <c r="I59" s="218"/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  <c r="AC59" s="218"/>
      <c r="AD59" s="218"/>
      <c r="AE59" s="218"/>
      <c r="AF59" s="218"/>
      <c r="AG59" s="218"/>
      <c r="AH59" s="218"/>
      <c r="AI59" s="218"/>
      <c r="AJ59" s="218"/>
      <c r="AK59" s="218"/>
      <c r="AL59" s="218"/>
      <c r="AM59" s="218"/>
      <c r="AN59" s="218"/>
      <c r="AO59" s="218"/>
      <c r="AP59" s="218"/>
      <c r="AQ59" s="218"/>
      <c r="AR59" s="218"/>
      <c r="AS59" s="218"/>
      <c r="AT59" s="218"/>
      <c r="AU59" s="218"/>
      <c r="AV59" s="218"/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8"/>
      <c r="CA59" s="218"/>
      <c r="CB59" s="218"/>
      <c r="CC59" s="218"/>
      <c r="CD59" s="218"/>
      <c r="CE59" s="218"/>
      <c r="CF59" s="218"/>
      <c r="CG59" s="218"/>
      <c r="CH59" s="218"/>
      <c r="CI59" s="218"/>
      <c r="CJ59" s="218"/>
      <c r="CK59" s="218"/>
      <c r="CL59" s="218"/>
      <c r="CM59" s="218"/>
      <c r="CN59" s="218"/>
      <c r="CO59" s="218"/>
      <c r="CP59" s="218"/>
      <c r="CQ59" s="218"/>
      <c r="CR59" s="218"/>
      <c r="CS59" s="218"/>
      <c r="CT59" s="218"/>
      <c r="CU59" s="218"/>
      <c r="CV59" s="218"/>
      <c r="CW59" s="218"/>
      <c r="CX59" s="218"/>
      <c r="CY59" s="218"/>
      <c r="CZ59" s="218"/>
      <c r="DA59" s="218"/>
      <c r="DB59" s="218"/>
      <c r="DC59" s="218"/>
      <c r="DD59" s="218"/>
      <c r="DE59" s="218"/>
      <c r="DF59" s="218"/>
      <c r="DG59" s="218"/>
      <c r="DH59" s="218"/>
      <c r="DI59" s="218"/>
      <c r="DJ59" s="218"/>
      <c r="DK59" s="218"/>
      <c r="DL59" s="218"/>
      <c r="DM59" s="218"/>
      <c r="DN59" s="218"/>
      <c r="DO59" s="218"/>
      <c r="DP59" s="218"/>
      <c r="DQ59" s="218"/>
      <c r="DR59" s="218"/>
      <c r="DS59" s="218"/>
      <c r="DT59" s="218"/>
      <c r="DU59" s="218"/>
      <c r="DV59" s="218"/>
      <c r="DW59" s="218"/>
      <c r="DX59" s="218"/>
      <c r="DY59" s="218"/>
      <c r="DZ59" s="218"/>
      <c r="EA59" s="218"/>
      <c r="EB59" s="218"/>
      <c r="EC59" s="218"/>
      <c r="ED59" s="218"/>
      <c r="EE59" s="218"/>
      <c r="EF59" s="218"/>
      <c r="EG59" s="218"/>
      <c r="EH59" s="218"/>
      <c r="EI59" s="218"/>
      <c r="EJ59" s="218"/>
      <c r="EK59" s="218"/>
      <c r="EL59" s="218"/>
      <c r="EM59" s="218"/>
      <c r="EN59" s="218"/>
      <c r="EO59" s="218"/>
      <c r="EP59" s="218"/>
      <c r="EQ59" s="218"/>
      <c r="ER59" s="218"/>
      <c r="ES59" s="218"/>
      <c r="ET59" s="218"/>
      <c r="EU59" s="218"/>
      <c r="EV59" s="218"/>
      <c r="EW59" s="218"/>
      <c r="EX59" s="218"/>
      <c r="EY59" s="218"/>
      <c r="EZ59" s="218"/>
      <c r="FA59" s="218"/>
      <c r="FB59" s="218"/>
      <c r="FC59" s="218"/>
      <c r="FD59" s="218"/>
      <c r="FE59" s="218"/>
      <c r="FF59" s="218"/>
      <c r="FG59" s="218"/>
      <c r="FH59" s="218"/>
      <c r="FI59" s="218"/>
      <c r="FJ59" s="218"/>
      <c r="FK59" s="218"/>
      <c r="FL59" s="218"/>
      <c r="FM59" s="218"/>
      <c r="FN59" s="218"/>
      <c r="FO59" s="218"/>
      <c r="FP59" s="218"/>
      <c r="FQ59" s="218"/>
      <c r="FR59" s="218"/>
      <c r="FS59" s="218"/>
      <c r="FT59" s="218"/>
      <c r="FU59" s="218"/>
      <c r="FV59" s="218"/>
      <c r="FW59" s="218"/>
      <c r="FX59" s="218"/>
      <c r="FY59" s="218"/>
      <c r="FZ59" s="218"/>
      <c r="GA59" s="218"/>
      <c r="GB59" s="218"/>
      <c r="GC59" s="218"/>
      <c r="GD59" s="218"/>
      <c r="GE59" s="218"/>
      <c r="GF59" s="218"/>
      <c r="GG59" s="218"/>
      <c r="GH59" s="218"/>
      <c r="GI59" s="218"/>
      <c r="GJ59" s="218"/>
      <c r="GK59" s="218"/>
      <c r="GL59" s="218"/>
      <c r="GM59" s="218"/>
      <c r="GN59" s="218"/>
      <c r="GO59" s="218"/>
      <c r="GP59" s="218"/>
      <c r="GQ59" s="218"/>
      <c r="GR59" s="218"/>
      <c r="GS59" s="218"/>
      <c r="GT59" s="218"/>
      <c r="GU59" s="218"/>
      <c r="GV59" s="218"/>
      <c r="GW59" s="218"/>
      <c r="GX59" s="218"/>
      <c r="GY59" s="218"/>
      <c r="GZ59" s="218"/>
      <c r="HA59" s="218"/>
      <c r="HB59" s="218"/>
      <c r="HC59" s="218"/>
      <c r="HD59" s="218"/>
      <c r="HE59" s="218"/>
      <c r="HF59" s="218"/>
      <c r="HG59" s="218"/>
      <c r="HH59" s="218"/>
      <c r="HI59" s="218"/>
      <c r="HJ59" s="218"/>
      <c r="HK59" s="218"/>
      <c r="HL59" s="218"/>
      <c r="HM59" s="218"/>
      <c r="HN59" s="218"/>
      <c r="HO59" s="218"/>
      <c r="HP59" s="218"/>
      <c r="HQ59" s="218"/>
      <c r="HR59" s="218"/>
      <c r="HS59" s="218"/>
      <c r="HT59" s="218"/>
      <c r="HU59" s="218"/>
      <c r="HV59" s="218"/>
      <c r="HW59" s="218"/>
      <c r="HX59" s="218"/>
      <c r="HY59" s="218"/>
      <c r="HZ59" s="218"/>
      <c r="IA59" s="218"/>
      <c r="IB59" s="218"/>
      <c r="IC59" s="218"/>
      <c r="ID59" s="218"/>
      <c r="IE59" s="218"/>
      <c r="IF59" s="218"/>
      <c r="IG59" s="218"/>
      <c r="IH59" s="218"/>
      <c r="II59" s="218"/>
      <c r="IJ59" s="218"/>
      <c r="IK59" s="218"/>
      <c r="IL59" s="218"/>
      <c r="IM59" s="218"/>
      <c r="IN59" s="218"/>
      <c r="IO59" s="218"/>
      <c r="IP59" s="218"/>
      <c r="IQ59" s="218"/>
      <c r="IR59" s="218"/>
      <c r="IS59" s="218"/>
      <c r="IT59" s="218"/>
      <c r="IU59" s="218"/>
      <c r="IV59" s="218"/>
      <c r="IW59" s="218"/>
    </row>
    <row r="60" customFormat="false" ht="11.25" hidden="false" customHeight="false" outlineLevel="0" collapsed="false">
      <c r="A60" s="218"/>
      <c r="B60" s="218"/>
      <c r="C60" s="232"/>
      <c r="D60" s="233"/>
      <c r="E60" s="218"/>
      <c r="F60" s="218"/>
      <c r="G60" s="218"/>
      <c r="H60" s="218"/>
      <c r="I60" s="218"/>
      <c r="J60" s="218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8"/>
      <c r="AB60" s="218"/>
      <c r="AC60" s="218"/>
      <c r="AD60" s="218"/>
      <c r="AE60" s="218"/>
      <c r="AF60" s="218"/>
      <c r="AG60" s="218"/>
      <c r="AH60" s="218"/>
      <c r="AI60" s="218"/>
      <c r="AJ60" s="218"/>
      <c r="AK60" s="218"/>
      <c r="AL60" s="218"/>
      <c r="AM60" s="218"/>
      <c r="AN60" s="218"/>
      <c r="AO60" s="218"/>
      <c r="AP60" s="218"/>
      <c r="AQ60" s="218"/>
      <c r="AR60" s="218"/>
      <c r="AS60" s="218"/>
      <c r="AT60" s="218"/>
      <c r="AU60" s="218"/>
      <c r="AV60" s="218"/>
      <c r="AW60" s="218"/>
      <c r="AX60" s="218"/>
      <c r="AY60" s="218"/>
      <c r="AZ60" s="218"/>
      <c r="BA60" s="218"/>
      <c r="BB60" s="218"/>
      <c r="BC60" s="218"/>
      <c r="BD60" s="218"/>
      <c r="BE60" s="218"/>
      <c r="BF60" s="218"/>
      <c r="BG60" s="218"/>
      <c r="BH60" s="218"/>
      <c r="BI60" s="218"/>
      <c r="BJ60" s="218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8"/>
      <c r="CA60" s="218"/>
      <c r="CB60" s="218"/>
      <c r="CC60" s="218"/>
      <c r="CD60" s="218"/>
      <c r="CE60" s="218"/>
      <c r="CF60" s="218"/>
      <c r="CG60" s="218"/>
      <c r="CH60" s="218"/>
      <c r="CI60" s="218"/>
      <c r="CJ60" s="218"/>
      <c r="CK60" s="218"/>
      <c r="CL60" s="218"/>
      <c r="CM60" s="218"/>
      <c r="CN60" s="218"/>
      <c r="CO60" s="218"/>
      <c r="CP60" s="218"/>
      <c r="CQ60" s="218"/>
      <c r="CR60" s="218"/>
      <c r="CS60" s="218"/>
      <c r="CT60" s="218"/>
      <c r="CU60" s="218"/>
      <c r="CV60" s="218"/>
      <c r="CW60" s="218"/>
      <c r="CX60" s="218"/>
      <c r="CY60" s="218"/>
      <c r="CZ60" s="218"/>
      <c r="DA60" s="218"/>
      <c r="DB60" s="218"/>
      <c r="DC60" s="218"/>
      <c r="DD60" s="218"/>
      <c r="DE60" s="218"/>
      <c r="DF60" s="218"/>
      <c r="DG60" s="218"/>
      <c r="DH60" s="218"/>
      <c r="DI60" s="218"/>
      <c r="DJ60" s="218"/>
      <c r="DK60" s="218"/>
      <c r="DL60" s="218"/>
      <c r="DM60" s="218"/>
      <c r="DN60" s="218"/>
      <c r="DO60" s="218"/>
      <c r="DP60" s="218"/>
      <c r="DQ60" s="218"/>
      <c r="DR60" s="218"/>
      <c r="DS60" s="218"/>
      <c r="DT60" s="218"/>
      <c r="DU60" s="218"/>
      <c r="DV60" s="218"/>
      <c r="DW60" s="218"/>
      <c r="DX60" s="218"/>
      <c r="DY60" s="218"/>
      <c r="DZ60" s="218"/>
      <c r="EA60" s="218"/>
      <c r="EB60" s="218"/>
      <c r="EC60" s="218"/>
      <c r="ED60" s="218"/>
      <c r="EE60" s="218"/>
      <c r="EF60" s="218"/>
      <c r="EG60" s="218"/>
      <c r="EH60" s="218"/>
      <c r="EI60" s="218"/>
      <c r="EJ60" s="218"/>
      <c r="EK60" s="218"/>
      <c r="EL60" s="218"/>
      <c r="EM60" s="218"/>
      <c r="EN60" s="218"/>
      <c r="EO60" s="218"/>
      <c r="EP60" s="218"/>
      <c r="EQ60" s="218"/>
      <c r="ER60" s="218"/>
      <c r="ES60" s="218"/>
      <c r="ET60" s="218"/>
      <c r="EU60" s="218"/>
      <c r="EV60" s="218"/>
      <c r="EW60" s="218"/>
      <c r="EX60" s="218"/>
      <c r="EY60" s="218"/>
      <c r="EZ60" s="218"/>
      <c r="FA60" s="218"/>
      <c r="FB60" s="218"/>
      <c r="FC60" s="218"/>
      <c r="FD60" s="218"/>
      <c r="FE60" s="218"/>
      <c r="FF60" s="218"/>
      <c r="FG60" s="218"/>
      <c r="FH60" s="218"/>
      <c r="FI60" s="218"/>
      <c r="FJ60" s="218"/>
      <c r="FK60" s="218"/>
      <c r="FL60" s="218"/>
      <c r="FM60" s="218"/>
      <c r="FN60" s="218"/>
      <c r="FO60" s="218"/>
      <c r="FP60" s="218"/>
      <c r="FQ60" s="218"/>
      <c r="FR60" s="218"/>
      <c r="FS60" s="218"/>
      <c r="FT60" s="218"/>
      <c r="FU60" s="218"/>
      <c r="FV60" s="218"/>
      <c r="FW60" s="218"/>
      <c r="FX60" s="218"/>
      <c r="FY60" s="218"/>
      <c r="FZ60" s="218"/>
      <c r="GA60" s="218"/>
      <c r="GB60" s="218"/>
      <c r="GC60" s="218"/>
      <c r="GD60" s="218"/>
      <c r="GE60" s="218"/>
      <c r="GF60" s="218"/>
      <c r="GG60" s="218"/>
      <c r="GH60" s="218"/>
      <c r="GI60" s="218"/>
      <c r="GJ60" s="218"/>
      <c r="GK60" s="218"/>
      <c r="GL60" s="218"/>
      <c r="GM60" s="218"/>
      <c r="GN60" s="218"/>
      <c r="GO60" s="218"/>
      <c r="GP60" s="218"/>
      <c r="GQ60" s="218"/>
      <c r="GR60" s="218"/>
      <c r="GS60" s="218"/>
      <c r="GT60" s="218"/>
      <c r="GU60" s="218"/>
      <c r="GV60" s="218"/>
      <c r="GW60" s="218"/>
      <c r="GX60" s="218"/>
      <c r="GY60" s="218"/>
      <c r="GZ60" s="218"/>
      <c r="HA60" s="218"/>
      <c r="HB60" s="218"/>
      <c r="HC60" s="218"/>
      <c r="HD60" s="218"/>
      <c r="HE60" s="218"/>
      <c r="HF60" s="218"/>
      <c r="HG60" s="218"/>
      <c r="HH60" s="218"/>
      <c r="HI60" s="218"/>
      <c r="HJ60" s="218"/>
      <c r="HK60" s="218"/>
      <c r="HL60" s="218"/>
      <c r="HM60" s="218"/>
      <c r="HN60" s="218"/>
      <c r="HO60" s="218"/>
      <c r="HP60" s="218"/>
      <c r="HQ60" s="218"/>
      <c r="HR60" s="218"/>
      <c r="HS60" s="218"/>
      <c r="HT60" s="218"/>
      <c r="HU60" s="218"/>
      <c r="HV60" s="218"/>
      <c r="HW60" s="218"/>
      <c r="HX60" s="218"/>
      <c r="HY60" s="218"/>
      <c r="HZ60" s="218"/>
      <c r="IA60" s="218"/>
      <c r="IB60" s="218"/>
      <c r="IC60" s="218"/>
      <c r="ID60" s="218"/>
      <c r="IE60" s="218"/>
      <c r="IF60" s="218"/>
      <c r="IG60" s="218"/>
      <c r="IH60" s="218"/>
      <c r="II60" s="218"/>
      <c r="IJ60" s="218"/>
      <c r="IK60" s="218"/>
      <c r="IL60" s="218"/>
      <c r="IM60" s="218"/>
      <c r="IN60" s="218"/>
      <c r="IO60" s="218"/>
      <c r="IP60" s="218"/>
      <c r="IQ60" s="218"/>
      <c r="IR60" s="218"/>
      <c r="IS60" s="218"/>
      <c r="IT60" s="218"/>
      <c r="IU60" s="218"/>
      <c r="IV60" s="218"/>
      <c r="IW60" s="218"/>
    </row>
    <row r="61" customFormat="false" ht="11.25" hidden="false" customHeight="false" outlineLevel="0" collapsed="false">
      <c r="A61" s="218"/>
      <c r="B61" s="229"/>
      <c r="C61" s="235"/>
      <c r="D61" s="235"/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18"/>
      <c r="X61" s="218"/>
      <c r="Y61" s="218"/>
      <c r="Z61" s="218"/>
      <c r="AA61" s="218"/>
      <c r="AB61" s="218"/>
      <c r="AC61" s="218"/>
      <c r="AD61" s="218"/>
      <c r="AE61" s="218"/>
      <c r="AF61" s="218"/>
      <c r="AG61" s="218"/>
      <c r="AH61" s="218"/>
      <c r="AI61" s="218"/>
      <c r="AJ61" s="218"/>
      <c r="AK61" s="218"/>
      <c r="AL61" s="218"/>
      <c r="AM61" s="218"/>
      <c r="AN61" s="218"/>
      <c r="AO61" s="218"/>
      <c r="AP61" s="218"/>
      <c r="AQ61" s="218"/>
      <c r="AR61" s="218"/>
      <c r="AS61" s="218"/>
      <c r="AT61" s="218"/>
      <c r="AU61" s="218"/>
      <c r="AV61" s="218"/>
      <c r="AW61" s="218"/>
      <c r="AX61" s="218"/>
      <c r="AY61" s="218"/>
      <c r="AZ61" s="218"/>
      <c r="BA61" s="218"/>
      <c r="BB61" s="218"/>
      <c r="BC61" s="218"/>
      <c r="BD61" s="218"/>
      <c r="BE61" s="218"/>
      <c r="BF61" s="218"/>
      <c r="BG61" s="218"/>
      <c r="BH61" s="218"/>
      <c r="BI61" s="218"/>
      <c r="BJ61" s="218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8"/>
      <c r="CA61" s="218"/>
      <c r="CB61" s="218"/>
      <c r="CC61" s="218"/>
      <c r="CD61" s="218"/>
      <c r="CE61" s="218"/>
      <c r="CF61" s="218"/>
      <c r="CG61" s="218"/>
      <c r="CH61" s="218"/>
      <c r="CI61" s="218"/>
      <c r="CJ61" s="218"/>
      <c r="CK61" s="218"/>
      <c r="CL61" s="218"/>
      <c r="CM61" s="218"/>
      <c r="CN61" s="218"/>
      <c r="CO61" s="218"/>
      <c r="CP61" s="218"/>
      <c r="CQ61" s="218"/>
      <c r="CR61" s="218"/>
      <c r="CS61" s="218"/>
      <c r="CT61" s="218"/>
      <c r="CU61" s="218"/>
      <c r="CV61" s="218"/>
      <c r="CW61" s="218"/>
      <c r="CX61" s="218"/>
      <c r="CY61" s="218"/>
      <c r="CZ61" s="218"/>
      <c r="DA61" s="218"/>
      <c r="DB61" s="218"/>
      <c r="DC61" s="218"/>
      <c r="DD61" s="218"/>
      <c r="DE61" s="218"/>
      <c r="DF61" s="218"/>
      <c r="DG61" s="218"/>
      <c r="DH61" s="218"/>
      <c r="DI61" s="218"/>
      <c r="DJ61" s="218"/>
      <c r="DK61" s="218"/>
      <c r="DL61" s="218"/>
      <c r="DM61" s="218"/>
      <c r="DN61" s="218"/>
      <c r="DO61" s="218"/>
      <c r="DP61" s="218"/>
      <c r="DQ61" s="218"/>
      <c r="DR61" s="218"/>
      <c r="DS61" s="218"/>
      <c r="DT61" s="218"/>
      <c r="DU61" s="218"/>
      <c r="DV61" s="218"/>
      <c r="DW61" s="218"/>
      <c r="DX61" s="218"/>
      <c r="DY61" s="218"/>
      <c r="DZ61" s="218"/>
      <c r="EA61" s="218"/>
      <c r="EB61" s="218"/>
      <c r="EC61" s="218"/>
      <c r="ED61" s="218"/>
      <c r="EE61" s="218"/>
      <c r="EF61" s="218"/>
      <c r="EG61" s="218"/>
      <c r="EH61" s="218"/>
      <c r="EI61" s="218"/>
      <c r="EJ61" s="218"/>
      <c r="EK61" s="218"/>
      <c r="EL61" s="218"/>
      <c r="EM61" s="218"/>
      <c r="EN61" s="218"/>
      <c r="EO61" s="218"/>
      <c r="EP61" s="218"/>
      <c r="EQ61" s="218"/>
      <c r="ER61" s="218"/>
      <c r="ES61" s="218"/>
      <c r="ET61" s="218"/>
      <c r="EU61" s="218"/>
      <c r="EV61" s="218"/>
      <c r="EW61" s="218"/>
      <c r="EX61" s="218"/>
      <c r="EY61" s="218"/>
      <c r="EZ61" s="218"/>
      <c r="FA61" s="218"/>
      <c r="FB61" s="218"/>
      <c r="FC61" s="218"/>
      <c r="FD61" s="218"/>
      <c r="FE61" s="218"/>
      <c r="FF61" s="218"/>
      <c r="FG61" s="218"/>
      <c r="FH61" s="218"/>
      <c r="FI61" s="218"/>
      <c r="FJ61" s="218"/>
      <c r="FK61" s="218"/>
      <c r="FL61" s="218"/>
      <c r="FM61" s="218"/>
      <c r="FN61" s="218"/>
      <c r="FO61" s="218"/>
      <c r="FP61" s="218"/>
      <c r="FQ61" s="218"/>
      <c r="FR61" s="218"/>
      <c r="FS61" s="218"/>
      <c r="FT61" s="218"/>
      <c r="FU61" s="218"/>
      <c r="FV61" s="218"/>
      <c r="FW61" s="218"/>
      <c r="FX61" s="218"/>
      <c r="FY61" s="218"/>
      <c r="FZ61" s="218"/>
      <c r="GA61" s="218"/>
      <c r="GB61" s="218"/>
      <c r="GC61" s="218"/>
      <c r="GD61" s="218"/>
      <c r="GE61" s="218"/>
      <c r="GF61" s="218"/>
      <c r="GG61" s="218"/>
      <c r="GH61" s="218"/>
      <c r="GI61" s="218"/>
      <c r="GJ61" s="218"/>
      <c r="GK61" s="218"/>
      <c r="GL61" s="218"/>
      <c r="GM61" s="218"/>
      <c r="GN61" s="218"/>
      <c r="GO61" s="218"/>
      <c r="GP61" s="218"/>
      <c r="GQ61" s="218"/>
      <c r="GR61" s="218"/>
      <c r="GS61" s="218"/>
      <c r="GT61" s="218"/>
      <c r="GU61" s="218"/>
      <c r="GV61" s="218"/>
      <c r="GW61" s="218"/>
      <c r="GX61" s="218"/>
      <c r="GY61" s="218"/>
      <c r="GZ61" s="218"/>
      <c r="HA61" s="218"/>
      <c r="HB61" s="218"/>
      <c r="HC61" s="218"/>
      <c r="HD61" s="218"/>
      <c r="HE61" s="218"/>
      <c r="HF61" s="218"/>
      <c r="HG61" s="218"/>
      <c r="HH61" s="218"/>
      <c r="HI61" s="218"/>
      <c r="HJ61" s="218"/>
      <c r="HK61" s="218"/>
      <c r="HL61" s="218"/>
      <c r="HM61" s="218"/>
      <c r="HN61" s="218"/>
      <c r="HO61" s="218"/>
      <c r="HP61" s="218"/>
      <c r="HQ61" s="218"/>
      <c r="HR61" s="218"/>
      <c r="HS61" s="218"/>
      <c r="HT61" s="218"/>
      <c r="HU61" s="218"/>
      <c r="HV61" s="218"/>
      <c r="HW61" s="218"/>
      <c r="HX61" s="218"/>
      <c r="HY61" s="218"/>
      <c r="HZ61" s="218"/>
      <c r="IA61" s="218"/>
      <c r="IB61" s="218"/>
      <c r="IC61" s="218"/>
      <c r="ID61" s="218"/>
      <c r="IE61" s="218"/>
      <c r="IF61" s="218"/>
      <c r="IG61" s="218"/>
      <c r="IH61" s="218"/>
      <c r="II61" s="218"/>
      <c r="IJ61" s="218"/>
      <c r="IK61" s="218"/>
      <c r="IL61" s="218"/>
      <c r="IM61" s="218"/>
      <c r="IN61" s="218"/>
      <c r="IO61" s="218"/>
      <c r="IP61" s="218"/>
      <c r="IQ61" s="218"/>
      <c r="IR61" s="218"/>
      <c r="IS61" s="218"/>
      <c r="IT61" s="218"/>
      <c r="IU61" s="218"/>
      <c r="IV61" s="218"/>
      <c r="IW61" s="218"/>
    </row>
    <row r="62" customFormat="false" ht="11.25" hidden="false" customHeight="false" outlineLevel="0" collapsed="false">
      <c r="A62" s="218"/>
      <c r="B62" s="229"/>
      <c r="C62" s="227"/>
      <c r="D62" s="233"/>
      <c r="E62" s="218"/>
      <c r="F62" s="218"/>
      <c r="G62" s="218"/>
      <c r="H62" s="218"/>
      <c r="I62" s="218"/>
      <c r="J62" s="218"/>
      <c r="K62" s="218"/>
      <c r="L62" s="218"/>
      <c r="M62" s="218"/>
      <c r="N62" s="218"/>
      <c r="O62" s="218"/>
      <c r="P62" s="218"/>
      <c r="Q62" s="218"/>
      <c r="R62" s="218"/>
      <c r="S62" s="218"/>
      <c r="T62" s="218"/>
      <c r="U62" s="218"/>
      <c r="V62" s="218"/>
      <c r="W62" s="218"/>
      <c r="X62" s="218"/>
      <c r="Y62" s="218"/>
      <c r="Z62" s="218"/>
      <c r="AA62" s="218"/>
      <c r="AB62" s="218"/>
      <c r="AC62" s="218"/>
      <c r="AD62" s="218"/>
      <c r="AE62" s="218"/>
      <c r="AF62" s="218"/>
      <c r="AG62" s="218"/>
      <c r="AH62" s="218"/>
      <c r="AI62" s="218"/>
      <c r="AJ62" s="218"/>
      <c r="AK62" s="218"/>
      <c r="AL62" s="218"/>
      <c r="AM62" s="218"/>
      <c r="AN62" s="218"/>
      <c r="AO62" s="218"/>
      <c r="AP62" s="218"/>
      <c r="AQ62" s="218"/>
      <c r="AR62" s="218"/>
      <c r="AS62" s="218"/>
      <c r="AT62" s="218"/>
      <c r="AU62" s="218"/>
      <c r="AV62" s="218"/>
      <c r="AW62" s="218"/>
      <c r="AX62" s="218"/>
      <c r="AY62" s="218"/>
      <c r="AZ62" s="218"/>
      <c r="BA62" s="218"/>
      <c r="BB62" s="218"/>
      <c r="BC62" s="218"/>
      <c r="BD62" s="218"/>
      <c r="BE62" s="218"/>
      <c r="BF62" s="218"/>
      <c r="BG62" s="218"/>
      <c r="BH62" s="218"/>
      <c r="BI62" s="218"/>
      <c r="BJ62" s="218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8"/>
      <c r="CA62" s="218"/>
      <c r="CB62" s="218"/>
      <c r="CC62" s="218"/>
      <c r="CD62" s="218"/>
      <c r="CE62" s="218"/>
      <c r="CF62" s="218"/>
      <c r="CG62" s="218"/>
      <c r="CH62" s="218"/>
      <c r="CI62" s="218"/>
      <c r="CJ62" s="218"/>
      <c r="CK62" s="218"/>
      <c r="CL62" s="218"/>
      <c r="CM62" s="218"/>
      <c r="CN62" s="218"/>
      <c r="CO62" s="218"/>
      <c r="CP62" s="218"/>
      <c r="CQ62" s="218"/>
      <c r="CR62" s="218"/>
      <c r="CS62" s="218"/>
      <c r="CT62" s="218"/>
      <c r="CU62" s="218"/>
      <c r="CV62" s="218"/>
      <c r="CW62" s="218"/>
      <c r="CX62" s="218"/>
      <c r="CY62" s="218"/>
      <c r="CZ62" s="218"/>
      <c r="DA62" s="218"/>
      <c r="DB62" s="218"/>
      <c r="DC62" s="218"/>
      <c r="DD62" s="218"/>
      <c r="DE62" s="218"/>
      <c r="DF62" s="218"/>
      <c r="DG62" s="218"/>
      <c r="DH62" s="218"/>
      <c r="DI62" s="218"/>
      <c r="DJ62" s="218"/>
      <c r="DK62" s="218"/>
      <c r="DL62" s="218"/>
      <c r="DM62" s="218"/>
      <c r="DN62" s="218"/>
      <c r="DO62" s="218"/>
      <c r="DP62" s="218"/>
      <c r="DQ62" s="218"/>
      <c r="DR62" s="218"/>
      <c r="DS62" s="218"/>
      <c r="DT62" s="218"/>
      <c r="DU62" s="218"/>
      <c r="DV62" s="218"/>
      <c r="DW62" s="218"/>
      <c r="DX62" s="218"/>
      <c r="DY62" s="218"/>
      <c r="DZ62" s="218"/>
      <c r="EA62" s="218"/>
      <c r="EB62" s="218"/>
      <c r="EC62" s="218"/>
      <c r="ED62" s="218"/>
      <c r="EE62" s="218"/>
      <c r="EF62" s="218"/>
      <c r="EG62" s="218"/>
      <c r="EH62" s="218"/>
      <c r="EI62" s="218"/>
      <c r="EJ62" s="218"/>
      <c r="EK62" s="218"/>
      <c r="EL62" s="218"/>
      <c r="EM62" s="218"/>
      <c r="EN62" s="218"/>
      <c r="EO62" s="218"/>
      <c r="EP62" s="218"/>
      <c r="EQ62" s="218"/>
      <c r="ER62" s="218"/>
      <c r="ES62" s="218"/>
      <c r="ET62" s="218"/>
      <c r="EU62" s="218"/>
      <c r="EV62" s="218"/>
      <c r="EW62" s="218"/>
      <c r="EX62" s="218"/>
      <c r="EY62" s="218"/>
      <c r="EZ62" s="218"/>
      <c r="FA62" s="218"/>
      <c r="FB62" s="218"/>
      <c r="FC62" s="218"/>
      <c r="FD62" s="218"/>
      <c r="FE62" s="218"/>
      <c r="FF62" s="218"/>
      <c r="FG62" s="218"/>
      <c r="FH62" s="218"/>
      <c r="FI62" s="218"/>
      <c r="FJ62" s="218"/>
      <c r="FK62" s="218"/>
      <c r="FL62" s="218"/>
      <c r="FM62" s="218"/>
      <c r="FN62" s="218"/>
      <c r="FO62" s="218"/>
      <c r="FP62" s="218"/>
      <c r="FQ62" s="218"/>
      <c r="FR62" s="218"/>
      <c r="FS62" s="218"/>
      <c r="FT62" s="218"/>
      <c r="FU62" s="218"/>
      <c r="FV62" s="218"/>
      <c r="FW62" s="218"/>
      <c r="FX62" s="218"/>
      <c r="FY62" s="218"/>
      <c r="FZ62" s="218"/>
      <c r="GA62" s="218"/>
      <c r="GB62" s="218"/>
      <c r="GC62" s="218"/>
      <c r="GD62" s="218"/>
      <c r="GE62" s="218"/>
      <c r="GF62" s="218"/>
      <c r="GG62" s="218"/>
      <c r="GH62" s="218"/>
      <c r="GI62" s="218"/>
      <c r="GJ62" s="218"/>
      <c r="GK62" s="218"/>
      <c r="GL62" s="218"/>
      <c r="GM62" s="218"/>
      <c r="GN62" s="218"/>
      <c r="GO62" s="218"/>
      <c r="GP62" s="218"/>
      <c r="GQ62" s="218"/>
      <c r="GR62" s="218"/>
      <c r="GS62" s="218"/>
      <c r="GT62" s="218"/>
      <c r="GU62" s="218"/>
      <c r="GV62" s="218"/>
      <c r="GW62" s="218"/>
      <c r="GX62" s="218"/>
      <c r="GY62" s="218"/>
      <c r="GZ62" s="218"/>
      <c r="HA62" s="218"/>
      <c r="HB62" s="218"/>
      <c r="HC62" s="218"/>
      <c r="HD62" s="218"/>
      <c r="HE62" s="218"/>
      <c r="HF62" s="218"/>
      <c r="HG62" s="218"/>
      <c r="HH62" s="218"/>
      <c r="HI62" s="218"/>
      <c r="HJ62" s="218"/>
      <c r="HK62" s="218"/>
      <c r="HL62" s="218"/>
      <c r="HM62" s="218"/>
      <c r="HN62" s="218"/>
      <c r="HO62" s="218"/>
      <c r="HP62" s="218"/>
      <c r="HQ62" s="218"/>
      <c r="HR62" s="218"/>
      <c r="HS62" s="218"/>
      <c r="HT62" s="218"/>
      <c r="HU62" s="218"/>
      <c r="HV62" s="218"/>
      <c r="HW62" s="218"/>
      <c r="HX62" s="218"/>
      <c r="HY62" s="218"/>
      <c r="HZ62" s="218"/>
      <c r="IA62" s="218"/>
      <c r="IB62" s="218"/>
      <c r="IC62" s="218"/>
      <c r="ID62" s="218"/>
      <c r="IE62" s="218"/>
      <c r="IF62" s="218"/>
      <c r="IG62" s="218"/>
      <c r="IH62" s="218"/>
      <c r="II62" s="218"/>
      <c r="IJ62" s="218"/>
      <c r="IK62" s="218"/>
      <c r="IL62" s="218"/>
      <c r="IM62" s="218"/>
      <c r="IN62" s="218"/>
      <c r="IO62" s="218"/>
      <c r="IP62" s="218"/>
      <c r="IQ62" s="218"/>
      <c r="IR62" s="218"/>
      <c r="IS62" s="218"/>
      <c r="IT62" s="218"/>
      <c r="IU62" s="218"/>
      <c r="IV62" s="218"/>
      <c r="IW62" s="218"/>
    </row>
    <row r="63" customFormat="false" ht="11.25" hidden="false" customHeight="false" outlineLevel="0" collapsed="false">
      <c r="A63" s="218"/>
      <c r="B63" s="218"/>
      <c r="C63" s="237"/>
      <c r="D63" s="236"/>
      <c r="E63" s="236"/>
      <c r="F63" s="218"/>
      <c r="G63" s="218"/>
      <c r="H63" s="218"/>
      <c r="I63" s="218"/>
      <c r="J63" s="218"/>
      <c r="K63" s="218"/>
      <c r="L63" s="218"/>
      <c r="M63" s="218"/>
      <c r="N63" s="218"/>
      <c r="O63" s="218"/>
      <c r="P63" s="218"/>
      <c r="Q63" s="218"/>
      <c r="R63" s="218"/>
      <c r="S63" s="218"/>
      <c r="T63" s="218"/>
      <c r="U63" s="218"/>
      <c r="V63" s="218"/>
      <c r="W63" s="218"/>
      <c r="X63" s="218"/>
      <c r="Y63" s="218"/>
      <c r="Z63" s="218"/>
      <c r="AA63" s="218"/>
      <c r="AB63" s="218"/>
      <c r="AC63" s="218"/>
      <c r="AD63" s="218"/>
      <c r="AE63" s="218"/>
      <c r="AF63" s="218"/>
      <c r="AG63" s="218"/>
      <c r="AH63" s="218"/>
      <c r="AI63" s="218"/>
      <c r="AJ63" s="218"/>
      <c r="AK63" s="218"/>
      <c r="AL63" s="218"/>
      <c r="AM63" s="218"/>
      <c r="AN63" s="218"/>
      <c r="AO63" s="218"/>
      <c r="AP63" s="218"/>
      <c r="AQ63" s="218"/>
      <c r="AR63" s="218"/>
      <c r="AS63" s="218"/>
      <c r="AT63" s="218"/>
      <c r="AU63" s="218"/>
      <c r="AV63" s="218"/>
      <c r="AW63" s="218"/>
      <c r="AX63" s="218"/>
      <c r="AY63" s="218"/>
      <c r="AZ63" s="218"/>
      <c r="BA63" s="218"/>
      <c r="BB63" s="218"/>
      <c r="BC63" s="218"/>
      <c r="BD63" s="218"/>
      <c r="BE63" s="218"/>
      <c r="BF63" s="218"/>
      <c r="BG63" s="218"/>
      <c r="BH63" s="218"/>
      <c r="BI63" s="218"/>
      <c r="BJ63" s="218"/>
      <c r="BK63" s="218"/>
      <c r="BL63" s="218"/>
      <c r="BM63" s="218"/>
      <c r="BN63" s="218"/>
      <c r="BO63" s="218"/>
      <c r="BP63" s="218"/>
      <c r="BQ63" s="218"/>
      <c r="BR63" s="218"/>
      <c r="BS63" s="218"/>
      <c r="BT63" s="218"/>
      <c r="BU63" s="218"/>
      <c r="BV63" s="218"/>
      <c r="BW63" s="218"/>
      <c r="BX63" s="218"/>
      <c r="BY63" s="218"/>
      <c r="BZ63" s="218"/>
      <c r="CA63" s="218"/>
      <c r="CB63" s="218"/>
      <c r="CC63" s="218"/>
      <c r="CD63" s="218"/>
      <c r="CE63" s="218"/>
      <c r="CF63" s="218"/>
      <c r="CG63" s="218"/>
      <c r="CH63" s="218"/>
      <c r="CI63" s="218"/>
      <c r="CJ63" s="218"/>
      <c r="CK63" s="218"/>
      <c r="CL63" s="218"/>
      <c r="CM63" s="218"/>
      <c r="CN63" s="218"/>
      <c r="CO63" s="218"/>
      <c r="CP63" s="218"/>
      <c r="CQ63" s="218"/>
      <c r="CR63" s="218"/>
      <c r="CS63" s="218"/>
      <c r="CT63" s="218"/>
      <c r="CU63" s="218"/>
      <c r="CV63" s="218"/>
      <c r="CW63" s="218"/>
      <c r="CX63" s="218"/>
      <c r="CY63" s="218"/>
      <c r="CZ63" s="218"/>
      <c r="DA63" s="218"/>
      <c r="DB63" s="218"/>
      <c r="DC63" s="218"/>
      <c r="DD63" s="218"/>
      <c r="DE63" s="218"/>
      <c r="DF63" s="218"/>
      <c r="DG63" s="218"/>
      <c r="DH63" s="218"/>
      <c r="DI63" s="218"/>
      <c r="DJ63" s="218"/>
      <c r="DK63" s="218"/>
      <c r="DL63" s="218"/>
      <c r="DM63" s="218"/>
      <c r="DN63" s="218"/>
      <c r="DO63" s="218"/>
      <c r="DP63" s="218"/>
      <c r="DQ63" s="218"/>
      <c r="DR63" s="218"/>
      <c r="DS63" s="218"/>
      <c r="DT63" s="218"/>
      <c r="DU63" s="218"/>
      <c r="DV63" s="218"/>
      <c r="DW63" s="218"/>
      <c r="DX63" s="218"/>
      <c r="DY63" s="218"/>
      <c r="DZ63" s="218"/>
      <c r="EA63" s="218"/>
      <c r="EB63" s="218"/>
      <c r="EC63" s="218"/>
      <c r="ED63" s="218"/>
      <c r="EE63" s="218"/>
      <c r="EF63" s="218"/>
      <c r="EG63" s="218"/>
      <c r="EH63" s="218"/>
      <c r="EI63" s="218"/>
      <c r="EJ63" s="218"/>
      <c r="EK63" s="218"/>
      <c r="EL63" s="218"/>
      <c r="EM63" s="218"/>
      <c r="EN63" s="218"/>
      <c r="EO63" s="218"/>
      <c r="EP63" s="218"/>
      <c r="EQ63" s="218"/>
      <c r="ER63" s="218"/>
      <c r="ES63" s="218"/>
      <c r="ET63" s="218"/>
      <c r="EU63" s="218"/>
      <c r="EV63" s="218"/>
      <c r="EW63" s="218"/>
      <c r="EX63" s="218"/>
      <c r="EY63" s="218"/>
      <c r="EZ63" s="218"/>
      <c r="FA63" s="218"/>
      <c r="FB63" s="218"/>
      <c r="FC63" s="218"/>
      <c r="FD63" s="218"/>
      <c r="FE63" s="218"/>
      <c r="FF63" s="218"/>
      <c r="FG63" s="218"/>
      <c r="FH63" s="218"/>
      <c r="FI63" s="218"/>
      <c r="FJ63" s="218"/>
      <c r="FK63" s="218"/>
      <c r="FL63" s="218"/>
      <c r="FM63" s="218"/>
      <c r="FN63" s="218"/>
      <c r="FO63" s="218"/>
      <c r="FP63" s="218"/>
      <c r="FQ63" s="218"/>
      <c r="FR63" s="218"/>
      <c r="FS63" s="218"/>
      <c r="FT63" s="218"/>
      <c r="FU63" s="218"/>
      <c r="FV63" s="218"/>
      <c r="FW63" s="218"/>
      <c r="FX63" s="218"/>
      <c r="FY63" s="218"/>
      <c r="FZ63" s="218"/>
      <c r="GA63" s="218"/>
      <c r="GB63" s="218"/>
      <c r="GC63" s="218"/>
      <c r="GD63" s="218"/>
      <c r="GE63" s="218"/>
      <c r="GF63" s="218"/>
      <c r="GG63" s="218"/>
      <c r="GH63" s="218"/>
      <c r="GI63" s="218"/>
      <c r="GJ63" s="218"/>
      <c r="GK63" s="218"/>
      <c r="GL63" s="218"/>
      <c r="GM63" s="218"/>
      <c r="GN63" s="218"/>
      <c r="GO63" s="218"/>
      <c r="GP63" s="218"/>
      <c r="GQ63" s="218"/>
      <c r="GR63" s="218"/>
      <c r="GS63" s="218"/>
      <c r="GT63" s="218"/>
      <c r="GU63" s="218"/>
      <c r="GV63" s="218"/>
      <c r="GW63" s="218"/>
      <c r="GX63" s="218"/>
      <c r="GY63" s="218"/>
      <c r="GZ63" s="218"/>
      <c r="HA63" s="218"/>
      <c r="HB63" s="218"/>
      <c r="HC63" s="218"/>
      <c r="HD63" s="218"/>
      <c r="HE63" s="218"/>
      <c r="HF63" s="218"/>
      <c r="HG63" s="218"/>
      <c r="HH63" s="218"/>
      <c r="HI63" s="218"/>
      <c r="HJ63" s="218"/>
      <c r="HK63" s="218"/>
      <c r="HL63" s="218"/>
      <c r="HM63" s="218"/>
      <c r="HN63" s="218"/>
      <c r="HO63" s="218"/>
      <c r="HP63" s="218"/>
      <c r="HQ63" s="218"/>
      <c r="HR63" s="218"/>
      <c r="HS63" s="218"/>
      <c r="HT63" s="218"/>
      <c r="HU63" s="218"/>
      <c r="HV63" s="218"/>
      <c r="HW63" s="218"/>
      <c r="HX63" s="218"/>
      <c r="HY63" s="218"/>
      <c r="HZ63" s="218"/>
      <c r="IA63" s="218"/>
      <c r="IB63" s="218"/>
      <c r="IC63" s="218"/>
      <c r="ID63" s="218"/>
      <c r="IE63" s="218"/>
      <c r="IF63" s="218"/>
      <c r="IG63" s="218"/>
      <c r="IH63" s="218"/>
      <c r="II63" s="218"/>
      <c r="IJ63" s="218"/>
      <c r="IK63" s="218"/>
      <c r="IL63" s="218"/>
      <c r="IM63" s="218"/>
      <c r="IN63" s="218"/>
      <c r="IO63" s="218"/>
      <c r="IP63" s="218"/>
      <c r="IQ63" s="218"/>
      <c r="IR63" s="218"/>
      <c r="IS63" s="218"/>
      <c r="IT63" s="218"/>
      <c r="IU63" s="218"/>
      <c r="IV63" s="218"/>
      <c r="IW63" s="218"/>
    </row>
    <row r="64" customFormat="false" ht="11.25" hidden="false" customHeight="false" outlineLevel="0" collapsed="false">
      <c r="A64" s="237"/>
      <c r="B64" s="238"/>
      <c r="C64" s="239" t="n">
        <f aca="false">Cashflow!C$3</f>
        <v>36891</v>
      </c>
      <c r="D64" s="239" t="n">
        <f aca="false">EOMONTH(C64,12)</f>
        <v>37256</v>
      </c>
      <c r="E64" s="239" t="n">
        <f aca="false">EOMONTH(D64,12)</f>
        <v>37621</v>
      </c>
      <c r="F64" s="239" t="n">
        <f aca="false">EOMONTH(E64,12)</f>
        <v>37986</v>
      </c>
      <c r="G64" s="239" t="n">
        <f aca="false">EOMONTH(F64,12)</f>
        <v>38352</v>
      </c>
      <c r="H64" s="239" t="n">
        <f aca="false">EOMONTH(G64,12)</f>
        <v>38717</v>
      </c>
      <c r="I64" s="239" t="n">
        <f aca="false">EOMONTH(H64,12)</f>
        <v>39082</v>
      </c>
      <c r="J64" s="239" t="n">
        <f aca="false">EOMONTH(I64,12)</f>
        <v>39447</v>
      </c>
      <c r="K64" s="239" t="n">
        <f aca="false">EOMONTH(J64,12)</f>
        <v>39813</v>
      </c>
      <c r="L64" s="239" t="n">
        <f aca="false">EOMONTH(K64,12)</f>
        <v>40178</v>
      </c>
      <c r="M64" s="239" t="n">
        <f aca="false">EOMONTH(L64,12)</f>
        <v>40543</v>
      </c>
      <c r="N64" s="239" t="n">
        <f aca="false">EOMONTH(M64,12)</f>
        <v>40908</v>
      </c>
      <c r="O64" s="239" t="n">
        <f aca="false">EOMONTH(N64,12)</f>
        <v>41274</v>
      </c>
      <c r="P64" s="239" t="n">
        <f aca="false">EOMONTH(O64,12)</f>
        <v>41639</v>
      </c>
      <c r="Q64" s="239" t="n">
        <f aca="false">EOMONTH(P64,12)</f>
        <v>42004</v>
      </c>
      <c r="R64" s="239" t="n">
        <f aca="false">EOMONTH(Q64,12)</f>
        <v>42369</v>
      </c>
      <c r="S64" s="239" t="n">
        <f aca="false">EOMONTH(R64,12)</f>
        <v>42735</v>
      </c>
      <c r="T64" s="239" t="n">
        <f aca="false">EOMONTH(S64,12)</f>
        <v>43100</v>
      </c>
      <c r="U64" s="239" t="n">
        <f aca="false">EOMONTH(T64,12)</f>
        <v>43465</v>
      </c>
      <c r="V64" s="239" t="n">
        <f aca="false">EOMONTH(U64,12)</f>
        <v>43830</v>
      </c>
      <c r="W64" s="239" t="n">
        <f aca="false">EOMONTH(V64,12)</f>
        <v>44196</v>
      </c>
      <c r="X64" s="239" t="n">
        <f aca="false">EOMONTH(W64,12)</f>
        <v>44561</v>
      </c>
      <c r="Y64" s="239" t="n">
        <f aca="false">EOMONTH(X64,12)</f>
        <v>44926</v>
      </c>
      <c r="Z64" s="239" t="n">
        <f aca="false">EOMONTH(Y64,12)</f>
        <v>45291</v>
      </c>
      <c r="AA64" s="239" t="n">
        <f aca="false">EOMONTH(Z64,12)</f>
        <v>45657</v>
      </c>
      <c r="AB64" s="239" t="n">
        <f aca="false">EOMONTH(AA64,12)</f>
        <v>46022</v>
      </c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  <c r="AZ64" s="237"/>
      <c r="BA64" s="237"/>
      <c r="BB64" s="237"/>
      <c r="BC64" s="237"/>
      <c r="BD64" s="237"/>
      <c r="BE64" s="237"/>
      <c r="BF64" s="237"/>
      <c r="BG64" s="237"/>
      <c r="BH64" s="237"/>
      <c r="BI64" s="237"/>
      <c r="BJ64" s="237"/>
      <c r="BK64" s="237"/>
      <c r="BL64" s="237"/>
      <c r="BM64" s="237"/>
      <c r="BN64" s="237"/>
      <c r="BO64" s="237"/>
      <c r="BP64" s="237"/>
      <c r="BQ64" s="237"/>
      <c r="BR64" s="237"/>
      <c r="BS64" s="237"/>
      <c r="BT64" s="237"/>
      <c r="BU64" s="237"/>
      <c r="BV64" s="237"/>
      <c r="BW64" s="237"/>
      <c r="BX64" s="237"/>
      <c r="BY64" s="237"/>
      <c r="BZ64" s="237"/>
      <c r="CA64" s="237"/>
      <c r="CB64" s="237"/>
      <c r="CC64" s="237"/>
      <c r="CD64" s="237"/>
      <c r="CE64" s="237"/>
      <c r="CF64" s="237"/>
      <c r="CG64" s="237"/>
      <c r="CH64" s="237"/>
      <c r="CI64" s="237"/>
      <c r="CJ64" s="237"/>
      <c r="CK64" s="237"/>
      <c r="CL64" s="237"/>
      <c r="CM64" s="237"/>
      <c r="CN64" s="237"/>
      <c r="CO64" s="237"/>
      <c r="CP64" s="237"/>
      <c r="CQ64" s="237"/>
      <c r="CR64" s="237"/>
      <c r="CS64" s="237"/>
      <c r="CT64" s="237"/>
      <c r="CU64" s="237"/>
      <c r="CV64" s="237"/>
      <c r="CW64" s="237"/>
      <c r="CX64" s="237"/>
      <c r="CY64" s="237"/>
      <c r="CZ64" s="237"/>
      <c r="DA64" s="237"/>
      <c r="DB64" s="237"/>
      <c r="DC64" s="237"/>
      <c r="DD64" s="237"/>
      <c r="DE64" s="237"/>
      <c r="DF64" s="237"/>
      <c r="DG64" s="237"/>
      <c r="DH64" s="237"/>
      <c r="DI64" s="237"/>
      <c r="DJ64" s="237"/>
      <c r="DK64" s="237"/>
      <c r="DL64" s="237"/>
      <c r="DM64" s="237"/>
      <c r="DN64" s="237"/>
      <c r="DO64" s="237"/>
      <c r="DP64" s="237"/>
      <c r="DQ64" s="237"/>
      <c r="DR64" s="237"/>
      <c r="DS64" s="237"/>
      <c r="DT64" s="237"/>
      <c r="DU64" s="237"/>
      <c r="DV64" s="237"/>
      <c r="DW64" s="237"/>
      <c r="DX64" s="237"/>
      <c r="DY64" s="237"/>
      <c r="DZ64" s="237"/>
      <c r="EA64" s="237"/>
      <c r="EB64" s="237"/>
      <c r="EC64" s="237"/>
      <c r="ED64" s="237"/>
      <c r="EE64" s="237"/>
      <c r="EF64" s="237"/>
      <c r="EG64" s="237"/>
      <c r="EH64" s="237"/>
      <c r="EI64" s="237"/>
      <c r="EJ64" s="237"/>
      <c r="EK64" s="237"/>
      <c r="EL64" s="237"/>
      <c r="EM64" s="237"/>
      <c r="EN64" s="237"/>
      <c r="EO64" s="237"/>
      <c r="EP64" s="237"/>
      <c r="EQ64" s="237"/>
      <c r="ER64" s="237"/>
      <c r="ES64" s="237"/>
      <c r="ET64" s="237"/>
      <c r="EU64" s="237"/>
      <c r="EV64" s="237"/>
      <c r="EW64" s="237"/>
      <c r="EX64" s="237"/>
      <c r="EY64" s="237"/>
      <c r="EZ64" s="237"/>
      <c r="FA64" s="237"/>
      <c r="FB64" s="237"/>
      <c r="FC64" s="237"/>
      <c r="FD64" s="237"/>
      <c r="FE64" s="237"/>
      <c r="FF64" s="237"/>
      <c r="FG64" s="237"/>
      <c r="FH64" s="237"/>
      <c r="FI64" s="237"/>
      <c r="FJ64" s="237"/>
      <c r="FK64" s="237"/>
      <c r="FL64" s="237"/>
      <c r="FM64" s="237"/>
      <c r="FN64" s="237"/>
      <c r="FO64" s="237"/>
      <c r="FP64" s="237"/>
      <c r="FQ64" s="237"/>
      <c r="FR64" s="237"/>
      <c r="FS64" s="237"/>
      <c r="FT64" s="237"/>
      <c r="FU64" s="237"/>
      <c r="FV64" s="237"/>
      <c r="FW64" s="237"/>
      <c r="FX64" s="237"/>
      <c r="FY64" s="237"/>
      <c r="FZ64" s="237"/>
      <c r="GA64" s="237"/>
      <c r="GB64" s="237"/>
      <c r="GC64" s="237"/>
      <c r="GD64" s="237"/>
      <c r="GE64" s="237"/>
      <c r="GF64" s="237"/>
      <c r="GG64" s="237"/>
      <c r="GH64" s="237"/>
      <c r="GI64" s="237"/>
      <c r="GJ64" s="237"/>
      <c r="GK64" s="237"/>
      <c r="GL64" s="237"/>
      <c r="GM64" s="237"/>
      <c r="GN64" s="237"/>
      <c r="GO64" s="237"/>
      <c r="GP64" s="237"/>
      <c r="GQ64" s="237"/>
      <c r="GR64" s="237"/>
      <c r="GS64" s="237"/>
      <c r="GT64" s="237"/>
      <c r="GU64" s="237"/>
      <c r="GV64" s="237"/>
      <c r="GW64" s="237"/>
      <c r="GX64" s="237"/>
      <c r="GY64" s="237"/>
      <c r="GZ64" s="237"/>
      <c r="HA64" s="237"/>
      <c r="HB64" s="237"/>
      <c r="HC64" s="237"/>
      <c r="HD64" s="237"/>
      <c r="HE64" s="237"/>
      <c r="HF64" s="237"/>
      <c r="HG64" s="237"/>
      <c r="HH64" s="237"/>
      <c r="HI64" s="237"/>
      <c r="HJ64" s="237"/>
      <c r="HK64" s="237"/>
      <c r="HL64" s="237"/>
      <c r="HM64" s="237"/>
      <c r="HN64" s="237"/>
      <c r="HO64" s="237"/>
      <c r="HP64" s="237"/>
      <c r="HQ64" s="237"/>
      <c r="HR64" s="237"/>
      <c r="HS64" s="237"/>
      <c r="HT64" s="237"/>
      <c r="HU64" s="237"/>
      <c r="HV64" s="237"/>
      <c r="HW64" s="237"/>
      <c r="HX64" s="237"/>
      <c r="HY64" s="237"/>
      <c r="HZ64" s="237"/>
      <c r="IA64" s="237"/>
      <c r="IB64" s="237"/>
      <c r="IC64" s="237"/>
      <c r="ID64" s="237"/>
      <c r="IE64" s="237"/>
      <c r="IF64" s="237"/>
      <c r="IG64" s="237"/>
      <c r="IH64" s="237"/>
      <c r="II64" s="237"/>
      <c r="IJ64" s="237"/>
      <c r="IK64" s="237"/>
      <c r="IL64" s="237"/>
      <c r="IM64" s="237"/>
      <c r="IN64" s="237"/>
      <c r="IO64" s="237"/>
      <c r="IP64" s="237"/>
      <c r="IQ64" s="237"/>
      <c r="IR64" s="237"/>
      <c r="IS64" s="237"/>
      <c r="IT64" s="237"/>
      <c r="IU64" s="237"/>
      <c r="IV64" s="237"/>
      <c r="IW64" s="237"/>
    </row>
    <row r="65" customFormat="false" ht="11.25" hidden="false" customHeight="false" outlineLevel="0" collapsed="false">
      <c r="A65" s="237"/>
      <c r="B65" s="238"/>
      <c r="C65" s="240" t="n">
        <f aca="false">YEAR(C64)</f>
        <v>2000</v>
      </c>
      <c r="D65" s="240" t="n">
        <f aca="false">YEAR(D64)</f>
        <v>2001</v>
      </c>
      <c r="E65" s="240" t="n">
        <f aca="false">YEAR(E64)</f>
        <v>2002</v>
      </c>
      <c r="F65" s="240" t="n">
        <f aca="false">YEAR(F64)</f>
        <v>2003</v>
      </c>
      <c r="G65" s="240" t="n">
        <f aca="false">YEAR(G64)</f>
        <v>2004</v>
      </c>
      <c r="H65" s="240" t="n">
        <f aca="false">YEAR(H64)</f>
        <v>2005</v>
      </c>
      <c r="I65" s="240" t="n">
        <f aca="false">YEAR(I64)</f>
        <v>2006</v>
      </c>
      <c r="J65" s="240" t="n">
        <f aca="false">YEAR(J64)</f>
        <v>2007</v>
      </c>
      <c r="K65" s="240" t="n">
        <f aca="false">YEAR(K64)</f>
        <v>2008</v>
      </c>
      <c r="L65" s="240" t="n">
        <f aca="false">YEAR(L64)</f>
        <v>2009</v>
      </c>
      <c r="M65" s="240" t="n">
        <f aca="false">YEAR(M64)</f>
        <v>2010</v>
      </c>
      <c r="N65" s="240" t="n">
        <f aca="false">YEAR(N64)</f>
        <v>2011</v>
      </c>
      <c r="O65" s="240" t="n">
        <f aca="false">YEAR(O64)</f>
        <v>2012</v>
      </c>
      <c r="P65" s="240" t="n">
        <f aca="false">YEAR(P64)</f>
        <v>2013</v>
      </c>
      <c r="Q65" s="240" t="n">
        <f aca="false">YEAR(Q64)</f>
        <v>2014</v>
      </c>
      <c r="R65" s="240" t="n">
        <f aca="false">YEAR(R64)</f>
        <v>2015</v>
      </c>
      <c r="S65" s="240" t="n">
        <f aca="false">YEAR(S64)</f>
        <v>2016</v>
      </c>
      <c r="T65" s="240" t="n">
        <f aca="false">YEAR(T64)</f>
        <v>2017</v>
      </c>
      <c r="U65" s="240" t="n">
        <f aca="false">YEAR(U64)</f>
        <v>2018</v>
      </c>
      <c r="V65" s="240" t="n">
        <f aca="false">YEAR(V64)</f>
        <v>2019</v>
      </c>
      <c r="W65" s="240" t="n">
        <f aca="false">YEAR(W64)</f>
        <v>2020</v>
      </c>
      <c r="X65" s="240" t="n">
        <f aca="false">YEAR(X64)</f>
        <v>2021</v>
      </c>
      <c r="Y65" s="240" t="n">
        <f aca="false">YEAR(Y64)</f>
        <v>2022</v>
      </c>
      <c r="Z65" s="240" t="n">
        <f aca="false">YEAR(Z64)</f>
        <v>2023</v>
      </c>
      <c r="AA65" s="240" t="n">
        <f aca="false">YEAR(AA64)</f>
        <v>2024</v>
      </c>
      <c r="AB65" s="240" t="n">
        <f aca="false">YEAR(AB64)</f>
        <v>2025</v>
      </c>
      <c r="AC65" s="238"/>
      <c r="AD65" s="238"/>
      <c r="AE65" s="238"/>
      <c r="AF65" s="238"/>
      <c r="AG65" s="238"/>
      <c r="AH65" s="238"/>
      <c r="AI65" s="238"/>
      <c r="AJ65" s="238"/>
      <c r="AK65" s="238"/>
      <c r="AL65" s="238"/>
      <c r="AM65" s="238"/>
      <c r="AN65" s="238"/>
      <c r="AO65" s="238"/>
      <c r="AP65" s="238"/>
      <c r="AQ65" s="238"/>
      <c r="AR65" s="238"/>
      <c r="AS65" s="238"/>
      <c r="AT65" s="238"/>
      <c r="AU65" s="238"/>
      <c r="AV65" s="238"/>
      <c r="AW65" s="238"/>
      <c r="AX65" s="238"/>
      <c r="AY65" s="238"/>
      <c r="AZ65" s="238"/>
      <c r="BA65" s="238"/>
      <c r="BB65" s="238"/>
      <c r="BC65" s="238"/>
      <c r="BD65" s="238"/>
      <c r="BE65" s="238"/>
      <c r="BF65" s="238"/>
      <c r="BG65" s="238"/>
      <c r="BH65" s="238"/>
      <c r="BI65" s="238"/>
      <c r="BJ65" s="238"/>
      <c r="BK65" s="238"/>
      <c r="BL65" s="238"/>
      <c r="BM65" s="238"/>
      <c r="BN65" s="238"/>
      <c r="BO65" s="238"/>
      <c r="BP65" s="238"/>
      <c r="BQ65" s="238"/>
      <c r="BR65" s="238"/>
      <c r="BS65" s="238"/>
      <c r="BT65" s="238"/>
      <c r="BU65" s="238"/>
      <c r="BV65" s="238"/>
      <c r="BW65" s="238"/>
      <c r="BX65" s="238"/>
      <c r="BY65" s="238"/>
      <c r="BZ65" s="238"/>
      <c r="CA65" s="238"/>
      <c r="CB65" s="238"/>
      <c r="CC65" s="238"/>
      <c r="CD65" s="238"/>
      <c r="CE65" s="238"/>
      <c r="CF65" s="238"/>
      <c r="CG65" s="238"/>
      <c r="CH65" s="238"/>
      <c r="CI65" s="238"/>
      <c r="CJ65" s="238"/>
      <c r="CK65" s="238"/>
      <c r="CL65" s="238"/>
      <c r="CM65" s="238"/>
      <c r="CN65" s="238"/>
      <c r="CO65" s="238"/>
      <c r="CP65" s="238"/>
      <c r="CQ65" s="238"/>
      <c r="CR65" s="238"/>
      <c r="CS65" s="238"/>
      <c r="CT65" s="238"/>
      <c r="CU65" s="238"/>
      <c r="CV65" s="238"/>
      <c r="CW65" s="238"/>
      <c r="CX65" s="238"/>
      <c r="CY65" s="238"/>
      <c r="CZ65" s="238"/>
      <c r="DA65" s="238"/>
      <c r="DB65" s="238"/>
      <c r="DC65" s="238"/>
      <c r="DD65" s="238"/>
      <c r="DE65" s="238"/>
      <c r="DF65" s="238"/>
      <c r="DG65" s="238"/>
      <c r="DH65" s="238"/>
      <c r="DI65" s="238"/>
      <c r="DJ65" s="238"/>
      <c r="DK65" s="238"/>
      <c r="DL65" s="238"/>
      <c r="DM65" s="238"/>
      <c r="DN65" s="238"/>
      <c r="DO65" s="238"/>
      <c r="DP65" s="238"/>
      <c r="DQ65" s="238"/>
      <c r="DR65" s="238"/>
      <c r="DS65" s="238"/>
      <c r="DT65" s="238"/>
      <c r="DU65" s="238"/>
      <c r="DV65" s="238"/>
      <c r="DW65" s="238"/>
      <c r="DX65" s="238"/>
      <c r="DY65" s="238"/>
      <c r="DZ65" s="238"/>
      <c r="EA65" s="238"/>
      <c r="EB65" s="238"/>
      <c r="EC65" s="238"/>
      <c r="ED65" s="238"/>
      <c r="EE65" s="238"/>
      <c r="EF65" s="238"/>
      <c r="EG65" s="238"/>
      <c r="EH65" s="238"/>
      <c r="EI65" s="238"/>
      <c r="EJ65" s="238"/>
      <c r="EK65" s="238"/>
      <c r="EL65" s="238"/>
      <c r="EM65" s="238"/>
      <c r="EN65" s="238"/>
      <c r="EO65" s="238"/>
      <c r="EP65" s="238"/>
      <c r="EQ65" s="238"/>
      <c r="ER65" s="238"/>
      <c r="ES65" s="238"/>
      <c r="ET65" s="238"/>
      <c r="EU65" s="238"/>
      <c r="EV65" s="238"/>
      <c r="EW65" s="238"/>
      <c r="EX65" s="238"/>
      <c r="EY65" s="238"/>
      <c r="EZ65" s="238"/>
      <c r="FA65" s="238"/>
      <c r="FB65" s="238"/>
      <c r="FC65" s="238"/>
      <c r="FD65" s="238"/>
      <c r="FE65" s="238"/>
      <c r="FF65" s="238"/>
      <c r="FG65" s="238"/>
      <c r="FH65" s="238"/>
      <c r="FI65" s="238"/>
      <c r="FJ65" s="238"/>
      <c r="FK65" s="238"/>
      <c r="FL65" s="238"/>
      <c r="FM65" s="238"/>
      <c r="FN65" s="238"/>
      <c r="FO65" s="238"/>
      <c r="FP65" s="238"/>
      <c r="FQ65" s="238"/>
      <c r="FR65" s="238"/>
      <c r="FS65" s="238"/>
      <c r="FT65" s="238"/>
      <c r="FU65" s="238"/>
      <c r="FV65" s="238"/>
      <c r="FW65" s="238"/>
      <c r="FX65" s="238"/>
      <c r="FY65" s="238"/>
      <c r="FZ65" s="238"/>
      <c r="GA65" s="238"/>
      <c r="GB65" s="238"/>
      <c r="GC65" s="238"/>
      <c r="GD65" s="238"/>
      <c r="GE65" s="238"/>
      <c r="GF65" s="238"/>
      <c r="GG65" s="238"/>
      <c r="GH65" s="238"/>
      <c r="GI65" s="238"/>
      <c r="GJ65" s="238"/>
      <c r="GK65" s="238"/>
      <c r="GL65" s="238"/>
      <c r="GM65" s="238"/>
      <c r="GN65" s="238"/>
      <c r="GO65" s="238"/>
      <c r="GP65" s="238"/>
      <c r="GQ65" s="238"/>
      <c r="GR65" s="238"/>
      <c r="GS65" s="238"/>
      <c r="GT65" s="238"/>
      <c r="GU65" s="238"/>
      <c r="GV65" s="238"/>
      <c r="GW65" s="238"/>
      <c r="GX65" s="238"/>
      <c r="GY65" s="238"/>
      <c r="GZ65" s="238"/>
      <c r="HA65" s="238"/>
      <c r="HB65" s="238"/>
      <c r="HC65" s="238"/>
      <c r="HD65" s="238"/>
      <c r="HE65" s="238"/>
      <c r="HF65" s="238"/>
      <c r="HG65" s="238"/>
      <c r="HH65" s="238"/>
      <c r="HI65" s="238"/>
      <c r="HJ65" s="238"/>
      <c r="HK65" s="238"/>
      <c r="HL65" s="238"/>
      <c r="HM65" s="238"/>
      <c r="HN65" s="238"/>
      <c r="HO65" s="238"/>
      <c r="HP65" s="238"/>
      <c r="HQ65" s="238"/>
      <c r="HR65" s="238"/>
      <c r="HS65" s="238"/>
      <c r="HT65" s="238"/>
      <c r="HU65" s="238"/>
      <c r="HV65" s="238"/>
      <c r="HW65" s="238"/>
      <c r="HX65" s="238"/>
      <c r="HY65" s="238"/>
      <c r="HZ65" s="238"/>
      <c r="IA65" s="238"/>
      <c r="IB65" s="238"/>
      <c r="IC65" s="238"/>
      <c r="ID65" s="238"/>
      <c r="IE65" s="238"/>
      <c r="IF65" s="238"/>
      <c r="IG65" s="238"/>
      <c r="IH65" s="238"/>
      <c r="II65" s="238"/>
      <c r="IJ65" s="238"/>
      <c r="IK65" s="238"/>
      <c r="IL65" s="238"/>
      <c r="IM65" s="238"/>
      <c r="IN65" s="238"/>
      <c r="IO65" s="238"/>
      <c r="IP65" s="238"/>
      <c r="IQ65" s="238"/>
      <c r="IR65" s="238"/>
      <c r="IS65" s="238"/>
      <c r="IT65" s="238"/>
      <c r="IU65" s="238"/>
      <c r="IV65" s="238"/>
      <c r="IW65" s="238"/>
    </row>
    <row r="66" customFormat="false" ht="12.75" hidden="true" customHeight="false" outlineLevel="0" collapsed="false">
      <c r="A66" s="237"/>
      <c r="B66" s="238"/>
      <c r="C66" s="241" t="n">
        <f aca="false">'Int Curves'!T57</f>
        <v>0</v>
      </c>
      <c r="D66" s="241" t="n">
        <f aca="false">'Int Curves'!U57</f>
        <v>0</v>
      </c>
      <c r="E66" s="241" t="n">
        <f aca="false">'Int Curves'!V57</f>
        <v>0</v>
      </c>
      <c r="F66" s="241" t="n">
        <f aca="false">'Int Curves'!W57</f>
        <v>0</v>
      </c>
      <c r="G66" s="241" t="n">
        <f aca="false">'Int Curves'!X57</f>
        <v>0</v>
      </c>
      <c r="H66" s="241" t="n">
        <f aca="false">'Int Curves'!Y57</f>
        <v>0</v>
      </c>
      <c r="I66" s="241" t="n">
        <f aca="false">'Int Curves'!Z57</f>
        <v>0</v>
      </c>
      <c r="J66" s="241" t="n">
        <f aca="false">'Int Curves'!AA57</f>
        <v>0</v>
      </c>
      <c r="K66" s="241" t="n">
        <f aca="false">'Int Curves'!AB57</f>
        <v>0</v>
      </c>
      <c r="L66" s="241" t="n">
        <f aca="false">'Int Curves'!AC57</f>
        <v>0</v>
      </c>
      <c r="M66" s="241" t="n">
        <f aca="false">'Int Curves'!AD57</f>
        <v>0</v>
      </c>
      <c r="N66" s="241" t="n">
        <f aca="false">'Int Curves'!AE57</f>
        <v>0</v>
      </c>
      <c r="O66" s="241" t="n">
        <f aca="false">'Int Curves'!AF57</f>
        <v>0</v>
      </c>
      <c r="P66" s="241" t="n">
        <f aca="false">'Int Curves'!AG57</f>
        <v>0</v>
      </c>
      <c r="Q66" s="241" t="n">
        <f aca="false">'Int Curves'!AH57</f>
        <v>0</v>
      </c>
      <c r="R66" s="241" t="n">
        <f aca="false">'Int Curves'!AI57</f>
        <v>0</v>
      </c>
      <c r="S66" s="241" t="n">
        <f aca="false">'Int Curves'!AJ57</f>
        <v>0</v>
      </c>
      <c r="T66" s="241" t="n">
        <f aca="false">'Int Curves'!AK57</f>
        <v>0</v>
      </c>
      <c r="U66" s="241" t="n">
        <f aca="false">'Int Curves'!AL57</f>
        <v>0</v>
      </c>
      <c r="V66" s="241" t="n">
        <f aca="false">'Int Curves'!AM57</f>
        <v>0</v>
      </c>
      <c r="W66" s="241" t="n">
        <f aca="false">'Int Curves'!AN57</f>
        <v>0</v>
      </c>
      <c r="X66" s="241" t="n">
        <f aca="false">'Int Curves'!AO57</f>
        <v>0</v>
      </c>
      <c r="Y66" s="241" t="n">
        <f aca="false">'Int Curves'!AP57</f>
        <v>0</v>
      </c>
      <c r="Z66" s="241" t="n">
        <f aca="false">'Int Curves'!AQ57</f>
        <v>0</v>
      </c>
      <c r="AA66" s="241" t="n">
        <f aca="false">'Int Curves'!AR57</f>
        <v>0</v>
      </c>
      <c r="AB66" s="241" t="n">
        <f aca="false">'Int Curves'!AS57</f>
        <v>0</v>
      </c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  <c r="AZ66" s="237"/>
      <c r="BA66" s="237"/>
      <c r="BB66" s="237"/>
      <c r="BC66" s="237"/>
      <c r="BD66" s="237"/>
      <c r="BE66" s="237"/>
      <c r="BF66" s="237"/>
      <c r="BG66" s="237"/>
      <c r="BH66" s="237"/>
      <c r="BI66" s="237"/>
      <c r="BJ66" s="237"/>
      <c r="BK66" s="237"/>
      <c r="BL66" s="237"/>
      <c r="BM66" s="237"/>
      <c r="BN66" s="237"/>
      <c r="BO66" s="237"/>
      <c r="BP66" s="237"/>
      <c r="BQ66" s="237"/>
      <c r="BR66" s="237"/>
      <c r="BS66" s="237"/>
      <c r="BT66" s="237"/>
      <c r="BU66" s="237"/>
      <c r="BV66" s="237"/>
      <c r="BW66" s="237"/>
      <c r="BX66" s="237"/>
      <c r="BY66" s="237"/>
      <c r="BZ66" s="237"/>
      <c r="CA66" s="237"/>
      <c r="CB66" s="237"/>
      <c r="CC66" s="237"/>
      <c r="CD66" s="237"/>
      <c r="CE66" s="237"/>
      <c r="CF66" s="237"/>
      <c r="CG66" s="237"/>
      <c r="CH66" s="237"/>
      <c r="CI66" s="237"/>
      <c r="CJ66" s="237"/>
      <c r="CK66" s="237"/>
      <c r="CL66" s="237"/>
      <c r="CM66" s="237"/>
      <c r="CN66" s="237"/>
      <c r="CO66" s="237"/>
      <c r="CP66" s="237"/>
      <c r="CQ66" s="237"/>
      <c r="CR66" s="237"/>
      <c r="CS66" s="237"/>
      <c r="CT66" s="237"/>
      <c r="CU66" s="237"/>
      <c r="CV66" s="237"/>
      <c r="CW66" s="237"/>
      <c r="CX66" s="237"/>
      <c r="CY66" s="237"/>
      <c r="CZ66" s="237"/>
      <c r="DA66" s="237"/>
      <c r="DB66" s="237"/>
      <c r="DC66" s="237"/>
      <c r="DD66" s="237"/>
      <c r="DE66" s="237"/>
      <c r="DF66" s="237"/>
      <c r="DG66" s="237"/>
      <c r="DH66" s="237"/>
      <c r="DI66" s="237"/>
      <c r="DJ66" s="237"/>
      <c r="DK66" s="237"/>
      <c r="DL66" s="237"/>
      <c r="DM66" s="237"/>
      <c r="DN66" s="237"/>
      <c r="DO66" s="237"/>
      <c r="DP66" s="237"/>
      <c r="DQ66" s="237"/>
      <c r="DR66" s="237"/>
      <c r="DS66" s="237"/>
      <c r="DT66" s="237"/>
      <c r="DU66" s="237"/>
      <c r="DV66" s="237"/>
      <c r="DW66" s="237"/>
      <c r="DX66" s="237"/>
      <c r="DY66" s="237"/>
      <c r="DZ66" s="237"/>
      <c r="EA66" s="237"/>
      <c r="EB66" s="237"/>
      <c r="EC66" s="237"/>
      <c r="ED66" s="237"/>
      <c r="EE66" s="237"/>
      <c r="EF66" s="237"/>
      <c r="EG66" s="237"/>
      <c r="EH66" s="237"/>
      <c r="EI66" s="237"/>
      <c r="EJ66" s="237"/>
      <c r="EK66" s="237"/>
      <c r="EL66" s="237"/>
      <c r="EM66" s="237"/>
      <c r="EN66" s="237"/>
      <c r="EO66" s="237"/>
      <c r="EP66" s="237"/>
      <c r="EQ66" s="237"/>
      <c r="ER66" s="237"/>
      <c r="ES66" s="237"/>
      <c r="ET66" s="237"/>
      <c r="EU66" s="237"/>
      <c r="EV66" s="237"/>
      <c r="EW66" s="237"/>
      <c r="EX66" s="237"/>
      <c r="EY66" s="237"/>
      <c r="EZ66" s="237"/>
      <c r="FA66" s="237"/>
      <c r="FB66" s="237"/>
      <c r="FC66" s="237"/>
      <c r="FD66" s="237"/>
      <c r="FE66" s="237"/>
      <c r="FF66" s="237"/>
      <c r="FG66" s="237"/>
      <c r="FH66" s="237"/>
      <c r="FI66" s="237"/>
      <c r="FJ66" s="237"/>
      <c r="FK66" s="237"/>
      <c r="FL66" s="237"/>
      <c r="FM66" s="237"/>
      <c r="FN66" s="237"/>
      <c r="FO66" s="237"/>
      <c r="FP66" s="237"/>
      <c r="FQ66" s="237"/>
      <c r="FR66" s="237"/>
      <c r="FS66" s="237"/>
      <c r="FT66" s="237"/>
      <c r="FU66" s="237"/>
      <c r="FV66" s="237"/>
      <c r="FW66" s="237"/>
      <c r="FX66" s="237"/>
      <c r="FY66" s="237"/>
      <c r="FZ66" s="237"/>
      <c r="GA66" s="237"/>
      <c r="GB66" s="237"/>
      <c r="GC66" s="237"/>
      <c r="GD66" s="237"/>
      <c r="GE66" s="237"/>
      <c r="GF66" s="237"/>
      <c r="GG66" s="237"/>
      <c r="GH66" s="237"/>
      <c r="GI66" s="237"/>
      <c r="GJ66" s="237"/>
      <c r="GK66" s="237"/>
      <c r="GL66" s="237"/>
      <c r="GM66" s="237"/>
      <c r="GN66" s="237"/>
      <c r="GO66" s="237"/>
      <c r="GP66" s="237"/>
      <c r="GQ66" s="237"/>
      <c r="GR66" s="237"/>
      <c r="GS66" s="237"/>
      <c r="GT66" s="237"/>
      <c r="GU66" s="237"/>
      <c r="GV66" s="237"/>
      <c r="GW66" s="237"/>
      <c r="GX66" s="237"/>
      <c r="GY66" s="237"/>
      <c r="GZ66" s="237"/>
      <c r="HA66" s="237"/>
      <c r="HB66" s="237"/>
      <c r="HC66" s="237"/>
      <c r="HD66" s="237"/>
      <c r="HE66" s="237"/>
      <c r="HF66" s="237"/>
      <c r="HG66" s="237"/>
      <c r="HH66" s="237"/>
      <c r="HI66" s="237"/>
      <c r="HJ66" s="237"/>
      <c r="HK66" s="237"/>
      <c r="HL66" s="237"/>
      <c r="HM66" s="237"/>
      <c r="HN66" s="237"/>
      <c r="HO66" s="237"/>
      <c r="HP66" s="237"/>
      <c r="HQ66" s="237"/>
      <c r="HR66" s="237"/>
      <c r="HS66" s="237"/>
      <c r="HT66" s="237"/>
      <c r="HU66" s="237"/>
      <c r="HV66" s="237"/>
      <c r="HW66" s="237"/>
      <c r="HX66" s="237"/>
      <c r="HY66" s="237"/>
      <c r="HZ66" s="237"/>
      <c r="IA66" s="237"/>
      <c r="IB66" s="237"/>
      <c r="IC66" s="237"/>
      <c r="ID66" s="237"/>
      <c r="IE66" s="237"/>
      <c r="IF66" s="237"/>
      <c r="IG66" s="237"/>
      <c r="IH66" s="237"/>
      <c r="II66" s="237"/>
      <c r="IJ66" s="237"/>
      <c r="IK66" s="237"/>
      <c r="IL66" s="237"/>
      <c r="IM66" s="237"/>
      <c r="IN66" s="237"/>
      <c r="IO66" s="237"/>
      <c r="IP66" s="237"/>
      <c r="IQ66" s="237"/>
      <c r="IR66" s="237"/>
      <c r="IS66" s="237"/>
      <c r="IT66" s="237"/>
      <c r="IU66" s="237"/>
      <c r="IV66" s="237"/>
      <c r="IW66" s="237"/>
    </row>
    <row r="67" customFormat="false" ht="12.75" hidden="true" customHeight="false" outlineLevel="0" collapsed="false">
      <c r="A67" s="237"/>
      <c r="B67" s="238"/>
      <c r="C67" s="241" t="n">
        <f aca="false">'Int Curves'!T58</f>
        <v>0</v>
      </c>
      <c r="D67" s="241" t="n">
        <f aca="false">'Int Curves'!U58</f>
        <v>0</v>
      </c>
      <c r="E67" s="241" t="n">
        <f aca="false">'Int Curves'!V58</f>
        <v>0</v>
      </c>
      <c r="F67" s="241" t="n">
        <f aca="false">'Int Curves'!W58</f>
        <v>0</v>
      </c>
      <c r="G67" s="241" t="n">
        <f aca="false">'Int Curves'!X58</f>
        <v>0</v>
      </c>
      <c r="H67" s="241" t="n">
        <f aca="false">'Int Curves'!Y58</f>
        <v>0</v>
      </c>
      <c r="I67" s="241" t="n">
        <f aca="false">'Int Curves'!Z58</f>
        <v>0</v>
      </c>
      <c r="J67" s="241" t="n">
        <f aca="false">'Int Curves'!AA58</f>
        <v>0</v>
      </c>
      <c r="K67" s="241" t="n">
        <f aca="false">'Int Curves'!AB58</f>
        <v>0</v>
      </c>
      <c r="L67" s="241" t="n">
        <f aca="false">'Int Curves'!AC58</f>
        <v>0</v>
      </c>
      <c r="M67" s="241" t="n">
        <f aca="false">'Int Curves'!AD58</f>
        <v>0</v>
      </c>
      <c r="N67" s="241" t="n">
        <f aca="false">'Int Curves'!AE58</f>
        <v>0</v>
      </c>
      <c r="O67" s="241" t="n">
        <f aca="false">'Int Curves'!AF58</f>
        <v>0</v>
      </c>
      <c r="P67" s="241" t="n">
        <f aca="false">'Int Curves'!AG58</f>
        <v>0</v>
      </c>
      <c r="Q67" s="241" t="n">
        <f aca="false">'Int Curves'!AH58</f>
        <v>0</v>
      </c>
      <c r="R67" s="241" t="n">
        <f aca="false">'Int Curves'!AI58</f>
        <v>0</v>
      </c>
      <c r="S67" s="241" t="n">
        <f aca="false">'Int Curves'!AJ58</f>
        <v>0</v>
      </c>
      <c r="T67" s="241" t="n">
        <f aca="false">'Int Curves'!AK58</f>
        <v>0</v>
      </c>
      <c r="U67" s="241" t="n">
        <f aca="false">'Int Curves'!AL58</f>
        <v>0</v>
      </c>
      <c r="V67" s="241" t="n">
        <f aca="false">'Int Curves'!AM58</f>
        <v>0</v>
      </c>
      <c r="W67" s="241" t="n">
        <f aca="false">'Int Curves'!AN58</f>
        <v>0</v>
      </c>
      <c r="X67" s="241" t="n">
        <f aca="false">'Int Curves'!AO58</f>
        <v>0</v>
      </c>
      <c r="Y67" s="241" t="n">
        <f aca="false">'Int Curves'!AP58</f>
        <v>0</v>
      </c>
      <c r="Z67" s="241" t="n">
        <f aca="false">'Int Curves'!AQ58</f>
        <v>0</v>
      </c>
      <c r="AA67" s="241" t="n">
        <f aca="false">'Int Curves'!AR58</f>
        <v>0</v>
      </c>
      <c r="AB67" s="241" t="n">
        <f aca="false">'Int Curves'!AS58</f>
        <v>0</v>
      </c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  <c r="AZ67" s="237"/>
      <c r="BA67" s="237"/>
      <c r="BB67" s="237"/>
      <c r="BC67" s="237"/>
      <c r="BD67" s="237"/>
      <c r="BE67" s="237"/>
      <c r="BF67" s="237"/>
      <c r="BG67" s="237"/>
      <c r="BH67" s="237"/>
      <c r="BI67" s="237"/>
      <c r="BJ67" s="237"/>
      <c r="BK67" s="237"/>
      <c r="BL67" s="237"/>
      <c r="BM67" s="237"/>
      <c r="BN67" s="237"/>
      <c r="BO67" s="237"/>
      <c r="BP67" s="237"/>
      <c r="BQ67" s="237"/>
      <c r="BR67" s="237"/>
      <c r="BS67" s="237"/>
      <c r="BT67" s="237"/>
      <c r="BU67" s="237"/>
      <c r="BV67" s="237"/>
      <c r="BW67" s="237"/>
      <c r="BX67" s="237"/>
      <c r="BY67" s="237"/>
      <c r="BZ67" s="237"/>
      <c r="CA67" s="237"/>
      <c r="CB67" s="237"/>
      <c r="CC67" s="237"/>
      <c r="CD67" s="237"/>
      <c r="CE67" s="237"/>
      <c r="CF67" s="237"/>
      <c r="CG67" s="237"/>
      <c r="CH67" s="237"/>
      <c r="CI67" s="237"/>
      <c r="CJ67" s="237"/>
      <c r="CK67" s="237"/>
      <c r="CL67" s="237"/>
      <c r="CM67" s="237"/>
      <c r="CN67" s="237"/>
      <c r="CO67" s="237"/>
      <c r="CP67" s="237"/>
      <c r="CQ67" s="237"/>
      <c r="CR67" s="237"/>
      <c r="CS67" s="237"/>
      <c r="CT67" s="237"/>
      <c r="CU67" s="237"/>
      <c r="CV67" s="237"/>
      <c r="CW67" s="237"/>
      <c r="CX67" s="237"/>
      <c r="CY67" s="237"/>
      <c r="CZ67" s="237"/>
      <c r="DA67" s="237"/>
      <c r="DB67" s="237"/>
      <c r="DC67" s="237"/>
      <c r="DD67" s="237"/>
      <c r="DE67" s="237"/>
      <c r="DF67" s="237"/>
      <c r="DG67" s="237"/>
      <c r="DH67" s="237"/>
      <c r="DI67" s="237"/>
      <c r="DJ67" s="237"/>
      <c r="DK67" s="237"/>
      <c r="DL67" s="237"/>
      <c r="DM67" s="237"/>
      <c r="DN67" s="237"/>
      <c r="DO67" s="237"/>
      <c r="DP67" s="237"/>
      <c r="DQ67" s="237"/>
      <c r="DR67" s="237"/>
      <c r="DS67" s="237"/>
      <c r="DT67" s="237"/>
      <c r="DU67" s="237"/>
      <c r="DV67" s="237"/>
      <c r="DW67" s="237"/>
      <c r="DX67" s="237"/>
      <c r="DY67" s="237"/>
      <c r="DZ67" s="237"/>
      <c r="EA67" s="237"/>
      <c r="EB67" s="237"/>
      <c r="EC67" s="237"/>
      <c r="ED67" s="237"/>
      <c r="EE67" s="237"/>
      <c r="EF67" s="237"/>
      <c r="EG67" s="237"/>
      <c r="EH67" s="237"/>
      <c r="EI67" s="237"/>
      <c r="EJ67" s="237"/>
      <c r="EK67" s="237"/>
      <c r="EL67" s="237"/>
      <c r="EM67" s="237"/>
      <c r="EN67" s="237"/>
      <c r="EO67" s="237"/>
      <c r="EP67" s="237"/>
      <c r="EQ67" s="237"/>
      <c r="ER67" s="237"/>
      <c r="ES67" s="237"/>
      <c r="ET67" s="237"/>
      <c r="EU67" s="237"/>
      <c r="EV67" s="237"/>
      <c r="EW67" s="237"/>
      <c r="EX67" s="237"/>
      <c r="EY67" s="237"/>
      <c r="EZ67" s="237"/>
      <c r="FA67" s="237"/>
      <c r="FB67" s="237"/>
      <c r="FC67" s="237"/>
      <c r="FD67" s="237"/>
      <c r="FE67" s="237"/>
      <c r="FF67" s="237"/>
      <c r="FG67" s="237"/>
      <c r="FH67" s="237"/>
      <c r="FI67" s="237"/>
      <c r="FJ67" s="237"/>
      <c r="FK67" s="237"/>
      <c r="FL67" s="237"/>
      <c r="FM67" s="237"/>
      <c r="FN67" s="237"/>
      <c r="FO67" s="237"/>
      <c r="FP67" s="237"/>
      <c r="FQ67" s="237"/>
      <c r="FR67" s="237"/>
      <c r="FS67" s="237"/>
      <c r="FT67" s="237"/>
      <c r="FU67" s="237"/>
      <c r="FV67" s="237"/>
      <c r="FW67" s="237"/>
      <c r="FX67" s="237"/>
      <c r="FY67" s="237"/>
      <c r="FZ67" s="237"/>
      <c r="GA67" s="237"/>
      <c r="GB67" s="237"/>
      <c r="GC67" s="237"/>
      <c r="GD67" s="237"/>
      <c r="GE67" s="237"/>
      <c r="GF67" s="237"/>
      <c r="GG67" s="237"/>
      <c r="GH67" s="237"/>
      <c r="GI67" s="237"/>
      <c r="GJ67" s="237"/>
      <c r="GK67" s="237"/>
      <c r="GL67" s="237"/>
      <c r="GM67" s="237"/>
      <c r="GN67" s="237"/>
      <c r="GO67" s="237"/>
      <c r="GP67" s="237"/>
      <c r="GQ67" s="237"/>
      <c r="GR67" s="237"/>
      <c r="GS67" s="237"/>
      <c r="GT67" s="237"/>
      <c r="GU67" s="237"/>
      <c r="GV67" s="237"/>
      <c r="GW67" s="237"/>
      <c r="GX67" s="237"/>
      <c r="GY67" s="237"/>
      <c r="GZ67" s="237"/>
      <c r="HA67" s="237"/>
      <c r="HB67" s="237"/>
      <c r="HC67" s="237"/>
      <c r="HD67" s="237"/>
      <c r="HE67" s="237"/>
      <c r="HF67" s="237"/>
      <c r="HG67" s="237"/>
      <c r="HH67" s="237"/>
      <c r="HI67" s="237"/>
      <c r="HJ67" s="237"/>
      <c r="HK67" s="237"/>
      <c r="HL67" s="237"/>
      <c r="HM67" s="237"/>
      <c r="HN67" s="237"/>
      <c r="HO67" s="237"/>
      <c r="HP67" s="237"/>
      <c r="HQ67" s="237"/>
      <c r="HR67" s="237"/>
      <c r="HS67" s="237"/>
      <c r="HT67" s="237"/>
      <c r="HU67" s="237"/>
      <c r="HV67" s="237"/>
      <c r="HW67" s="237"/>
      <c r="HX67" s="237"/>
      <c r="HY67" s="237"/>
      <c r="HZ67" s="237"/>
      <c r="IA67" s="237"/>
      <c r="IB67" s="237"/>
      <c r="IC67" s="237"/>
      <c r="ID67" s="237"/>
      <c r="IE67" s="237"/>
      <c r="IF67" s="237"/>
      <c r="IG67" s="237"/>
      <c r="IH67" s="237"/>
      <c r="II67" s="237"/>
      <c r="IJ67" s="237"/>
      <c r="IK67" s="237"/>
      <c r="IL67" s="237"/>
      <c r="IM67" s="237"/>
      <c r="IN67" s="237"/>
      <c r="IO67" s="237"/>
      <c r="IP67" s="237"/>
      <c r="IQ67" s="237"/>
      <c r="IR67" s="237"/>
      <c r="IS67" s="237"/>
      <c r="IT67" s="237"/>
      <c r="IU67" s="237"/>
      <c r="IV67" s="237"/>
      <c r="IW67" s="237"/>
    </row>
    <row r="68" customFormat="false" ht="11.25" hidden="false" customHeight="false" outlineLevel="0" collapsed="false">
      <c r="A68" s="237"/>
      <c r="B68" s="242" t="s">
        <v>188</v>
      </c>
      <c r="C68" s="243"/>
      <c r="D68" s="243"/>
      <c r="E68" s="243"/>
      <c r="F68" s="243"/>
      <c r="G68" s="243" t="n">
        <v>1</v>
      </c>
      <c r="H68" s="243" t="n">
        <f aca="false">G68+1</f>
        <v>2</v>
      </c>
      <c r="I68" s="243" t="n">
        <f aca="false">H68+1</f>
        <v>3</v>
      </c>
      <c r="J68" s="243" t="n">
        <f aca="false">I68+1</f>
        <v>4</v>
      </c>
      <c r="K68" s="243" t="n">
        <f aca="false">J68+1</f>
        <v>5</v>
      </c>
      <c r="L68" s="243" t="n">
        <f aca="false">K68+1</f>
        <v>6</v>
      </c>
      <c r="M68" s="243" t="n">
        <f aca="false">L68+1</f>
        <v>7</v>
      </c>
      <c r="N68" s="243" t="n">
        <f aca="false">M68+1</f>
        <v>8</v>
      </c>
      <c r="O68" s="243" t="n">
        <f aca="false">N68+1</f>
        <v>9</v>
      </c>
      <c r="P68" s="243" t="n">
        <f aca="false">O68+1</f>
        <v>10</v>
      </c>
      <c r="Q68" s="243" t="n">
        <f aca="false">P68+1</f>
        <v>11</v>
      </c>
      <c r="R68" s="243" t="n">
        <f aca="false">Q68+1</f>
        <v>12</v>
      </c>
      <c r="S68" s="243" t="n">
        <f aca="false">R68+1</f>
        <v>13</v>
      </c>
      <c r="T68" s="243" t="n">
        <f aca="false">S68+1</f>
        <v>14</v>
      </c>
      <c r="U68" s="243" t="n">
        <f aca="false">T68+1</f>
        <v>15</v>
      </c>
      <c r="V68" s="243" t="n">
        <f aca="false">U68+1</f>
        <v>16</v>
      </c>
      <c r="W68" s="243" t="n">
        <f aca="false">V68+1</f>
        <v>17</v>
      </c>
      <c r="X68" s="243" t="n">
        <f aca="false">W68+1</f>
        <v>18</v>
      </c>
      <c r="Y68" s="243" t="n">
        <f aca="false">X68+1</f>
        <v>19</v>
      </c>
      <c r="Z68" s="243" t="n">
        <f aca="false">Y68+1</f>
        <v>20</v>
      </c>
      <c r="AA68" s="243" t="n">
        <f aca="false">Z68+1</f>
        <v>21</v>
      </c>
      <c r="AB68" s="243" t="n">
        <f aca="false">AA68+1</f>
        <v>22</v>
      </c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  <c r="AZ68" s="237"/>
      <c r="BA68" s="237"/>
      <c r="BB68" s="237"/>
      <c r="BC68" s="237"/>
      <c r="BD68" s="237"/>
      <c r="BE68" s="237"/>
      <c r="BF68" s="237"/>
      <c r="BG68" s="237"/>
      <c r="BH68" s="237"/>
      <c r="BI68" s="237"/>
      <c r="BJ68" s="237"/>
      <c r="BK68" s="237"/>
      <c r="BL68" s="237"/>
      <c r="BM68" s="237"/>
      <c r="BN68" s="237"/>
      <c r="BO68" s="237"/>
      <c r="BP68" s="237"/>
      <c r="BQ68" s="237"/>
      <c r="BR68" s="237"/>
      <c r="BS68" s="237"/>
      <c r="BT68" s="237"/>
      <c r="BU68" s="237"/>
      <c r="BV68" s="237"/>
      <c r="BW68" s="237"/>
      <c r="BX68" s="237"/>
      <c r="BY68" s="237"/>
      <c r="BZ68" s="237"/>
      <c r="CA68" s="237"/>
      <c r="CB68" s="237"/>
      <c r="CC68" s="237"/>
      <c r="CD68" s="237"/>
      <c r="CE68" s="237"/>
      <c r="CF68" s="237"/>
      <c r="CG68" s="237"/>
      <c r="CH68" s="237"/>
      <c r="CI68" s="237"/>
      <c r="CJ68" s="237"/>
      <c r="CK68" s="237"/>
      <c r="CL68" s="237"/>
      <c r="CM68" s="237"/>
      <c r="CN68" s="237"/>
      <c r="CO68" s="237"/>
      <c r="CP68" s="237"/>
      <c r="CQ68" s="237"/>
      <c r="CR68" s="237"/>
      <c r="CS68" s="237"/>
      <c r="CT68" s="237"/>
      <c r="CU68" s="237"/>
      <c r="CV68" s="237"/>
      <c r="CW68" s="237"/>
      <c r="CX68" s="237"/>
      <c r="CY68" s="237"/>
      <c r="CZ68" s="237"/>
      <c r="DA68" s="237"/>
      <c r="DB68" s="237"/>
      <c r="DC68" s="237"/>
      <c r="DD68" s="237"/>
      <c r="DE68" s="237"/>
      <c r="DF68" s="237"/>
      <c r="DG68" s="237"/>
      <c r="DH68" s="237"/>
      <c r="DI68" s="237"/>
      <c r="DJ68" s="237"/>
      <c r="DK68" s="237"/>
      <c r="DL68" s="237"/>
      <c r="DM68" s="237"/>
      <c r="DN68" s="237"/>
      <c r="DO68" s="237"/>
      <c r="DP68" s="237"/>
      <c r="DQ68" s="237"/>
      <c r="DR68" s="237"/>
      <c r="DS68" s="237"/>
      <c r="DT68" s="237"/>
      <c r="DU68" s="237"/>
      <c r="DV68" s="237"/>
      <c r="DW68" s="237"/>
      <c r="DX68" s="237"/>
      <c r="DY68" s="237"/>
      <c r="DZ68" s="237"/>
      <c r="EA68" s="237"/>
      <c r="EB68" s="237"/>
      <c r="EC68" s="237"/>
      <c r="ED68" s="237"/>
      <c r="EE68" s="237"/>
      <c r="EF68" s="237"/>
      <c r="EG68" s="237"/>
      <c r="EH68" s="237"/>
      <c r="EI68" s="237"/>
      <c r="EJ68" s="237"/>
      <c r="EK68" s="237"/>
      <c r="EL68" s="237"/>
      <c r="EM68" s="237"/>
      <c r="EN68" s="237"/>
      <c r="EO68" s="237"/>
      <c r="EP68" s="237"/>
      <c r="EQ68" s="237"/>
      <c r="ER68" s="237"/>
      <c r="ES68" s="237"/>
      <c r="ET68" s="237"/>
      <c r="EU68" s="237"/>
      <c r="EV68" s="237"/>
      <c r="EW68" s="237"/>
      <c r="EX68" s="237"/>
      <c r="EY68" s="237"/>
      <c r="EZ68" s="237"/>
      <c r="FA68" s="237"/>
      <c r="FB68" s="237"/>
      <c r="FC68" s="237"/>
      <c r="FD68" s="237"/>
      <c r="FE68" s="237"/>
      <c r="FF68" s="237"/>
      <c r="FG68" s="237"/>
      <c r="FH68" s="237"/>
      <c r="FI68" s="237"/>
      <c r="FJ68" s="237"/>
      <c r="FK68" s="237"/>
      <c r="FL68" s="237"/>
      <c r="FM68" s="237"/>
      <c r="FN68" s="237"/>
      <c r="FO68" s="237"/>
      <c r="FP68" s="237"/>
      <c r="FQ68" s="237"/>
      <c r="FR68" s="237"/>
      <c r="FS68" s="237"/>
      <c r="FT68" s="237"/>
      <c r="FU68" s="237"/>
      <c r="FV68" s="237"/>
      <c r="FW68" s="237"/>
      <c r="FX68" s="237"/>
      <c r="FY68" s="237"/>
      <c r="FZ68" s="237"/>
      <c r="GA68" s="237"/>
      <c r="GB68" s="237"/>
      <c r="GC68" s="237"/>
      <c r="GD68" s="237"/>
      <c r="GE68" s="237"/>
      <c r="GF68" s="237"/>
      <c r="GG68" s="237"/>
      <c r="GH68" s="237"/>
      <c r="GI68" s="237"/>
      <c r="GJ68" s="237"/>
      <c r="GK68" s="237"/>
      <c r="GL68" s="237"/>
      <c r="GM68" s="237"/>
      <c r="GN68" s="237"/>
      <c r="GO68" s="237"/>
      <c r="GP68" s="237"/>
      <c r="GQ68" s="237"/>
      <c r="GR68" s="237"/>
      <c r="GS68" s="237"/>
      <c r="GT68" s="237"/>
      <c r="GU68" s="237"/>
      <c r="GV68" s="237"/>
      <c r="GW68" s="237"/>
      <c r="GX68" s="237"/>
      <c r="GY68" s="237"/>
      <c r="GZ68" s="237"/>
      <c r="HA68" s="237"/>
      <c r="HB68" s="237"/>
      <c r="HC68" s="237"/>
      <c r="HD68" s="237"/>
      <c r="HE68" s="237"/>
      <c r="HF68" s="237"/>
      <c r="HG68" s="237"/>
      <c r="HH68" s="237"/>
      <c r="HI68" s="237"/>
      <c r="HJ68" s="237"/>
      <c r="HK68" s="237"/>
      <c r="HL68" s="237"/>
      <c r="HM68" s="237"/>
      <c r="HN68" s="237"/>
      <c r="HO68" s="237"/>
      <c r="HP68" s="237"/>
      <c r="HQ68" s="237"/>
      <c r="HR68" s="237"/>
      <c r="HS68" s="237"/>
      <c r="HT68" s="237"/>
      <c r="HU68" s="237"/>
      <c r="HV68" s="237"/>
      <c r="HW68" s="237"/>
      <c r="HX68" s="237"/>
      <c r="HY68" s="237"/>
      <c r="HZ68" s="237"/>
      <c r="IA68" s="237"/>
      <c r="IB68" s="237"/>
      <c r="IC68" s="237"/>
      <c r="ID68" s="237"/>
      <c r="IE68" s="237"/>
      <c r="IF68" s="237"/>
      <c r="IG68" s="237"/>
      <c r="IH68" s="237"/>
      <c r="II68" s="237"/>
      <c r="IJ68" s="237"/>
      <c r="IK68" s="237"/>
      <c r="IL68" s="237"/>
      <c r="IM68" s="237"/>
      <c r="IN68" s="237"/>
      <c r="IO68" s="237"/>
      <c r="IP68" s="237"/>
      <c r="IQ68" s="237"/>
      <c r="IR68" s="237"/>
      <c r="IS68" s="237"/>
      <c r="IT68" s="237"/>
      <c r="IU68" s="237"/>
      <c r="IV68" s="237"/>
      <c r="IW68" s="237"/>
    </row>
    <row r="69" customFormat="false" ht="11.25" hidden="false" customHeight="false" outlineLevel="0" collapsed="false">
      <c r="A69" s="237"/>
      <c r="B69" s="246" t="s">
        <v>190</v>
      </c>
      <c r="C69" s="247" t="n">
        <f aca="false">INDEX(InterestRateCurve,MATCH(C$14,'Int Curves'!$L:$L,0),MATCH("Semi Annual Calculation",'Int Curves'!$L$3:$M$3,0))</f>
        <v>0.0533661601707364</v>
      </c>
      <c r="D69" s="247" t="n">
        <f aca="false">INDEX(InterestRateCurve,MATCH(D$14,'Int Curves'!$L:$L,0),MATCH("Semi Annual Calculation",'Int Curves'!$L$3:$M$3,0))</f>
        <v>0.059734105576137</v>
      </c>
      <c r="E69" s="247" t="n">
        <f aca="false">INDEX(InterestRateCurve,MATCH(E$14,'Int Curves'!$L:$L,0),MATCH("Semi Annual Calculation",'Int Curves'!$L$3:$M$3,0))</f>
        <v>0.0620639234273657</v>
      </c>
      <c r="F69" s="247" t="n">
        <f aca="false">INDEX(InterestRateCurve,MATCH(F$14,'Int Curves'!$L:$L,0),MATCH("Semi Annual Calculation",'Int Curves'!$L$3:$M$3,0))</f>
        <v>0.0632375293197494</v>
      </c>
      <c r="G69" s="247" t="n">
        <f aca="false">INDEX(InterestRateCurve,MATCH(G$14,'Int Curves'!$L:$L,0),MATCH("Semi Annual Calculation",'Int Curves'!$L$3:$M$3,0))</f>
        <v>0.0635405307533816</v>
      </c>
      <c r="H69" s="247" t="n">
        <f aca="false">INDEX(InterestRateCurve,MATCH(H$14,'Int Curves'!$L:$L,0),MATCH("Semi Annual Calculation",'Int Curves'!$L$3:$M$3,0))</f>
        <v>0.0637652499174573</v>
      </c>
      <c r="I69" s="247" t="n">
        <f aca="false">INDEX(InterestRateCurve,MATCH(I$14,'Int Curves'!$L:$L,0),MATCH("Semi Annual Calculation",'Int Curves'!$L$3:$M$3,0))</f>
        <v>0.0638603690046642</v>
      </c>
      <c r="J69" s="247" t="n">
        <f aca="false">INDEX(InterestRateCurve,MATCH(J$14,'Int Curves'!$L:$L,0),MATCH("Semi Annual Calculation",'Int Curves'!$L$3:$M$3,0))</f>
        <v>0.0639439583903673</v>
      </c>
      <c r="K69" s="247" t="n">
        <f aca="false">INDEX(InterestRateCurve,MATCH(K$14,'Int Curves'!$L:$L,0),MATCH("Semi Annual Calculation",'Int Curves'!$L$3:$M$3,0))</f>
        <v>0.0640277004530715</v>
      </c>
      <c r="L69" s="247" t="n">
        <f aca="false">INDEX(InterestRateCurve,MATCH(L$14,'Int Curves'!$L:$L,0),MATCH("Semi Annual Calculation",'Int Curves'!$L$3:$M$3,0))</f>
        <v>0.0641113661807567</v>
      </c>
      <c r="M69" s="247" t="n">
        <f aca="false">INDEX(InterestRateCurve,MATCH(M$14,'Int Curves'!$L:$L,0),MATCH("Semi Annual Calculation",'Int Curves'!$L$3:$M$3,0))</f>
        <v>0.0641973003990201</v>
      </c>
      <c r="N69" s="247" t="n">
        <f aca="false">INDEX(InterestRateCurve,MATCH(N$14,'Int Curves'!$L:$L,0),MATCH("Semi Annual Calculation",'Int Curves'!$L$3:$M$3,0))</f>
        <v>0.0643282318244424</v>
      </c>
      <c r="O69" s="247" t="n">
        <f aca="false">INDEX(InterestRateCurve,MATCH(O$14,'Int Curves'!$L:$L,0),MATCH("Semi Annual Calculation",'Int Curves'!$L$3:$M$3,0))</f>
        <v>0.0644634193753739</v>
      </c>
      <c r="P69" s="247" t="n">
        <f aca="false">INDEX(InterestRateCurve,MATCH(P$14,'Int Curves'!$L:$L,0),MATCH("Semi Annual Calculation",'Int Curves'!$L$3:$M$3,0))</f>
        <v>0.0645984836984888</v>
      </c>
      <c r="Q69" s="247" t="n">
        <f aca="false">INDEX(InterestRateCurve,MATCH(Q$14,'Int Curves'!$L:$L,0),MATCH("Semi Annual Calculation",'Int Curves'!$L$3:$M$3,0))</f>
        <v>0.0647334247937723</v>
      </c>
      <c r="R69" s="247" t="n">
        <f aca="false">INDEX(InterestRateCurve,MATCH(R$14,'Int Curves'!$L:$L,0),MATCH("Semi Annual Calculation",'Int Curves'!$L$3:$M$3,0))</f>
        <v>0.0648576562850886</v>
      </c>
      <c r="S69" s="247" t="n">
        <f aca="false">INDEX(InterestRateCurve,MATCH(S$14,'Int Curves'!$L:$L,0),MATCH("Semi Annual Calculation",'Int Curves'!$L$3:$M$3,0))</f>
        <v>0.0647878457578243</v>
      </c>
      <c r="T69" s="247" t="n">
        <f aca="false">INDEX(InterestRateCurve,MATCH(T$14,'Int Curves'!$L:$L,0),MATCH("Semi Annual Calculation",'Int Curves'!$L$3:$M$3,0))</f>
        <v>0.0647014434479597</v>
      </c>
      <c r="U69" s="247" t="n">
        <f aca="false">INDEX(InterestRateCurve,MATCH(U$14,'Int Curves'!$L:$L,0),MATCH("Semi Annual Calculation",'Int Curves'!$L$3:$M$3,0))</f>
        <v>0.0646151199747913</v>
      </c>
      <c r="V69" s="247" t="n">
        <f aca="false">INDEX(InterestRateCurve,MATCH(V$14,'Int Curves'!$L:$L,0),MATCH("Semi Annual Calculation",'Int Curves'!$L$3:$M$3,0))</f>
        <v>0.0645287965040933</v>
      </c>
      <c r="W69" s="247" t="n">
        <f aca="false">INDEX(InterestRateCurve,MATCH(W$14,'Int Curves'!$L:$L,0),MATCH("Semi Annual Calculation",'Int Curves'!$L$3:$M$3,0))</f>
        <v>0.0644347957871349</v>
      </c>
      <c r="X69" s="247" t="n">
        <f aca="false">INDEX(InterestRateCurve,MATCH(X$14,'Int Curves'!$L:$L,0),MATCH("Semi Annual Calculation",'Int Curves'!$L$3:$M$3,0))</f>
        <v>0.0642047411346692</v>
      </c>
      <c r="Y69" s="247" t="n">
        <f aca="false">INDEX(InterestRateCurve,MATCH(Y$14,'Int Curves'!$L:$L,0),MATCH("Semi Annual Calculation",'Int Curves'!$L$3:$M$3,0))</f>
        <v>0.0639630603285137</v>
      </c>
      <c r="Z69" s="247" t="n">
        <f aca="false">INDEX(InterestRateCurve,MATCH(Z$14,'Int Curves'!$L:$L,0),MATCH("Semi Annual Calculation",'Int Curves'!$L$3:$M$3,0))</f>
        <v>0.0637213795417279</v>
      </c>
      <c r="AA69" s="247" t="n">
        <f aca="false">INDEX(InterestRateCurve,MATCH(AA$14,'Int Curves'!$L:$L,0),MATCH("Semi Annual Calculation",'Int Curves'!$L$3:$M$3,0))</f>
        <v>0.0634792573482762</v>
      </c>
      <c r="AB69" s="247" t="n">
        <f aca="false">INDEX(InterestRateCurve,MATCH(AB$14,'Int Curves'!$L:$L,0),MATCH("Semi Annual Calculation",'Int Curves'!$L$3:$M$3,0))</f>
        <v>0.0632373558872669</v>
      </c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  <c r="AZ69" s="237"/>
      <c r="BA69" s="237"/>
      <c r="BB69" s="237"/>
      <c r="BC69" s="237"/>
      <c r="BD69" s="237"/>
      <c r="BE69" s="237"/>
      <c r="BF69" s="237"/>
      <c r="BG69" s="237"/>
      <c r="BH69" s="237"/>
      <c r="BI69" s="237"/>
      <c r="BJ69" s="237"/>
      <c r="BK69" s="237"/>
      <c r="BL69" s="237"/>
      <c r="BM69" s="237"/>
      <c r="BN69" s="237"/>
      <c r="BO69" s="237"/>
      <c r="BP69" s="237"/>
      <c r="BQ69" s="237"/>
      <c r="BR69" s="237"/>
      <c r="BS69" s="237"/>
      <c r="BT69" s="237"/>
      <c r="BU69" s="237"/>
      <c r="BV69" s="237"/>
      <c r="BW69" s="237"/>
      <c r="BX69" s="237"/>
      <c r="BY69" s="237"/>
      <c r="BZ69" s="237"/>
      <c r="CA69" s="237"/>
      <c r="CB69" s="237"/>
      <c r="CC69" s="237"/>
      <c r="CD69" s="237"/>
      <c r="CE69" s="237"/>
      <c r="CF69" s="237"/>
      <c r="CG69" s="237"/>
      <c r="CH69" s="237"/>
      <c r="CI69" s="237"/>
      <c r="CJ69" s="237"/>
      <c r="CK69" s="237"/>
      <c r="CL69" s="237"/>
      <c r="CM69" s="237"/>
      <c r="CN69" s="237"/>
      <c r="CO69" s="237"/>
      <c r="CP69" s="237"/>
      <c r="CQ69" s="237"/>
      <c r="CR69" s="237"/>
      <c r="CS69" s="237"/>
      <c r="CT69" s="237"/>
      <c r="CU69" s="237"/>
      <c r="CV69" s="237"/>
      <c r="CW69" s="237"/>
      <c r="CX69" s="237"/>
      <c r="CY69" s="237"/>
      <c r="CZ69" s="237"/>
      <c r="DA69" s="237"/>
      <c r="DB69" s="237"/>
      <c r="DC69" s="237"/>
      <c r="DD69" s="237"/>
      <c r="DE69" s="237"/>
      <c r="DF69" s="237"/>
      <c r="DG69" s="237"/>
      <c r="DH69" s="237"/>
      <c r="DI69" s="237"/>
      <c r="DJ69" s="237"/>
      <c r="DK69" s="237"/>
      <c r="DL69" s="237"/>
      <c r="DM69" s="237"/>
      <c r="DN69" s="237"/>
      <c r="DO69" s="237"/>
      <c r="DP69" s="237"/>
      <c r="DQ69" s="237"/>
      <c r="DR69" s="237"/>
      <c r="DS69" s="237"/>
      <c r="DT69" s="237"/>
      <c r="DU69" s="237"/>
      <c r="DV69" s="237"/>
      <c r="DW69" s="237"/>
      <c r="DX69" s="237"/>
      <c r="DY69" s="237"/>
      <c r="DZ69" s="237"/>
      <c r="EA69" s="237"/>
      <c r="EB69" s="237"/>
      <c r="EC69" s="237"/>
      <c r="ED69" s="237"/>
      <c r="EE69" s="237"/>
      <c r="EF69" s="237"/>
      <c r="EG69" s="237"/>
      <c r="EH69" s="237"/>
      <c r="EI69" s="237"/>
      <c r="EJ69" s="237"/>
      <c r="EK69" s="237"/>
      <c r="EL69" s="237"/>
      <c r="EM69" s="237"/>
      <c r="EN69" s="237"/>
      <c r="EO69" s="237"/>
      <c r="EP69" s="237"/>
      <c r="EQ69" s="237"/>
      <c r="ER69" s="237"/>
      <c r="ES69" s="237"/>
      <c r="ET69" s="237"/>
      <c r="EU69" s="237"/>
      <c r="EV69" s="237"/>
      <c r="EW69" s="237"/>
      <c r="EX69" s="237"/>
      <c r="EY69" s="237"/>
      <c r="EZ69" s="237"/>
      <c r="FA69" s="237"/>
      <c r="FB69" s="237"/>
      <c r="FC69" s="237"/>
      <c r="FD69" s="237"/>
      <c r="FE69" s="237"/>
      <c r="FF69" s="237"/>
      <c r="FG69" s="237"/>
      <c r="FH69" s="237"/>
      <c r="FI69" s="237"/>
      <c r="FJ69" s="237"/>
      <c r="FK69" s="237"/>
      <c r="FL69" s="237"/>
      <c r="FM69" s="237"/>
      <c r="FN69" s="237"/>
      <c r="FO69" s="237"/>
      <c r="FP69" s="237"/>
      <c r="FQ69" s="237"/>
      <c r="FR69" s="237"/>
      <c r="FS69" s="237"/>
      <c r="FT69" s="237"/>
      <c r="FU69" s="237"/>
      <c r="FV69" s="237"/>
      <c r="FW69" s="237"/>
      <c r="FX69" s="237"/>
      <c r="FY69" s="237"/>
      <c r="FZ69" s="237"/>
      <c r="GA69" s="237"/>
      <c r="GB69" s="237"/>
      <c r="GC69" s="237"/>
      <c r="GD69" s="237"/>
      <c r="GE69" s="237"/>
      <c r="GF69" s="237"/>
      <c r="GG69" s="237"/>
      <c r="GH69" s="237"/>
      <c r="GI69" s="237"/>
      <c r="GJ69" s="237"/>
      <c r="GK69" s="237"/>
      <c r="GL69" s="237"/>
      <c r="GM69" s="237"/>
      <c r="GN69" s="237"/>
      <c r="GO69" s="237"/>
      <c r="GP69" s="237"/>
      <c r="GQ69" s="237"/>
      <c r="GR69" s="237"/>
      <c r="GS69" s="237"/>
      <c r="GT69" s="237"/>
      <c r="GU69" s="237"/>
      <c r="GV69" s="237"/>
      <c r="GW69" s="237"/>
      <c r="GX69" s="237"/>
      <c r="GY69" s="237"/>
      <c r="GZ69" s="237"/>
      <c r="HA69" s="237"/>
      <c r="HB69" s="237"/>
      <c r="HC69" s="237"/>
      <c r="HD69" s="237"/>
      <c r="HE69" s="237"/>
      <c r="HF69" s="237"/>
      <c r="HG69" s="237"/>
      <c r="HH69" s="237"/>
      <c r="HI69" s="237"/>
      <c r="HJ69" s="237"/>
      <c r="HK69" s="237"/>
      <c r="HL69" s="237"/>
      <c r="HM69" s="237"/>
      <c r="HN69" s="237"/>
      <c r="HO69" s="237"/>
      <c r="HP69" s="237"/>
      <c r="HQ69" s="237"/>
      <c r="HR69" s="237"/>
      <c r="HS69" s="237"/>
      <c r="HT69" s="237"/>
      <c r="HU69" s="237"/>
      <c r="HV69" s="237"/>
      <c r="HW69" s="237"/>
      <c r="HX69" s="237"/>
      <c r="HY69" s="237"/>
      <c r="HZ69" s="237"/>
      <c r="IA69" s="237"/>
      <c r="IB69" s="237"/>
      <c r="IC69" s="237"/>
      <c r="ID69" s="237"/>
      <c r="IE69" s="237"/>
      <c r="IF69" s="237"/>
      <c r="IG69" s="237"/>
      <c r="IH69" s="237"/>
      <c r="II69" s="237"/>
      <c r="IJ69" s="237"/>
      <c r="IK69" s="237"/>
      <c r="IL69" s="237"/>
      <c r="IM69" s="237"/>
      <c r="IN69" s="237"/>
      <c r="IO69" s="237"/>
      <c r="IP69" s="237"/>
      <c r="IQ69" s="237"/>
      <c r="IR69" s="237"/>
      <c r="IS69" s="237"/>
      <c r="IT69" s="237"/>
      <c r="IU69" s="237"/>
      <c r="IV69" s="237"/>
      <c r="IW69" s="237"/>
    </row>
    <row r="70" customFormat="false" ht="11.25" hidden="false" customHeight="false" outlineLevel="0" collapsed="false">
      <c r="A70" s="237"/>
      <c r="B70" s="246" t="s">
        <v>191</v>
      </c>
      <c r="C70" s="247" t="n">
        <f aca="false">INDEX(InterestRateCurve,MATCH(C$15,'Int Curves'!$L:$L,0),MATCH("Semi Annual Calculation",'Int Curves'!$L$3:$M$3,0))</f>
        <v>0.0567260685883425</v>
      </c>
      <c r="D70" s="247" t="n">
        <f aca="false">INDEX(InterestRateCurve,MATCH(D$15,'Int Curves'!$L:$L,0),MATCH("Semi Annual Calculation",'Int Curves'!$L$3:$M$3,0))</f>
        <v>0.0612272523674611</v>
      </c>
      <c r="E70" s="247" t="n">
        <f aca="false">INDEX(InterestRateCurve,MATCH(E$15,'Int Curves'!$L:$L,0),MATCH("Semi Annual Calculation",'Int Curves'!$L$3:$M$3,0))</f>
        <v>0.0626949028199917</v>
      </c>
      <c r="F70" s="247" t="n">
        <f aca="false">INDEX(InterestRateCurve,MATCH(F$15,'Int Curves'!$L:$L,0),MATCH("Semi Annual Calculation",'Int Curves'!$L$3:$M$3,0))</f>
        <v>0.0634245887318758</v>
      </c>
      <c r="G70" s="247" t="n">
        <f aca="false">INDEX(InterestRateCurve,MATCH(G$15,'Int Curves'!$L:$L,0),MATCH("Semi Annual Calculation",'Int Curves'!$L$3:$M$3,0))</f>
        <v>0.0636564727793529</v>
      </c>
      <c r="H70" s="247" t="n">
        <f aca="false">INDEX(InterestRateCurve,MATCH(H$15,'Int Curves'!$L:$L,0),MATCH("Semi Annual Calculation",'Int Curves'!$L$3:$M$3,0))</f>
        <v>0.0638186124813506</v>
      </c>
      <c r="I70" s="247" t="n">
        <f aca="false">INDEX(InterestRateCurve,MATCH(I$15,'Int Curves'!$L:$L,0),MATCH("Semi Annual Calculation",'Int Curves'!$L$3:$M$3,0))</f>
        <v>0.0639022018658963</v>
      </c>
      <c r="J70" s="247" t="n">
        <f aca="false">INDEX(InterestRateCurve,MATCH(J$15,'Int Curves'!$L:$L,0),MATCH("Semi Annual Calculation",'Int Curves'!$L$3:$M$3,0))</f>
        <v>0.0639857912527591</v>
      </c>
      <c r="K70" s="247" t="n">
        <f aca="false">INDEX(InterestRateCurve,MATCH(K$15,'Int Curves'!$L:$L,0),MATCH("Semi Annual Calculation",'Int Curves'!$L$3:$M$3,0))</f>
        <v>0.0640696096539674</v>
      </c>
      <c r="L70" s="247" t="n">
        <f aca="false">INDEX(InterestRateCurve,MATCH(L$15,'Int Curves'!$L:$L,0),MATCH("Semi Annual Calculation",'Int Curves'!$L$3:$M$3,0))</f>
        <v>0.0641531990454705</v>
      </c>
      <c r="M70" s="247" t="n">
        <f aca="false">INDEX(InterestRateCurve,MATCH(M$15,'Int Curves'!$L:$L,0),MATCH("Semi Annual Calculation",'Int Curves'!$L$3:$M$3,0))</f>
        <v>0.0642608229020421</v>
      </c>
      <c r="N70" s="247" t="n">
        <f aca="false">INDEX(InterestRateCurve,MATCH(N$15,'Int Curves'!$L:$L,0),MATCH("Semi Annual Calculation",'Int Curves'!$L$3:$M$3,0))</f>
        <v>0.0643957639822193</v>
      </c>
      <c r="O70" s="247" t="n">
        <f aca="false">INDEX(InterestRateCurve,MATCH(O$15,'Int Curves'!$L:$L,0),MATCH("Semi Annual Calculation",'Int Curves'!$L$3:$M$3,0))</f>
        <v>0.0645310747700483</v>
      </c>
      <c r="P70" s="247" t="n">
        <f aca="false">INDEX(InterestRateCurve,MATCH(P$15,'Int Curves'!$L:$L,0),MATCH("Semi Annual Calculation",'Int Curves'!$L$3:$M$3,0))</f>
        <v>0.0646660158623165</v>
      </c>
      <c r="Q70" s="247" t="n">
        <f aca="false">INDEX(InterestRateCurve,MATCH(Q$15,'Int Curves'!$L:$L,0),MATCH("Semi Annual Calculation",'Int Curves'!$L$3:$M$3,0))</f>
        <v>0.0648009569606212</v>
      </c>
      <c r="R70" s="247" t="n">
        <f aca="false">INDEX(InterestRateCurve,MATCH(R$15,'Int Curves'!$L:$L,0),MATCH("Semi Annual Calculation",'Int Curves'!$L$3:$M$3,0))</f>
        <v>0.0648311257479116</v>
      </c>
      <c r="S70" s="247" t="n">
        <f aca="false">INDEX(InterestRateCurve,MATCH(S$15,'Int Curves'!$L:$L,0),MATCH("Semi Annual Calculation",'Int Curves'!$L$3:$M$3,0))</f>
        <v>0.0647445657683591</v>
      </c>
      <c r="T70" s="247" t="n">
        <f aca="false">INDEX(InterestRateCurve,MATCH(T$15,'Int Curves'!$L:$L,0),MATCH("Semi Annual Calculation",'Int Curves'!$L$3:$M$3,0))</f>
        <v>0.0646582422939566</v>
      </c>
      <c r="U70" s="247" t="n">
        <f aca="false">INDEX(InterestRateCurve,MATCH(U$15,'Int Curves'!$L:$L,0),MATCH("Semi Annual Calculation",'Int Curves'!$L$3:$M$3,0))</f>
        <v>0.0645719188220244</v>
      </c>
      <c r="V70" s="247" t="n">
        <f aca="false">INDEX(InterestRateCurve,MATCH(V$15,'Int Curves'!$L:$L,0),MATCH("Semi Annual Calculation",'Int Curves'!$L$3:$M$3,0))</f>
        <v>0.0644855953525627</v>
      </c>
      <c r="W70" s="247" t="n">
        <f aca="false">INDEX(InterestRateCurve,MATCH(W$15,'Int Curves'!$L:$L,0),MATCH("Semi Annual Calculation",'Int Curves'!$L$3:$M$3,0))</f>
        <v>0.0643254711884753</v>
      </c>
      <c r="X70" s="247" t="n">
        <f aca="false">INDEX(InterestRateCurve,MATCH(X$15,'Int Curves'!$L:$L,0),MATCH("Semi Annual Calculation",'Int Curves'!$L$3:$M$3,0))</f>
        <v>0.0640837903726445</v>
      </c>
      <c r="Y70" s="247" t="n">
        <f aca="false">INDEX(InterestRateCurve,MATCH(Y$15,'Int Curves'!$L:$L,0),MATCH("Semi Annual Calculation",'Int Curves'!$L$3:$M$3,0))</f>
        <v>0.0638421095761823</v>
      </c>
      <c r="Z70" s="247" t="n">
        <f aca="false">INDEX(InterestRateCurve,MATCH(Z$15,'Int Curves'!$L:$L,0),MATCH("Semi Annual Calculation",'Int Curves'!$L$3:$M$3,0))</f>
        <v>0.0636004287990913</v>
      </c>
      <c r="AA70" s="247" t="n">
        <f aca="false">INDEX(InterestRateCurve,MATCH(AA$15,'Int Curves'!$L:$L,0),MATCH("Semi Annual Calculation",'Int Curves'!$L$3:$M$3,0))</f>
        <v>0.0633580859023384</v>
      </c>
      <c r="AB70" s="247" t="n">
        <f aca="false">INDEX(InterestRateCurve,MATCH(AB$15,'Int Curves'!$L:$L,0),MATCH("Semi Annual Calculation",'Int Curves'!$L$3:$M$3,0))</f>
        <v>0.0631164051640498</v>
      </c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  <c r="AZ70" s="237"/>
      <c r="BA70" s="237"/>
      <c r="BB70" s="237"/>
      <c r="BC70" s="237"/>
      <c r="BD70" s="237"/>
      <c r="BE70" s="237"/>
      <c r="BF70" s="237"/>
      <c r="BG70" s="237"/>
      <c r="BH70" s="237"/>
      <c r="BI70" s="237"/>
      <c r="BJ70" s="237"/>
      <c r="BK70" s="237"/>
      <c r="BL70" s="237"/>
      <c r="BM70" s="237"/>
      <c r="BN70" s="237"/>
      <c r="BO70" s="237"/>
      <c r="BP70" s="237"/>
      <c r="BQ70" s="237"/>
      <c r="BR70" s="237"/>
      <c r="BS70" s="237"/>
      <c r="BT70" s="237"/>
      <c r="BU70" s="237"/>
      <c r="BV70" s="237"/>
      <c r="BW70" s="237"/>
      <c r="BX70" s="237"/>
      <c r="BY70" s="237"/>
      <c r="BZ70" s="237"/>
      <c r="CA70" s="237"/>
      <c r="CB70" s="237"/>
      <c r="CC70" s="237"/>
      <c r="CD70" s="237"/>
      <c r="CE70" s="237"/>
      <c r="CF70" s="237"/>
      <c r="CG70" s="237"/>
      <c r="CH70" s="237"/>
      <c r="CI70" s="237"/>
      <c r="CJ70" s="237"/>
      <c r="CK70" s="237"/>
      <c r="CL70" s="237"/>
      <c r="CM70" s="237"/>
      <c r="CN70" s="237"/>
      <c r="CO70" s="237"/>
      <c r="CP70" s="237"/>
      <c r="CQ70" s="237"/>
      <c r="CR70" s="237"/>
      <c r="CS70" s="237"/>
      <c r="CT70" s="237"/>
      <c r="CU70" s="237"/>
      <c r="CV70" s="237"/>
      <c r="CW70" s="237"/>
      <c r="CX70" s="237"/>
      <c r="CY70" s="237"/>
      <c r="CZ70" s="237"/>
      <c r="DA70" s="237"/>
      <c r="DB70" s="237"/>
      <c r="DC70" s="237"/>
      <c r="DD70" s="237"/>
      <c r="DE70" s="237"/>
      <c r="DF70" s="237"/>
      <c r="DG70" s="237"/>
      <c r="DH70" s="237"/>
      <c r="DI70" s="237"/>
      <c r="DJ70" s="237"/>
      <c r="DK70" s="237"/>
      <c r="DL70" s="237"/>
      <c r="DM70" s="237"/>
      <c r="DN70" s="237"/>
      <c r="DO70" s="237"/>
      <c r="DP70" s="237"/>
      <c r="DQ70" s="237"/>
      <c r="DR70" s="237"/>
      <c r="DS70" s="237"/>
      <c r="DT70" s="237"/>
      <c r="DU70" s="237"/>
      <c r="DV70" s="237"/>
      <c r="DW70" s="237"/>
      <c r="DX70" s="237"/>
      <c r="DY70" s="237"/>
      <c r="DZ70" s="237"/>
      <c r="EA70" s="237"/>
      <c r="EB70" s="237"/>
      <c r="EC70" s="237"/>
      <c r="ED70" s="237"/>
      <c r="EE70" s="237"/>
      <c r="EF70" s="237"/>
      <c r="EG70" s="237"/>
      <c r="EH70" s="237"/>
      <c r="EI70" s="237"/>
      <c r="EJ70" s="237"/>
      <c r="EK70" s="237"/>
      <c r="EL70" s="237"/>
      <c r="EM70" s="237"/>
      <c r="EN70" s="237"/>
      <c r="EO70" s="237"/>
      <c r="EP70" s="237"/>
      <c r="EQ70" s="237"/>
      <c r="ER70" s="237"/>
      <c r="ES70" s="237"/>
      <c r="ET70" s="237"/>
      <c r="EU70" s="237"/>
      <c r="EV70" s="237"/>
      <c r="EW70" s="237"/>
      <c r="EX70" s="237"/>
      <c r="EY70" s="237"/>
      <c r="EZ70" s="237"/>
      <c r="FA70" s="237"/>
      <c r="FB70" s="237"/>
      <c r="FC70" s="237"/>
      <c r="FD70" s="237"/>
      <c r="FE70" s="237"/>
      <c r="FF70" s="237"/>
      <c r="FG70" s="237"/>
      <c r="FH70" s="237"/>
      <c r="FI70" s="237"/>
      <c r="FJ70" s="237"/>
      <c r="FK70" s="237"/>
      <c r="FL70" s="237"/>
      <c r="FM70" s="237"/>
      <c r="FN70" s="237"/>
      <c r="FO70" s="237"/>
      <c r="FP70" s="237"/>
      <c r="FQ70" s="237"/>
      <c r="FR70" s="237"/>
      <c r="FS70" s="237"/>
      <c r="FT70" s="237"/>
      <c r="FU70" s="237"/>
      <c r="FV70" s="237"/>
      <c r="FW70" s="237"/>
      <c r="FX70" s="237"/>
      <c r="FY70" s="237"/>
      <c r="FZ70" s="237"/>
      <c r="GA70" s="237"/>
      <c r="GB70" s="237"/>
      <c r="GC70" s="237"/>
      <c r="GD70" s="237"/>
      <c r="GE70" s="237"/>
      <c r="GF70" s="237"/>
      <c r="GG70" s="237"/>
      <c r="GH70" s="237"/>
      <c r="GI70" s="237"/>
      <c r="GJ70" s="237"/>
      <c r="GK70" s="237"/>
      <c r="GL70" s="237"/>
      <c r="GM70" s="237"/>
      <c r="GN70" s="237"/>
      <c r="GO70" s="237"/>
      <c r="GP70" s="237"/>
      <c r="GQ70" s="237"/>
      <c r="GR70" s="237"/>
      <c r="GS70" s="237"/>
      <c r="GT70" s="237"/>
      <c r="GU70" s="237"/>
      <c r="GV70" s="237"/>
      <c r="GW70" s="237"/>
      <c r="GX70" s="237"/>
      <c r="GY70" s="237"/>
      <c r="GZ70" s="237"/>
      <c r="HA70" s="237"/>
      <c r="HB70" s="237"/>
      <c r="HC70" s="237"/>
      <c r="HD70" s="237"/>
      <c r="HE70" s="237"/>
      <c r="HF70" s="237"/>
      <c r="HG70" s="237"/>
      <c r="HH70" s="237"/>
      <c r="HI70" s="237"/>
      <c r="HJ70" s="237"/>
      <c r="HK70" s="237"/>
      <c r="HL70" s="237"/>
      <c r="HM70" s="237"/>
      <c r="HN70" s="237"/>
      <c r="HO70" s="237"/>
      <c r="HP70" s="237"/>
      <c r="HQ70" s="237"/>
      <c r="HR70" s="237"/>
      <c r="HS70" s="237"/>
      <c r="HT70" s="237"/>
      <c r="HU70" s="237"/>
      <c r="HV70" s="237"/>
      <c r="HW70" s="237"/>
      <c r="HX70" s="237"/>
      <c r="HY70" s="237"/>
      <c r="HZ70" s="237"/>
      <c r="IA70" s="237"/>
      <c r="IB70" s="237"/>
      <c r="IC70" s="237"/>
      <c r="ID70" s="237"/>
      <c r="IE70" s="237"/>
      <c r="IF70" s="237"/>
      <c r="IG70" s="237"/>
      <c r="IH70" s="237"/>
      <c r="II70" s="237"/>
      <c r="IJ70" s="237"/>
      <c r="IK70" s="237"/>
      <c r="IL70" s="237"/>
      <c r="IM70" s="237"/>
      <c r="IN70" s="237"/>
      <c r="IO70" s="237"/>
      <c r="IP70" s="237"/>
      <c r="IQ70" s="237"/>
      <c r="IR70" s="237"/>
      <c r="IS70" s="237"/>
      <c r="IT70" s="237"/>
      <c r="IU70" s="237"/>
      <c r="IV70" s="237"/>
      <c r="IW70" s="237"/>
    </row>
    <row r="71" customFormat="false" ht="11.25" hidden="false" customHeight="false" outlineLevel="0" collapsed="false">
      <c r="A71" s="237"/>
      <c r="B71" s="246"/>
      <c r="C71" s="247" t="n">
        <v>0.015</v>
      </c>
      <c r="D71" s="247" t="n">
        <v>0.015</v>
      </c>
      <c r="E71" s="247" t="n">
        <v>0.015</v>
      </c>
      <c r="F71" s="247" t="n">
        <f aca="false">E71+0.0025</f>
        <v>0.0175</v>
      </c>
      <c r="G71" s="247" t="n">
        <f aca="false">F71</f>
        <v>0.0175</v>
      </c>
      <c r="H71" s="247" t="n">
        <f aca="false">F71</f>
        <v>0.0175</v>
      </c>
      <c r="I71" s="247" t="n">
        <f aca="false">H71+0.0025</f>
        <v>0.02</v>
      </c>
      <c r="J71" s="247" t="n">
        <f aca="false">I71</f>
        <v>0.02</v>
      </c>
      <c r="K71" s="247" t="n">
        <f aca="false">J71</f>
        <v>0.02</v>
      </c>
      <c r="L71" s="247" t="n">
        <f aca="false">K71+0.0025</f>
        <v>0.0225</v>
      </c>
      <c r="M71" s="247" t="n">
        <f aca="false">L71</f>
        <v>0.0225</v>
      </c>
      <c r="N71" s="248" t="n">
        <f aca="false">M71</f>
        <v>0.0225</v>
      </c>
      <c r="O71" s="247" t="n">
        <f aca="false">N71+0.0025</f>
        <v>0.025</v>
      </c>
      <c r="P71" s="249" t="n">
        <f aca="false">O71</f>
        <v>0.025</v>
      </c>
      <c r="Q71" s="249" t="n">
        <f aca="false">P71</f>
        <v>0.025</v>
      </c>
      <c r="R71" s="249" t="n">
        <f aca="false">Q71+0.0025</f>
        <v>0.0275</v>
      </c>
      <c r="S71" s="250"/>
      <c r="T71" s="250"/>
      <c r="U71" s="250"/>
      <c r="V71" s="250"/>
      <c r="W71" s="250"/>
      <c r="X71" s="250"/>
      <c r="Y71" s="250"/>
      <c r="Z71" s="250"/>
      <c r="AA71" s="250"/>
      <c r="AB71" s="250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  <c r="AZ71" s="237"/>
      <c r="BA71" s="237"/>
      <c r="BB71" s="237"/>
      <c r="BC71" s="237"/>
      <c r="BD71" s="237"/>
      <c r="BE71" s="237"/>
      <c r="BF71" s="237"/>
      <c r="BG71" s="237"/>
      <c r="BH71" s="237"/>
      <c r="BI71" s="237"/>
      <c r="BJ71" s="237"/>
      <c r="BK71" s="237"/>
      <c r="BL71" s="237"/>
      <c r="BM71" s="237"/>
      <c r="BN71" s="237"/>
      <c r="BO71" s="237"/>
      <c r="BP71" s="237"/>
      <c r="BQ71" s="237"/>
      <c r="BR71" s="237"/>
      <c r="BS71" s="237"/>
      <c r="BT71" s="237"/>
      <c r="BU71" s="237"/>
      <c r="BV71" s="237"/>
      <c r="BW71" s="237"/>
      <c r="BX71" s="237"/>
      <c r="BY71" s="237"/>
      <c r="BZ71" s="237"/>
      <c r="CA71" s="237"/>
      <c r="CB71" s="237"/>
      <c r="CC71" s="237"/>
      <c r="CD71" s="237"/>
      <c r="CE71" s="237"/>
      <c r="CF71" s="237"/>
      <c r="CG71" s="237"/>
      <c r="CH71" s="237"/>
      <c r="CI71" s="237"/>
      <c r="CJ71" s="237"/>
      <c r="CK71" s="237"/>
      <c r="CL71" s="237"/>
      <c r="CM71" s="237"/>
      <c r="CN71" s="237"/>
      <c r="CO71" s="237"/>
      <c r="CP71" s="237"/>
      <c r="CQ71" s="237"/>
      <c r="CR71" s="237"/>
      <c r="CS71" s="237"/>
      <c r="CT71" s="237"/>
      <c r="CU71" s="237"/>
      <c r="CV71" s="237"/>
      <c r="CW71" s="237"/>
      <c r="CX71" s="237"/>
      <c r="CY71" s="237"/>
      <c r="CZ71" s="237"/>
      <c r="DA71" s="237"/>
      <c r="DB71" s="237"/>
      <c r="DC71" s="237"/>
      <c r="DD71" s="237"/>
      <c r="DE71" s="237"/>
      <c r="DF71" s="237"/>
      <c r="DG71" s="237"/>
      <c r="DH71" s="237"/>
      <c r="DI71" s="237"/>
      <c r="DJ71" s="237"/>
      <c r="DK71" s="237"/>
      <c r="DL71" s="237"/>
      <c r="DM71" s="237"/>
      <c r="DN71" s="237"/>
      <c r="DO71" s="237"/>
      <c r="DP71" s="237"/>
      <c r="DQ71" s="237"/>
      <c r="DR71" s="237"/>
      <c r="DS71" s="237"/>
      <c r="DT71" s="237"/>
      <c r="DU71" s="237"/>
      <c r="DV71" s="237"/>
      <c r="DW71" s="237"/>
      <c r="DX71" s="237"/>
      <c r="DY71" s="237"/>
      <c r="DZ71" s="237"/>
      <c r="EA71" s="237"/>
      <c r="EB71" s="237"/>
      <c r="EC71" s="237"/>
      <c r="ED71" s="237"/>
      <c r="EE71" s="237"/>
      <c r="EF71" s="237"/>
      <c r="EG71" s="237"/>
      <c r="EH71" s="237"/>
      <c r="EI71" s="237"/>
      <c r="EJ71" s="237"/>
      <c r="EK71" s="237"/>
      <c r="EL71" s="237"/>
      <c r="EM71" s="237"/>
      <c r="EN71" s="237"/>
      <c r="EO71" s="237"/>
      <c r="EP71" s="237"/>
      <c r="EQ71" s="237"/>
      <c r="ER71" s="237"/>
      <c r="ES71" s="237"/>
      <c r="ET71" s="237"/>
      <c r="EU71" s="237"/>
      <c r="EV71" s="237"/>
      <c r="EW71" s="237"/>
      <c r="EX71" s="237"/>
      <c r="EY71" s="237"/>
      <c r="EZ71" s="237"/>
      <c r="FA71" s="237"/>
      <c r="FB71" s="237"/>
      <c r="FC71" s="237"/>
      <c r="FD71" s="237"/>
      <c r="FE71" s="237"/>
      <c r="FF71" s="237"/>
      <c r="FG71" s="237"/>
      <c r="FH71" s="237"/>
      <c r="FI71" s="237"/>
      <c r="FJ71" s="237"/>
      <c r="FK71" s="237"/>
      <c r="FL71" s="237"/>
      <c r="FM71" s="237"/>
      <c r="FN71" s="237"/>
      <c r="FO71" s="237"/>
      <c r="FP71" s="237"/>
      <c r="FQ71" s="237"/>
      <c r="FR71" s="237"/>
      <c r="FS71" s="237"/>
      <c r="FT71" s="237"/>
      <c r="FU71" s="237"/>
      <c r="FV71" s="237"/>
      <c r="FW71" s="237"/>
      <c r="FX71" s="237"/>
      <c r="FY71" s="237"/>
      <c r="FZ71" s="237"/>
      <c r="GA71" s="237"/>
      <c r="GB71" s="237"/>
      <c r="GC71" s="237"/>
      <c r="GD71" s="237"/>
      <c r="GE71" s="237"/>
      <c r="GF71" s="237"/>
      <c r="GG71" s="237"/>
      <c r="GH71" s="237"/>
      <c r="GI71" s="237"/>
      <c r="GJ71" s="237"/>
      <c r="GK71" s="237"/>
      <c r="GL71" s="237"/>
      <c r="GM71" s="237"/>
      <c r="GN71" s="237"/>
      <c r="GO71" s="237"/>
      <c r="GP71" s="237"/>
      <c r="GQ71" s="237"/>
      <c r="GR71" s="237"/>
      <c r="GS71" s="237"/>
      <c r="GT71" s="237"/>
      <c r="GU71" s="237"/>
      <c r="GV71" s="237"/>
      <c r="GW71" s="237"/>
      <c r="GX71" s="237"/>
      <c r="GY71" s="237"/>
      <c r="GZ71" s="237"/>
      <c r="HA71" s="237"/>
      <c r="HB71" s="237"/>
      <c r="HC71" s="237"/>
      <c r="HD71" s="237"/>
      <c r="HE71" s="237"/>
      <c r="HF71" s="237"/>
      <c r="HG71" s="237"/>
      <c r="HH71" s="237"/>
      <c r="HI71" s="237"/>
      <c r="HJ71" s="237"/>
      <c r="HK71" s="237"/>
      <c r="HL71" s="237"/>
      <c r="HM71" s="237"/>
      <c r="HN71" s="237"/>
      <c r="HO71" s="237"/>
      <c r="HP71" s="237"/>
      <c r="HQ71" s="237"/>
      <c r="HR71" s="237"/>
      <c r="HS71" s="237"/>
      <c r="HT71" s="237"/>
      <c r="HU71" s="237"/>
      <c r="HV71" s="237"/>
      <c r="HW71" s="237"/>
      <c r="HX71" s="237"/>
      <c r="HY71" s="237"/>
      <c r="HZ71" s="237"/>
      <c r="IA71" s="237"/>
      <c r="IB71" s="237"/>
      <c r="IC71" s="237"/>
      <c r="ID71" s="237"/>
      <c r="IE71" s="237"/>
      <c r="IF71" s="237"/>
      <c r="IG71" s="237"/>
      <c r="IH71" s="237"/>
      <c r="II71" s="237"/>
      <c r="IJ71" s="237"/>
      <c r="IK71" s="237"/>
      <c r="IL71" s="237"/>
      <c r="IM71" s="237"/>
      <c r="IN71" s="237"/>
      <c r="IO71" s="237"/>
      <c r="IP71" s="237"/>
      <c r="IQ71" s="237"/>
      <c r="IR71" s="237"/>
      <c r="IS71" s="237"/>
      <c r="IT71" s="237"/>
      <c r="IU71" s="237"/>
      <c r="IV71" s="237"/>
      <c r="IW71" s="237"/>
    </row>
    <row r="72" customFormat="false" ht="11.25" hidden="false" customHeight="false" outlineLevel="0" collapsed="false">
      <c r="A72" s="237"/>
      <c r="B72" s="246" t="s">
        <v>192</v>
      </c>
      <c r="C72" s="251" t="n">
        <f aca="false">C69+C71</f>
        <v>0.0683661601707364</v>
      </c>
      <c r="D72" s="251" t="n">
        <f aca="false">D69+D71</f>
        <v>0.0747341055761371</v>
      </c>
      <c r="E72" s="251" t="n">
        <f aca="false">E69+E71</f>
        <v>0.0770639234273657</v>
      </c>
      <c r="F72" s="251" t="n">
        <f aca="false">F69+F71</f>
        <v>0.0807375293197494</v>
      </c>
      <c r="G72" s="251" t="n">
        <f aca="false">G69+G71</f>
        <v>0.0810405307533816</v>
      </c>
      <c r="H72" s="251" t="n">
        <f aca="false">H69+H71</f>
        <v>0.0812652499174573</v>
      </c>
      <c r="I72" s="251" t="n">
        <f aca="false">I69+I71</f>
        <v>0.0838603690046642</v>
      </c>
      <c r="J72" s="251" t="n">
        <f aca="false">J69+J71</f>
        <v>0.0839439583903673</v>
      </c>
      <c r="K72" s="251" t="n">
        <f aca="false">K69+K71</f>
        <v>0.0840277004530715</v>
      </c>
      <c r="L72" s="251" t="n">
        <f aca="false">L69+L71</f>
        <v>0.0866113661807566</v>
      </c>
      <c r="M72" s="251" t="n">
        <f aca="false">M69+M71</f>
        <v>0.0866973003990201</v>
      </c>
      <c r="N72" s="251" t="n">
        <f aca="false">N69+N71</f>
        <v>0.0868282318244423</v>
      </c>
      <c r="O72" s="251" t="n">
        <f aca="false">O69+O71</f>
        <v>0.0894634193753739</v>
      </c>
      <c r="P72" s="251" t="n">
        <f aca="false">P69+P71</f>
        <v>0.0895984836984888</v>
      </c>
      <c r="Q72" s="251" t="n">
        <f aca="false">Q69+Q71</f>
        <v>0.0897334247937723</v>
      </c>
      <c r="R72" s="251" t="n">
        <f aca="false">R69+R71</f>
        <v>0.0923576562850886</v>
      </c>
      <c r="S72" s="251" t="n">
        <f aca="false">S69+S71</f>
        <v>0.0647878457578243</v>
      </c>
      <c r="T72" s="251" t="n">
        <f aca="false">T69+T71</f>
        <v>0.0647014434479597</v>
      </c>
      <c r="U72" s="251" t="n">
        <f aca="false">U69+U71</f>
        <v>0.0646151199747913</v>
      </c>
      <c r="V72" s="251" t="n">
        <f aca="false">V69+V71</f>
        <v>0.0645287965040933</v>
      </c>
      <c r="W72" s="251" t="n">
        <f aca="false">W69+W71</f>
        <v>0.0644347957871349</v>
      </c>
      <c r="X72" s="250"/>
      <c r="Y72" s="250"/>
      <c r="Z72" s="250"/>
      <c r="AA72" s="250"/>
      <c r="AB72" s="250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  <c r="AZ72" s="237"/>
      <c r="BA72" s="237"/>
      <c r="BB72" s="237"/>
      <c r="BC72" s="237"/>
      <c r="BD72" s="237"/>
      <c r="BE72" s="237"/>
      <c r="BF72" s="237"/>
      <c r="BG72" s="237"/>
      <c r="BH72" s="237"/>
      <c r="BI72" s="237"/>
      <c r="BJ72" s="237"/>
      <c r="BK72" s="237"/>
      <c r="BL72" s="237"/>
      <c r="BM72" s="237"/>
      <c r="BN72" s="237"/>
      <c r="BO72" s="237"/>
      <c r="BP72" s="237"/>
      <c r="BQ72" s="237"/>
      <c r="BR72" s="237"/>
      <c r="BS72" s="237"/>
      <c r="BT72" s="237"/>
      <c r="BU72" s="237"/>
      <c r="BV72" s="237"/>
      <c r="BW72" s="237"/>
      <c r="BX72" s="237"/>
      <c r="BY72" s="237"/>
      <c r="BZ72" s="237"/>
      <c r="CA72" s="237"/>
      <c r="CB72" s="237"/>
      <c r="CC72" s="237"/>
      <c r="CD72" s="237"/>
      <c r="CE72" s="237"/>
      <c r="CF72" s="237"/>
      <c r="CG72" s="237"/>
      <c r="CH72" s="237"/>
      <c r="CI72" s="237"/>
      <c r="CJ72" s="237"/>
      <c r="CK72" s="237"/>
      <c r="CL72" s="237"/>
      <c r="CM72" s="237"/>
      <c r="CN72" s="237"/>
      <c r="CO72" s="237"/>
      <c r="CP72" s="237"/>
      <c r="CQ72" s="237"/>
      <c r="CR72" s="237"/>
      <c r="CS72" s="237"/>
      <c r="CT72" s="237"/>
      <c r="CU72" s="237"/>
      <c r="CV72" s="237"/>
      <c r="CW72" s="237"/>
      <c r="CX72" s="237"/>
      <c r="CY72" s="237"/>
      <c r="CZ72" s="237"/>
      <c r="DA72" s="237"/>
      <c r="DB72" s="237"/>
      <c r="DC72" s="237"/>
      <c r="DD72" s="237"/>
      <c r="DE72" s="237"/>
      <c r="DF72" s="237"/>
      <c r="DG72" s="237"/>
      <c r="DH72" s="237"/>
      <c r="DI72" s="237"/>
      <c r="DJ72" s="237"/>
      <c r="DK72" s="237"/>
      <c r="DL72" s="237"/>
      <c r="DM72" s="237"/>
      <c r="DN72" s="237"/>
      <c r="DO72" s="237"/>
      <c r="DP72" s="237"/>
      <c r="DQ72" s="237"/>
      <c r="DR72" s="237"/>
      <c r="DS72" s="237"/>
      <c r="DT72" s="237"/>
      <c r="DU72" s="237"/>
      <c r="DV72" s="237"/>
      <c r="DW72" s="237"/>
      <c r="DX72" s="237"/>
      <c r="DY72" s="237"/>
      <c r="DZ72" s="237"/>
      <c r="EA72" s="237"/>
      <c r="EB72" s="237"/>
      <c r="EC72" s="237"/>
      <c r="ED72" s="237"/>
      <c r="EE72" s="237"/>
      <c r="EF72" s="237"/>
      <c r="EG72" s="237"/>
      <c r="EH72" s="237"/>
      <c r="EI72" s="237"/>
      <c r="EJ72" s="237"/>
      <c r="EK72" s="237"/>
      <c r="EL72" s="237"/>
      <c r="EM72" s="237"/>
      <c r="EN72" s="237"/>
      <c r="EO72" s="237"/>
      <c r="EP72" s="237"/>
      <c r="EQ72" s="237"/>
      <c r="ER72" s="237"/>
      <c r="ES72" s="237"/>
      <c r="ET72" s="237"/>
      <c r="EU72" s="237"/>
      <c r="EV72" s="237"/>
      <c r="EW72" s="237"/>
      <c r="EX72" s="237"/>
      <c r="EY72" s="237"/>
      <c r="EZ72" s="237"/>
      <c r="FA72" s="237"/>
      <c r="FB72" s="237"/>
      <c r="FC72" s="237"/>
      <c r="FD72" s="237"/>
      <c r="FE72" s="237"/>
      <c r="FF72" s="237"/>
      <c r="FG72" s="237"/>
      <c r="FH72" s="237"/>
      <c r="FI72" s="237"/>
      <c r="FJ72" s="237"/>
      <c r="FK72" s="237"/>
      <c r="FL72" s="237"/>
      <c r="FM72" s="237"/>
      <c r="FN72" s="237"/>
      <c r="FO72" s="237"/>
      <c r="FP72" s="237"/>
      <c r="FQ72" s="237"/>
      <c r="FR72" s="237"/>
      <c r="FS72" s="237"/>
      <c r="FT72" s="237"/>
      <c r="FU72" s="237"/>
      <c r="FV72" s="237"/>
      <c r="FW72" s="237"/>
      <c r="FX72" s="237"/>
      <c r="FY72" s="237"/>
      <c r="FZ72" s="237"/>
      <c r="GA72" s="237"/>
      <c r="GB72" s="237"/>
      <c r="GC72" s="237"/>
      <c r="GD72" s="237"/>
      <c r="GE72" s="237"/>
      <c r="GF72" s="237"/>
      <c r="GG72" s="237"/>
      <c r="GH72" s="237"/>
      <c r="GI72" s="237"/>
      <c r="GJ72" s="237"/>
      <c r="GK72" s="237"/>
      <c r="GL72" s="237"/>
      <c r="GM72" s="237"/>
      <c r="GN72" s="237"/>
      <c r="GO72" s="237"/>
      <c r="GP72" s="237"/>
      <c r="GQ72" s="237"/>
      <c r="GR72" s="237"/>
      <c r="GS72" s="237"/>
      <c r="GT72" s="237"/>
      <c r="GU72" s="237"/>
      <c r="GV72" s="237"/>
      <c r="GW72" s="237"/>
      <c r="GX72" s="237"/>
      <c r="GY72" s="237"/>
      <c r="GZ72" s="237"/>
      <c r="HA72" s="237"/>
      <c r="HB72" s="237"/>
      <c r="HC72" s="237"/>
      <c r="HD72" s="237"/>
      <c r="HE72" s="237"/>
      <c r="HF72" s="237"/>
      <c r="HG72" s="237"/>
      <c r="HH72" s="237"/>
      <c r="HI72" s="237"/>
      <c r="HJ72" s="237"/>
      <c r="HK72" s="237"/>
      <c r="HL72" s="237"/>
      <c r="HM72" s="237"/>
      <c r="HN72" s="237"/>
      <c r="HO72" s="237"/>
      <c r="HP72" s="237"/>
      <c r="HQ72" s="237"/>
      <c r="HR72" s="237"/>
      <c r="HS72" s="237"/>
      <c r="HT72" s="237"/>
      <c r="HU72" s="237"/>
      <c r="HV72" s="237"/>
      <c r="HW72" s="237"/>
      <c r="HX72" s="237"/>
      <c r="HY72" s="237"/>
      <c r="HZ72" s="237"/>
      <c r="IA72" s="237"/>
      <c r="IB72" s="237"/>
      <c r="IC72" s="237"/>
      <c r="ID72" s="237"/>
      <c r="IE72" s="237"/>
      <c r="IF72" s="237"/>
      <c r="IG72" s="237"/>
      <c r="IH72" s="237"/>
      <c r="II72" s="237"/>
      <c r="IJ72" s="237"/>
      <c r="IK72" s="237"/>
      <c r="IL72" s="237"/>
      <c r="IM72" s="237"/>
      <c r="IN72" s="237"/>
      <c r="IO72" s="237"/>
      <c r="IP72" s="237"/>
      <c r="IQ72" s="237"/>
      <c r="IR72" s="237"/>
      <c r="IS72" s="237"/>
      <c r="IT72" s="237"/>
      <c r="IU72" s="237"/>
      <c r="IV72" s="237"/>
      <c r="IW72" s="237"/>
    </row>
    <row r="73" customFormat="false" ht="11.25" hidden="false" customHeight="false" outlineLevel="0" collapsed="false">
      <c r="A73" s="237"/>
      <c r="B73" s="246" t="s">
        <v>193</v>
      </c>
      <c r="C73" s="251" t="n">
        <f aca="false">C70+C71</f>
        <v>0.0717260685883425</v>
      </c>
      <c r="D73" s="251" t="n">
        <f aca="false">D70+D71</f>
        <v>0.0762272523674611</v>
      </c>
      <c r="E73" s="251" t="n">
        <f aca="false">E70+E71</f>
        <v>0.0776949028199917</v>
      </c>
      <c r="F73" s="251" t="n">
        <f aca="false">F70+F71</f>
        <v>0.0809245887318758</v>
      </c>
      <c r="G73" s="251" t="n">
        <f aca="false">G70+G71</f>
        <v>0.0811564727793529</v>
      </c>
      <c r="H73" s="251" t="n">
        <f aca="false">H70+H71</f>
        <v>0.0813186124813506</v>
      </c>
      <c r="I73" s="251" t="n">
        <f aca="false">I70+I71</f>
        <v>0.0839022018658963</v>
      </c>
      <c r="J73" s="251" t="n">
        <f aca="false">J70+J71</f>
        <v>0.0839857912527591</v>
      </c>
      <c r="K73" s="251" t="n">
        <f aca="false">K70+K71</f>
        <v>0.0840696096539674</v>
      </c>
      <c r="L73" s="251" t="n">
        <f aca="false">L70+L71</f>
        <v>0.0866531990454705</v>
      </c>
      <c r="M73" s="251" t="n">
        <f aca="false">M70+M71</f>
        <v>0.086760822902042</v>
      </c>
      <c r="N73" s="251" t="n">
        <f aca="false">N70+N71</f>
        <v>0.0868957639822193</v>
      </c>
      <c r="O73" s="251" t="n">
        <f aca="false">O70+O71</f>
        <v>0.0895310747700483</v>
      </c>
      <c r="P73" s="251" t="n">
        <f aca="false">P70+P71</f>
        <v>0.0896660158623165</v>
      </c>
      <c r="Q73" s="251" t="n">
        <f aca="false">Q70+Q71</f>
        <v>0.0898009569606212</v>
      </c>
      <c r="R73" s="251" t="n">
        <f aca="false">R70+R71</f>
        <v>0.0923311257479116</v>
      </c>
      <c r="S73" s="251" t="n">
        <f aca="false">S70+S71</f>
        <v>0.0647445657683591</v>
      </c>
      <c r="T73" s="251" t="n">
        <f aca="false">T70+T71</f>
        <v>0.0646582422939566</v>
      </c>
      <c r="U73" s="251" t="n">
        <f aca="false">U70+U71</f>
        <v>0.0645719188220244</v>
      </c>
      <c r="V73" s="251" t="n">
        <f aca="false">V70+V71</f>
        <v>0.0644855953525627</v>
      </c>
      <c r="W73" s="251" t="n">
        <f aca="false">W70+W71</f>
        <v>0.0643254711884753</v>
      </c>
      <c r="X73" s="250"/>
      <c r="Y73" s="250"/>
      <c r="Z73" s="250"/>
      <c r="AA73" s="250"/>
      <c r="AB73" s="250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  <c r="AZ73" s="237"/>
      <c r="BA73" s="237"/>
      <c r="BB73" s="237"/>
      <c r="BC73" s="237"/>
      <c r="BD73" s="237"/>
      <c r="BE73" s="237"/>
      <c r="BF73" s="237"/>
      <c r="BG73" s="237"/>
      <c r="BH73" s="237"/>
      <c r="BI73" s="237"/>
      <c r="BJ73" s="237"/>
      <c r="BK73" s="237"/>
      <c r="BL73" s="237"/>
      <c r="BM73" s="237"/>
      <c r="BN73" s="237"/>
      <c r="BO73" s="237"/>
      <c r="BP73" s="237"/>
      <c r="BQ73" s="237"/>
      <c r="BR73" s="237"/>
      <c r="BS73" s="237"/>
      <c r="BT73" s="237"/>
      <c r="BU73" s="237"/>
      <c r="BV73" s="237"/>
      <c r="BW73" s="237"/>
      <c r="BX73" s="237"/>
      <c r="BY73" s="237"/>
      <c r="BZ73" s="237"/>
      <c r="CA73" s="237"/>
      <c r="CB73" s="237"/>
      <c r="CC73" s="237"/>
      <c r="CD73" s="237"/>
      <c r="CE73" s="237"/>
      <c r="CF73" s="237"/>
      <c r="CG73" s="237"/>
      <c r="CH73" s="237"/>
      <c r="CI73" s="237"/>
      <c r="CJ73" s="237"/>
      <c r="CK73" s="237"/>
      <c r="CL73" s="237"/>
      <c r="CM73" s="237"/>
      <c r="CN73" s="237"/>
      <c r="CO73" s="237"/>
      <c r="CP73" s="237"/>
      <c r="CQ73" s="237"/>
      <c r="CR73" s="237"/>
      <c r="CS73" s="237"/>
      <c r="CT73" s="237"/>
      <c r="CU73" s="237"/>
      <c r="CV73" s="237"/>
      <c r="CW73" s="237"/>
      <c r="CX73" s="237"/>
      <c r="CY73" s="237"/>
      <c r="CZ73" s="237"/>
      <c r="DA73" s="237"/>
      <c r="DB73" s="237"/>
      <c r="DC73" s="237"/>
      <c r="DD73" s="237"/>
      <c r="DE73" s="237"/>
      <c r="DF73" s="237"/>
      <c r="DG73" s="237"/>
      <c r="DH73" s="237"/>
      <c r="DI73" s="237"/>
      <c r="DJ73" s="237"/>
      <c r="DK73" s="237"/>
      <c r="DL73" s="237"/>
      <c r="DM73" s="237"/>
      <c r="DN73" s="237"/>
      <c r="DO73" s="237"/>
      <c r="DP73" s="237"/>
      <c r="DQ73" s="237"/>
      <c r="DR73" s="237"/>
      <c r="DS73" s="237"/>
      <c r="DT73" s="237"/>
      <c r="DU73" s="237"/>
      <c r="DV73" s="237"/>
      <c r="DW73" s="237"/>
      <c r="DX73" s="237"/>
      <c r="DY73" s="237"/>
      <c r="DZ73" s="237"/>
      <c r="EA73" s="237"/>
      <c r="EB73" s="237"/>
      <c r="EC73" s="237"/>
      <c r="ED73" s="237"/>
      <c r="EE73" s="237"/>
      <c r="EF73" s="237"/>
      <c r="EG73" s="237"/>
      <c r="EH73" s="237"/>
      <c r="EI73" s="237"/>
      <c r="EJ73" s="237"/>
      <c r="EK73" s="237"/>
      <c r="EL73" s="237"/>
      <c r="EM73" s="237"/>
      <c r="EN73" s="237"/>
      <c r="EO73" s="237"/>
      <c r="EP73" s="237"/>
      <c r="EQ73" s="237"/>
      <c r="ER73" s="237"/>
      <c r="ES73" s="237"/>
      <c r="ET73" s="237"/>
      <c r="EU73" s="237"/>
      <c r="EV73" s="237"/>
      <c r="EW73" s="237"/>
      <c r="EX73" s="237"/>
      <c r="EY73" s="237"/>
      <c r="EZ73" s="237"/>
      <c r="FA73" s="237"/>
      <c r="FB73" s="237"/>
      <c r="FC73" s="237"/>
      <c r="FD73" s="237"/>
      <c r="FE73" s="237"/>
      <c r="FF73" s="237"/>
      <c r="FG73" s="237"/>
      <c r="FH73" s="237"/>
      <c r="FI73" s="237"/>
      <c r="FJ73" s="237"/>
      <c r="FK73" s="237"/>
      <c r="FL73" s="237"/>
      <c r="FM73" s="237"/>
      <c r="FN73" s="237"/>
      <c r="FO73" s="237"/>
      <c r="FP73" s="237"/>
      <c r="FQ73" s="237"/>
      <c r="FR73" s="237"/>
      <c r="FS73" s="237"/>
      <c r="FT73" s="237"/>
      <c r="FU73" s="237"/>
      <c r="FV73" s="237"/>
      <c r="FW73" s="237"/>
      <c r="FX73" s="237"/>
      <c r="FY73" s="237"/>
      <c r="FZ73" s="237"/>
      <c r="GA73" s="237"/>
      <c r="GB73" s="237"/>
      <c r="GC73" s="237"/>
      <c r="GD73" s="237"/>
      <c r="GE73" s="237"/>
      <c r="GF73" s="237"/>
      <c r="GG73" s="237"/>
      <c r="GH73" s="237"/>
      <c r="GI73" s="237"/>
      <c r="GJ73" s="237"/>
      <c r="GK73" s="237"/>
      <c r="GL73" s="237"/>
      <c r="GM73" s="237"/>
      <c r="GN73" s="237"/>
      <c r="GO73" s="237"/>
      <c r="GP73" s="237"/>
      <c r="GQ73" s="237"/>
      <c r="GR73" s="237"/>
      <c r="GS73" s="237"/>
      <c r="GT73" s="237"/>
      <c r="GU73" s="237"/>
      <c r="GV73" s="237"/>
      <c r="GW73" s="237"/>
      <c r="GX73" s="237"/>
      <c r="GY73" s="237"/>
      <c r="GZ73" s="237"/>
      <c r="HA73" s="237"/>
      <c r="HB73" s="237"/>
      <c r="HC73" s="237"/>
      <c r="HD73" s="237"/>
      <c r="HE73" s="237"/>
      <c r="HF73" s="237"/>
      <c r="HG73" s="237"/>
      <c r="HH73" s="237"/>
      <c r="HI73" s="237"/>
      <c r="HJ73" s="237"/>
      <c r="HK73" s="237"/>
      <c r="HL73" s="237"/>
      <c r="HM73" s="237"/>
      <c r="HN73" s="237"/>
      <c r="HO73" s="237"/>
      <c r="HP73" s="237"/>
      <c r="HQ73" s="237"/>
      <c r="HR73" s="237"/>
      <c r="HS73" s="237"/>
      <c r="HT73" s="237"/>
      <c r="HU73" s="237"/>
      <c r="HV73" s="237"/>
      <c r="HW73" s="237"/>
      <c r="HX73" s="237"/>
      <c r="HY73" s="237"/>
      <c r="HZ73" s="237"/>
      <c r="IA73" s="237"/>
      <c r="IB73" s="237"/>
      <c r="IC73" s="237"/>
      <c r="ID73" s="237"/>
      <c r="IE73" s="237"/>
      <c r="IF73" s="237"/>
      <c r="IG73" s="237"/>
      <c r="IH73" s="237"/>
      <c r="II73" s="237"/>
      <c r="IJ73" s="237"/>
      <c r="IK73" s="237"/>
      <c r="IL73" s="237"/>
      <c r="IM73" s="237"/>
      <c r="IN73" s="237"/>
      <c r="IO73" s="237"/>
      <c r="IP73" s="237"/>
      <c r="IQ73" s="237"/>
      <c r="IR73" s="237"/>
      <c r="IS73" s="237"/>
      <c r="IT73" s="237"/>
      <c r="IU73" s="237"/>
      <c r="IV73" s="237"/>
      <c r="IW73" s="237"/>
    </row>
    <row r="74" customFormat="false" ht="11.25" hidden="false" customHeight="false" outlineLevel="0" collapsed="false">
      <c r="A74" s="218"/>
      <c r="B74" s="252" t="s">
        <v>194</v>
      </c>
      <c r="C74" s="253" t="n">
        <v>0</v>
      </c>
      <c r="D74" s="253" t="e">
        <f aca="false">C83</f>
        <v>#VALUE!</v>
      </c>
      <c r="E74" s="253" t="e">
        <f aca="false">D83</f>
        <v>#VALUE!</v>
      </c>
      <c r="F74" s="277"/>
      <c r="G74" s="254" t="n">
        <f aca="false">J55</f>
        <v>0</v>
      </c>
      <c r="H74" s="253" t="n">
        <f aca="false">G83</f>
        <v>0</v>
      </c>
      <c r="I74" s="253" t="n">
        <f aca="false">H83</f>
        <v>0</v>
      </c>
      <c r="J74" s="253" t="n">
        <f aca="false">I83</f>
        <v>0</v>
      </c>
      <c r="K74" s="253" t="n">
        <f aca="false">J83</f>
        <v>0</v>
      </c>
      <c r="L74" s="253" t="n">
        <f aca="false">K83</f>
        <v>0</v>
      </c>
      <c r="M74" s="253" t="n">
        <f aca="false">L83</f>
        <v>0</v>
      </c>
      <c r="N74" s="253" t="n">
        <f aca="false">M83</f>
        <v>0</v>
      </c>
      <c r="O74" s="253" t="n">
        <f aca="false">N83</f>
        <v>0</v>
      </c>
      <c r="P74" s="253" t="n">
        <f aca="false">O83</f>
        <v>0</v>
      </c>
      <c r="Q74" s="253" t="n">
        <f aca="false">P83</f>
        <v>0</v>
      </c>
      <c r="R74" s="253" t="n">
        <f aca="false">Q83</f>
        <v>0</v>
      </c>
      <c r="S74" s="253" t="n">
        <f aca="false">R83</f>
        <v>0</v>
      </c>
      <c r="T74" s="253" t="n">
        <f aca="false">S83</f>
        <v>0</v>
      </c>
      <c r="U74" s="253" t="n">
        <f aca="false">T83</f>
        <v>0</v>
      </c>
      <c r="V74" s="253" t="n">
        <f aca="false">U83</f>
        <v>0</v>
      </c>
      <c r="W74" s="253" t="n">
        <f aca="false">V83</f>
        <v>0</v>
      </c>
      <c r="X74" s="253" t="n">
        <f aca="false">W83</f>
        <v>0</v>
      </c>
      <c r="Y74" s="253" t="n">
        <f aca="false">X83</f>
        <v>0</v>
      </c>
      <c r="Z74" s="253" t="n">
        <f aca="false">Y83</f>
        <v>0</v>
      </c>
      <c r="AA74" s="253" t="n">
        <f aca="false">Z83</f>
        <v>0</v>
      </c>
      <c r="AB74" s="253" t="n">
        <f aca="false">AA83</f>
        <v>0</v>
      </c>
      <c r="AC74" s="218"/>
      <c r="AD74" s="218"/>
      <c r="AE74" s="218"/>
      <c r="AF74" s="218"/>
      <c r="AG74" s="218"/>
      <c r="AH74" s="218"/>
      <c r="AI74" s="218"/>
      <c r="AJ74" s="218"/>
      <c r="AK74" s="218"/>
      <c r="AL74" s="218"/>
      <c r="AM74" s="218"/>
      <c r="AN74" s="218"/>
      <c r="AO74" s="218"/>
      <c r="AP74" s="218"/>
      <c r="AQ74" s="218"/>
      <c r="AR74" s="218"/>
      <c r="AS74" s="218"/>
      <c r="AT74" s="218"/>
      <c r="AU74" s="218"/>
      <c r="AV74" s="218"/>
      <c r="AW74" s="218"/>
      <c r="AX74" s="218"/>
      <c r="AY74" s="218"/>
      <c r="AZ74" s="218"/>
      <c r="BA74" s="218"/>
      <c r="BB74" s="218"/>
      <c r="BC74" s="218"/>
      <c r="BD74" s="218"/>
      <c r="BE74" s="218"/>
      <c r="BF74" s="218"/>
      <c r="BG74" s="218"/>
      <c r="BH74" s="218"/>
      <c r="BI74" s="218"/>
      <c r="BJ74" s="218"/>
      <c r="BK74" s="218"/>
      <c r="BL74" s="218"/>
      <c r="BM74" s="218"/>
      <c r="BN74" s="218"/>
      <c r="BO74" s="218"/>
      <c r="BP74" s="218"/>
      <c r="BQ74" s="218"/>
      <c r="BR74" s="218"/>
      <c r="BS74" s="218"/>
      <c r="BT74" s="218"/>
      <c r="BU74" s="218"/>
      <c r="BV74" s="218"/>
      <c r="BW74" s="218"/>
      <c r="BX74" s="218"/>
      <c r="BY74" s="218"/>
      <c r="BZ74" s="218"/>
      <c r="CA74" s="218"/>
      <c r="CB74" s="218"/>
      <c r="CC74" s="218"/>
      <c r="CD74" s="218"/>
      <c r="CE74" s="218"/>
      <c r="CF74" s="218"/>
      <c r="CG74" s="218"/>
      <c r="CH74" s="218"/>
      <c r="CI74" s="218"/>
      <c r="CJ74" s="218"/>
      <c r="CK74" s="218"/>
      <c r="CL74" s="218"/>
      <c r="CM74" s="218"/>
      <c r="CN74" s="218"/>
      <c r="CO74" s="218"/>
      <c r="CP74" s="218"/>
      <c r="CQ74" s="218"/>
      <c r="CR74" s="218"/>
      <c r="CS74" s="218"/>
      <c r="CT74" s="218"/>
      <c r="CU74" s="218"/>
      <c r="CV74" s="218"/>
      <c r="CW74" s="218"/>
      <c r="CX74" s="218"/>
      <c r="CY74" s="218"/>
      <c r="CZ74" s="218"/>
      <c r="DA74" s="218"/>
      <c r="DB74" s="218"/>
      <c r="DC74" s="218"/>
      <c r="DD74" s="218"/>
      <c r="DE74" s="218"/>
      <c r="DF74" s="218"/>
      <c r="DG74" s="218"/>
      <c r="DH74" s="218"/>
      <c r="DI74" s="218"/>
      <c r="DJ74" s="218"/>
      <c r="DK74" s="218"/>
      <c r="DL74" s="218"/>
      <c r="DM74" s="218"/>
      <c r="DN74" s="218"/>
      <c r="DO74" s="218"/>
      <c r="DP74" s="218"/>
      <c r="DQ74" s="218"/>
      <c r="DR74" s="218"/>
      <c r="DS74" s="218"/>
      <c r="DT74" s="218"/>
      <c r="DU74" s="218"/>
      <c r="DV74" s="218"/>
      <c r="DW74" s="218"/>
      <c r="DX74" s="218"/>
      <c r="DY74" s="218"/>
      <c r="DZ74" s="218"/>
      <c r="EA74" s="218"/>
      <c r="EB74" s="218"/>
      <c r="EC74" s="218"/>
      <c r="ED74" s="218"/>
      <c r="EE74" s="218"/>
      <c r="EF74" s="218"/>
      <c r="EG74" s="218"/>
      <c r="EH74" s="218"/>
      <c r="EI74" s="218"/>
      <c r="EJ74" s="218"/>
      <c r="EK74" s="218"/>
      <c r="EL74" s="218"/>
      <c r="EM74" s="218"/>
      <c r="EN74" s="218"/>
      <c r="EO74" s="218"/>
      <c r="EP74" s="218"/>
      <c r="EQ74" s="218"/>
      <c r="ER74" s="218"/>
      <c r="ES74" s="218"/>
      <c r="ET74" s="218"/>
      <c r="EU74" s="218"/>
      <c r="EV74" s="218"/>
      <c r="EW74" s="218"/>
      <c r="EX74" s="218"/>
      <c r="EY74" s="218"/>
      <c r="EZ74" s="218"/>
      <c r="FA74" s="218"/>
      <c r="FB74" s="218"/>
      <c r="FC74" s="218"/>
      <c r="FD74" s="218"/>
      <c r="FE74" s="218"/>
      <c r="FF74" s="218"/>
      <c r="FG74" s="218"/>
      <c r="FH74" s="218"/>
      <c r="FI74" s="218"/>
      <c r="FJ74" s="218"/>
      <c r="FK74" s="218"/>
      <c r="FL74" s="218"/>
      <c r="FM74" s="218"/>
      <c r="FN74" s="218"/>
      <c r="FO74" s="218"/>
      <c r="FP74" s="218"/>
      <c r="FQ74" s="218"/>
      <c r="FR74" s="218"/>
      <c r="FS74" s="218"/>
      <c r="FT74" s="218"/>
      <c r="FU74" s="218"/>
      <c r="FV74" s="218"/>
      <c r="FW74" s="218"/>
      <c r="FX74" s="218"/>
      <c r="FY74" s="218"/>
      <c r="FZ74" s="218"/>
      <c r="GA74" s="218"/>
      <c r="GB74" s="218"/>
      <c r="GC74" s="218"/>
      <c r="GD74" s="218"/>
      <c r="GE74" s="218"/>
      <c r="GF74" s="218"/>
      <c r="GG74" s="218"/>
      <c r="GH74" s="218"/>
      <c r="GI74" s="218"/>
      <c r="GJ74" s="218"/>
      <c r="GK74" s="218"/>
      <c r="GL74" s="218"/>
      <c r="GM74" s="218"/>
      <c r="GN74" s="218"/>
      <c r="GO74" s="218"/>
      <c r="GP74" s="218"/>
      <c r="GQ74" s="218"/>
      <c r="GR74" s="218"/>
      <c r="GS74" s="218"/>
      <c r="GT74" s="218"/>
      <c r="GU74" s="218"/>
      <c r="GV74" s="218"/>
      <c r="GW74" s="218"/>
      <c r="GX74" s="218"/>
      <c r="GY74" s="218"/>
      <c r="GZ74" s="218"/>
      <c r="HA74" s="218"/>
      <c r="HB74" s="218"/>
      <c r="HC74" s="218"/>
      <c r="HD74" s="218"/>
      <c r="HE74" s="218"/>
      <c r="HF74" s="218"/>
      <c r="HG74" s="218"/>
      <c r="HH74" s="218"/>
      <c r="HI74" s="218"/>
      <c r="HJ74" s="218"/>
      <c r="HK74" s="218"/>
      <c r="HL74" s="218"/>
      <c r="HM74" s="218"/>
      <c r="HN74" s="218"/>
      <c r="HO74" s="218"/>
      <c r="HP74" s="218"/>
      <c r="HQ74" s="218"/>
      <c r="HR74" s="218"/>
      <c r="HS74" s="218"/>
      <c r="HT74" s="218"/>
      <c r="HU74" s="218"/>
      <c r="HV74" s="218"/>
      <c r="HW74" s="218"/>
      <c r="HX74" s="218"/>
      <c r="HY74" s="218"/>
      <c r="HZ74" s="218"/>
      <c r="IA74" s="218"/>
      <c r="IB74" s="218"/>
      <c r="IC74" s="218"/>
      <c r="ID74" s="218"/>
      <c r="IE74" s="218"/>
      <c r="IF74" s="218"/>
      <c r="IG74" s="218"/>
      <c r="IH74" s="218"/>
      <c r="II74" s="218"/>
      <c r="IJ74" s="218"/>
      <c r="IK74" s="218"/>
      <c r="IL74" s="218"/>
      <c r="IM74" s="218"/>
      <c r="IN74" s="218"/>
      <c r="IO74" s="218"/>
      <c r="IP74" s="218"/>
      <c r="IQ74" s="218"/>
      <c r="IR74" s="218"/>
      <c r="IS74" s="218"/>
      <c r="IT74" s="218"/>
      <c r="IU74" s="218"/>
      <c r="IV74" s="218"/>
      <c r="IW74" s="218"/>
    </row>
    <row r="75" customFormat="false" ht="11.25" hidden="false" customHeight="false" outlineLevel="0" collapsed="false">
      <c r="A75" s="218"/>
      <c r="B75" s="256" t="s">
        <v>195</v>
      </c>
      <c r="C75" s="257" t="n">
        <f aca="false">C76+C77</f>
        <v>0</v>
      </c>
      <c r="D75" s="257" t="e">
        <f aca="false">D76+D77</f>
        <v>#VALUE!</v>
      </c>
      <c r="E75" s="257" t="e">
        <f aca="false">E76+E77</f>
        <v>#VALUE!</v>
      </c>
      <c r="F75" s="257" t="n">
        <f aca="false">F76+F77</f>
        <v>0</v>
      </c>
      <c r="G75" s="257" t="n">
        <f aca="false">G76+G77</f>
        <v>0</v>
      </c>
      <c r="H75" s="257" t="n">
        <f aca="false">H76+H77</f>
        <v>0</v>
      </c>
      <c r="I75" s="257" t="n">
        <f aca="false">I76+I77</f>
        <v>0</v>
      </c>
      <c r="J75" s="257" t="n">
        <f aca="false">J76+J77</f>
        <v>0</v>
      </c>
      <c r="K75" s="257" t="n">
        <f aca="false">K76+K77</f>
        <v>0</v>
      </c>
      <c r="L75" s="257" t="n">
        <f aca="false">L76+L77</f>
        <v>0</v>
      </c>
      <c r="M75" s="257" t="n">
        <f aca="false">M76+M77</f>
        <v>0</v>
      </c>
      <c r="N75" s="257" t="n">
        <f aca="false">N76+N77</f>
        <v>0</v>
      </c>
      <c r="O75" s="257" t="n">
        <f aca="false">O76+O77</f>
        <v>0</v>
      </c>
      <c r="P75" s="257" t="n">
        <f aca="false">P76+P77</f>
        <v>0</v>
      </c>
      <c r="Q75" s="257" t="n">
        <f aca="false">Q76+Q77</f>
        <v>0</v>
      </c>
      <c r="R75" s="257" t="n">
        <f aca="false">R76+R77</f>
        <v>0</v>
      </c>
      <c r="S75" s="257" t="n">
        <f aca="false">S76+S77</f>
        <v>0</v>
      </c>
      <c r="T75" s="257" t="n">
        <f aca="false">T76+T77</f>
        <v>0</v>
      </c>
      <c r="U75" s="257" t="n">
        <f aca="false">U76+U77</f>
        <v>0</v>
      </c>
      <c r="V75" s="257" t="n">
        <f aca="false">V76+V77</f>
        <v>0</v>
      </c>
      <c r="W75" s="257" t="n">
        <f aca="false">W76+W77</f>
        <v>0</v>
      </c>
      <c r="X75" s="257" t="n">
        <f aca="false">X76+X77</f>
        <v>0</v>
      </c>
      <c r="Y75" s="257" t="e">
        <f aca="false">PMT($G$3/2,$G$4*2,-$J$3)*#REF!</f>
        <v>#REF!</v>
      </c>
      <c r="Z75" s="257" t="e">
        <f aca="false">PMT($G$3/2,$G$4*2,-$J$3)*#REF!</f>
        <v>#REF!</v>
      </c>
      <c r="AA75" s="257" t="e">
        <f aca="false">PMT($G$3/2,$G$4*2,-$J$3)*#REF!</f>
        <v>#REF!</v>
      </c>
      <c r="AB75" s="257" t="e">
        <f aca="false">PMT($G$3/2,$G$4*2,-$J$3)*#REF!</f>
        <v>#REF!</v>
      </c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8"/>
      <c r="BD75" s="218"/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8"/>
      <c r="CA75" s="218"/>
      <c r="CB75" s="218"/>
      <c r="CC75" s="218"/>
      <c r="CD75" s="218"/>
      <c r="CE75" s="218"/>
      <c r="CF75" s="218"/>
      <c r="CG75" s="218"/>
      <c r="CH75" s="218"/>
      <c r="CI75" s="218"/>
      <c r="CJ75" s="218"/>
      <c r="CK75" s="218"/>
      <c r="CL75" s="218"/>
      <c r="CM75" s="218"/>
      <c r="CN75" s="218"/>
      <c r="CO75" s="218"/>
      <c r="CP75" s="218"/>
      <c r="CQ75" s="218"/>
      <c r="CR75" s="218"/>
      <c r="CS75" s="218"/>
      <c r="CT75" s="218"/>
      <c r="CU75" s="218"/>
      <c r="CV75" s="218"/>
      <c r="CW75" s="218"/>
      <c r="CX75" s="218"/>
      <c r="CY75" s="218"/>
      <c r="CZ75" s="218"/>
      <c r="DA75" s="218"/>
      <c r="DB75" s="218"/>
      <c r="DC75" s="218"/>
      <c r="DD75" s="218"/>
      <c r="DE75" s="218"/>
      <c r="DF75" s="218"/>
      <c r="DG75" s="218"/>
      <c r="DH75" s="218"/>
      <c r="DI75" s="218"/>
      <c r="DJ75" s="218"/>
      <c r="DK75" s="218"/>
      <c r="DL75" s="218"/>
      <c r="DM75" s="218"/>
      <c r="DN75" s="218"/>
      <c r="DO75" s="218"/>
      <c r="DP75" s="218"/>
      <c r="DQ75" s="218"/>
      <c r="DR75" s="218"/>
      <c r="DS75" s="218"/>
      <c r="DT75" s="218"/>
      <c r="DU75" s="218"/>
      <c r="DV75" s="218"/>
      <c r="DW75" s="218"/>
      <c r="DX75" s="218"/>
      <c r="DY75" s="218"/>
      <c r="DZ75" s="218"/>
      <c r="EA75" s="218"/>
      <c r="EB75" s="218"/>
      <c r="EC75" s="218"/>
      <c r="ED75" s="218"/>
      <c r="EE75" s="218"/>
      <c r="EF75" s="218"/>
      <c r="EG75" s="218"/>
      <c r="EH75" s="218"/>
      <c r="EI75" s="218"/>
      <c r="EJ75" s="218"/>
      <c r="EK75" s="218"/>
      <c r="EL75" s="218"/>
      <c r="EM75" s="218"/>
      <c r="EN75" s="218"/>
      <c r="EO75" s="218"/>
      <c r="EP75" s="218"/>
      <c r="EQ75" s="218"/>
      <c r="ER75" s="218"/>
      <c r="ES75" s="218"/>
      <c r="ET75" s="218"/>
      <c r="EU75" s="218"/>
      <c r="EV75" s="218"/>
      <c r="EW75" s="218"/>
      <c r="EX75" s="218"/>
      <c r="EY75" s="218"/>
      <c r="EZ75" s="218"/>
      <c r="FA75" s="218"/>
      <c r="FB75" s="218"/>
      <c r="FC75" s="218"/>
      <c r="FD75" s="218"/>
      <c r="FE75" s="218"/>
      <c r="FF75" s="218"/>
      <c r="FG75" s="218"/>
      <c r="FH75" s="218"/>
      <c r="FI75" s="218"/>
      <c r="FJ75" s="218"/>
      <c r="FK75" s="218"/>
      <c r="FL75" s="218"/>
      <c r="FM75" s="218"/>
      <c r="FN75" s="218"/>
      <c r="FO75" s="218"/>
      <c r="FP75" s="218"/>
      <c r="FQ75" s="218"/>
      <c r="FR75" s="218"/>
      <c r="FS75" s="218"/>
      <c r="FT75" s="218"/>
      <c r="FU75" s="218"/>
      <c r="FV75" s="218"/>
      <c r="FW75" s="218"/>
      <c r="FX75" s="218"/>
      <c r="FY75" s="218"/>
      <c r="FZ75" s="218"/>
      <c r="GA75" s="218"/>
      <c r="GB75" s="218"/>
      <c r="GC75" s="218"/>
      <c r="GD75" s="218"/>
      <c r="GE75" s="218"/>
      <c r="GF75" s="218"/>
      <c r="GG75" s="218"/>
      <c r="GH75" s="218"/>
      <c r="GI75" s="218"/>
      <c r="GJ75" s="218"/>
      <c r="GK75" s="218"/>
      <c r="GL75" s="218"/>
      <c r="GM75" s="218"/>
      <c r="GN75" s="218"/>
      <c r="GO75" s="218"/>
      <c r="GP75" s="218"/>
      <c r="GQ75" s="218"/>
      <c r="GR75" s="218"/>
      <c r="GS75" s="218"/>
      <c r="GT75" s="218"/>
      <c r="GU75" s="218"/>
      <c r="GV75" s="218"/>
      <c r="GW75" s="218"/>
      <c r="GX75" s="218"/>
      <c r="GY75" s="218"/>
      <c r="GZ75" s="218"/>
      <c r="HA75" s="218"/>
      <c r="HB75" s="218"/>
      <c r="HC75" s="218"/>
      <c r="HD75" s="218"/>
      <c r="HE75" s="218"/>
      <c r="HF75" s="218"/>
      <c r="HG75" s="218"/>
      <c r="HH75" s="218"/>
      <c r="HI75" s="218"/>
      <c r="HJ75" s="218"/>
      <c r="HK75" s="218"/>
      <c r="HL75" s="218"/>
      <c r="HM75" s="218"/>
      <c r="HN75" s="218"/>
      <c r="HO75" s="218"/>
      <c r="HP75" s="218"/>
      <c r="HQ75" s="218"/>
      <c r="HR75" s="218"/>
      <c r="HS75" s="218"/>
      <c r="HT75" s="218"/>
      <c r="HU75" s="218"/>
      <c r="HV75" s="218"/>
      <c r="HW75" s="218"/>
      <c r="HX75" s="218"/>
      <c r="HY75" s="218"/>
      <c r="HZ75" s="218"/>
      <c r="IA75" s="218"/>
      <c r="IB75" s="218"/>
      <c r="IC75" s="218"/>
      <c r="ID75" s="218"/>
      <c r="IE75" s="218"/>
      <c r="IF75" s="218"/>
      <c r="IG75" s="218"/>
      <c r="IH75" s="218"/>
      <c r="II75" s="218"/>
      <c r="IJ75" s="218"/>
      <c r="IK75" s="218"/>
      <c r="IL75" s="218"/>
      <c r="IM75" s="218"/>
      <c r="IN75" s="218"/>
      <c r="IO75" s="218"/>
      <c r="IP75" s="218"/>
      <c r="IQ75" s="218"/>
      <c r="IR75" s="218"/>
      <c r="IS75" s="218"/>
      <c r="IT75" s="218"/>
      <c r="IU75" s="218"/>
      <c r="IV75" s="218"/>
      <c r="IW75" s="218"/>
    </row>
    <row r="76" customFormat="false" ht="11.25" hidden="false" customHeight="false" outlineLevel="0" collapsed="false">
      <c r="A76" s="218"/>
      <c r="B76" s="256" t="s">
        <v>196</v>
      </c>
      <c r="C76" s="257" t="n">
        <v>0</v>
      </c>
      <c r="D76" s="257" t="e">
        <f aca="false">D74*D72/2</f>
        <v>#VALUE!</v>
      </c>
      <c r="E76" s="257" t="e">
        <f aca="false">E74*E72/2</f>
        <v>#VALUE!</v>
      </c>
      <c r="F76" s="257" t="n">
        <f aca="false">F74*F72/2</f>
        <v>0</v>
      </c>
      <c r="G76" s="257" t="n">
        <f aca="false">G74*G72/2</f>
        <v>0</v>
      </c>
      <c r="H76" s="257" t="n">
        <f aca="false">H74*H72/2</f>
        <v>0</v>
      </c>
      <c r="I76" s="257" t="n">
        <f aca="false">I74*I72/2</f>
        <v>0</v>
      </c>
      <c r="J76" s="257" t="n">
        <f aca="false">J74*J72/2</f>
        <v>0</v>
      </c>
      <c r="K76" s="257" t="n">
        <f aca="false">K74*K72/2</f>
        <v>0</v>
      </c>
      <c r="L76" s="257" t="n">
        <f aca="false">L74*L72/2</f>
        <v>0</v>
      </c>
      <c r="M76" s="257" t="n">
        <f aca="false">M74*M72/2</f>
        <v>0</v>
      </c>
      <c r="N76" s="257" t="n">
        <f aca="false">N74*N72/2</f>
        <v>0</v>
      </c>
      <c r="O76" s="257" t="n">
        <f aca="false">O74*O72/2</f>
        <v>0</v>
      </c>
      <c r="P76" s="257" t="n">
        <f aca="false">P74*P72/2</f>
        <v>0</v>
      </c>
      <c r="Q76" s="257" t="n">
        <f aca="false">Q74*Q72/2</f>
        <v>0</v>
      </c>
      <c r="R76" s="257" t="n">
        <f aca="false">R74*R72/2</f>
        <v>0</v>
      </c>
      <c r="S76" s="257" t="n">
        <f aca="false">S74*S72/2</f>
        <v>0</v>
      </c>
      <c r="T76" s="257" t="n">
        <f aca="false">T74*T72/2</f>
        <v>0</v>
      </c>
      <c r="U76" s="257" t="n">
        <f aca="false">U74*U72/2</f>
        <v>0</v>
      </c>
      <c r="V76" s="257" t="n">
        <f aca="false">V74*V72/2</f>
        <v>0</v>
      </c>
      <c r="W76" s="257" t="n">
        <f aca="false">W74*W72/2</f>
        <v>0</v>
      </c>
      <c r="X76" s="257" t="n">
        <f aca="false">X74*X72/2</f>
        <v>0</v>
      </c>
      <c r="Y76" s="257" t="n">
        <f aca="false">Y74*Y72/2</f>
        <v>0</v>
      </c>
      <c r="Z76" s="257" t="n">
        <f aca="false">Z74*Z72/2</f>
        <v>0</v>
      </c>
      <c r="AA76" s="257" t="n">
        <f aca="false">AA74*AA72/2</f>
        <v>0</v>
      </c>
      <c r="AB76" s="257" t="n">
        <f aca="false">AB74*AB72/2</f>
        <v>0</v>
      </c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8"/>
      <c r="BD76" s="218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8"/>
      <c r="CA76" s="218"/>
      <c r="CB76" s="218"/>
      <c r="CC76" s="218"/>
      <c r="CD76" s="218"/>
      <c r="CE76" s="218"/>
      <c r="CF76" s="218"/>
      <c r="CG76" s="218"/>
      <c r="CH76" s="218"/>
      <c r="CI76" s="218"/>
      <c r="CJ76" s="218"/>
      <c r="CK76" s="218"/>
      <c r="CL76" s="218"/>
      <c r="CM76" s="218"/>
      <c r="CN76" s="218"/>
      <c r="CO76" s="218"/>
      <c r="CP76" s="218"/>
      <c r="CQ76" s="218"/>
      <c r="CR76" s="218"/>
      <c r="CS76" s="218"/>
      <c r="CT76" s="218"/>
      <c r="CU76" s="218"/>
      <c r="CV76" s="218"/>
      <c r="CW76" s="218"/>
      <c r="CX76" s="218"/>
      <c r="CY76" s="218"/>
      <c r="CZ76" s="218"/>
      <c r="DA76" s="218"/>
      <c r="DB76" s="218"/>
      <c r="DC76" s="218"/>
      <c r="DD76" s="218"/>
      <c r="DE76" s="218"/>
      <c r="DF76" s="218"/>
      <c r="DG76" s="218"/>
      <c r="DH76" s="218"/>
      <c r="DI76" s="218"/>
      <c r="DJ76" s="218"/>
      <c r="DK76" s="218"/>
      <c r="DL76" s="218"/>
      <c r="DM76" s="218"/>
      <c r="DN76" s="218"/>
      <c r="DO76" s="218"/>
      <c r="DP76" s="218"/>
      <c r="DQ76" s="218"/>
      <c r="DR76" s="218"/>
      <c r="DS76" s="218"/>
      <c r="DT76" s="218"/>
      <c r="DU76" s="218"/>
      <c r="DV76" s="218"/>
      <c r="DW76" s="218"/>
      <c r="DX76" s="218"/>
      <c r="DY76" s="218"/>
      <c r="DZ76" s="218"/>
      <c r="EA76" s="218"/>
      <c r="EB76" s="218"/>
      <c r="EC76" s="218"/>
      <c r="ED76" s="218"/>
      <c r="EE76" s="218"/>
      <c r="EF76" s="218"/>
      <c r="EG76" s="218"/>
      <c r="EH76" s="218"/>
      <c r="EI76" s="218"/>
      <c r="EJ76" s="218"/>
      <c r="EK76" s="218"/>
      <c r="EL76" s="218"/>
      <c r="EM76" s="218"/>
      <c r="EN76" s="218"/>
      <c r="EO76" s="218"/>
      <c r="EP76" s="218"/>
      <c r="EQ76" s="218"/>
      <c r="ER76" s="218"/>
      <c r="ES76" s="218"/>
      <c r="ET76" s="218"/>
      <c r="EU76" s="218"/>
      <c r="EV76" s="218"/>
      <c r="EW76" s="218"/>
      <c r="EX76" s="218"/>
      <c r="EY76" s="218"/>
      <c r="EZ76" s="218"/>
      <c r="FA76" s="218"/>
      <c r="FB76" s="218"/>
      <c r="FC76" s="218"/>
      <c r="FD76" s="218"/>
      <c r="FE76" s="218"/>
      <c r="FF76" s="218"/>
      <c r="FG76" s="218"/>
      <c r="FH76" s="218"/>
      <c r="FI76" s="218"/>
      <c r="FJ76" s="218"/>
      <c r="FK76" s="218"/>
      <c r="FL76" s="218"/>
      <c r="FM76" s="218"/>
      <c r="FN76" s="218"/>
      <c r="FO76" s="218"/>
      <c r="FP76" s="218"/>
      <c r="FQ76" s="218"/>
      <c r="FR76" s="218"/>
      <c r="FS76" s="218"/>
      <c r="FT76" s="218"/>
      <c r="FU76" s="218"/>
      <c r="FV76" s="218"/>
      <c r="FW76" s="218"/>
      <c r="FX76" s="218"/>
      <c r="FY76" s="218"/>
      <c r="FZ76" s="218"/>
      <c r="GA76" s="218"/>
      <c r="GB76" s="218"/>
      <c r="GC76" s="218"/>
      <c r="GD76" s="218"/>
      <c r="GE76" s="218"/>
      <c r="GF76" s="218"/>
      <c r="GG76" s="218"/>
      <c r="GH76" s="218"/>
      <c r="GI76" s="218"/>
      <c r="GJ76" s="218"/>
      <c r="GK76" s="218"/>
      <c r="GL76" s="218"/>
      <c r="GM76" s="218"/>
      <c r="GN76" s="218"/>
      <c r="GO76" s="218"/>
      <c r="GP76" s="218"/>
      <c r="GQ76" s="218"/>
      <c r="GR76" s="218"/>
      <c r="GS76" s="218"/>
      <c r="GT76" s="218"/>
      <c r="GU76" s="218"/>
      <c r="GV76" s="218"/>
      <c r="GW76" s="218"/>
      <c r="GX76" s="218"/>
      <c r="GY76" s="218"/>
      <c r="GZ76" s="218"/>
      <c r="HA76" s="218"/>
      <c r="HB76" s="218"/>
      <c r="HC76" s="218"/>
      <c r="HD76" s="218"/>
      <c r="HE76" s="218"/>
      <c r="HF76" s="218"/>
      <c r="HG76" s="218"/>
      <c r="HH76" s="218"/>
      <c r="HI76" s="218"/>
      <c r="HJ76" s="218"/>
      <c r="HK76" s="218"/>
      <c r="HL76" s="218"/>
      <c r="HM76" s="218"/>
      <c r="HN76" s="218"/>
      <c r="HO76" s="218"/>
      <c r="HP76" s="218"/>
      <c r="HQ76" s="218"/>
      <c r="HR76" s="218"/>
      <c r="HS76" s="218"/>
      <c r="HT76" s="218"/>
      <c r="HU76" s="218"/>
      <c r="HV76" s="218"/>
      <c r="HW76" s="218"/>
      <c r="HX76" s="218"/>
      <c r="HY76" s="218"/>
      <c r="HZ76" s="218"/>
      <c r="IA76" s="218"/>
      <c r="IB76" s="218"/>
      <c r="IC76" s="218"/>
      <c r="ID76" s="218"/>
      <c r="IE76" s="218"/>
      <c r="IF76" s="218"/>
      <c r="IG76" s="218"/>
      <c r="IH76" s="218"/>
      <c r="II76" s="218"/>
      <c r="IJ76" s="218"/>
      <c r="IK76" s="218"/>
      <c r="IL76" s="218"/>
      <c r="IM76" s="218"/>
      <c r="IN76" s="218"/>
      <c r="IO76" s="218"/>
      <c r="IP76" s="218"/>
      <c r="IQ76" s="218"/>
      <c r="IR76" s="218"/>
      <c r="IS76" s="218"/>
      <c r="IT76" s="218"/>
      <c r="IU76" s="218"/>
      <c r="IV76" s="218"/>
      <c r="IW76" s="218"/>
    </row>
    <row r="77" customFormat="false" ht="11.25" hidden="false" customHeight="false" outlineLevel="0" collapsed="false">
      <c r="A77" s="218"/>
      <c r="B77" s="256" t="s">
        <v>197</v>
      </c>
      <c r="C77" s="257" t="n">
        <v>0</v>
      </c>
      <c r="D77" s="257" t="n">
        <v>0</v>
      </c>
      <c r="E77" s="257" t="n">
        <v>0</v>
      </c>
      <c r="F77" s="257" t="n">
        <f aca="false">IF(F74&gt;0,MIN(($J$55/$G$56/$G$57),F74),0)</f>
        <v>0</v>
      </c>
      <c r="G77" s="257" t="n">
        <f aca="false">IF(G74&gt;0,MIN(($J$55/$G$56/$G$57),G74),0)</f>
        <v>0</v>
      </c>
      <c r="H77" s="257" t="n">
        <f aca="false">IF(H74&gt;0,MIN(($J$55/$G$56/$G$57),H74),0)</f>
        <v>0</v>
      </c>
      <c r="I77" s="257" t="n">
        <f aca="false">IF(I74&gt;0,MIN(($J$55/$G$56/$G$57),I74),0)</f>
        <v>0</v>
      </c>
      <c r="J77" s="257" t="n">
        <f aca="false">IF(J74&gt;0,MIN(($J$55/$G$56/$G$57),J74),0)</f>
        <v>0</v>
      </c>
      <c r="K77" s="257" t="n">
        <f aca="false">IF(K74&gt;0,MIN(($J$55/$G$56/$G$57),K74),0)</f>
        <v>0</v>
      </c>
      <c r="L77" s="257" t="n">
        <f aca="false">IF(L74&gt;0,MIN(($J$55/$G$56/$G$57),L74),0)</f>
        <v>0</v>
      </c>
      <c r="M77" s="257" t="n">
        <f aca="false">IF(M74&gt;0,MIN(($J$55/$G$56/$G$57),M74),0)</f>
        <v>0</v>
      </c>
      <c r="N77" s="257" t="n">
        <f aca="false">IF(N74&gt;0,MIN(($J$55/$G$56/$G$57),N74),0)</f>
        <v>0</v>
      </c>
      <c r="O77" s="257" t="n">
        <f aca="false">IF(O74&gt;0,MIN(($J$55/$G$56/$G$57),O74),0)</f>
        <v>0</v>
      </c>
      <c r="P77" s="257" t="n">
        <f aca="false">IF(P74&gt;0,MIN(($J$55/$G$56/$G$57),P74),0)</f>
        <v>0</v>
      </c>
      <c r="Q77" s="257" t="n">
        <f aca="false">IF(Q74&gt;0,MIN(($J$55/$G$56/$G$57),Q74),0)</f>
        <v>0</v>
      </c>
      <c r="R77" s="257" t="n">
        <f aca="false">IF(R74&gt;0,MIN(($J$55/$G$56/$G$57),R74),0)</f>
        <v>0</v>
      </c>
      <c r="S77" s="257" t="n">
        <f aca="false">IF(S74&gt;0,MIN(($J$55/$G$56/$G$57),S74),0)</f>
        <v>0</v>
      </c>
      <c r="T77" s="257" t="n">
        <f aca="false">IF(T74&gt;0,MIN(($J$55/$G$56/$G$57),T74),0)</f>
        <v>0</v>
      </c>
      <c r="U77" s="257" t="n">
        <f aca="false">IF(U74&gt;0,MIN(($J$55/$G$56/$G$57),U74),0)</f>
        <v>0</v>
      </c>
      <c r="V77" s="257" t="n">
        <f aca="false">IF(V74&gt;0,MIN(($J$55/$G$56/$G$57),V74),0)</f>
        <v>0</v>
      </c>
      <c r="W77" s="257" t="n">
        <f aca="false">IF(W74&gt;0,MIN(($J$55/$G$56/$G$57),W74),0)</f>
        <v>0</v>
      </c>
      <c r="X77" s="257" t="n">
        <f aca="false">IF(X74&gt;0,MIN(($J$55/$G$56/$G$57),X74),0)</f>
        <v>0</v>
      </c>
      <c r="Y77" s="257" t="n">
        <f aca="false">IF(Y74&gt;0,MIN(($J$55/$G$56/$G$57),Y74),0)</f>
        <v>0</v>
      </c>
      <c r="Z77" s="257" t="n">
        <f aca="false">IF(Z74&gt;0,MIN(($J$55/$G$56/$G$57),Z74),0)</f>
        <v>0</v>
      </c>
      <c r="AA77" s="257" t="n">
        <f aca="false">IF(AA74&gt;0,MIN(($J$55/$G$56/$G$57),AA74),0)</f>
        <v>0</v>
      </c>
      <c r="AB77" s="257" t="n">
        <f aca="false">IF(AB74&gt;0,MIN(($J$55/$G$56/$G$57),AB74),0)</f>
        <v>0</v>
      </c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8"/>
      <c r="BD77" s="218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8"/>
      <c r="CA77" s="218"/>
      <c r="CB77" s="218"/>
      <c r="CC77" s="218"/>
      <c r="CD77" s="218"/>
      <c r="CE77" s="218"/>
      <c r="CF77" s="218"/>
      <c r="CG77" s="218"/>
      <c r="CH77" s="218"/>
      <c r="CI77" s="218"/>
      <c r="CJ77" s="218"/>
      <c r="CK77" s="218"/>
      <c r="CL77" s="218"/>
      <c r="CM77" s="218"/>
      <c r="CN77" s="218"/>
      <c r="CO77" s="218"/>
      <c r="CP77" s="218"/>
      <c r="CQ77" s="218"/>
      <c r="CR77" s="218"/>
      <c r="CS77" s="218"/>
      <c r="CT77" s="218"/>
      <c r="CU77" s="218"/>
      <c r="CV77" s="218"/>
      <c r="CW77" s="218"/>
      <c r="CX77" s="218"/>
      <c r="CY77" s="218"/>
      <c r="CZ77" s="218"/>
      <c r="DA77" s="218"/>
      <c r="DB77" s="218"/>
      <c r="DC77" s="218"/>
      <c r="DD77" s="218"/>
      <c r="DE77" s="218"/>
      <c r="DF77" s="218"/>
      <c r="DG77" s="218"/>
      <c r="DH77" s="218"/>
      <c r="DI77" s="218"/>
      <c r="DJ77" s="218"/>
      <c r="DK77" s="218"/>
      <c r="DL77" s="218"/>
      <c r="DM77" s="218"/>
      <c r="DN77" s="218"/>
      <c r="DO77" s="218"/>
      <c r="DP77" s="218"/>
      <c r="DQ77" s="218"/>
      <c r="DR77" s="218"/>
      <c r="DS77" s="218"/>
      <c r="DT77" s="218"/>
      <c r="DU77" s="218"/>
      <c r="DV77" s="218"/>
      <c r="DW77" s="218"/>
      <c r="DX77" s="218"/>
      <c r="DY77" s="218"/>
      <c r="DZ77" s="218"/>
      <c r="EA77" s="218"/>
      <c r="EB77" s="218"/>
      <c r="EC77" s="218"/>
      <c r="ED77" s="218"/>
      <c r="EE77" s="218"/>
      <c r="EF77" s="218"/>
      <c r="EG77" s="218"/>
      <c r="EH77" s="218"/>
      <c r="EI77" s="218"/>
      <c r="EJ77" s="218"/>
      <c r="EK77" s="218"/>
      <c r="EL77" s="218"/>
      <c r="EM77" s="218"/>
      <c r="EN77" s="218"/>
      <c r="EO77" s="218"/>
      <c r="EP77" s="218"/>
      <c r="EQ77" s="218"/>
      <c r="ER77" s="218"/>
      <c r="ES77" s="218"/>
      <c r="ET77" s="218"/>
      <c r="EU77" s="218"/>
      <c r="EV77" s="218"/>
      <c r="EW77" s="218"/>
      <c r="EX77" s="218"/>
      <c r="EY77" s="218"/>
      <c r="EZ77" s="218"/>
      <c r="FA77" s="218"/>
      <c r="FB77" s="218"/>
      <c r="FC77" s="218"/>
      <c r="FD77" s="218"/>
      <c r="FE77" s="218"/>
      <c r="FF77" s="218"/>
      <c r="FG77" s="218"/>
      <c r="FH77" s="218"/>
      <c r="FI77" s="218"/>
      <c r="FJ77" s="218"/>
      <c r="FK77" s="218"/>
      <c r="FL77" s="218"/>
      <c r="FM77" s="218"/>
      <c r="FN77" s="218"/>
      <c r="FO77" s="218"/>
      <c r="FP77" s="218"/>
      <c r="FQ77" s="218"/>
      <c r="FR77" s="218"/>
      <c r="FS77" s="218"/>
      <c r="FT77" s="218"/>
      <c r="FU77" s="218"/>
      <c r="FV77" s="218"/>
      <c r="FW77" s="218"/>
      <c r="FX77" s="218"/>
      <c r="FY77" s="218"/>
      <c r="FZ77" s="218"/>
      <c r="GA77" s="218"/>
      <c r="GB77" s="218"/>
      <c r="GC77" s="218"/>
      <c r="GD77" s="218"/>
      <c r="GE77" s="218"/>
      <c r="GF77" s="218"/>
      <c r="GG77" s="218"/>
      <c r="GH77" s="218"/>
      <c r="GI77" s="218"/>
      <c r="GJ77" s="218"/>
      <c r="GK77" s="218"/>
      <c r="GL77" s="218"/>
      <c r="GM77" s="218"/>
      <c r="GN77" s="218"/>
      <c r="GO77" s="218"/>
      <c r="GP77" s="218"/>
      <c r="GQ77" s="218"/>
      <c r="GR77" s="218"/>
      <c r="GS77" s="218"/>
      <c r="GT77" s="218"/>
      <c r="GU77" s="218"/>
      <c r="GV77" s="218"/>
      <c r="GW77" s="218"/>
      <c r="GX77" s="218"/>
      <c r="GY77" s="218"/>
      <c r="GZ77" s="218"/>
      <c r="HA77" s="218"/>
      <c r="HB77" s="218"/>
      <c r="HC77" s="218"/>
      <c r="HD77" s="218"/>
      <c r="HE77" s="218"/>
      <c r="HF77" s="218"/>
      <c r="HG77" s="218"/>
      <c r="HH77" s="218"/>
      <c r="HI77" s="218"/>
      <c r="HJ77" s="218"/>
      <c r="HK77" s="218"/>
      <c r="HL77" s="218"/>
      <c r="HM77" s="218"/>
      <c r="HN77" s="218"/>
      <c r="HO77" s="218"/>
      <c r="HP77" s="218"/>
      <c r="HQ77" s="218"/>
      <c r="HR77" s="218"/>
      <c r="HS77" s="218"/>
      <c r="HT77" s="218"/>
      <c r="HU77" s="218"/>
      <c r="HV77" s="218"/>
      <c r="HW77" s="218"/>
      <c r="HX77" s="218"/>
      <c r="HY77" s="218"/>
      <c r="HZ77" s="218"/>
      <c r="IA77" s="218"/>
      <c r="IB77" s="218"/>
      <c r="IC77" s="218"/>
      <c r="ID77" s="218"/>
      <c r="IE77" s="218"/>
      <c r="IF77" s="218"/>
      <c r="IG77" s="218"/>
      <c r="IH77" s="218"/>
      <c r="II77" s="218"/>
      <c r="IJ77" s="218"/>
      <c r="IK77" s="218"/>
      <c r="IL77" s="218"/>
      <c r="IM77" s="218"/>
      <c r="IN77" s="218"/>
      <c r="IO77" s="218"/>
      <c r="IP77" s="218"/>
      <c r="IQ77" s="218"/>
      <c r="IR77" s="218"/>
      <c r="IS77" s="218"/>
      <c r="IT77" s="218"/>
      <c r="IU77" s="218"/>
      <c r="IV77" s="218"/>
      <c r="IW77" s="218"/>
    </row>
    <row r="78" customFormat="false" ht="11.25" hidden="false" customHeight="false" outlineLevel="0" collapsed="false">
      <c r="A78" s="218"/>
      <c r="B78" s="258" t="s">
        <v>198</v>
      </c>
      <c r="C78" s="259" t="n">
        <f aca="false">C74-C77</f>
        <v>0</v>
      </c>
      <c r="D78" s="259" t="e">
        <f aca="false">D74-D77</f>
        <v>#VALUE!</v>
      </c>
      <c r="E78" s="259" t="e">
        <f aca="false">E74-E77</f>
        <v>#VALUE!</v>
      </c>
      <c r="F78" s="259" t="n">
        <f aca="false">F74-F77</f>
        <v>0</v>
      </c>
      <c r="G78" s="259" t="n">
        <f aca="false">G74-G77</f>
        <v>0</v>
      </c>
      <c r="H78" s="259" t="n">
        <f aca="false">H74-H77</f>
        <v>0</v>
      </c>
      <c r="I78" s="259" t="n">
        <f aca="false">I74-I77</f>
        <v>0</v>
      </c>
      <c r="J78" s="259" t="n">
        <f aca="false">J74-J77</f>
        <v>0</v>
      </c>
      <c r="K78" s="259" t="n">
        <f aca="false">K74-K77</f>
        <v>0</v>
      </c>
      <c r="L78" s="259" t="n">
        <f aca="false">L74-L77</f>
        <v>0</v>
      </c>
      <c r="M78" s="259" t="n">
        <f aca="false">M74-M77</f>
        <v>0</v>
      </c>
      <c r="N78" s="259" t="n">
        <f aca="false">N74-N77</f>
        <v>0</v>
      </c>
      <c r="O78" s="259" t="n">
        <f aca="false">O74-O77</f>
        <v>0</v>
      </c>
      <c r="P78" s="259" t="n">
        <f aca="false">P74-P77</f>
        <v>0</v>
      </c>
      <c r="Q78" s="259" t="n">
        <f aca="false">Q74-Q77</f>
        <v>0</v>
      </c>
      <c r="R78" s="259" t="n">
        <f aca="false">R74-R77</f>
        <v>0</v>
      </c>
      <c r="S78" s="259" t="n">
        <f aca="false">S74-S77</f>
        <v>0</v>
      </c>
      <c r="T78" s="259" t="n">
        <f aca="false">T74-T77</f>
        <v>0</v>
      </c>
      <c r="U78" s="259" t="n">
        <f aca="false">U74-U77</f>
        <v>0</v>
      </c>
      <c r="V78" s="259" t="n">
        <f aca="false">V74-V77</f>
        <v>0</v>
      </c>
      <c r="W78" s="259" t="n">
        <f aca="false">W74-W77</f>
        <v>0</v>
      </c>
      <c r="X78" s="259" t="n">
        <f aca="false">X74-X77</f>
        <v>0</v>
      </c>
      <c r="Y78" s="259" t="n">
        <f aca="false">Y74-Y77</f>
        <v>0</v>
      </c>
      <c r="Z78" s="259" t="n">
        <f aca="false">Z74-Z77</f>
        <v>0</v>
      </c>
      <c r="AA78" s="259" t="n">
        <f aca="false">AA74-AA77</f>
        <v>0</v>
      </c>
      <c r="AB78" s="259" t="n">
        <f aca="false">AB74-AB77</f>
        <v>0</v>
      </c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8"/>
      <c r="BD78" s="218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8"/>
      <c r="CA78" s="218"/>
      <c r="CB78" s="218"/>
      <c r="CC78" s="218"/>
      <c r="CD78" s="218"/>
      <c r="CE78" s="218"/>
      <c r="CF78" s="218"/>
      <c r="CG78" s="218"/>
      <c r="CH78" s="218"/>
      <c r="CI78" s="218"/>
      <c r="CJ78" s="218"/>
      <c r="CK78" s="218"/>
      <c r="CL78" s="218"/>
      <c r="CM78" s="218"/>
      <c r="CN78" s="218"/>
      <c r="CO78" s="218"/>
      <c r="CP78" s="218"/>
      <c r="CQ78" s="218"/>
      <c r="CR78" s="218"/>
      <c r="CS78" s="218"/>
      <c r="CT78" s="218"/>
      <c r="CU78" s="218"/>
      <c r="CV78" s="218"/>
      <c r="CW78" s="218"/>
      <c r="CX78" s="218"/>
      <c r="CY78" s="218"/>
      <c r="CZ78" s="218"/>
      <c r="DA78" s="218"/>
      <c r="DB78" s="218"/>
      <c r="DC78" s="218"/>
      <c r="DD78" s="218"/>
      <c r="DE78" s="218"/>
      <c r="DF78" s="218"/>
      <c r="DG78" s="218"/>
      <c r="DH78" s="218"/>
      <c r="DI78" s="218"/>
      <c r="DJ78" s="218"/>
      <c r="DK78" s="218"/>
      <c r="DL78" s="218"/>
      <c r="DM78" s="218"/>
      <c r="DN78" s="218"/>
      <c r="DO78" s="218"/>
      <c r="DP78" s="218"/>
      <c r="DQ78" s="218"/>
      <c r="DR78" s="218"/>
      <c r="DS78" s="218"/>
      <c r="DT78" s="218"/>
      <c r="DU78" s="218"/>
      <c r="DV78" s="218"/>
      <c r="DW78" s="218"/>
      <c r="DX78" s="218"/>
      <c r="DY78" s="218"/>
      <c r="DZ78" s="218"/>
      <c r="EA78" s="218"/>
      <c r="EB78" s="218"/>
      <c r="EC78" s="218"/>
      <c r="ED78" s="218"/>
      <c r="EE78" s="218"/>
      <c r="EF78" s="218"/>
      <c r="EG78" s="218"/>
      <c r="EH78" s="218"/>
      <c r="EI78" s="218"/>
      <c r="EJ78" s="218"/>
      <c r="EK78" s="218"/>
      <c r="EL78" s="218"/>
      <c r="EM78" s="218"/>
      <c r="EN78" s="218"/>
      <c r="EO78" s="218"/>
      <c r="EP78" s="218"/>
      <c r="EQ78" s="218"/>
      <c r="ER78" s="218"/>
      <c r="ES78" s="218"/>
      <c r="ET78" s="218"/>
      <c r="EU78" s="218"/>
      <c r="EV78" s="218"/>
      <c r="EW78" s="218"/>
      <c r="EX78" s="218"/>
      <c r="EY78" s="218"/>
      <c r="EZ78" s="218"/>
      <c r="FA78" s="218"/>
      <c r="FB78" s="218"/>
      <c r="FC78" s="218"/>
      <c r="FD78" s="218"/>
      <c r="FE78" s="218"/>
      <c r="FF78" s="218"/>
      <c r="FG78" s="218"/>
      <c r="FH78" s="218"/>
      <c r="FI78" s="218"/>
      <c r="FJ78" s="218"/>
      <c r="FK78" s="218"/>
      <c r="FL78" s="218"/>
      <c r="FM78" s="218"/>
      <c r="FN78" s="218"/>
      <c r="FO78" s="218"/>
      <c r="FP78" s="218"/>
      <c r="FQ78" s="218"/>
      <c r="FR78" s="218"/>
      <c r="FS78" s="218"/>
      <c r="FT78" s="218"/>
      <c r="FU78" s="218"/>
      <c r="FV78" s="218"/>
      <c r="FW78" s="218"/>
      <c r="FX78" s="218"/>
      <c r="FY78" s="218"/>
      <c r="FZ78" s="218"/>
      <c r="GA78" s="218"/>
      <c r="GB78" s="218"/>
      <c r="GC78" s="218"/>
      <c r="GD78" s="218"/>
      <c r="GE78" s="218"/>
      <c r="GF78" s="218"/>
      <c r="GG78" s="218"/>
      <c r="GH78" s="218"/>
      <c r="GI78" s="218"/>
      <c r="GJ78" s="218"/>
      <c r="GK78" s="218"/>
      <c r="GL78" s="218"/>
      <c r="GM78" s="218"/>
      <c r="GN78" s="218"/>
      <c r="GO78" s="218"/>
      <c r="GP78" s="218"/>
      <c r="GQ78" s="218"/>
      <c r="GR78" s="218"/>
      <c r="GS78" s="218"/>
      <c r="GT78" s="218"/>
      <c r="GU78" s="218"/>
      <c r="GV78" s="218"/>
      <c r="GW78" s="218"/>
      <c r="GX78" s="218"/>
      <c r="GY78" s="218"/>
      <c r="GZ78" s="218"/>
      <c r="HA78" s="218"/>
      <c r="HB78" s="218"/>
      <c r="HC78" s="218"/>
      <c r="HD78" s="218"/>
      <c r="HE78" s="218"/>
      <c r="HF78" s="218"/>
      <c r="HG78" s="218"/>
      <c r="HH78" s="218"/>
      <c r="HI78" s="218"/>
      <c r="HJ78" s="218"/>
      <c r="HK78" s="218"/>
      <c r="HL78" s="218"/>
      <c r="HM78" s="218"/>
      <c r="HN78" s="218"/>
      <c r="HO78" s="218"/>
      <c r="HP78" s="218"/>
      <c r="HQ78" s="218"/>
      <c r="HR78" s="218"/>
      <c r="HS78" s="218"/>
      <c r="HT78" s="218"/>
      <c r="HU78" s="218"/>
      <c r="HV78" s="218"/>
      <c r="HW78" s="218"/>
      <c r="HX78" s="218"/>
      <c r="HY78" s="218"/>
      <c r="HZ78" s="218"/>
      <c r="IA78" s="218"/>
      <c r="IB78" s="218"/>
      <c r="IC78" s="218"/>
      <c r="ID78" s="218"/>
      <c r="IE78" s="218"/>
      <c r="IF78" s="218"/>
      <c r="IG78" s="218"/>
      <c r="IH78" s="218"/>
      <c r="II78" s="218"/>
      <c r="IJ78" s="218"/>
      <c r="IK78" s="218"/>
      <c r="IL78" s="218"/>
      <c r="IM78" s="218"/>
      <c r="IN78" s="218"/>
      <c r="IO78" s="218"/>
      <c r="IP78" s="218"/>
      <c r="IQ78" s="218"/>
      <c r="IR78" s="218"/>
      <c r="IS78" s="218"/>
      <c r="IT78" s="218"/>
      <c r="IU78" s="218"/>
      <c r="IV78" s="218"/>
      <c r="IW78" s="218"/>
    </row>
    <row r="79" customFormat="false" ht="11.25" hidden="false" customHeight="false" outlineLevel="0" collapsed="false">
      <c r="A79" s="218"/>
      <c r="B79" s="252" t="s">
        <v>199</v>
      </c>
      <c r="C79" s="253" t="n">
        <f aca="false">C80+C81</f>
        <v>0</v>
      </c>
      <c r="D79" s="253" t="e">
        <f aca="false">D80+D81</f>
        <v>#VALUE!</v>
      </c>
      <c r="E79" s="253" t="e">
        <f aca="false">E80+E81</f>
        <v>#VALUE!</v>
      </c>
      <c r="F79" s="253" t="n">
        <f aca="false">F80+F81</f>
        <v>0</v>
      </c>
      <c r="G79" s="253" t="n">
        <f aca="false">G80+G81</f>
        <v>0</v>
      </c>
      <c r="H79" s="253" t="n">
        <f aca="false">H80+H81</f>
        <v>0</v>
      </c>
      <c r="I79" s="253" t="n">
        <f aca="false">I80+I81</f>
        <v>0</v>
      </c>
      <c r="J79" s="253" t="n">
        <f aca="false">J80+J81</f>
        <v>0</v>
      </c>
      <c r="K79" s="253" t="n">
        <f aca="false">K80+K81</f>
        <v>0</v>
      </c>
      <c r="L79" s="253" t="n">
        <f aca="false">L80+L81</f>
        <v>0</v>
      </c>
      <c r="M79" s="253" t="n">
        <f aca="false">M80+M81</f>
        <v>0</v>
      </c>
      <c r="N79" s="253" t="n">
        <f aca="false">N80+N81</f>
        <v>0</v>
      </c>
      <c r="O79" s="253" t="n">
        <f aca="false">O80+O81</f>
        <v>0</v>
      </c>
      <c r="P79" s="253" t="n">
        <f aca="false">P80+P81</f>
        <v>0</v>
      </c>
      <c r="Q79" s="253" t="n">
        <f aca="false">Q80+Q81</f>
        <v>0</v>
      </c>
      <c r="R79" s="253" t="n">
        <f aca="false">R80+R81</f>
        <v>0</v>
      </c>
      <c r="S79" s="253" t="n">
        <f aca="false">S80+S81</f>
        <v>0</v>
      </c>
      <c r="T79" s="253" t="n">
        <f aca="false">T80+T81</f>
        <v>0</v>
      </c>
      <c r="U79" s="253" t="n">
        <f aca="false">U80+U81</f>
        <v>0</v>
      </c>
      <c r="V79" s="253" t="n">
        <f aca="false">V80+V81</f>
        <v>0</v>
      </c>
      <c r="W79" s="253" t="n">
        <f aca="false">W80+W81</f>
        <v>0</v>
      </c>
      <c r="X79" s="253" t="e">
        <f aca="false">PMT($G$3/2,$G$4*2,-$J$3)*#REF!</f>
        <v>#REF!</v>
      </c>
      <c r="Y79" s="253" t="e">
        <f aca="false">PMT($G$3/2,$G$4*2,-$J$3)*#REF!</f>
        <v>#REF!</v>
      </c>
      <c r="Z79" s="253" t="e">
        <f aca="false">PMT($G$3/2,$G$4*2,-$J$3)*#REF!</f>
        <v>#REF!</v>
      </c>
      <c r="AA79" s="253" t="e">
        <f aca="false">PMT($G$3/2,$G$4*2,-$J$3)*#REF!</f>
        <v>#REF!</v>
      </c>
      <c r="AB79" s="253" t="e">
        <f aca="false">PMT($G$3/2,$G$4*2,-$J$3)*#REF!</f>
        <v>#REF!</v>
      </c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8"/>
      <c r="BD79" s="218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8"/>
      <c r="CA79" s="218"/>
      <c r="CB79" s="218"/>
      <c r="CC79" s="218"/>
      <c r="CD79" s="218"/>
      <c r="CE79" s="218"/>
      <c r="CF79" s="218"/>
      <c r="CG79" s="218"/>
      <c r="CH79" s="218"/>
      <c r="CI79" s="218"/>
      <c r="CJ79" s="218"/>
      <c r="CK79" s="218"/>
      <c r="CL79" s="218"/>
      <c r="CM79" s="218"/>
      <c r="CN79" s="218"/>
      <c r="CO79" s="218"/>
      <c r="CP79" s="218"/>
      <c r="CQ79" s="218"/>
      <c r="CR79" s="218"/>
      <c r="CS79" s="218"/>
      <c r="CT79" s="218"/>
      <c r="CU79" s="218"/>
      <c r="CV79" s="218"/>
      <c r="CW79" s="218"/>
      <c r="CX79" s="218"/>
      <c r="CY79" s="218"/>
      <c r="CZ79" s="218"/>
      <c r="DA79" s="218"/>
      <c r="DB79" s="218"/>
      <c r="DC79" s="218"/>
      <c r="DD79" s="218"/>
      <c r="DE79" s="218"/>
      <c r="DF79" s="218"/>
      <c r="DG79" s="218"/>
      <c r="DH79" s="218"/>
      <c r="DI79" s="218"/>
      <c r="DJ79" s="218"/>
      <c r="DK79" s="218"/>
      <c r="DL79" s="218"/>
      <c r="DM79" s="218"/>
      <c r="DN79" s="218"/>
      <c r="DO79" s="218"/>
      <c r="DP79" s="218"/>
      <c r="DQ79" s="218"/>
      <c r="DR79" s="218"/>
      <c r="DS79" s="218"/>
      <c r="DT79" s="218"/>
      <c r="DU79" s="218"/>
      <c r="DV79" s="218"/>
      <c r="DW79" s="218"/>
      <c r="DX79" s="218"/>
      <c r="DY79" s="218"/>
      <c r="DZ79" s="218"/>
      <c r="EA79" s="218"/>
      <c r="EB79" s="218"/>
      <c r="EC79" s="218"/>
      <c r="ED79" s="218"/>
      <c r="EE79" s="218"/>
      <c r="EF79" s="218"/>
      <c r="EG79" s="218"/>
      <c r="EH79" s="218"/>
      <c r="EI79" s="218"/>
      <c r="EJ79" s="218"/>
      <c r="EK79" s="218"/>
      <c r="EL79" s="218"/>
      <c r="EM79" s="218"/>
      <c r="EN79" s="218"/>
      <c r="EO79" s="218"/>
      <c r="EP79" s="218"/>
      <c r="EQ79" s="218"/>
      <c r="ER79" s="218"/>
      <c r="ES79" s="218"/>
      <c r="ET79" s="218"/>
      <c r="EU79" s="218"/>
      <c r="EV79" s="218"/>
      <c r="EW79" s="218"/>
      <c r="EX79" s="218"/>
      <c r="EY79" s="218"/>
      <c r="EZ79" s="218"/>
      <c r="FA79" s="218"/>
      <c r="FB79" s="218"/>
      <c r="FC79" s="218"/>
      <c r="FD79" s="218"/>
      <c r="FE79" s="218"/>
      <c r="FF79" s="218"/>
      <c r="FG79" s="218"/>
      <c r="FH79" s="218"/>
      <c r="FI79" s="218"/>
      <c r="FJ79" s="218"/>
      <c r="FK79" s="218"/>
      <c r="FL79" s="218"/>
      <c r="FM79" s="218"/>
      <c r="FN79" s="218"/>
      <c r="FO79" s="218"/>
      <c r="FP79" s="218"/>
      <c r="FQ79" s="218"/>
      <c r="FR79" s="218"/>
      <c r="FS79" s="218"/>
      <c r="FT79" s="218"/>
      <c r="FU79" s="218"/>
      <c r="FV79" s="218"/>
      <c r="FW79" s="218"/>
      <c r="FX79" s="218"/>
      <c r="FY79" s="218"/>
      <c r="FZ79" s="218"/>
      <c r="GA79" s="218"/>
      <c r="GB79" s="218"/>
      <c r="GC79" s="218"/>
      <c r="GD79" s="218"/>
      <c r="GE79" s="218"/>
      <c r="GF79" s="218"/>
      <c r="GG79" s="218"/>
      <c r="GH79" s="218"/>
      <c r="GI79" s="218"/>
      <c r="GJ79" s="218"/>
      <c r="GK79" s="218"/>
      <c r="GL79" s="218"/>
      <c r="GM79" s="218"/>
      <c r="GN79" s="218"/>
      <c r="GO79" s="218"/>
      <c r="GP79" s="218"/>
      <c r="GQ79" s="218"/>
      <c r="GR79" s="218"/>
      <c r="GS79" s="218"/>
      <c r="GT79" s="218"/>
      <c r="GU79" s="218"/>
      <c r="GV79" s="218"/>
      <c r="GW79" s="218"/>
      <c r="GX79" s="218"/>
      <c r="GY79" s="218"/>
      <c r="GZ79" s="218"/>
      <c r="HA79" s="218"/>
      <c r="HB79" s="218"/>
      <c r="HC79" s="218"/>
      <c r="HD79" s="218"/>
      <c r="HE79" s="218"/>
      <c r="HF79" s="218"/>
      <c r="HG79" s="218"/>
      <c r="HH79" s="218"/>
      <c r="HI79" s="218"/>
      <c r="HJ79" s="218"/>
      <c r="HK79" s="218"/>
      <c r="HL79" s="218"/>
      <c r="HM79" s="218"/>
      <c r="HN79" s="218"/>
      <c r="HO79" s="218"/>
      <c r="HP79" s="218"/>
      <c r="HQ79" s="218"/>
      <c r="HR79" s="218"/>
      <c r="HS79" s="218"/>
      <c r="HT79" s="218"/>
      <c r="HU79" s="218"/>
      <c r="HV79" s="218"/>
      <c r="HW79" s="218"/>
      <c r="HX79" s="218"/>
      <c r="HY79" s="218"/>
      <c r="HZ79" s="218"/>
      <c r="IA79" s="218"/>
      <c r="IB79" s="218"/>
      <c r="IC79" s="218"/>
      <c r="ID79" s="218"/>
      <c r="IE79" s="218"/>
      <c r="IF79" s="218"/>
      <c r="IG79" s="218"/>
      <c r="IH79" s="218"/>
      <c r="II79" s="218"/>
      <c r="IJ79" s="218"/>
      <c r="IK79" s="218"/>
      <c r="IL79" s="218"/>
      <c r="IM79" s="218"/>
      <c r="IN79" s="218"/>
      <c r="IO79" s="218"/>
      <c r="IP79" s="218"/>
      <c r="IQ79" s="218"/>
      <c r="IR79" s="218"/>
      <c r="IS79" s="218"/>
      <c r="IT79" s="218"/>
      <c r="IU79" s="218"/>
      <c r="IV79" s="218"/>
      <c r="IW79" s="218"/>
    </row>
    <row r="80" customFormat="false" ht="11.25" hidden="false" customHeight="false" outlineLevel="0" collapsed="false">
      <c r="A80" s="218"/>
      <c r="B80" s="256" t="s">
        <v>200</v>
      </c>
      <c r="C80" s="257" t="n">
        <f aca="false">C78*C73/2</f>
        <v>0</v>
      </c>
      <c r="D80" s="257" t="e">
        <f aca="false">D78*D73/2</f>
        <v>#VALUE!</v>
      </c>
      <c r="E80" s="257" t="e">
        <f aca="false">E78*E73/2</f>
        <v>#VALUE!</v>
      </c>
      <c r="F80" s="257" t="n">
        <f aca="false">F78*F73/2</f>
        <v>0</v>
      </c>
      <c r="G80" s="257" t="n">
        <f aca="false">G78*G73/2</f>
        <v>0</v>
      </c>
      <c r="H80" s="257" t="n">
        <f aca="false">H78*H73/2</f>
        <v>0</v>
      </c>
      <c r="I80" s="257" t="n">
        <f aca="false">I78*I73/2</f>
        <v>0</v>
      </c>
      <c r="J80" s="257" t="n">
        <f aca="false">J78*J73/2</f>
        <v>0</v>
      </c>
      <c r="K80" s="257" t="n">
        <f aca="false">K78*K73/2</f>
        <v>0</v>
      </c>
      <c r="L80" s="257" t="n">
        <f aca="false">L78*L73/2</f>
        <v>0</v>
      </c>
      <c r="M80" s="257" t="n">
        <f aca="false">M78*M73/2</f>
        <v>0</v>
      </c>
      <c r="N80" s="257" t="n">
        <f aca="false">N78*N73/2</f>
        <v>0</v>
      </c>
      <c r="O80" s="257" t="n">
        <f aca="false">O78*O73/2</f>
        <v>0</v>
      </c>
      <c r="P80" s="257" t="n">
        <f aca="false">P78*P73/2</f>
        <v>0</v>
      </c>
      <c r="Q80" s="257" t="n">
        <f aca="false">Q78*Q73/2</f>
        <v>0</v>
      </c>
      <c r="R80" s="257" t="n">
        <f aca="false">R78*R73/2</f>
        <v>0</v>
      </c>
      <c r="S80" s="257" t="n">
        <f aca="false">S78*S73/2</f>
        <v>0</v>
      </c>
      <c r="T80" s="257" t="n">
        <f aca="false">T78*T73/2</f>
        <v>0</v>
      </c>
      <c r="U80" s="257" t="n">
        <f aca="false">U78*U73/2</f>
        <v>0</v>
      </c>
      <c r="V80" s="257" t="n">
        <f aca="false">V78*V73/2</f>
        <v>0</v>
      </c>
      <c r="W80" s="257" t="n">
        <f aca="false">W78*W73/2</f>
        <v>0</v>
      </c>
      <c r="X80" s="257" t="n">
        <f aca="false">X78*X73/2</f>
        <v>0</v>
      </c>
      <c r="Y80" s="257" t="n">
        <f aca="false">Y78*Y73/2</f>
        <v>0</v>
      </c>
      <c r="Z80" s="257" t="n">
        <f aca="false">Z78*Z73/2</f>
        <v>0</v>
      </c>
      <c r="AA80" s="257" t="n">
        <f aca="false">AA78*AA73/2</f>
        <v>0</v>
      </c>
      <c r="AB80" s="257" t="n">
        <f aca="false">AB78*AB73/2</f>
        <v>0</v>
      </c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8"/>
      <c r="BD80" s="218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8"/>
      <c r="CA80" s="218"/>
      <c r="CB80" s="218"/>
      <c r="CC80" s="218"/>
      <c r="CD80" s="218"/>
      <c r="CE80" s="218"/>
      <c r="CF80" s="218"/>
      <c r="CG80" s="218"/>
      <c r="CH80" s="218"/>
      <c r="CI80" s="218"/>
      <c r="CJ80" s="218"/>
      <c r="CK80" s="218"/>
      <c r="CL80" s="218"/>
      <c r="CM80" s="218"/>
      <c r="CN80" s="218"/>
      <c r="CO80" s="218"/>
      <c r="CP80" s="218"/>
      <c r="CQ80" s="218"/>
      <c r="CR80" s="218"/>
      <c r="CS80" s="218"/>
      <c r="CT80" s="218"/>
      <c r="CU80" s="218"/>
      <c r="CV80" s="218"/>
      <c r="CW80" s="218"/>
      <c r="CX80" s="218"/>
      <c r="CY80" s="218"/>
      <c r="CZ80" s="218"/>
      <c r="DA80" s="218"/>
      <c r="DB80" s="218"/>
      <c r="DC80" s="218"/>
      <c r="DD80" s="218"/>
      <c r="DE80" s="218"/>
      <c r="DF80" s="218"/>
      <c r="DG80" s="218"/>
      <c r="DH80" s="218"/>
      <c r="DI80" s="218"/>
      <c r="DJ80" s="218"/>
      <c r="DK80" s="218"/>
      <c r="DL80" s="218"/>
      <c r="DM80" s="218"/>
      <c r="DN80" s="218"/>
      <c r="DO80" s="218"/>
      <c r="DP80" s="218"/>
      <c r="DQ80" s="218"/>
      <c r="DR80" s="218"/>
      <c r="DS80" s="218"/>
      <c r="DT80" s="218"/>
      <c r="DU80" s="218"/>
      <c r="DV80" s="218"/>
      <c r="DW80" s="218"/>
      <c r="DX80" s="218"/>
      <c r="DY80" s="218"/>
      <c r="DZ80" s="218"/>
      <c r="EA80" s="218"/>
      <c r="EB80" s="218"/>
      <c r="EC80" s="218"/>
      <c r="ED80" s="218"/>
      <c r="EE80" s="218"/>
      <c r="EF80" s="218"/>
      <c r="EG80" s="218"/>
      <c r="EH80" s="218"/>
      <c r="EI80" s="218"/>
      <c r="EJ80" s="218"/>
      <c r="EK80" s="218"/>
      <c r="EL80" s="218"/>
      <c r="EM80" s="218"/>
      <c r="EN80" s="218"/>
      <c r="EO80" s="218"/>
      <c r="EP80" s="218"/>
      <c r="EQ80" s="218"/>
      <c r="ER80" s="218"/>
      <c r="ES80" s="218"/>
      <c r="ET80" s="218"/>
      <c r="EU80" s="218"/>
      <c r="EV80" s="218"/>
      <c r="EW80" s="218"/>
      <c r="EX80" s="218"/>
      <c r="EY80" s="218"/>
      <c r="EZ80" s="218"/>
      <c r="FA80" s="218"/>
      <c r="FB80" s="218"/>
      <c r="FC80" s="218"/>
      <c r="FD80" s="218"/>
      <c r="FE80" s="218"/>
      <c r="FF80" s="218"/>
      <c r="FG80" s="218"/>
      <c r="FH80" s="218"/>
      <c r="FI80" s="218"/>
      <c r="FJ80" s="218"/>
      <c r="FK80" s="218"/>
      <c r="FL80" s="218"/>
      <c r="FM80" s="218"/>
      <c r="FN80" s="218"/>
      <c r="FO80" s="218"/>
      <c r="FP80" s="218"/>
      <c r="FQ80" s="218"/>
      <c r="FR80" s="218"/>
      <c r="FS80" s="218"/>
      <c r="FT80" s="218"/>
      <c r="FU80" s="218"/>
      <c r="FV80" s="218"/>
      <c r="FW80" s="218"/>
      <c r="FX80" s="218"/>
      <c r="FY80" s="218"/>
      <c r="FZ80" s="218"/>
      <c r="GA80" s="218"/>
      <c r="GB80" s="218"/>
      <c r="GC80" s="218"/>
      <c r="GD80" s="218"/>
      <c r="GE80" s="218"/>
      <c r="GF80" s="218"/>
      <c r="GG80" s="218"/>
      <c r="GH80" s="218"/>
      <c r="GI80" s="218"/>
      <c r="GJ80" s="218"/>
      <c r="GK80" s="218"/>
      <c r="GL80" s="218"/>
      <c r="GM80" s="218"/>
      <c r="GN80" s="218"/>
      <c r="GO80" s="218"/>
      <c r="GP80" s="218"/>
      <c r="GQ80" s="218"/>
      <c r="GR80" s="218"/>
      <c r="GS80" s="218"/>
      <c r="GT80" s="218"/>
      <c r="GU80" s="218"/>
      <c r="GV80" s="218"/>
      <c r="GW80" s="218"/>
      <c r="GX80" s="218"/>
      <c r="GY80" s="218"/>
      <c r="GZ80" s="218"/>
      <c r="HA80" s="218"/>
      <c r="HB80" s="218"/>
      <c r="HC80" s="218"/>
      <c r="HD80" s="218"/>
      <c r="HE80" s="218"/>
      <c r="HF80" s="218"/>
      <c r="HG80" s="218"/>
      <c r="HH80" s="218"/>
      <c r="HI80" s="218"/>
      <c r="HJ80" s="218"/>
      <c r="HK80" s="218"/>
      <c r="HL80" s="218"/>
      <c r="HM80" s="218"/>
      <c r="HN80" s="218"/>
      <c r="HO80" s="218"/>
      <c r="HP80" s="218"/>
      <c r="HQ80" s="218"/>
      <c r="HR80" s="218"/>
      <c r="HS80" s="218"/>
      <c r="HT80" s="218"/>
      <c r="HU80" s="218"/>
      <c r="HV80" s="218"/>
      <c r="HW80" s="218"/>
      <c r="HX80" s="218"/>
      <c r="HY80" s="218"/>
      <c r="HZ80" s="218"/>
      <c r="IA80" s="218"/>
      <c r="IB80" s="218"/>
      <c r="IC80" s="218"/>
      <c r="ID80" s="218"/>
      <c r="IE80" s="218"/>
      <c r="IF80" s="218"/>
      <c r="IG80" s="218"/>
      <c r="IH80" s="218"/>
      <c r="II80" s="218"/>
      <c r="IJ80" s="218"/>
      <c r="IK80" s="218"/>
      <c r="IL80" s="218"/>
      <c r="IM80" s="218"/>
      <c r="IN80" s="218"/>
      <c r="IO80" s="218"/>
      <c r="IP80" s="218"/>
      <c r="IQ80" s="218"/>
      <c r="IR80" s="218"/>
      <c r="IS80" s="218"/>
      <c r="IT80" s="218"/>
      <c r="IU80" s="218"/>
      <c r="IV80" s="218"/>
      <c r="IW80" s="218"/>
    </row>
    <row r="81" customFormat="false" ht="11.25" hidden="false" customHeight="false" outlineLevel="0" collapsed="false">
      <c r="A81" s="218"/>
      <c r="B81" s="256" t="s">
        <v>201</v>
      </c>
      <c r="C81" s="257" t="n">
        <f aca="false">IF(C78&gt;0,MIN($J$3/($G$4*$G$5),C78),0)</f>
        <v>0</v>
      </c>
      <c r="D81" s="257" t="e">
        <f aca="false">IF(D78&gt;0,MIN($J$3/($G$4*$G$5),D78),0)</f>
        <v>#VALUE!</v>
      </c>
      <c r="E81" s="257" t="e">
        <f aca="false">IF(E78&gt;0,MIN($J$3/($G$4*$G$5),E78),0)</f>
        <v>#VALUE!</v>
      </c>
      <c r="F81" s="257" t="n">
        <f aca="false">IF(F78&gt;0,MIN(($J$55/$G$56/$G$57),F78),0)</f>
        <v>0</v>
      </c>
      <c r="G81" s="257" t="n">
        <f aca="false">IF(G78&gt;0,MIN(($J$55/$G$56/$G$57),G78),0)</f>
        <v>0</v>
      </c>
      <c r="H81" s="257" t="n">
        <f aca="false">IF(H78&gt;0,MIN(($J$55/$G$56/$G$57),H78),0)</f>
        <v>0</v>
      </c>
      <c r="I81" s="257" t="n">
        <f aca="false">IF(I78&gt;0,MIN(($J$55/$G$56/$G$57),I78),0)</f>
        <v>0</v>
      </c>
      <c r="J81" s="257" t="n">
        <f aca="false">IF(J78&gt;0,MIN(($J$55/$G$56/$G$57),J78),0)</f>
        <v>0</v>
      </c>
      <c r="K81" s="257" t="n">
        <f aca="false">IF(K78&gt;0,MIN(($J$55/$G$56/$G$57),K78),0)</f>
        <v>0</v>
      </c>
      <c r="L81" s="257" t="n">
        <f aca="false">IF(L78&gt;0,MIN(($J$55/$G$56/$G$57),L78),0)</f>
        <v>0</v>
      </c>
      <c r="M81" s="257" t="n">
        <f aca="false">IF(M78&gt;0,MIN(($J$55/$G$56/$G$57),M78),0)</f>
        <v>0</v>
      </c>
      <c r="N81" s="257" t="n">
        <f aca="false">IF(N78&gt;0,MIN(($J$55/$G$56/$G$57),N78),0)</f>
        <v>0</v>
      </c>
      <c r="O81" s="257" t="n">
        <f aca="false">IF(O78&gt;0,MIN(($J$55/$G$56/$G$57),O78),0)</f>
        <v>0</v>
      </c>
      <c r="P81" s="257" t="n">
        <f aca="false">IF(P78&gt;0,MIN(($J$55/$G$56/$G$57),P78),0)</f>
        <v>0</v>
      </c>
      <c r="Q81" s="257" t="n">
        <f aca="false">IF(Q78&gt;0,MIN(($J$55/$G$56/$G$57),Q78),0)</f>
        <v>0</v>
      </c>
      <c r="R81" s="257" t="n">
        <f aca="false">IF(R78&gt;0,MIN(($J$55/$G$56/$G$57),R78),0)</f>
        <v>0</v>
      </c>
      <c r="S81" s="257" t="n">
        <f aca="false">IF(S78&gt;0,MIN(($J$55/$G$56/$G$57),S78),0)</f>
        <v>0</v>
      </c>
      <c r="T81" s="257" t="n">
        <f aca="false">IF(T78&gt;0,MIN(($J$55/$G$56/$G$57),T78),0)</f>
        <v>0</v>
      </c>
      <c r="U81" s="257" t="n">
        <f aca="false">IF(U78&gt;0,MIN(($J$55/$G$56/$G$57),U78),0)</f>
        <v>0</v>
      </c>
      <c r="V81" s="257" t="n">
        <f aca="false">IF(V78&gt;0,MIN(($J$55/$G$56/$G$57),V78),0)</f>
        <v>0</v>
      </c>
      <c r="W81" s="257" t="n">
        <f aca="false">IF(W78&gt;0,MIN(($J$55/$G$56/$G$57),W78),0)</f>
        <v>0</v>
      </c>
      <c r="X81" s="257" t="n">
        <f aca="false">IF(X78&gt;0,MIN(($J$55/$G$56/$G$57),X78),0)</f>
        <v>0</v>
      </c>
      <c r="Y81" s="257" t="n">
        <f aca="false">IF(Y78&gt;0,MIN(($J$55/$G$56/$G$57),Y78),0)</f>
        <v>0</v>
      </c>
      <c r="Z81" s="257" t="n">
        <f aca="false">IF(Z78&gt;0,MIN(($J$55/$G$56/$G$57),Z78),0)</f>
        <v>0</v>
      </c>
      <c r="AA81" s="257" t="n">
        <f aca="false">IF(AA78&gt;0,MIN(($J$55/$G$56/$G$57),AA78),0)</f>
        <v>0</v>
      </c>
      <c r="AB81" s="257" t="n">
        <f aca="false">IF(AB78&gt;0,MIN(($J$55/$G$56/$G$57),AB78),0)</f>
        <v>0</v>
      </c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8"/>
      <c r="BD81" s="218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8"/>
      <c r="CA81" s="218"/>
      <c r="CB81" s="218"/>
      <c r="CC81" s="218"/>
      <c r="CD81" s="218"/>
      <c r="CE81" s="218"/>
      <c r="CF81" s="218"/>
      <c r="CG81" s="218"/>
      <c r="CH81" s="218"/>
      <c r="CI81" s="218"/>
      <c r="CJ81" s="218"/>
      <c r="CK81" s="218"/>
      <c r="CL81" s="218"/>
      <c r="CM81" s="218"/>
      <c r="CN81" s="218"/>
      <c r="CO81" s="218"/>
      <c r="CP81" s="218"/>
      <c r="CQ81" s="218"/>
      <c r="CR81" s="218"/>
      <c r="CS81" s="218"/>
      <c r="CT81" s="218"/>
      <c r="CU81" s="218"/>
      <c r="CV81" s="218"/>
      <c r="CW81" s="218"/>
      <c r="CX81" s="218"/>
      <c r="CY81" s="218"/>
      <c r="CZ81" s="218"/>
      <c r="DA81" s="218"/>
      <c r="DB81" s="218"/>
      <c r="DC81" s="218"/>
      <c r="DD81" s="218"/>
      <c r="DE81" s="218"/>
      <c r="DF81" s="218"/>
      <c r="DG81" s="218"/>
      <c r="DH81" s="218"/>
      <c r="DI81" s="218"/>
      <c r="DJ81" s="218"/>
      <c r="DK81" s="218"/>
      <c r="DL81" s="218"/>
      <c r="DM81" s="218"/>
      <c r="DN81" s="218"/>
      <c r="DO81" s="218"/>
      <c r="DP81" s="218"/>
      <c r="DQ81" s="218"/>
      <c r="DR81" s="218"/>
      <c r="DS81" s="218"/>
      <c r="DT81" s="218"/>
      <c r="DU81" s="218"/>
      <c r="DV81" s="218"/>
      <c r="DW81" s="218"/>
      <c r="DX81" s="218"/>
      <c r="DY81" s="218"/>
      <c r="DZ81" s="218"/>
      <c r="EA81" s="218"/>
      <c r="EB81" s="218"/>
      <c r="EC81" s="218"/>
      <c r="ED81" s="218"/>
      <c r="EE81" s="218"/>
      <c r="EF81" s="218"/>
      <c r="EG81" s="218"/>
      <c r="EH81" s="218"/>
      <c r="EI81" s="218"/>
      <c r="EJ81" s="218"/>
      <c r="EK81" s="218"/>
      <c r="EL81" s="218"/>
      <c r="EM81" s="218"/>
      <c r="EN81" s="218"/>
      <c r="EO81" s="218"/>
      <c r="EP81" s="218"/>
      <c r="EQ81" s="218"/>
      <c r="ER81" s="218"/>
      <c r="ES81" s="218"/>
      <c r="ET81" s="218"/>
      <c r="EU81" s="218"/>
      <c r="EV81" s="218"/>
      <c r="EW81" s="218"/>
      <c r="EX81" s="218"/>
      <c r="EY81" s="218"/>
      <c r="EZ81" s="218"/>
      <c r="FA81" s="218"/>
      <c r="FB81" s="218"/>
      <c r="FC81" s="218"/>
      <c r="FD81" s="218"/>
      <c r="FE81" s="218"/>
      <c r="FF81" s="218"/>
      <c r="FG81" s="218"/>
      <c r="FH81" s="218"/>
      <c r="FI81" s="218"/>
      <c r="FJ81" s="218"/>
      <c r="FK81" s="218"/>
      <c r="FL81" s="218"/>
      <c r="FM81" s="218"/>
      <c r="FN81" s="218"/>
      <c r="FO81" s="218"/>
      <c r="FP81" s="218"/>
      <c r="FQ81" s="218"/>
      <c r="FR81" s="218"/>
      <c r="FS81" s="218"/>
      <c r="FT81" s="218"/>
      <c r="FU81" s="218"/>
      <c r="FV81" s="218"/>
      <c r="FW81" s="218"/>
      <c r="FX81" s="218"/>
      <c r="FY81" s="218"/>
      <c r="FZ81" s="218"/>
      <c r="GA81" s="218"/>
      <c r="GB81" s="218"/>
      <c r="GC81" s="218"/>
      <c r="GD81" s="218"/>
      <c r="GE81" s="218"/>
      <c r="GF81" s="218"/>
      <c r="GG81" s="218"/>
      <c r="GH81" s="218"/>
      <c r="GI81" s="218"/>
      <c r="GJ81" s="218"/>
      <c r="GK81" s="218"/>
      <c r="GL81" s="218"/>
      <c r="GM81" s="218"/>
      <c r="GN81" s="218"/>
      <c r="GO81" s="218"/>
      <c r="GP81" s="218"/>
      <c r="GQ81" s="218"/>
      <c r="GR81" s="218"/>
      <c r="GS81" s="218"/>
      <c r="GT81" s="218"/>
      <c r="GU81" s="218"/>
      <c r="GV81" s="218"/>
      <c r="GW81" s="218"/>
      <c r="GX81" s="218"/>
      <c r="GY81" s="218"/>
      <c r="GZ81" s="218"/>
      <c r="HA81" s="218"/>
      <c r="HB81" s="218"/>
      <c r="HC81" s="218"/>
      <c r="HD81" s="218"/>
      <c r="HE81" s="218"/>
      <c r="HF81" s="218"/>
      <c r="HG81" s="218"/>
      <c r="HH81" s="218"/>
      <c r="HI81" s="218"/>
      <c r="HJ81" s="218"/>
      <c r="HK81" s="218"/>
      <c r="HL81" s="218"/>
      <c r="HM81" s="218"/>
      <c r="HN81" s="218"/>
      <c r="HO81" s="218"/>
      <c r="HP81" s="218"/>
      <c r="HQ81" s="218"/>
      <c r="HR81" s="218"/>
      <c r="HS81" s="218"/>
      <c r="HT81" s="218"/>
      <c r="HU81" s="218"/>
      <c r="HV81" s="218"/>
      <c r="HW81" s="218"/>
      <c r="HX81" s="218"/>
      <c r="HY81" s="218"/>
      <c r="HZ81" s="218"/>
      <c r="IA81" s="218"/>
      <c r="IB81" s="218"/>
      <c r="IC81" s="218"/>
      <c r="ID81" s="218"/>
      <c r="IE81" s="218"/>
      <c r="IF81" s="218"/>
      <c r="IG81" s="218"/>
      <c r="IH81" s="218"/>
      <c r="II81" s="218"/>
      <c r="IJ81" s="218"/>
      <c r="IK81" s="218"/>
      <c r="IL81" s="218"/>
      <c r="IM81" s="218"/>
      <c r="IN81" s="218"/>
      <c r="IO81" s="218"/>
      <c r="IP81" s="218"/>
      <c r="IQ81" s="218"/>
      <c r="IR81" s="218"/>
      <c r="IS81" s="218"/>
      <c r="IT81" s="218"/>
      <c r="IU81" s="218"/>
      <c r="IV81" s="218"/>
      <c r="IW81" s="218"/>
    </row>
    <row r="82" customFormat="false" ht="11.25" hidden="false" customHeight="false" outlineLevel="0" collapsed="false">
      <c r="A82" s="218"/>
      <c r="B82" s="256" t="s">
        <v>202</v>
      </c>
      <c r="C82" s="257" t="str">
        <f aca="false">IF($C57&gt;0,$C57,"")</f>
        <v/>
      </c>
      <c r="D82" s="257" t="str">
        <f aca="false">IF($C58&gt;0,$C58,"")</f>
        <v/>
      </c>
      <c r="E82" s="257" t="str">
        <f aca="false">IF($C59&gt;0,$C59,"")</f>
        <v/>
      </c>
      <c r="F82" s="257" t="str">
        <f aca="false">IF($C60&gt;0,$C60,"")</f>
        <v/>
      </c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8"/>
      <c r="BD82" s="218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8"/>
      <c r="CA82" s="218"/>
      <c r="CB82" s="218"/>
      <c r="CC82" s="218"/>
      <c r="CD82" s="218"/>
      <c r="CE82" s="218"/>
      <c r="CF82" s="218"/>
      <c r="CG82" s="218"/>
      <c r="CH82" s="218"/>
      <c r="CI82" s="218"/>
      <c r="CJ82" s="218"/>
      <c r="CK82" s="218"/>
      <c r="CL82" s="218"/>
      <c r="CM82" s="218"/>
      <c r="CN82" s="218"/>
      <c r="CO82" s="218"/>
      <c r="CP82" s="218"/>
      <c r="CQ82" s="218"/>
      <c r="CR82" s="218"/>
      <c r="CS82" s="218"/>
      <c r="CT82" s="218"/>
      <c r="CU82" s="218"/>
      <c r="CV82" s="218"/>
      <c r="CW82" s="218"/>
      <c r="CX82" s="218"/>
      <c r="CY82" s="218"/>
      <c r="CZ82" s="218"/>
      <c r="DA82" s="218"/>
      <c r="DB82" s="218"/>
      <c r="DC82" s="218"/>
      <c r="DD82" s="218"/>
      <c r="DE82" s="218"/>
      <c r="DF82" s="218"/>
      <c r="DG82" s="218"/>
      <c r="DH82" s="218"/>
      <c r="DI82" s="218"/>
      <c r="DJ82" s="218"/>
      <c r="DK82" s="218"/>
      <c r="DL82" s="218"/>
      <c r="DM82" s="218"/>
      <c r="DN82" s="218"/>
      <c r="DO82" s="218"/>
      <c r="DP82" s="218"/>
      <c r="DQ82" s="218"/>
      <c r="DR82" s="218"/>
      <c r="DS82" s="218"/>
      <c r="DT82" s="218"/>
      <c r="DU82" s="218"/>
      <c r="DV82" s="218"/>
      <c r="DW82" s="218"/>
      <c r="DX82" s="218"/>
      <c r="DY82" s="218"/>
      <c r="DZ82" s="218"/>
      <c r="EA82" s="218"/>
      <c r="EB82" s="218"/>
      <c r="EC82" s="218"/>
      <c r="ED82" s="218"/>
      <c r="EE82" s="218"/>
      <c r="EF82" s="218"/>
      <c r="EG82" s="218"/>
      <c r="EH82" s="218"/>
      <c r="EI82" s="218"/>
      <c r="EJ82" s="218"/>
      <c r="EK82" s="218"/>
      <c r="EL82" s="218"/>
      <c r="EM82" s="218"/>
      <c r="EN82" s="218"/>
      <c r="EO82" s="218"/>
      <c r="EP82" s="218"/>
      <c r="EQ82" s="218"/>
      <c r="ER82" s="218"/>
      <c r="ES82" s="218"/>
      <c r="ET82" s="218"/>
      <c r="EU82" s="218"/>
      <c r="EV82" s="218"/>
      <c r="EW82" s="218"/>
      <c r="EX82" s="218"/>
      <c r="EY82" s="218"/>
      <c r="EZ82" s="218"/>
      <c r="FA82" s="218"/>
      <c r="FB82" s="218"/>
      <c r="FC82" s="218"/>
      <c r="FD82" s="218"/>
      <c r="FE82" s="218"/>
      <c r="FF82" s="218"/>
      <c r="FG82" s="218"/>
      <c r="FH82" s="218"/>
      <c r="FI82" s="218"/>
      <c r="FJ82" s="218"/>
      <c r="FK82" s="218"/>
      <c r="FL82" s="218"/>
      <c r="FM82" s="218"/>
      <c r="FN82" s="218"/>
      <c r="FO82" s="218"/>
      <c r="FP82" s="218"/>
      <c r="FQ82" s="218"/>
      <c r="FR82" s="218"/>
      <c r="FS82" s="218"/>
      <c r="FT82" s="218"/>
      <c r="FU82" s="218"/>
      <c r="FV82" s="218"/>
      <c r="FW82" s="218"/>
      <c r="FX82" s="218"/>
      <c r="FY82" s="218"/>
      <c r="FZ82" s="218"/>
      <c r="GA82" s="218"/>
      <c r="GB82" s="218"/>
      <c r="GC82" s="218"/>
      <c r="GD82" s="218"/>
      <c r="GE82" s="218"/>
      <c r="GF82" s="218"/>
      <c r="GG82" s="218"/>
      <c r="GH82" s="218"/>
      <c r="GI82" s="218"/>
      <c r="GJ82" s="218"/>
      <c r="GK82" s="218"/>
      <c r="GL82" s="218"/>
      <c r="GM82" s="218"/>
      <c r="GN82" s="218"/>
      <c r="GO82" s="218"/>
      <c r="GP82" s="218"/>
      <c r="GQ82" s="218"/>
      <c r="GR82" s="218"/>
      <c r="GS82" s="218"/>
      <c r="GT82" s="218"/>
      <c r="GU82" s="218"/>
      <c r="GV82" s="218"/>
      <c r="GW82" s="218"/>
      <c r="GX82" s="218"/>
      <c r="GY82" s="218"/>
      <c r="GZ82" s="218"/>
      <c r="HA82" s="218"/>
      <c r="HB82" s="218"/>
      <c r="HC82" s="218"/>
      <c r="HD82" s="218"/>
      <c r="HE82" s="218"/>
      <c r="HF82" s="218"/>
      <c r="HG82" s="218"/>
      <c r="HH82" s="218"/>
      <c r="HI82" s="218"/>
      <c r="HJ82" s="218"/>
      <c r="HK82" s="218"/>
      <c r="HL82" s="218"/>
      <c r="HM82" s="218"/>
      <c r="HN82" s="218"/>
      <c r="HO82" s="218"/>
      <c r="HP82" s="218"/>
      <c r="HQ82" s="218"/>
      <c r="HR82" s="218"/>
      <c r="HS82" s="218"/>
      <c r="HT82" s="218"/>
      <c r="HU82" s="218"/>
      <c r="HV82" s="218"/>
      <c r="HW82" s="218"/>
      <c r="HX82" s="218"/>
      <c r="HY82" s="218"/>
      <c r="HZ82" s="218"/>
      <c r="IA82" s="218"/>
      <c r="IB82" s="218"/>
      <c r="IC82" s="218"/>
      <c r="ID82" s="218"/>
      <c r="IE82" s="218"/>
      <c r="IF82" s="218"/>
      <c r="IG82" s="218"/>
      <c r="IH82" s="218"/>
      <c r="II82" s="218"/>
      <c r="IJ82" s="218"/>
      <c r="IK82" s="218"/>
      <c r="IL82" s="218"/>
      <c r="IM82" s="218"/>
      <c r="IN82" s="218"/>
      <c r="IO82" s="218"/>
      <c r="IP82" s="218"/>
      <c r="IQ82" s="218"/>
      <c r="IR82" s="218"/>
      <c r="IS82" s="218"/>
      <c r="IT82" s="218"/>
      <c r="IU82" s="218"/>
      <c r="IV82" s="218"/>
      <c r="IW82" s="218"/>
    </row>
    <row r="83" customFormat="false" ht="12" hidden="false" customHeight="false" outlineLevel="0" collapsed="false">
      <c r="A83" s="218"/>
      <c r="B83" s="260" t="s">
        <v>203</v>
      </c>
      <c r="C83" s="261" t="e">
        <f aca="false">C78-C81-C82</f>
        <v>#VALUE!</v>
      </c>
      <c r="D83" s="261" t="e">
        <f aca="false">D78-D81-D82</f>
        <v>#VALUE!</v>
      </c>
      <c r="E83" s="261" t="e">
        <f aca="false">E78-E81-E82</f>
        <v>#VALUE!</v>
      </c>
      <c r="F83" s="261" t="e">
        <f aca="false">F78-F81-F82</f>
        <v>#VALUE!</v>
      </c>
      <c r="G83" s="261" t="n">
        <f aca="false">G78-G81-G82</f>
        <v>0</v>
      </c>
      <c r="H83" s="261" t="n">
        <f aca="false">H78-H81-H82</f>
        <v>0</v>
      </c>
      <c r="I83" s="261" t="n">
        <f aca="false">I78-I81-I82</f>
        <v>0</v>
      </c>
      <c r="J83" s="261" t="n">
        <f aca="false">J78-J81-J82</f>
        <v>0</v>
      </c>
      <c r="K83" s="261" t="n">
        <f aca="false">K78-K81-K82</f>
        <v>0</v>
      </c>
      <c r="L83" s="261" t="n">
        <f aca="false">L78-L81-L82</f>
        <v>0</v>
      </c>
      <c r="M83" s="261" t="n">
        <f aca="false">M78-M81-M82</f>
        <v>0</v>
      </c>
      <c r="N83" s="261" t="n">
        <f aca="false">N78-N81-N82</f>
        <v>0</v>
      </c>
      <c r="O83" s="261" t="n">
        <f aca="false">O78-O81-O82</f>
        <v>0</v>
      </c>
      <c r="P83" s="261" t="n">
        <f aca="false">P78-P81-P82</f>
        <v>0</v>
      </c>
      <c r="Q83" s="261" t="n">
        <f aca="false">Q78-Q81-Q82</f>
        <v>0</v>
      </c>
      <c r="R83" s="261" t="n">
        <f aca="false">R78-R81-R82</f>
        <v>0</v>
      </c>
      <c r="S83" s="261" t="n">
        <f aca="false">S78-S81-S82</f>
        <v>0</v>
      </c>
      <c r="T83" s="261" t="n">
        <f aca="false">T78-T81-T82</f>
        <v>0</v>
      </c>
      <c r="U83" s="261" t="n">
        <f aca="false">U78-U81-U82</f>
        <v>0</v>
      </c>
      <c r="V83" s="261" t="n">
        <f aca="false">V78-V81-V82</f>
        <v>0</v>
      </c>
      <c r="W83" s="261" t="n">
        <f aca="false">W78-W81-W82</f>
        <v>0</v>
      </c>
      <c r="X83" s="261" t="n">
        <f aca="false">X78-X81-X82</f>
        <v>0</v>
      </c>
      <c r="Y83" s="261" t="n">
        <f aca="false">Y78-Y81-Y82</f>
        <v>0</v>
      </c>
      <c r="Z83" s="261" t="n">
        <f aca="false">Z78-Z81-Z82</f>
        <v>0</v>
      </c>
      <c r="AA83" s="261" t="n">
        <f aca="false">AA78-AA81-AA82</f>
        <v>0</v>
      </c>
      <c r="AB83" s="261" t="n">
        <f aca="false">AB78-AB81-AB82</f>
        <v>0</v>
      </c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8"/>
      <c r="BD83" s="218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8"/>
      <c r="CA83" s="218"/>
      <c r="CB83" s="218"/>
      <c r="CC83" s="218"/>
      <c r="CD83" s="218"/>
      <c r="CE83" s="218"/>
      <c r="CF83" s="218"/>
      <c r="CG83" s="218"/>
      <c r="CH83" s="218"/>
      <c r="CI83" s="218"/>
      <c r="CJ83" s="218"/>
      <c r="CK83" s="218"/>
      <c r="CL83" s="218"/>
      <c r="CM83" s="218"/>
      <c r="CN83" s="218"/>
      <c r="CO83" s="218"/>
      <c r="CP83" s="218"/>
      <c r="CQ83" s="218"/>
      <c r="CR83" s="218"/>
      <c r="CS83" s="218"/>
      <c r="CT83" s="218"/>
      <c r="CU83" s="218"/>
      <c r="CV83" s="218"/>
      <c r="CW83" s="218"/>
      <c r="CX83" s="218"/>
      <c r="CY83" s="218"/>
      <c r="CZ83" s="218"/>
      <c r="DA83" s="218"/>
      <c r="DB83" s="218"/>
      <c r="DC83" s="218"/>
      <c r="DD83" s="218"/>
      <c r="DE83" s="218"/>
      <c r="DF83" s="218"/>
      <c r="DG83" s="218"/>
      <c r="DH83" s="218"/>
      <c r="DI83" s="218"/>
      <c r="DJ83" s="218"/>
      <c r="DK83" s="218"/>
      <c r="DL83" s="218"/>
      <c r="DM83" s="218"/>
      <c r="DN83" s="218"/>
      <c r="DO83" s="218"/>
      <c r="DP83" s="218"/>
      <c r="DQ83" s="218"/>
      <c r="DR83" s="218"/>
      <c r="DS83" s="218"/>
      <c r="DT83" s="218"/>
      <c r="DU83" s="218"/>
      <c r="DV83" s="218"/>
      <c r="DW83" s="218"/>
      <c r="DX83" s="218"/>
      <c r="DY83" s="218"/>
      <c r="DZ83" s="218"/>
      <c r="EA83" s="218"/>
      <c r="EB83" s="218"/>
      <c r="EC83" s="218"/>
      <c r="ED83" s="218"/>
      <c r="EE83" s="218"/>
      <c r="EF83" s="218"/>
      <c r="EG83" s="218"/>
      <c r="EH83" s="218"/>
      <c r="EI83" s="218"/>
      <c r="EJ83" s="218"/>
      <c r="EK83" s="218"/>
      <c r="EL83" s="218"/>
      <c r="EM83" s="218"/>
      <c r="EN83" s="218"/>
      <c r="EO83" s="218"/>
      <c r="EP83" s="218"/>
      <c r="EQ83" s="218"/>
      <c r="ER83" s="218"/>
      <c r="ES83" s="218"/>
      <c r="ET83" s="218"/>
      <c r="EU83" s="218"/>
      <c r="EV83" s="218"/>
      <c r="EW83" s="218"/>
      <c r="EX83" s="218"/>
      <c r="EY83" s="218"/>
      <c r="EZ83" s="218"/>
      <c r="FA83" s="218"/>
      <c r="FB83" s="218"/>
      <c r="FC83" s="218"/>
      <c r="FD83" s="218"/>
      <c r="FE83" s="218"/>
      <c r="FF83" s="218"/>
      <c r="FG83" s="218"/>
      <c r="FH83" s="218"/>
      <c r="FI83" s="218"/>
      <c r="FJ83" s="218"/>
      <c r="FK83" s="218"/>
      <c r="FL83" s="218"/>
      <c r="FM83" s="218"/>
      <c r="FN83" s="218"/>
      <c r="FO83" s="218"/>
      <c r="FP83" s="218"/>
      <c r="FQ83" s="218"/>
      <c r="FR83" s="218"/>
      <c r="FS83" s="218"/>
      <c r="FT83" s="218"/>
      <c r="FU83" s="218"/>
      <c r="FV83" s="218"/>
      <c r="FW83" s="218"/>
      <c r="FX83" s="218"/>
      <c r="FY83" s="218"/>
      <c r="FZ83" s="218"/>
      <c r="GA83" s="218"/>
      <c r="GB83" s="218"/>
      <c r="GC83" s="218"/>
      <c r="GD83" s="218"/>
      <c r="GE83" s="218"/>
      <c r="GF83" s="218"/>
      <c r="GG83" s="218"/>
      <c r="GH83" s="218"/>
      <c r="GI83" s="218"/>
      <c r="GJ83" s="218"/>
      <c r="GK83" s="218"/>
      <c r="GL83" s="218"/>
      <c r="GM83" s="218"/>
      <c r="GN83" s="218"/>
      <c r="GO83" s="218"/>
      <c r="GP83" s="218"/>
      <c r="GQ83" s="218"/>
      <c r="GR83" s="218"/>
      <c r="GS83" s="218"/>
      <c r="GT83" s="218"/>
      <c r="GU83" s="218"/>
      <c r="GV83" s="218"/>
      <c r="GW83" s="218"/>
      <c r="GX83" s="218"/>
      <c r="GY83" s="218"/>
      <c r="GZ83" s="218"/>
      <c r="HA83" s="218"/>
      <c r="HB83" s="218"/>
      <c r="HC83" s="218"/>
      <c r="HD83" s="218"/>
      <c r="HE83" s="218"/>
      <c r="HF83" s="218"/>
      <c r="HG83" s="218"/>
      <c r="HH83" s="218"/>
      <c r="HI83" s="218"/>
      <c r="HJ83" s="218"/>
      <c r="HK83" s="218"/>
      <c r="HL83" s="218"/>
      <c r="HM83" s="218"/>
      <c r="HN83" s="218"/>
      <c r="HO83" s="218"/>
      <c r="HP83" s="218"/>
      <c r="HQ83" s="218"/>
      <c r="HR83" s="218"/>
      <c r="HS83" s="218"/>
      <c r="HT83" s="218"/>
      <c r="HU83" s="218"/>
      <c r="HV83" s="218"/>
      <c r="HW83" s="218"/>
      <c r="HX83" s="218"/>
      <c r="HY83" s="218"/>
      <c r="HZ83" s="218"/>
      <c r="IA83" s="218"/>
      <c r="IB83" s="218"/>
      <c r="IC83" s="218"/>
      <c r="ID83" s="218"/>
      <c r="IE83" s="218"/>
      <c r="IF83" s="218"/>
      <c r="IG83" s="218"/>
      <c r="IH83" s="218"/>
      <c r="II83" s="218"/>
      <c r="IJ83" s="218"/>
      <c r="IK83" s="218"/>
      <c r="IL83" s="218"/>
      <c r="IM83" s="218"/>
      <c r="IN83" s="218"/>
      <c r="IO83" s="218"/>
      <c r="IP83" s="218"/>
      <c r="IQ83" s="218"/>
      <c r="IR83" s="218"/>
      <c r="IS83" s="218"/>
      <c r="IT83" s="218"/>
      <c r="IU83" s="218"/>
      <c r="IV83" s="218"/>
      <c r="IW83" s="218"/>
    </row>
    <row r="84" customFormat="false" ht="11.25" hidden="false" customHeight="false" outlineLevel="0" collapsed="false">
      <c r="A84" s="218"/>
      <c r="B84" s="256"/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18"/>
      <c r="AD84" s="218"/>
      <c r="AE84" s="218"/>
      <c r="AF84" s="218"/>
      <c r="AG84" s="218"/>
      <c r="AH84" s="218"/>
      <c r="AI84" s="218"/>
      <c r="AJ84" s="218"/>
      <c r="AK84" s="218"/>
      <c r="AL84" s="218"/>
      <c r="AM84" s="218"/>
      <c r="AN84" s="218"/>
      <c r="AO84" s="218"/>
      <c r="AP84" s="218"/>
      <c r="AQ84" s="218"/>
      <c r="AR84" s="218"/>
      <c r="AS84" s="218"/>
      <c r="AT84" s="218"/>
      <c r="AU84" s="218"/>
      <c r="AV84" s="218"/>
      <c r="AW84" s="218"/>
      <c r="AX84" s="218"/>
      <c r="AY84" s="218"/>
      <c r="AZ84" s="218"/>
      <c r="BA84" s="218"/>
      <c r="BB84" s="218"/>
      <c r="BC84" s="218"/>
      <c r="BD84" s="218"/>
      <c r="BE84" s="218"/>
      <c r="BF84" s="218"/>
      <c r="BG84" s="218"/>
      <c r="BH84" s="218"/>
      <c r="BI84" s="218"/>
      <c r="BJ84" s="218"/>
      <c r="BK84" s="218"/>
      <c r="BL84" s="218"/>
      <c r="BM84" s="218"/>
      <c r="BN84" s="218"/>
      <c r="BO84" s="218"/>
      <c r="BP84" s="218"/>
      <c r="BQ84" s="218"/>
      <c r="BR84" s="218"/>
      <c r="BS84" s="218"/>
      <c r="BT84" s="218"/>
      <c r="BU84" s="218"/>
      <c r="BV84" s="218"/>
      <c r="BW84" s="218"/>
      <c r="BX84" s="218"/>
      <c r="BY84" s="218"/>
      <c r="BZ84" s="218"/>
      <c r="CA84" s="218"/>
      <c r="CB84" s="218"/>
      <c r="CC84" s="218"/>
      <c r="CD84" s="218"/>
      <c r="CE84" s="218"/>
      <c r="CF84" s="218"/>
      <c r="CG84" s="218"/>
      <c r="CH84" s="218"/>
      <c r="CI84" s="218"/>
      <c r="CJ84" s="218"/>
      <c r="CK84" s="218"/>
      <c r="CL84" s="218"/>
      <c r="CM84" s="218"/>
      <c r="CN84" s="218"/>
      <c r="CO84" s="218"/>
      <c r="CP84" s="218"/>
      <c r="CQ84" s="218"/>
      <c r="CR84" s="218"/>
      <c r="CS84" s="218"/>
      <c r="CT84" s="218"/>
      <c r="CU84" s="218"/>
      <c r="CV84" s="218"/>
      <c r="CW84" s="218"/>
      <c r="CX84" s="218"/>
      <c r="CY84" s="218"/>
      <c r="CZ84" s="218"/>
      <c r="DA84" s="218"/>
      <c r="DB84" s="218"/>
      <c r="DC84" s="218"/>
      <c r="DD84" s="218"/>
      <c r="DE84" s="218"/>
      <c r="DF84" s="218"/>
      <c r="DG84" s="218"/>
      <c r="DH84" s="218"/>
      <c r="DI84" s="218"/>
      <c r="DJ84" s="218"/>
      <c r="DK84" s="218"/>
      <c r="DL84" s="218"/>
      <c r="DM84" s="218"/>
      <c r="DN84" s="218"/>
      <c r="DO84" s="218"/>
      <c r="DP84" s="218"/>
      <c r="DQ84" s="218"/>
      <c r="DR84" s="218"/>
      <c r="DS84" s="218"/>
      <c r="DT84" s="218"/>
      <c r="DU84" s="218"/>
      <c r="DV84" s="218"/>
      <c r="DW84" s="218"/>
      <c r="DX84" s="218"/>
      <c r="DY84" s="218"/>
      <c r="DZ84" s="218"/>
      <c r="EA84" s="218"/>
      <c r="EB84" s="218"/>
      <c r="EC84" s="218"/>
      <c r="ED84" s="218"/>
      <c r="EE84" s="218"/>
      <c r="EF84" s="218"/>
      <c r="EG84" s="218"/>
      <c r="EH84" s="218"/>
      <c r="EI84" s="218"/>
      <c r="EJ84" s="218"/>
      <c r="EK84" s="218"/>
      <c r="EL84" s="218"/>
      <c r="EM84" s="218"/>
      <c r="EN84" s="218"/>
      <c r="EO84" s="218"/>
      <c r="EP84" s="218"/>
      <c r="EQ84" s="218"/>
      <c r="ER84" s="218"/>
      <c r="ES84" s="218"/>
      <c r="ET84" s="218"/>
      <c r="EU84" s="218"/>
      <c r="EV84" s="218"/>
      <c r="EW84" s="218"/>
      <c r="EX84" s="218"/>
      <c r="EY84" s="218"/>
      <c r="EZ84" s="218"/>
      <c r="FA84" s="218"/>
      <c r="FB84" s="218"/>
      <c r="FC84" s="218"/>
      <c r="FD84" s="218"/>
      <c r="FE84" s="218"/>
      <c r="FF84" s="218"/>
      <c r="FG84" s="218"/>
      <c r="FH84" s="218"/>
      <c r="FI84" s="218"/>
      <c r="FJ84" s="218"/>
      <c r="FK84" s="218"/>
      <c r="FL84" s="218"/>
      <c r="FM84" s="218"/>
      <c r="FN84" s="218"/>
      <c r="FO84" s="218"/>
      <c r="FP84" s="218"/>
      <c r="FQ84" s="218"/>
      <c r="FR84" s="218"/>
      <c r="FS84" s="218"/>
      <c r="FT84" s="218"/>
      <c r="FU84" s="218"/>
      <c r="FV84" s="218"/>
      <c r="FW84" s="218"/>
      <c r="FX84" s="218"/>
      <c r="FY84" s="218"/>
      <c r="FZ84" s="218"/>
      <c r="GA84" s="218"/>
      <c r="GB84" s="218"/>
      <c r="GC84" s="218"/>
      <c r="GD84" s="218"/>
      <c r="GE84" s="218"/>
      <c r="GF84" s="218"/>
      <c r="GG84" s="218"/>
      <c r="GH84" s="218"/>
      <c r="GI84" s="218"/>
      <c r="GJ84" s="218"/>
      <c r="GK84" s="218"/>
      <c r="GL84" s="218"/>
      <c r="GM84" s="218"/>
      <c r="GN84" s="218"/>
      <c r="GO84" s="218"/>
      <c r="GP84" s="218"/>
      <c r="GQ84" s="218"/>
      <c r="GR84" s="218"/>
      <c r="GS84" s="218"/>
      <c r="GT84" s="218"/>
      <c r="GU84" s="218"/>
      <c r="GV84" s="218"/>
      <c r="GW84" s="218"/>
      <c r="GX84" s="218"/>
      <c r="GY84" s="218"/>
      <c r="GZ84" s="218"/>
      <c r="HA84" s="218"/>
      <c r="HB84" s="218"/>
      <c r="HC84" s="218"/>
      <c r="HD84" s="218"/>
      <c r="HE84" s="218"/>
      <c r="HF84" s="218"/>
      <c r="HG84" s="218"/>
      <c r="HH84" s="218"/>
      <c r="HI84" s="218"/>
      <c r="HJ84" s="218"/>
      <c r="HK84" s="218"/>
      <c r="HL84" s="218"/>
      <c r="HM84" s="218"/>
      <c r="HN84" s="218"/>
      <c r="HO84" s="218"/>
      <c r="HP84" s="218"/>
      <c r="HQ84" s="218"/>
      <c r="HR84" s="218"/>
      <c r="HS84" s="218"/>
      <c r="HT84" s="218"/>
      <c r="HU84" s="218"/>
      <c r="HV84" s="218"/>
      <c r="HW84" s="218"/>
      <c r="HX84" s="218"/>
      <c r="HY84" s="218"/>
      <c r="HZ84" s="218"/>
      <c r="IA84" s="218"/>
      <c r="IB84" s="218"/>
      <c r="IC84" s="218"/>
      <c r="ID84" s="218"/>
      <c r="IE84" s="218"/>
      <c r="IF84" s="218"/>
      <c r="IG84" s="218"/>
      <c r="IH84" s="218"/>
      <c r="II84" s="218"/>
      <c r="IJ84" s="218"/>
      <c r="IK84" s="218"/>
      <c r="IL84" s="218"/>
      <c r="IM84" s="218"/>
      <c r="IN84" s="218"/>
      <c r="IO84" s="218"/>
      <c r="IP84" s="218"/>
      <c r="IQ84" s="218"/>
      <c r="IR84" s="218"/>
      <c r="IS84" s="218"/>
      <c r="IT84" s="218"/>
      <c r="IU84" s="218"/>
      <c r="IV84" s="218"/>
      <c r="IW84" s="218"/>
    </row>
    <row r="85" customFormat="false" ht="11.25" hidden="false" customHeight="false" outlineLevel="0" collapsed="false">
      <c r="A85" s="218"/>
      <c r="B85" s="256" t="s">
        <v>204</v>
      </c>
      <c r="C85" s="257" t="n">
        <f aca="false">C75+C79</f>
        <v>0</v>
      </c>
      <c r="D85" s="257" t="e">
        <f aca="false">D75+D79</f>
        <v>#VALUE!</v>
      </c>
      <c r="E85" s="257" t="e">
        <f aca="false">E75+E79</f>
        <v>#VALUE!</v>
      </c>
      <c r="F85" s="257" t="n">
        <f aca="false">F75+F79</f>
        <v>0</v>
      </c>
      <c r="G85" s="257" t="n">
        <f aca="false">G75+G79</f>
        <v>0</v>
      </c>
      <c r="H85" s="257" t="n">
        <f aca="false">H75+H79</f>
        <v>0</v>
      </c>
      <c r="I85" s="257" t="n">
        <f aca="false">I75+I79</f>
        <v>0</v>
      </c>
      <c r="J85" s="257" t="n">
        <f aca="false">J75+J79</f>
        <v>0</v>
      </c>
      <c r="K85" s="257" t="n">
        <f aca="false">K75+K79</f>
        <v>0</v>
      </c>
      <c r="L85" s="257" t="n">
        <f aca="false">L75+L79</f>
        <v>0</v>
      </c>
      <c r="M85" s="257" t="n">
        <f aca="false">M75+M79</f>
        <v>0</v>
      </c>
      <c r="N85" s="257" t="n">
        <f aca="false">N75+N79</f>
        <v>0</v>
      </c>
      <c r="O85" s="257" t="n">
        <f aca="false">O75+O79</f>
        <v>0</v>
      </c>
      <c r="P85" s="257" t="n">
        <f aca="false">P75+P79</f>
        <v>0</v>
      </c>
      <c r="Q85" s="257" t="n">
        <f aca="false">Q75+Q79</f>
        <v>0</v>
      </c>
      <c r="R85" s="257" t="n">
        <f aca="false">R75+R79</f>
        <v>0</v>
      </c>
      <c r="S85" s="257" t="n">
        <f aca="false">S75+S79</f>
        <v>0</v>
      </c>
      <c r="T85" s="257" t="n">
        <f aca="false">T75+T79</f>
        <v>0</v>
      </c>
      <c r="U85" s="257" t="n">
        <f aca="false">U75+U79</f>
        <v>0</v>
      </c>
      <c r="V85" s="257" t="n">
        <f aca="false">V75+V79</f>
        <v>0</v>
      </c>
      <c r="W85" s="257" t="n">
        <f aca="false">W75+W79</f>
        <v>0</v>
      </c>
      <c r="X85" s="257" t="e">
        <f aca="false">X75+X79</f>
        <v>#REF!</v>
      </c>
      <c r="Y85" s="257" t="e">
        <f aca="false">Y75+Y79</f>
        <v>#REF!</v>
      </c>
      <c r="Z85" s="257" t="e">
        <f aca="false">Z75+Z79</f>
        <v>#REF!</v>
      </c>
      <c r="AA85" s="257" t="e">
        <f aca="false">AA75+AA79</f>
        <v>#REF!</v>
      </c>
      <c r="AB85" s="257" t="e">
        <f aca="false">AB75+AB79</f>
        <v>#REF!</v>
      </c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  <c r="AP85" s="218"/>
      <c r="AQ85" s="218"/>
      <c r="AR85" s="218"/>
      <c r="AS85" s="218"/>
      <c r="AT85" s="218"/>
      <c r="AU85" s="218"/>
      <c r="AV85" s="218"/>
      <c r="AW85" s="218"/>
      <c r="AX85" s="218"/>
      <c r="AY85" s="218"/>
      <c r="AZ85" s="218"/>
      <c r="BA85" s="218"/>
      <c r="BB85" s="218"/>
      <c r="BC85" s="218"/>
      <c r="BD85" s="218"/>
      <c r="BE85" s="218"/>
      <c r="BF85" s="218"/>
      <c r="BG85" s="218"/>
      <c r="BH85" s="218"/>
      <c r="BI85" s="218"/>
      <c r="BJ85" s="218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8"/>
      <c r="CA85" s="218"/>
      <c r="CB85" s="218"/>
      <c r="CC85" s="218"/>
      <c r="CD85" s="218"/>
      <c r="CE85" s="218"/>
      <c r="CF85" s="218"/>
      <c r="CG85" s="218"/>
      <c r="CH85" s="218"/>
      <c r="CI85" s="218"/>
      <c r="CJ85" s="218"/>
      <c r="CK85" s="218"/>
      <c r="CL85" s="218"/>
      <c r="CM85" s="218"/>
      <c r="CN85" s="218"/>
      <c r="CO85" s="218"/>
      <c r="CP85" s="218"/>
      <c r="CQ85" s="218"/>
      <c r="CR85" s="218"/>
      <c r="CS85" s="218"/>
      <c r="CT85" s="218"/>
      <c r="CU85" s="218"/>
      <c r="CV85" s="218"/>
      <c r="CW85" s="218"/>
      <c r="CX85" s="218"/>
      <c r="CY85" s="218"/>
      <c r="CZ85" s="218"/>
      <c r="DA85" s="218"/>
      <c r="DB85" s="218"/>
      <c r="DC85" s="218"/>
      <c r="DD85" s="218"/>
      <c r="DE85" s="218"/>
      <c r="DF85" s="218"/>
      <c r="DG85" s="218"/>
      <c r="DH85" s="218"/>
      <c r="DI85" s="218"/>
      <c r="DJ85" s="218"/>
      <c r="DK85" s="218"/>
      <c r="DL85" s="218"/>
      <c r="DM85" s="218"/>
      <c r="DN85" s="218"/>
      <c r="DO85" s="218"/>
      <c r="DP85" s="218"/>
      <c r="DQ85" s="218"/>
      <c r="DR85" s="218"/>
      <c r="DS85" s="218"/>
      <c r="DT85" s="218"/>
      <c r="DU85" s="218"/>
      <c r="DV85" s="218"/>
      <c r="DW85" s="218"/>
      <c r="DX85" s="218"/>
      <c r="DY85" s="218"/>
      <c r="DZ85" s="218"/>
      <c r="EA85" s="218"/>
      <c r="EB85" s="218"/>
      <c r="EC85" s="218"/>
      <c r="ED85" s="218"/>
      <c r="EE85" s="218"/>
      <c r="EF85" s="218"/>
      <c r="EG85" s="218"/>
      <c r="EH85" s="218"/>
      <c r="EI85" s="218"/>
      <c r="EJ85" s="218"/>
      <c r="EK85" s="218"/>
      <c r="EL85" s="218"/>
      <c r="EM85" s="218"/>
      <c r="EN85" s="218"/>
      <c r="EO85" s="218"/>
      <c r="EP85" s="218"/>
      <c r="EQ85" s="218"/>
      <c r="ER85" s="218"/>
      <c r="ES85" s="218"/>
      <c r="ET85" s="218"/>
      <c r="EU85" s="218"/>
      <c r="EV85" s="218"/>
      <c r="EW85" s="218"/>
      <c r="EX85" s="218"/>
      <c r="EY85" s="218"/>
      <c r="EZ85" s="218"/>
      <c r="FA85" s="218"/>
      <c r="FB85" s="218"/>
      <c r="FC85" s="218"/>
      <c r="FD85" s="218"/>
      <c r="FE85" s="218"/>
      <c r="FF85" s="218"/>
      <c r="FG85" s="218"/>
      <c r="FH85" s="218"/>
      <c r="FI85" s="218"/>
      <c r="FJ85" s="218"/>
      <c r="FK85" s="218"/>
      <c r="FL85" s="218"/>
      <c r="FM85" s="218"/>
      <c r="FN85" s="218"/>
      <c r="FO85" s="218"/>
      <c r="FP85" s="218"/>
      <c r="FQ85" s="218"/>
      <c r="FR85" s="218"/>
      <c r="FS85" s="218"/>
      <c r="FT85" s="218"/>
      <c r="FU85" s="218"/>
      <c r="FV85" s="218"/>
      <c r="FW85" s="218"/>
      <c r="FX85" s="218"/>
      <c r="FY85" s="218"/>
      <c r="FZ85" s="218"/>
      <c r="GA85" s="218"/>
      <c r="GB85" s="218"/>
      <c r="GC85" s="218"/>
      <c r="GD85" s="218"/>
      <c r="GE85" s="218"/>
      <c r="GF85" s="218"/>
      <c r="GG85" s="218"/>
      <c r="GH85" s="218"/>
      <c r="GI85" s="218"/>
      <c r="GJ85" s="218"/>
      <c r="GK85" s="218"/>
      <c r="GL85" s="218"/>
      <c r="GM85" s="218"/>
      <c r="GN85" s="218"/>
      <c r="GO85" s="218"/>
      <c r="GP85" s="218"/>
      <c r="GQ85" s="218"/>
      <c r="GR85" s="218"/>
      <c r="GS85" s="218"/>
      <c r="GT85" s="218"/>
      <c r="GU85" s="218"/>
      <c r="GV85" s="218"/>
      <c r="GW85" s="218"/>
      <c r="GX85" s="218"/>
      <c r="GY85" s="218"/>
      <c r="GZ85" s="218"/>
      <c r="HA85" s="218"/>
      <c r="HB85" s="218"/>
      <c r="HC85" s="218"/>
      <c r="HD85" s="218"/>
      <c r="HE85" s="218"/>
      <c r="HF85" s="218"/>
      <c r="HG85" s="218"/>
      <c r="HH85" s="218"/>
      <c r="HI85" s="218"/>
      <c r="HJ85" s="218"/>
      <c r="HK85" s="218"/>
      <c r="HL85" s="218"/>
      <c r="HM85" s="218"/>
      <c r="HN85" s="218"/>
      <c r="HO85" s="218"/>
      <c r="HP85" s="218"/>
      <c r="HQ85" s="218"/>
      <c r="HR85" s="218"/>
      <c r="HS85" s="218"/>
      <c r="HT85" s="218"/>
      <c r="HU85" s="218"/>
      <c r="HV85" s="218"/>
      <c r="HW85" s="218"/>
      <c r="HX85" s="218"/>
      <c r="HY85" s="218"/>
      <c r="HZ85" s="218"/>
      <c r="IA85" s="218"/>
      <c r="IB85" s="218"/>
      <c r="IC85" s="218"/>
      <c r="ID85" s="218"/>
      <c r="IE85" s="218"/>
      <c r="IF85" s="218"/>
      <c r="IG85" s="218"/>
      <c r="IH85" s="218"/>
      <c r="II85" s="218"/>
      <c r="IJ85" s="218"/>
      <c r="IK85" s="218"/>
      <c r="IL85" s="218"/>
      <c r="IM85" s="218"/>
      <c r="IN85" s="218"/>
      <c r="IO85" s="218"/>
      <c r="IP85" s="218"/>
      <c r="IQ85" s="218"/>
      <c r="IR85" s="218"/>
      <c r="IS85" s="218"/>
      <c r="IT85" s="218"/>
      <c r="IU85" s="218"/>
      <c r="IV85" s="218"/>
      <c r="IW85" s="218"/>
    </row>
    <row r="86" customFormat="false" ht="11.25" hidden="false" customHeight="false" outlineLevel="0" collapsed="false">
      <c r="A86" s="218"/>
      <c r="B86" s="127" t="s">
        <v>205</v>
      </c>
      <c r="C86" s="257" t="n">
        <f aca="false">C76+C80</f>
        <v>0</v>
      </c>
      <c r="D86" s="257" t="e">
        <f aca="false">D76+D80</f>
        <v>#VALUE!</v>
      </c>
      <c r="E86" s="257" t="e">
        <f aca="false">E76+E80</f>
        <v>#VALUE!</v>
      </c>
      <c r="F86" s="257" t="n">
        <f aca="false">F76+F80</f>
        <v>0</v>
      </c>
      <c r="G86" s="257" t="n">
        <f aca="false">G76+G80</f>
        <v>0</v>
      </c>
      <c r="H86" s="257" t="n">
        <f aca="false">H76+H80</f>
        <v>0</v>
      </c>
      <c r="I86" s="257" t="n">
        <f aca="false">I76+I80</f>
        <v>0</v>
      </c>
      <c r="J86" s="257" t="n">
        <f aca="false">J76+J80</f>
        <v>0</v>
      </c>
      <c r="K86" s="257" t="n">
        <f aca="false">K76+K80</f>
        <v>0</v>
      </c>
      <c r="L86" s="257" t="n">
        <f aca="false">L76+L80</f>
        <v>0</v>
      </c>
      <c r="M86" s="257" t="n">
        <f aca="false">M76+M80</f>
        <v>0</v>
      </c>
      <c r="N86" s="257" t="n">
        <f aca="false">N76+N80</f>
        <v>0</v>
      </c>
      <c r="O86" s="257" t="n">
        <f aca="false">O76+O80</f>
        <v>0</v>
      </c>
      <c r="P86" s="257" t="n">
        <f aca="false">P76+P80</f>
        <v>0</v>
      </c>
      <c r="Q86" s="257" t="n">
        <f aca="false">Q76+Q80</f>
        <v>0</v>
      </c>
      <c r="R86" s="257" t="n">
        <f aca="false">R76+R80</f>
        <v>0</v>
      </c>
      <c r="S86" s="257" t="n">
        <f aca="false">S76+S80</f>
        <v>0</v>
      </c>
      <c r="T86" s="257" t="n">
        <f aca="false">T76+T80</f>
        <v>0</v>
      </c>
      <c r="U86" s="257" t="n">
        <f aca="false">U76+U80</f>
        <v>0</v>
      </c>
      <c r="V86" s="257" t="n">
        <f aca="false">V76+V80</f>
        <v>0</v>
      </c>
      <c r="W86" s="257" t="n">
        <f aca="false">W76+W80</f>
        <v>0</v>
      </c>
      <c r="X86" s="257" t="n">
        <f aca="false">X76+X80</f>
        <v>0</v>
      </c>
      <c r="Y86" s="257" t="n">
        <f aca="false">Y76+Y80</f>
        <v>0</v>
      </c>
      <c r="Z86" s="257" t="n">
        <f aca="false">Z76+Z80</f>
        <v>0</v>
      </c>
      <c r="AA86" s="257" t="n">
        <f aca="false">AA76+AA80</f>
        <v>0</v>
      </c>
      <c r="AB86" s="257" t="n">
        <f aca="false">AB76+AB80</f>
        <v>0</v>
      </c>
      <c r="AC86" s="218"/>
      <c r="AD86" s="218"/>
      <c r="AE86" s="218"/>
      <c r="AF86" s="218"/>
      <c r="AG86" s="218"/>
      <c r="AH86" s="218"/>
      <c r="AI86" s="218"/>
      <c r="AJ86" s="218"/>
      <c r="AK86" s="218"/>
      <c r="AL86" s="218"/>
      <c r="AM86" s="218"/>
      <c r="AN86" s="218"/>
      <c r="AO86" s="218"/>
      <c r="AP86" s="218"/>
      <c r="AQ86" s="218"/>
      <c r="AR86" s="218"/>
      <c r="AS86" s="218"/>
      <c r="AT86" s="218"/>
      <c r="AU86" s="218"/>
      <c r="AV86" s="218"/>
      <c r="AW86" s="218"/>
      <c r="AX86" s="218"/>
      <c r="AY86" s="218"/>
      <c r="AZ86" s="218"/>
      <c r="BA86" s="218"/>
      <c r="BB86" s="218"/>
      <c r="BC86" s="218"/>
      <c r="BD86" s="218"/>
      <c r="BE86" s="218"/>
      <c r="BF86" s="218"/>
      <c r="BG86" s="218"/>
      <c r="BH86" s="218"/>
      <c r="BI86" s="218"/>
      <c r="BJ86" s="218"/>
      <c r="BK86" s="218"/>
      <c r="BL86" s="218"/>
      <c r="BM86" s="218"/>
      <c r="BN86" s="218"/>
      <c r="BO86" s="218"/>
      <c r="BP86" s="218"/>
      <c r="BQ86" s="218"/>
      <c r="BR86" s="218"/>
      <c r="BS86" s="218"/>
      <c r="BT86" s="218"/>
      <c r="BU86" s="218"/>
      <c r="BV86" s="218"/>
      <c r="BW86" s="218"/>
      <c r="BX86" s="218"/>
      <c r="BY86" s="218"/>
      <c r="BZ86" s="218"/>
      <c r="CA86" s="218"/>
      <c r="CB86" s="218"/>
      <c r="CC86" s="218"/>
      <c r="CD86" s="218"/>
      <c r="CE86" s="218"/>
      <c r="CF86" s="218"/>
      <c r="CG86" s="218"/>
      <c r="CH86" s="218"/>
      <c r="CI86" s="218"/>
      <c r="CJ86" s="218"/>
      <c r="CK86" s="218"/>
      <c r="CL86" s="218"/>
      <c r="CM86" s="218"/>
      <c r="CN86" s="218"/>
      <c r="CO86" s="218"/>
      <c r="CP86" s="218"/>
      <c r="CQ86" s="218"/>
      <c r="CR86" s="218"/>
      <c r="CS86" s="218"/>
      <c r="CT86" s="218"/>
      <c r="CU86" s="218"/>
      <c r="CV86" s="218"/>
      <c r="CW86" s="218"/>
      <c r="CX86" s="218"/>
      <c r="CY86" s="218"/>
      <c r="CZ86" s="218"/>
      <c r="DA86" s="218"/>
      <c r="DB86" s="218"/>
      <c r="DC86" s="218"/>
      <c r="DD86" s="218"/>
      <c r="DE86" s="218"/>
      <c r="DF86" s="218"/>
      <c r="DG86" s="218"/>
      <c r="DH86" s="218"/>
      <c r="DI86" s="218"/>
      <c r="DJ86" s="218"/>
      <c r="DK86" s="218"/>
      <c r="DL86" s="218"/>
      <c r="DM86" s="218"/>
      <c r="DN86" s="218"/>
      <c r="DO86" s="218"/>
      <c r="DP86" s="218"/>
      <c r="DQ86" s="218"/>
      <c r="DR86" s="218"/>
      <c r="DS86" s="218"/>
      <c r="DT86" s="218"/>
      <c r="DU86" s="218"/>
      <c r="DV86" s="218"/>
      <c r="DW86" s="218"/>
      <c r="DX86" s="218"/>
      <c r="DY86" s="218"/>
      <c r="DZ86" s="218"/>
      <c r="EA86" s="218"/>
      <c r="EB86" s="218"/>
      <c r="EC86" s="218"/>
      <c r="ED86" s="218"/>
      <c r="EE86" s="218"/>
      <c r="EF86" s="218"/>
      <c r="EG86" s="218"/>
      <c r="EH86" s="218"/>
      <c r="EI86" s="218"/>
      <c r="EJ86" s="218"/>
      <c r="EK86" s="218"/>
      <c r="EL86" s="218"/>
      <c r="EM86" s="218"/>
      <c r="EN86" s="218"/>
      <c r="EO86" s="218"/>
      <c r="EP86" s="218"/>
      <c r="EQ86" s="218"/>
      <c r="ER86" s="218"/>
      <c r="ES86" s="218"/>
      <c r="ET86" s="218"/>
      <c r="EU86" s="218"/>
      <c r="EV86" s="218"/>
      <c r="EW86" s="218"/>
      <c r="EX86" s="218"/>
      <c r="EY86" s="218"/>
      <c r="EZ86" s="218"/>
      <c r="FA86" s="218"/>
      <c r="FB86" s="218"/>
      <c r="FC86" s="218"/>
      <c r="FD86" s="218"/>
      <c r="FE86" s="218"/>
      <c r="FF86" s="218"/>
      <c r="FG86" s="218"/>
      <c r="FH86" s="218"/>
      <c r="FI86" s="218"/>
      <c r="FJ86" s="218"/>
      <c r="FK86" s="218"/>
      <c r="FL86" s="218"/>
      <c r="FM86" s="218"/>
      <c r="FN86" s="218"/>
      <c r="FO86" s="218"/>
      <c r="FP86" s="218"/>
      <c r="FQ86" s="218"/>
      <c r="FR86" s="218"/>
      <c r="FS86" s="218"/>
      <c r="FT86" s="218"/>
      <c r="FU86" s="218"/>
      <c r="FV86" s="218"/>
      <c r="FW86" s="218"/>
      <c r="FX86" s="218"/>
      <c r="FY86" s="218"/>
      <c r="FZ86" s="218"/>
      <c r="GA86" s="218"/>
      <c r="GB86" s="218"/>
      <c r="GC86" s="218"/>
      <c r="GD86" s="218"/>
      <c r="GE86" s="218"/>
      <c r="GF86" s="218"/>
      <c r="GG86" s="218"/>
      <c r="GH86" s="218"/>
      <c r="GI86" s="218"/>
      <c r="GJ86" s="218"/>
      <c r="GK86" s="218"/>
      <c r="GL86" s="218"/>
      <c r="GM86" s="218"/>
      <c r="GN86" s="218"/>
      <c r="GO86" s="218"/>
      <c r="GP86" s="218"/>
      <c r="GQ86" s="218"/>
      <c r="GR86" s="218"/>
      <c r="GS86" s="218"/>
      <c r="GT86" s="218"/>
      <c r="GU86" s="218"/>
      <c r="GV86" s="218"/>
      <c r="GW86" s="218"/>
      <c r="GX86" s="218"/>
      <c r="GY86" s="218"/>
      <c r="GZ86" s="218"/>
      <c r="HA86" s="218"/>
      <c r="HB86" s="218"/>
      <c r="HC86" s="218"/>
      <c r="HD86" s="218"/>
      <c r="HE86" s="218"/>
      <c r="HF86" s="218"/>
      <c r="HG86" s="218"/>
      <c r="HH86" s="218"/>
      <c r="HI86" s="218"/>
      <c r="HJ86" s="218"/>
      <c r="HK86" s="218"/>
      <c r="HL86" s="218"/>
      <c r="HM86" s="218"/>
      <c r="HN86" s="218"/>
      <c r="HO86" s="218"/>
      <c r="HP86" s="218"/>
      <c r="HQ86" s="218"/>
      <c r="HR86" s="218"/>
      <c r="HS86" s="218"/>
      <c r="HT86" s="218"/>
      <c r="HU86" s="218"/>
      <c r="HV86" s="218"/>
      <c r="HW86" s="218"/>
      <c r="HX86" s="218"/>
      <c r="HY86" s="218"/>
      <c r="HZ86" s="218"/>
      <c r="IA86" s="218"/>
      <c r="IB86" s="218"/>
      <c r="IC86" s="218"/>
      <c r="ID86" s="218"/>
      <c r="IE86" s="218"/>
      <c r="IF86" s="218"/>
      <c r="IG86" s="218"/>
      <c r="IH86" s="218"/>
      <c r="II86" s="218"/>
      <c r="IJ86" s="218"/>
      <c r="IK86" s="218"/>
      <c r="IL86" s="218"/>
      <c r="IM86" s="218"/>
      <c r="IN86" s="218"/>
      <c r="IO86" s="218"/>
      <c r="IP86" s="218"/>
      <c r="IQ86" s="218"/>
      <c r="IR86" s="218"/>
      <c r="IS86" s="218"/>
      <c r="IT86" s="218"/>
      <c r="IU86" s="218"/>
      <c r="IV86" s="218"/>
      <c r="IW86" s="218"/>
    </row>
    <row r="87" customFormat="false" ht="11.25" hidden="false" customHeight="false" outlineLevel="0" collapsed="false">
      <c r="A87" s="218"/>
      <c r="B87" s="258" t="s">
        <v>206</v>
      </c>
      <c r="C87" s="259" t="n">
        <f aca="false">C77+C81</f>
        <v>0</v>
      </c>
      <c r="D87" s="259" t="e">
        <f aca="false">D77+D81</f>
        <v>#VALUE!</v>
      </c>
      <c r="E87" s="259" t="e">
        <f aca="false">E77+E81</f>
        <v>#VALUE!</v>
      </c>
      <c r="F87" s="259" t="n">
        <f aca="false">F77+F81</f>
        <v>0</v>
      </c>
      <c r="G87" s="259" t="n">
        <f aca="false">G77+G81</f>
        <v>0</v>
      </c>
      <c r="H87" s="259" t="n">
        <f aca="false">H77+H81</f>
        <v>0</v>
      </c>
      <c r="I87" s="259" t="n">
        <f aca="false">I77+I81</f>
        <v>0</v>
      </c>
      <c r="J87" s="259" t="n">
        <f aca="false">J77+J81</f>
        <v>0</v>
      </c>
      <c r="K87" s="259" t="n">
        <f aca="false">K77+K81</f>
        <v>0</v>
      </c>
      <c r="L87" s="259" t="n">
        <f aca="false">L77+L81</f>
        <v>0</v>
      </c>
      <c r="M87" s="259" t="n">
        <f aca="false">M77+M81</f>
        <v>0</v>
      </c>
      <c r="N87" s="259" t="n">
        <f aca="false">N77+N81</f>
        <v>0</v>
      </c>
      <c r="O87" s="259" t="n">
        <f aca="false">O77+O81</f>
        <v>0</v>
      </c>
      <c r="P87" s="259" t="n">
        <f aca="false">P77+P81</f>
        <v>0</v>
      </c>
      <c r="Q87" s="259" t="n">
        <f aca="false">Q77+Q81</f>
        <v>0</v>
      </c>
      <c r="R87" s="259" t="n">
        <f aca="false">R77+R81</f>
        <v>0</v>
      </c>
      <c r="S87" s="259" t="n">
        <f aca="false">S77+S81</f>
        <v>0</v>
      </c>
      <c r="T87" s="259" t="n">
        <f aca="false">T77+T81</f>
        <v>0</v>
      </c>
      <c r="U87" s="259" t="n">
        <f aca="false">U77+U81</f>
        <v>0</v>
      </c>
      <c r="V87" s="259" t="n">
        <f aca="false">V77+V81</f>
        <v>0</v>
      </c>
      <c r="W87" s="259" t="n">
        <f aca="false">W77+W81</f>
        <v>0</v>
      </c>
      <c r="X87" s="259" t="n">
        <f aca="false">X77+X81</f>
        <v>0</v>
      </c>
      <c r="Y87" s="259" t="n">
        <f aca="false">Y77+Y81</f>
        <v>0</v>
      </c>
      <c r="Z87" s="259" t="n">
        <f aca="false">Z77+Z81</f>
        <v>0</v>
      </c>
      <c r="AA87" s="259" t="n">
        <f aca="false">AA77+AA81</f>
        <v>0</v>
      </c>
      <c r="AB87" s="259" t="n">
        <f aca="false">AB77+AB81</f>
        <v>0</v>
      </c>
      <c r="AC87" s="218"/>
      <c r="AD87" s="218"/>
      <c r="AE87" s="218"/>
      <c r="AF87" s="218"/>
      <c r="AG87" s="218"/>
      <c r="AH87" s="218"/>
      <c r="AI87" s="218"/>
      <c r="AJ87" s="218"/>
      <c r="AK87" s="218"/>
      <c r="AL87" s="218"/>
      <c r="AM87" s="218"/>
      <c r="AN87" s="218"/>
      <c r="AO87" s="218"/>
      <c r="AP87" s="218"/>
      <c r="AQ87" s="218"/>
      <c r="AR87" s="218"/>
      <c r="AS87" s="218"/>
      <c r="AT87" s="218"/>
      <c r="AU87" s="218"/>
      <c r="AV87" s="218"/>
      <c r="AW87" s="218"/>
      <c r="AX87" s="218"/>
      <c r="AY87" s="218"/>
      <c r="AZ87" s="218"/>
      <c r="BA87" s="218"/>
      <c r="BB87" s="218"/>
      <c r="BC87" s="218"/>
      <c r="BD87" s="218"/>
      <c r="BE87" s="218"/>
      <c r="BF87" s="218"/>
      <c r="BG87" s="218"/>
      <c r="BH87" s="218"/>
      <c r="BI87" s="218"/>
      <c r="BJ87" s="218"/>
      <c r="BK87" s="218"/>
      <c r="BL87" s="218"/>
      <c r="BM87" s="218"/>
      <c r="BN87" s="218"/>
      <c r="BO87" s="218"/>
      <c r="BP87" s="218"/>
      <c r="BQ87" s="218"/>
      <c r="BR87" s="218"/>
      <c r="BS87" s="218"/>
      <c r="BT87" s="218"/>
      <c r="BU87" s="218"/>
      <c r="BV87" s="218"/>
      <c r="BW87" s="218"/>
      <c r="BX87" s="218"/>
      <c r="BY87" s="218"/>
      <c r="BZ87" s="218"/>
      <c r="CA87" s="218"/>
      <c r="CB87" s="218"/>
      <c r="CC87" s="218"/>
      <c r="CD87" s="218"/>
      <c r="CE87" s="218"/>
      <c r="CF87" s="218"/>
      <c r="CG87" s="218"/>
      <c r="CH87" s="218"/>
      <c r="CI87" s="218"/>
      <c r="CJ87" s="218"/>
      <c r="CK87" s="218"/>
      <c r="CL87" s="218"/>
      <c r="CM87" s="218"/>
      <c r="CN87" s="218"/>
      <c r="CO87" s="218"/>
      <c r="CP87" s="218"/>
      <c r="CQ87" s="218"/>
      <c r="CR87" s="218"/>
      <c r="CS87" s="218"/>
      <c r="CT87" s="218"/>
      <c r="CU87" s="218"/>
      <c r="CV87" s="218"/>
      <c r="CW87" s="218"/>
      <c r="CX87" s="218"/>
      <c r="CY87" s="218"/>
      <c r="CZ87" s="218"/>
      <c r="DA87" s="218"/>
      <c r="DB87" s="218"/>
      <c r="DC87" s="218"/>
      <c r="DD87" s="218"/>
      <c r="DE87" s="218"/>
      <c r="DF87" s="218"/>
      <c r="DG87" s="218"/>
      <c r="DH87" s="218"/>
      <c r="DI87" s="218"/>
      <c r="DJ87" s="218"/>
      <c r="DK87" s="218"/>
      <c r="DL87" s="218"/>
      <c r="DM87" s="218"/>
      <c r="DN87" s="218"/>
      <c r="DO87" s="218"/>
      <c r="DP87" s="218"/>
      <c r="DQ87" s="218"/>
      <c r="DR87" s="218"/>
      <c r="DS87" s="218"/>
      <c r="DT87" s="218"/>
      <c r="DU87" s="218"/>
      <c r="DV87" s="218"/>
      <c r="DW87" s="218"/>
      <c r="DX87" s="218"/>
      <c r="DY87" s="218"/>
      <c r="DZ87" s="218"/>
      <c r="EA87" s="218"/>
      <c r="EB87" s="218"/>
      <c r="EC87" s="218"/>
      <c r="ED87" s="218"/>
      <c r="EE87" s="218"/>
      <c r="EF87" s="218"/>
      <c r="EG87" s="218"/>
      <c r="EH87" s="218"/>
      <c r="EI87" s="218"/>
      <c r="EJ87" s="218"/>
      <c r="EK87" s="218"/>
      <c r="EL87" s="218"/>
      <c r="EM87" s="218"/>
      <c r="EN87" s="218"/>
      <c r="EO87" s="218"/>
      <c r="EP87" s="218"/>
      <c r="EQ87" s="218"/>
      <c r="ER87" s="218"/>
      <c r="ES87" s="218"/>
      <c r="ET87" s="218"/>
      <c r="EU87" s="218"/>
      <c r="EV87" s="218"/>
      <c r="EW87" s="218"/>
      <c r="EX87" s="218"/>
      <c r="EY87" s="218"/>
      <c r="EZ87" s="218"/>
      <c r="FA87" s="218"/>
      <c r="FB87" s="218"/>
      <c r="FC87" s="218"/>
      <c r="FD87" s="218"/>
      <c r="FE87" s="218"/>
      <c r="FF87" s="218"/>
      <c r="FG87" s="218"/>
      <c r="FH87" s="218"/>
      <c r="FI87" s="218"/>
      <c r="FJ87" s="218"/>
      <c r="FK87" s="218"/>
      <c r="FL87" s="218"/>
      <c r="FM87" s="218"/>
      <c r="FN87" s="218"/>
      <c r="FO87" s="218"/>
      <c r="FP87" s="218"/>
      <c r="FQ87" s="218"/>
      <c r="FR87" s="218"/>
      <c r="FS87" s="218"/>
      <c r="FT87" s="218"/>
      <c r="FU87" s="218"/>
      <c r="FV87" s="218"/>
      <c r="FW87" s="218"/>
      <c r="FX87" s="218"/>
      <c r="FY87" s="218"/>
      <c r="FZ87" s="218"/>
      <c r="GA87" s="218"/>
      <c r="GB87" s="218"/>
      <c r="GC87" s="218"/>
      <c r="GD87" s="218"/>
      <c r="GE87" s="218"/>
      <c r="GF87" s="218"/>
      <c r="GG87" s="218"/>
      <c r="GH87" s="218"/>
      <c r="GI87" s="218"/>
      <c r="GJ87" s="218"/>
      <c r="GK87" s="218"/>
      <c r="GL87" s="218"/>
      <c r="GM87" s="218"/>
      <c r="GN87" s="218"/>
      <c r="GO87" s="218"/>
      <c r="GP87" s="218"/>
      <c r="GQ87" s="218"/>
      <c r="GR87" s="218"/>
      <c r="GS87" s="218"/>
      <c r="GT87" s="218"/>
      <c r="GU87" s="218"/>
      <c r="GV87" s="218"/>
      <c r="GW87" s="218"/>
      <c r="GX87" s="218"/>
      <c r="GY87" s="218"/>
      <c r="GZ87" s="218"/>
      <c r="HA87" s="218"/>
      <c r="HB87" s="218"/>
      <c r="HC87" s="218"/>
      <c r="HD87" s="218"/>
      <c r="HE87" s="218"/>
      <c r="HF87" s="218"/>
      <c r="HG87" s="218"/>
      <c r="HH87" s="218"/>
      <c r="HI87" s="218"/>
      <c r="HJ87" s="218"/>
      <c r="HK87" s="218"/>
      <c r="HL87" s="218"/>
      <c r="HM87" s="218"/>
      <c r="HN87" s="218"/>
      <c r="HO87" s="218"/>
      <c r="HP87" s="218"/>
      <c r="HQ87" s="218"/>
      <c r="HR87" s="218"/>
      <c r="HS87" s="218"/>
      <c r="HT87" s="218"/>
      <c r="HU87" s="218"/>
      <c r="HV87" s="218"/>
      <c r="HW87" s="218"/>
      <c r="HX87" s="218"/>
      <c r="HY87" s="218"/>
      <c r="HZ87" s="218"/>
      <c r="IA87" s="218"/>
      <c r="IB87" s="218"/>
      <c r="IC87" s="218"/>
      <c r="ID87" s="218"/>
      <c r="IE87" s="218"/>
      <c r="IF87" s="218"/>
      <c r="IG87" s="218"/>
      <c r="IH87" s="218"/>
      <c r="II87" s="218"/>
      <c r="IJ87" s="218"/>
      <c r="IK87" s="218"/>
      <c r="IL87" s="218"/>
      <c r="IM87" s="218"/>
      <c r="IN87" s="218"/>
      <c r="IO87" s="218"/>
      <c r="IP87" s="218"/>
      <c r="IQ87" s="218"/>
      <c r="IR87" s="218"/>
      <c r="IS87" s="218"/>
      <c r="IT87" s="218"/>
      <c r="IU87" s="218"/>
      <c r="IV87" s="218"/>
      <c r="IW87" s="218"/>
    </row>
    <row r="88" customFormat="false" ht="11.25" hidden="false" customHeight="false" outlineLevel="0" collapsed="false">
      <c r="A88" s="218"/>
      <c r="B88" s="256" t="s">
        <v>207</v>
      </c>
      <c r="C88" s="262" t="n">
        <f aca="false">C87/$J$3</f>
        <v>0</v>
      </c>
      <c r="D88" s="262" t="e">
        <f aca="false">D87/$J$3</f>
        <v>#VALUE!</v>
      </c>
      <c r="E88" s="262" t="e">
        <f aca="false">E87/$J$3</f>
        <v>#VALUE!</v>
      </c>
      <c r="F88" s="262" t="n">
        <f aca="false">F87/$J$3</f>
        <v>0</v>
      </c>
      <c r="G88" s="262" t="n">
        <f aca="false">G87/$J$3</f>
        <v>0</v>
      </c>
      <c r="H88" s="262" t="n">
        <f aca="false">H87/$J$3</f>
        <v>0</v>
      </c>
      <c r="I88" s="262" t="n">
        <f aca="false">I87/$J$3</f>
        <v>0</v>
      </c>
      <c r="J88" s="262" t="n">
        <f aca="false">J87/$J$3</f>
        <v>0</v>
      </c>
      <c r="K88" s="262" t="n">
        <f aca="false">K87/$J$3</f>
        <v>0</v>
      </c>
      <c r="L88" s="262" t="n">
        <f aca="false">L87/$J$3</f>
        <v>0</v>
      </c>
      <c r="M88" s="262" t="n">
        <f aca="false">M87/$J$3</f>
        <v>0</v>
      </c>
      <c r="N88" s="262" t="n">
        <f aca="false">N87/$J$3</f>
        <v>0</v>
      </c>
      <c r="O88" s="262" t="n">
        <f aca="false">O87/$J$3</f>
        <v>0</v>
      </c>
      <c r="P88" s="262" t="n">
        <f aca="false">P87/$J$3</f>
        <v>0</v>
      </c>
      <c r="Q88" s="262" t="n">
        <f aca="false">Q87/$J$3</f>
        <v>0</v>
      </c>
      <c r="R88" s="262" t="n">
        <f aca="false">R87/$J$3</f>
        <v>0</v>
      </c>
      <c r="S88" s="262" t="n">
        <f aca="false">S87/$J$3</f>
        <v>0</v>
      </c>
      <c r="T88" s="262" t="n">
        <f aca="false">T87/$J$3</f>
        <v>0</v>
      </c>
      <c r="U88" s="262" t="n">
        <f aca="false">U87/$J$3</f>
        <v>0</v>
      </c>
      <c r="V88" s="262" t="n">
        <f aca="false">V87/$J$3</f>
        <v>0</v>
      </c>
      <c r="W88" s="262" t="n">
        <f aca="false">W87/$J$3</f>
        <v>0</v>
      </c>
      <c r="X88" s="262" t="n">
        <f aca="false">X87/$J$3</f>
        <v>0</v>
      </c>
      <c r="Y88" s="262" t="n">
        <f aca="false">Y87/$J$3</f>
        <v>0</v>
      </c>
      <c r="Z88" s="262" t="n">
        <f aca="false">Z87/$J$3</f>
        <v>0</v>
      </c>
      <c r="AA88" s="262" t="n">
        <f aca="false">AA87/$J$3</f>
        <v>0</v>
      </c>
      <c r="AB88" s="262" t="n">
        <f aca="false">AB87/$J$3</f>
        <v>0</v>
      </c>
      <c r="AC88" s="218"/>
      <c r="AD88" s="218"/>
      <c r="AE88" s="263" t="e">
        <f aca="false">SUM($C$37:$AA$37)</f>
        <v>#VALUE!</v>
      </c>
      <c r="AF88" s="218"/>
      <c r="AG88" s="218"/>
      <c r="AH88" s="218"/>
      <c r="AI88" s="218"/>
      <c r="AJ88" s="218"/>
      <c r="AK88" s="218"/>
      <c r="AL88" s="218"/>
      <c r="AM88" s="218"/>
      <c r="AN88" s="218"/>
      <c r="AO88" s="218"/>
      <c r="AP88" s="218"/>
      <c r="AQ88" s="218"/>
      <c r="AR88" s="218"/>
      <c r="AS88" s="218"/>
      <c r="AT88" s="218"/>
      <c r="AU88" s="218"/>
      <c r="AV88" s="218"/>
      <c r="AW88" s="218"/>
      <c r="AX88" s="218"/>
      <c r="AY88" s="218"/>
      <c r="AZ88" s="218"/>
      <c r="BA88" s="218"/>
      <c r="BB88" s="218"/>
      <c r="BC88" s="218"/>
      <c r="BD88" s="218"/>
      <c r="BE88" s="218"/>
      <c r="BF88" s="218"/>
      <c r="BG88" s="218"/>
      <c r="BH88" s="218"/>
      <c r="BI88" s="218"/>
      <c r="BJ88" s="218"/>
      <c r="BK88" s="218"/>
      <c r="BL88" s="218"/>
      <c r="BM88" s="218"/>
      <c r="BN88" s="218"/>
      <c r="BO88" s="218"/>
      <c r="BP88" s="218"/>
      <c r="BQ88" s="218"/>
      <c r="BR88" s="218"/>
      <c r="BS88" s="218"/>
      <c r="BT88" s="218"/>
      <c r="BU88" s="218"/>
      <c r="BV88" s="218"/>
      <c r="BW88" s="218"/>
      <c r="BX88" s="218"/>
      <c r="BY88" s="218"/>
      <c r="BZ88" s="218"/>
      <c r="CA88" s="218"/>
      <c r="CB88" s="218"/>
      <c r="CC88" s="218"/>
      <c r="CD88" s="218"/>
      <c r="CE88" s="218"/>
      <c r="CF88" s="218"/>
      <c r="CG88" s="218"/>
      <c r="CH88" s="218"/>
      <c r="CI88" s="218"/>
      <c r="CJ88" s="218"/>
      <c r="CK88" s="218"/>
      <c r="CL88" s="218"/>
      <c r="CM88" s="218"/>
      <c r="CN88" s="218"/>
      <c r="CO88" s="218"/>
      <c r="CP88" s="218"/>
      <c r="CQ88" s="218"/>
      <c r="CR88" s="218"/>
      <c r="CS88" s="218"/>
      <c r="CT88" s="218"/>
      <c r="CU88" s="218"/>
      <c r="CV88" s="218"/>
      <c r="CW88" s="218"/>
      <c r="CX88" s="218"/>
      <c r="CY88" s="218"/>
      <c r="CZ88" s="218"/>
      <c r="DA88" s="218"/>
      <c r="DB88" s="218"/>
      <c r="DC88" s="218"/>
      <c r="DD88" s="218"/>
      <c r="DE88" s="218"/>
      <c r="DF88" s="218"/>
      <c r="DG88" s="218"/>
      <c r="DH88" s="218"/>
      <c r="DI88" s="218"/>
      <c r="DJ88" s="218"/>
      <c r="DK88" s="218"/>
      <c r="DL88" s="218"/>
      <c r="DM88" s="218"/>
      <c r="DN88" s="218"/>
      <c r="DO88" s="218"/>
      <c r="DP88" s="218"/>
      <c r="DQ88" s="218"/>
      <c r="DR88" s="218"/>
      <c r="DS88" s="218"/>
      <c r="DT88" s="218"/>
      <c r="DU88" s="218"/>
      <c r="DV88" s="218"/>
      <c r="DW88" s="218"/>
      <c r="DX88" s="218"/>
      <c r="DY88" s="218"/>
      <c r="DZ88" s="218"/>
      <c r="EA88" s="218"/>
      <c r="EB88" s="218"/>
      <c r="EC88" s="218"/>
      <c r="ED88" s="218"/>
      <c r="EE88" s="218"/>
      <c r="EF88" s="218"/>
      <c r="EG88" s="218"/>
      <c r="EH88" s="218"/>
      <c r="EI88" s="218"/>
      <c r="EJ88" s="218"/>
      <c r="EK88" s="218"/>
      <c r="EL88" s="218"/>
      <c r="EM88" s="218"/>
      <c r="EN88" s="218"/>
      <c r="EO88" s="218"/>
      <c r="EP88" s="218"/>
      <c r="EQ88" s="218"/>
      <c r="ER88" s="218"/>
      <c r="ES88" s="218"/>
      <c r="ET88" s="218"/>
      <c r="EU88" s="218"/>
      <c r="EV88" s="218"/>
      <c r="EW88" s="218"/>
      <c r="EX88" s="218"/>
      <c r="EY88" s="218"/>
      <c r="EZ88" s="218"/>
      <c r="FA88" s="218"/>
      <c r="FB88" s="218"/>
      <c r="FC88" s="218"/>
      <c r="FD88" s="218"/>
      <c r="FE88" s="218"/>
      <c r="FF88" s="218"/>
      <c r="FG88" s="218"/>
      <c r="FH88" s="218"/>
      <c r="FI88" s="218"/>
      <c r="FJ88" s="218"/>
      <c r="FK88" s="218"/>
      <c r="FL88" s="218"/>
      <c r="FM88" s="218"/>
      <c r="FN88" s="218"/>
      <c r="FO88" s="218"/>
      <c r="FP88" s="218"/>
      <c r="FQ88" s="218"/>
      <c r="FR88" s="218"/>
      <c r="FS88" s="218"/>
      <c r="FT88" s="218"/>
      <c r="FU88" s="218"/>
      <c r="FV88" s="218"/>
      <c r="FW88" s="218"/>
      <c r="FX88" s="218"/>
      <c r="FY88" s="218"/>
      <c r="FZ88" s="218"/>
      <c r="GA88" s="218"/>
      <c r="GB88" s="218"/>
      <c r="GC88" s="218"/>
      <c r="GD88" s="218"/>
      <c r="GE88" s="218"/>
      <c r="GF88" s="218"/>
      <c r="GG88" s="218"/>
      <c r="GH88" s="218"/>
      <c r="GI88" s="218"/>
      <c r="GJ88" s="218"/>
      <c r="GK88" s="218"/>
      <c r="GL88" s="218"/>
      <c r="GM88" s="218"/>
      <c r="GN88" s="218"/>
      <c r="GO88" s="218"/>
      <c r="GP88" s="218"/>
      <c r="GQ88" s="218"/>
      <c r="GR88" s="218"/>
      <c r="GS88" s="218"/>
      <c r="GT88" s="218"/>
      <c r="GU88" s="218"/>
      <c r="GV88" s="218"/>
      <c r="GW88" s="218"/>
      <c r="GX88" s="218"/>
      <c r="GY88" s="218"/>
      <c r="GZ88" s="218"/>
      <c r="HA88" s="218"/>
      <c r="HB88" s="218"/>
      <c r="HC88" s="218"/>
      <c r="HD88" s="218"/>
      <c r="HE88" s="218"/>
      <c r="HF88" s="218"/>
      <c r="HG88" s="218"/>
      <c r="HH88" s="218"/>
      <c r="HI88" s="218"/>
      <c r="HJ88" s="218"/>
      <c r="HK88" s="218"/>
      <c r="HL88" s="218"/>
      <c r="HM88" s="218"/>
      <c r="HN88" s="218"/>
      <c r="HO88" s="218"/>
      <c r="HP88" s="218"/>
      <c r="HQ88" s="218"/>
      <c r="HR88" s="218"/>
      <c r="HS88" s="218"/>
      <c r="HT88" s="218"/>
      <c r="HU88" s="218"/>
      <c r="HV88" s="218"/>
      <c r="HW88" s="218"/>
      <c r="HX88" s="218"/>
      <c r="HY88" s="218"/>
      <c r="HZ88" s="218"/>
      <c r="IA88" s="218"/>
      <c r="IB88" s="218"/>
      <c r="IC88" s="218"/>
      <c r="ID88" s="218"/>
      <c r="IE88" s="218"/>
      <c r="IF88" s="218"/>
      <c r="IG88" s="218"/>
      <c r="IH88" s="218"/>
      <c r="II88" s="218"/>
      <c r="IJ88" s="218"/>
      <c r="IK88" s="218"/>
      <c r="IL88" s="218"/>
      <c r="IM88" s="218"/>
      <c r="IN88" s="218"/>
      <c r="IO88" s="218"/>
      <c r="IP88" s="218"/>
      <c r="IQ88" s="218"/>
      <c r="IR88" s="218"/>
      <c r="IS88" s="218"/>
      <c r="IT88" s="218"/>
      <c r="IU88" s="218"/>
      <c r="IV88" s="218"/>
      <c r="IW88" s="218"/>
    </row>
    <row r="89" customFormat="false" ht="11.25" hidden="false" customHeight="false" outlineLevel="0" collapsed="false">
      <c r="A89" s="218"/>
      <c r="B89" s="256" t="s">
        <v>208</v>
      </c>
      <c r="C89" s="264" t="n">
        <f aca="false">SUM($C87:C87)/$J$3</f>
        <v>0</v>
      </c>
      <c r="D89" s="264" t="e">
        <f aca="false">SUM($C87:D87)/$J$3</f>
        <v>#VALUE!</v>
      </c>
      <c r="E89" s="264" t="e">
        <f aca="false">SUM($C87:E87)/$J$3</f>
        <v>#VALUE!</v>
      </c>
      <c r="F89" s="264" t="e">
        <f aca="false">SUM($C87:F87)/$J$3</f>
        <v>#VALUE!</v>
      </c>
      <c r="G89" s="264" t="e">
        <f aca="false">SUM($C87:G87)/$J$3</f>
        <v>#VALUE!</v>
      </c>
      <c r="H89" s="264" t="e">
        <f aca="false">SUM($C87:H87)/$J$3</f>
        <v>#VALUE!</v>
      </c>
      <c r="I89" s="264" t="e">
        <f aca="false">SUM($C87:I87)/$J$3</f>
        <v>#VALUE!</v>
      </c>
      <c r="J89" s="264" t="e">
        <f aca="false">SUM($C87:J87)/$J$3</f>
        <v>#VALUE!</v>
      </c>
      <c r="K89" s="264" t="e">
        <f aca="false">SUM($C87:K87)/$J$3</f>
        <v>#VALUE!</v>
      </c>
      <c r="L89" s="264" t="e">
        <f aca="false">SUM($C87:L87)/$J$3</f>
        <v>#VALUE!</v>
      </c>
      <c r="M89" s="264" t="e">
        <f aca="false">SUM($C87:M87)/$J$3</f>
        <v>#VALUE!</v>
      </c>
      <c r="N89" s="264" t="e">
        <f aca="false">SUM($C87:N87)/$J$3</f>
        <v>#VALUE!</v>
      </c>
      <c r="O89" s="264" t="e">
        <f aca="false">SUM($C87:O87)/$J$3</f>
        <v>#VALUE!</v>
      </c>
      <c r="P89" s="264" t="e">
        <f aca="false">SUM($C87:P87)/$J$3</f>
        <v>#VALUE!</v>
      </c>
      <c r="Q89" s="264" t="e">
        <f aca="false">SUM($C87:Q87)/$J$3</f>
        <v>#VALUE!</v>
      </c>
      <c r="R89" s="264" t="e">
        <f aca="false">SUM($C87:R87)/$J$3</f>
        <v>#VALUE!</v>
      </c>
      <c r="S89" s="264" t="e">
        <f aca="false">SUM($C87:S87)/$J$3</f>
        <v>#VALUE!</v>
      </c>
      <c r="T89" s="264" t="e">
        <f aca="false">SUM($C87:T87)/$J$3</f>
        <v>#VALUE!</v>
      </c>
      <c r="U89" s="264" t="e">
        <f aca="false">SUM($C87:U87)/$J$3</f>
        <v>#VALUE!</v>
      </c>
      <c r="V89" s="264" t="e">
        <f aca="false">SUM($C87:V87)/$J$3</f>
        <v>#VALUE!</v>
      </c>
      <c r="W89" s="264" t="e">
        <f aca="false">SUM($C87:W87)/$J$3</f>
        <v>#VALUE!</v>
      </c>
      <c r="X89" s="264" t="e">
        <f aca="false">SUM($C87:X87)/$J$3</f>
        <v>#VALUE!</v>
      </c>
      <c r="Y89" s="264" t="e">
        <f aca="false">SUM($C87:Y87)/$J$3</f>
        <v>#VALUE!</v>
      </c>
      <c r="Z89" s="264" t="e">
        <f aca="false">SUM($C87:Z87)/$J$3</f>
        <v>#VALUE!</v>
      </c>
      <c r="AA89" s="264" t="e">
        <f aca="false">SUM($C87:AA87)/$J$3</f>
        <v>#VALUE!</v>
      </c>
      <c r="AB89" s="264" t="e">
        <f aca="false">SUM($C87:AB87)/$J$3</f>
        <v>#VALUE!</v>
      </c>
      <c r="AC89" s="218"/>
      <c r="AD89" s="218"/>
      <c r="AE89" s="218"/>
      <c r="AF89" s="218"/>
      <c r="AG89" s="218"/>
      <c r="AH89" s="218"/>
      <c r="AI89" s="218"/>
      <c r="AJ89" s="218"/>
      <c r="AK89" s="218"/>
      <c r="AL89" s="218"/>
      <c r="AM89" s="218"/>
      <c r="AN89" s="218"/>
      <c r="AO89" s="218"/>
      <c r="AP89" s="218"/>
      <c r="AQ89" s="218"/>
      <c r="AR89" s="218"/>
      <c r="AS89" s="218"/>
      <c r="AT89" s="218"/>
      <c r="AU89" s="218"/>
      <c r="AV89" s="218"/>
      <c r="AW89" s="218"/>
      <c r="AX89" s="218"/>
      <c r="AY89" s="218"/>
      <c r="AZ89" s="218"/>
      <c r="BA89" s="218"/>
      <c r="BB89" s="218"/>
      <c r="BC89" s="218"/>
      <c r="BD89" s="218"/>
      <c r="BE89" s="218"/>
      <c r="BF89" s="218"/>
      <c r="BG89" s="218"/>
      <c r="BH89" s="218"/>
      <c r="BI89" s="218"/>
      <c r="BJ89" s="218"/>
      <c r="BK89" s="218"/>
      <c r="BL89" s="218"/>
      <c r="BM89" s="218"/>
      <c r="BN89" s="218"/>
      <c r="BO89" s="218"/>
      <c r="BP89" s="218"/>
      <c r="BQ89" s="218"/>
      <c r="BR89" s="218"/>
      <c r="BS89" s="218"/>
      <c r="BT89" s="218"/>
      <c r="BU89" s="218"/>
      <c r="BV89" s="218"/>
      <c r="BW89" s="218"/>
      <c r="BX89" s="218"/>
      <c r="BY89" s="218"/>
      <c r="BZ89" s="218"/>
      <c r="CA89" s="218"/>
      <c r="CB89" s="218"/>
      <c r="CC89" s="218"/>
      <c r="CD89" s="218"/>
      <c r="CE89" s="218"/>
      <c r="CF89" s="218"/>
      <c r="CG89" s="218"/>
      <c r="CH89" s="218"/>
      <c r="CI89" s="218"/>
      <c r="CJ89" s="218"/>
      <c r="CK89" s="218"/>
      <c r="CL89" s="218"/>
      <c r="CM89" s="218"/>
      <c r="CN89" s="218"/>
      <c r="CO89" s="218"/>
      <c r="CP89" s="218"/>
      <c r="CQ89" s="218"/>
      <c r="CR89" s="218"/>
      <c r="CS89" s="218"/>
      <c r="CT89" s="218"/>
      <c r="CU89" s="218"/>
      <c r="CV89" s="218"/>
      <c r="CW89" s="218"/>
      <c r="CX89" s="218"/>
      <c r="CY89" s="218"/>
      <c r="CZ89" s="218"/>
      <c r="DA89" s="218"/>
      <c r="DB89" s="218"/>
      <c r="DC89" s="218"/>
      <c r="DD89" s="218"/>
      <c r="DE89" s="218"/>
      <c r="DF89" s="218"/>
      <c r="DG89" s="218"/>
      <c r="DH89" s="218"/>
      <c r="DI89" s="218"/>
      <c r="DJ89" s="218"/>
      <c r="DK89" s="218"/>
      <c r="DL89" s="218"/>
      <c r="DM89" s="218"/>
      <c r="DN89" s="218"/>
      <c r="DO89" s="218"/>
      <c r="DP89" s="218"/>
      <c r="DQ89" s="218"/>
      <c r="DR89" s="218"/>
      <c r="DS89" s="218"/>
      <c r="DT89" s="218"/>
      <c r="DU89" s="218"/>
      <c r="DV89" s="218"/>
      <c r="DW89" s="218"/>
      <c r="DX89" s="218"/>
      <c r="DY89" s="218"/>
      <c r="DZ89" s="218"/>
      <c r="EA89" s="218"/>
      <c r="EB89" s="218"/>
      <c r="EC89" s="218"/>
      <c r="ED89" s="218"/>
      <c r="EE89" s="218"/>
      <c r="EF89" s="218"/>
      <c r="EG89" s="218"/>
      <c r="EH89" s="218"/>
      <c r="EI89" s="218"/>
      <c r="EJ89" s="218"/>
      <c r="EK89" s="218"/>
      <c r="EL89" s="218"/>
      <c r="EM89" s="218"/>
      <c r="EN89" s="218"/>
      <c r="EO89" s="218"/>
      <c r="EP89" s="218"/>
      <c r="EQ89" s="218"/>
      <c r="ER89" s="218"/>
      <c r="ES89" s="218"/>
      <c r="ET89" s="218"/>
      <c r="EU89" s="218"/>
      <c r="EV89" s="218"/>
      <c r="EW89" s="218"/>
      <c r="EX89" s="218"/>
      <c r="EY89" s="218"/>
      <c r="EZ89" s="218"/>
      <c r="FA89" s="218"/>
      <c r="FB89" s="218"/>
      <c r="FC89" s="218"/>
      <c r="FD89" s="218"/>
      <c r="FE89" s="218"/>
      <c r="FF89" s="218"/>
      <c r="FG89" s="218"/>
      <c r="FH89" s="218"/>
      <c r="FI89" s="218"/>
      <c r="FJ89" s="218"/>
      <c r="FK89" s="218"/>
      <c r="FL89" s="218"/>
      <c r="FM89" s="218"/>
      <c r="FN89" s="218"/>
      <c r="FO89" s="218"/>
      <c r="FP89" s="218"/>
      <c r="FQ89" s="218"/>
      <c r="FR89" s="218"/>
      <c r="FS89" s="218"/>
      <c r="FT89" s="218"/>
      <c r="FU89" s="218"/>
      <c r="FV89" s="218"/>
      <c r="FW89" s="218"/>
      <c r="FX89" s="218"/>
      <c r="FY89" s="218"/>
      <c r="FZ89" s="218"/>
      <c r="GA89" s="218"/>
      <c r="GB89" s="218"/>
      <c r="GC89" s="218"/>
      <c r="GD89" s="218"/>
      <c r="GE89" s="218"/>
      <c r="GF89" s="218"/>
      <c r="GG89" s="218"/>
      <c r="GH89" s="218"/>
      <c r="GI89" s="218"/>
      <c r="GJ89" s="218"/>
      <c r="GK89" s="218"/>
      <c r="GL89" s="218"/>
      <c r="GM89" s="218"/>
      <c r="GN89" s="218"/>
      <c r="GO89" s="218"/>
      <c r="GP89" s="218"/>
      <c r="GQ89" s="218"/>
      <c r="GR89" s="218"/>
      <c r="GS89" s="218"/>
      <c r="GT89" s="218"/>
      <c r="GU89" s="218"/>
      <c r="GV89" s="218"/>
      <c r="GW89" s="218"/>
      <c r="GX89" s="218"/>
      <c r="GY89" s="218"/>
      <c r="GZ89" s="218"/>
      <c r="HA89" s="218"/>
      <c r="HB89" s="218"/>
      <c r="HC89" s="218"/>
      <c r="HD89" s="218"/>
      <c r="HE89" s="218"/>
      <c r="HF89" s="218"/>
      <c r="HG89" s="218"/>
      <c r="HH89" s="218"/>
      <c r="HI89" s="218"/>
      <c r="HJ89" s="218"/>
      <c r="HK89" s="218"/>
      <c r="HL89" s="218"/>
      <c r="HM89" s="218"/>
      <c r="HN89" s="218"/>
      <c r="HO89" s="218"/>
      <c r="HP89" s="218"/>
      <c r="HQ89" s="218"/>
      <c r="HR89" s="218"/>
      <c r="HS89" s="218"/>
      <c r="HT89" s="218"/>
      <c r="HU89" s="218"/>
      <c r="HV89" s="218"/>
      <c r="HW89" s="218"/>
      <c r="HX89" s="218"/>
      <c r="HY89" s="218"/>
      <c r="HZ89" s="218"/>
      <c r="IA89" s="218"/>
      <c r="IB89" s="218"/>
      <c r="IC89" s="218"/>
      <c r="ID89" s="218"/>
      <c r="IE89" s="218"/>
      <c r="IF89" s="218"/>
      <c r="IG89" s="218"/>
      <c r="IH89" s="218"/>
      <c r="II89" s="218"/>
      <c r="IJ89" s="218"/>
      <c r="IK89" s="218"/>
      <c r="IL89" s="218"/>
      <c r="IM89" s="218"/>
      <c r="IN89" s="218"/>
      <c r="IO89" s="218"/>
      <c r="IP89" s="218"/>
      <c r="IQ89" s="218"/>
      <c r="IR89" s="218"/>
      <c r="IS89" s="218"/>
      <c r="IT89" s="218"/>
      <c r="IU89" s="218"/>
      <c r="IV89" s="218"/>
      <c r="IW89" s="218"/>
    </row>
    <row r="90" customFormat="false" ht="11.25" hidden="false" customHeight="false" outlineLevel="0" collapsed="false">
      <c r="A90" s="218"/>
      <c r="B90" s="258" t="s">
        <v>209</v>
      </c>
      <c r="C90" s="265" t="n">
        <f aca="false">C68</f>
        <v>0</v>
      </c>
      <c r="D90" s="265" t="n">
        <f aca="false">D68</f>
        <v>0</v>
      </c>
      <c r="E90" s="265" t="n">
        <f aca="false">E68</f>
        <v>0</v>
      </c>
      <c r="F90" s="265" t="n">
        <f aca="false">F68</f>
        <v>0</v>
      </c>
      <c r="G90" s="265" t="n">
        <f aca="false">G68</f>
        <v>1</v>
      </c>
      <c r="H90" s="265" t="n">
        <f aca="false">H68</f>
        <v>2</v>
      </c>
      <c r="I90" s="265" t="n">
        <f aca="false">I68</f>
        <v>3</v>
      </c>
      <c r="J90" s="265" t="n">
        <f aca="false">J68</f>
        <v>4</v>
      </c>
      <c r="K90" s="265" t="n">
        <f aca="false">K68</f>
        <v>5</v>
      </c>
      <c r="L90" s="265" t="n">
        <f aca="false">L68</f>
        <v>6</v>
      </c>
      <c r="M90" s="265" t="n">
        <f aca="false">M68</f>
        <v>7</v>
      </c>
      <c r="N90" s="265" t="n">
        <f aca="false">N68</f>
        <v>8</v>
      </c>
      <c r="O90" s="265" t="n">
        <f aca="false">O68</f>
        <v>9</v>
      </c>
      <c r="P90" s="265" t="n">
        <f aca="false">P68</f>
        <v>10</v>
      </c>
      <c r="Q90" s="265" t="n">
        <f aca="false">Q68</f>
        <v>11</v>
      </c>
      <c r="R90" s="265" t="n">
        <f aca="false">R68</f>
        <v>12</v>
      </c>
      <c r="S90" s="265" t="n">
        <f aca="false">S68</f>
        <v>13</v>
      </c>
      <c r="T90" s="265" t="n">
        <f aca="false">T68</f>
        <v>14</v>
      </c>
      <c r="U90" s="265" t="n">
        <f aca="false">U68</f>
        <v>15</v>
      </c>
      <c r="V90" s="265" t="n">
        <f aca="false">V68</f>
        <v>16</v>
      </c>
      <c r="W90" s="265" t="n">
        <f aca="false">W68</f>
        <v>17</v>
      </c>
      <c r="X90" s="265" t="n">
        <f aca="false">X68</f>
        <v>18</v>
      </c>
      <c r="Y90" s="265" t="n">
        <f aca="false">Y68</f>
        <v>19</v>
      </c>
      <c r="Z90" s="265" t="n">
        <f aca="false">Z68</f>
        <v>20</v>
      </c>
      <c r="AA90" s="265" t="n">
        <f aca="false">AA68</f>
        <v>21</v>
      </c>
      <c r="AB90" s="265" t="n">
        <f aca="false">AB68</f>
        <v>22</v>
      </c>
      <c r="AC90" s="218"/>
      <c r="AD90" s="218"/>
      <c r="AE90" s="266" t="n">
        <f aca="false">HLOOKUP(0.5,$C$38:$AB$39,1+1)+1</f>
        <v>1</v>
      </c>
      <c r="AF90" s="218"/>
      <c r="AG90" s="218"/>
      <c r="AH90" s="218"/>
      <c r="AI90" s="218"/>
      <c r="AJ90" s="218"/>
      <c r="AK90" s="218"/>
      <c r="AL90" s="218"/>
      <c r="AM90" s="218"/>
      <c r="AN90" s="218"/>
      <c r="AO90" s="218"/>
      <c r="AP90" s="218"/>
      <c r="AQ90" s="218"/>
      <c r="AR90" s="218"/>
      <c r="AS90" s="218"/>
      <c r="AT90" s="218"/>
      <c r="AU90" s="218"/>
      <c r="AV90" s="218"/>
      <c r="AW90" s="218"/>
      <c r="AX90" s="218"/>
      <c r="AY90" s="218"/>
      <c r="AZ90" s="218"/>
      <c r="BA90" s="218"/>
      <c r="BB90" s="218"/>
      <c r="BC90" s="218"/>
      <c r="BD90" s="218"/>
      <c r="BE90" s="218"/>
      <c r="BF90" s="218"/>
      <c r="BG90" s="218"/>
      <c r="BH90" s="218"/>
      <c r="BI90" s="218"/>
      <c r="BJ90" s="218"/>
      <c r="BK90" s="218"/>
      <c r="BL90" s="218"/>
      <c r="BM90" s="218"/>
      <c r="BN90" s="218"/>
      <c r="BO90" s="218"/>
      <c r="BP90" s="218"/>
      <c r="BQ90" s="218"/>
      <c r="BR90" s="218"/>
      <c r="BS90" s="218"/>
      <c r="BT90" s="218"/>
      <c r="BU90" s="218"/>
      <c r="BV90" s="218"/>
      <c r="BW90" s="218"/>
      <c r="BX90" s="218"/>
      <c r="BY90" s="218"/>
      <c r="BZ90" s="218"/>
      <c r="CA90" s="218"/>
      <c r="CB90" s="218"/>
      <c r="CC90" s="218"/>
      <c r="CD90" s="218"/>
      <c r="CE90" s="218"/>
      <c r="CF90" s="218"/>
      <c r="CG90" s="218"/>
      <c r="CH90" s="218"/>
      <c r="CI90" s="218"/>
      <c r="CJ90" s="218"/>
      <c r="CK90" s="218"/>
      <c r="CL90" s="218"/>
      <c r="CM90" s="218"/>
      <c r="CN90" s="218"/>
      <c r="CO90" s="218"/>
      <c r="CP90" s="218"/>
      <c r="CQ90" s="218"/>
      <c r="CR90" s="218"/>
      <c r="CS90" s="218"/>
      <c r="CT90" s="218"/>
      <c r="CU90" s="218"/>
      <c r="CV90" s="218"/>
      <c r="CW90" s="218"/>
      <c r="CX90" s="218"/>
      <c r="CY90" s="218"/>
      <c r="CZ90" s="218"/>
      <c r="DA90" s="218"/>
      <c r="DB90" s="218"/>
      <c r="DC90" s="218"/>
      <c r="DD90" s="218"/>
      <c r="DE90" s="218"/>
      <c r="DF90" s="218"/>
      <c r="DG90" s="218"/>
      <c r="DH90" s="218"/>
      <c r="DI90" s="218"/>
      <c r="DJ90" s="218"/>
      <c r="DK90" s="218"/>
      <c r="DL90" s="218"/>
      <c r="DM90" s="218"/>
      <c r="DN90" s="218"/>
      <c r="DO90" s="218"/>
      <c r="DP90" s="218"/>
      <c r="DQ90" s="218"/>
      <c r="DR90" s="218"/>
      <c r="DS90" s="218"/>
      <c r="DT90" s="218"/>
      <c r="DU90" s="218"/>
      <c r="DV90" s="218"/>
      <c r="DW90" s="218"/>
      <c r="DX90" s="218"/>
      <c r="DY90" s="218"/>
      <c r="DZ90" s="218"/>
      <c r="EA90" s="218"/>
      <c r="EB90" s="218"/>
      <c r="EC90" s="218"/>
      <c r="ED90" s="218"/>
      <c r="EE90" s="218"/>
      <c r="EF90" s="218"/>
      <c r="EG90" s="218"/>
      <c r="EH90" s="218"/>
      <c r="EI90" s="218"/>
      <c r="EJ90" s="218"/>
      <c r="EK90" s="218"/>
      <c r="EL90" s="218"/>
      <c r="EM90" s="218"/>
      <c r="EN90" s="218"/>
      <c r="EO90" s="218"/>
      <c r="EP90" s="218"/>
      <c r="EQ90" s="218"/>
      <c r="ER90" s="218"/>
      <c r="ES90" s="218"/>
      <c r="ET90" s="218"/>
      <c r="EU90" s="218"/>
      <c r="EV90" s="218"/>
      <c r="EW90" s="218"/>
      <c r="EX90" s="218"/>
      <c r="EY90" s="218"/>
      <c r="EZ90" s="218"/>
      <c r="FA90" s="218"/>
      <c r="FB90" s="218"/>
      <c r="FC90" s="218"/>
      <c r="FD90" s="218"/>
      <c r="FE90" s="218"/>
      <c r="FF90" s="218"/>
      <c r="FG90" s="218"/>
      <c r="FH90" s="218"/>
      <c r="FI90" s="218"/>
      <c r="FJ90" s="218"/>
      <c r="FK90" s="218"/>
      <c r="FL90" s="218"/>
      <c r="FM90" s="218"/>
      <c r="FN90" s="218"/>
      <c r="FO90" s="218"/>
      <c r="FP90" s="218"/>
      <c r="FQ90" s="218"/>
      <c r="FR90" s="218"/>
      <c r="FS90" s="218"/>
      <c r="FT90" s="218"/>
      <c r="FU90" s="218"/>
      <c r="FV90" s="218"/>
      <c r="FW90" s="218"/>
      <c r="FX90" s="218"/>
      <c r="FY90" s="218"/>
      <c r="FZ90" s="218"/>
      <c r="GA90" s="218"/>
      <c r="GB90" s="218"/>
      <c r="GC90" s="218"/>
      <c r="GD90" s="218"/>
      <c r="GE90" s="218"/>
      <c r="GF90" s="218"/>
      <c r="GG90" s="218"/>
      <c r="GH90" s="218"/>
      <c r="GI90" s="218"/>
      <c r="GJ90" s="218"/>
      <c r="GK90" s="218"/>
      <c r="GL90" s="218"/>
      <c r="GM90" s="218"/>
      <c r="GN90" s="218"/>
      <c r="GO90" s="218"/>
      <c r="GP90" s="218"/>
      <c r="GQ90" s="218"/>
      <c r="GR90" s="218"/>
      <c r="GS90" s="218"/>
      <c r="GT90" s="218"/>
      <c r="GU90" s="218"/>
      <c r="GV90" s="218"/>
      <c r="GW90" s="218"/>
      <c r="GX90" s="218"/>
      <c r="GY90" s="218"/>
      <c r="GZ90" s="218"/>
      <c r="HA90" s="218"/>
      <c r="HB90" s="218"/>
      <c r="HC90" s="218"/>
      <c r="HD90" s="218"/>
      <c r="HE90" s="218"/>
      <c r="HF90" s="218"/>
      <c r="HG90" s="218"/>
      <c r="HH90" s="218"/>
      <c r="HI90" s="218"/>
      <c r="HJ90" s="218"/>
      <c r="HK90" s="218"/>
      <c r="HL90" s="218"/>
      <c r="HM90" s="218"/>
      <c r="HN90" s="218"/>
      <c r="HO90" s="218"/>
      <c r="HP90" s="218"/>
      <c r="HQ90" s="218"/>
      <c r="HR90" s="218"/>
      <c r="HS90" s="218"/>
      <c r="HT90" s="218"/>
      <c r="HU90" s="218"/>
      <c r="HV90" s="218"/>
      <c r="HW90" s="218"/>
      <c r="HX90" s="218"/>
      <c r="HY90" s="218"/>
      <c r="HZ90" s="218"/>
      <c r="IA90" s="218"/>
      <c r="IB90" s="218"/>
      <c r="IC90" s="218"/>
      <c r="ID90" s="218"/>
      <c r="IE90" s="218"/>
      <c r="IF90" s="218"/>
      <c r="IG90" s="218"/>
      <c r="IH90" s="218"/>
      <c r="II90" s="218"/>
      <c r="IJ90" s="218"/>
      <c r="IK90" s="218"/>
      <c r="IL90" s="218"/>
      <c r="IM90" s="218"/>
      <c r="IN90" s="218"/>
      <c r="IO90" s="218"/>
      <c r="IP90" s="218"/>
      <c r="IQ90" s="218"/>
      <c r="IR90" s="218"/>
      <c r="IS90" s="218"/>
      <c r="IT90" s="218"/>
      <c r="IU90" s="218"/>
      <c r="IV90" s="218"/>
      <c r="IW90" s="218"/>
    </row>
    <row r="91" customFormat="false" ht="11.25" hidden="false" customHeight="false" outlineLevel="0" collapsed="false">
      <c r="A91" s="218"/>
      <c r="B91" s="229"/>
      <c r="C91" s="229"/>
      <c r="D91" s="229"/>
      <c r="E91" s="229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18"/>
      <c r="AD91" s="218"/>
      <c r="AE91" s="267"/>
      <c r="AF91" s="218"/>
      <c r="AG91" s="218"/>
      <c r="AH91" s="218"/>
      <c r="AI91" s="218"/>
      <c r="AJ91" s="218"/>
      <c r="AK91" s="218"/>
      <c r="AL91" s="218"/>
      <c r="AM91" s="218"/>
      <c r="AN91" s="218"/>
      <c r="AO91" s="218"/>
      <c r="AP91" s="218"/>
      <c r="AQ91" s="218"/>
      <c r="AR91" s="218"/>
      <c r="AS91" s="218"/>
      <c r="AT91" s="218"/>
      <c r="AU91" s="218"/>
      <c r="AV91" s="218"/>
      <c r="AW91" s="218"/>
      <c r="AX91" s="218"/>
      <c r="AY91" s="218"/>
      <c r="AZ91" s="218"/>
      <c r="BA91" s="218"/>
      <c r="BB91" s="218"/>
      <c r="BC91" s="218"/>
      <c r="BD91" s="218"/>
      <c r="BE91" s="218"/>
      <c r="BF91" s="218"/>
      <c r="BG91" s="218"/>
      <c r="BH91" s="218"/>
      <c r="BI91" s="218"/>
      <c r="BJ91" s="218"/>
      <c r="BK91" s="218"/>
      <c r="BL91" s="218"/>
      <c r="BM91" s="218"/>
      <c r="BN91" s="218"/>
      <c r="BO91" s="218"/>
      <c r="BP91" s="218"/>
      <c r="BQ91" s="218"/>
      <c r="BR91" s="218"/>
      <c r="BS91" s="218"/>
      <c r="BT91" s="218"/>
      <c r="BU91" s="218"/>
      <c r="BV91" s="218"/>
      <c r="BW91" s="218"/>
      <c r="BX91" s="218"/>
      <c r="BY91" s="218"/>
      <c r="BZ91" s="218"/>
      <c r="CA91" s="218"/>
      <c r="CB91" s="218"/>
      <c r="CC91" s="218"/>
      <c r="CD91" s="218"/>
      <c r="CE91" s="218"/>
      <c r="CF91" s="218"/>
      <c r="CG91" s="218"/>
      <c r="CH91" s="218"/>
      <c r="CI91" s="218"/>
      <c r="CJ91" s="218"/>
      <c r="CK91" s="218"/>
      <c r="CL91" s="218"/>
      <c r="CM91" s="218"/>
      <c r="CN91" s="218"/>
      <c r="CO91" s="218"/>
      <c r="CP91" s="218"/>
      <c r="CQ91" s="218"/>
      <c r="CR91" s="218"/>
      <c r="CS91" s="218"/>
      <c r="CT91" s="218"/>
      <c r="CU91" s="218"/>
      <c r="CV91" s="218"/>
      <c r="CW91" s="218"/>
      <c r="CX91" s="218"/>
      <c r="CY91" s="218"/>
      <c r="CZ91" s="218"/>
      <c r="DA91" s="218"/>
      <c r="DB91" s="218"/>
      <c r="DC91" s="218"/>
      <c r="DD91" s="218"/>
      <c r="DE91" s="218"/>
      <c r="DF91" s="218"/>
      <c r="DG91" s="218"/>
      <c r="DH91" s="218"/>
      <c r="DI91" s="218"/>
      <c r="DJ91" s="218"/>
      <c r="DK91" s="218"/>
      <c r="DL91" s="218"/>
      <c r="DM91" s="218"/>
      <c r="DN91" s="218"/>
      <c r="DO91" s="218"/>
      <c r="DP91" s="218"/>
      <c r="DQ91" s="218"/>
      <c r="DR91" s="218"/>
      <c r="DS91" s="218"/>
      <c r="DT91" s="218"/>
      <c r="DU91" s="218"/>
      <c r="DV91" s="218"/>
      <c r="DW91" s="218"/>
      <c r="DX91" s="218"/>
      <c r="DY91" s="218"/>
      <c r="DZ91" s="218"/>
      <c r="EA91" s="218"/>
      <c r="EB91" s="218"/>
      <c r="EC91" s="218"/>
      <c r="ED91" s="218"/>
      <c r="EE91" s="218"/>
      <c r="EF91" s="218"/>
      <c r="EG91" s="218"/>
      <c r="EH91" s="218"/>
      <c r="EI91" s="218"/>
      <c r="EJ91" s="218"/>
      <c r="EK91" s="218"/>
      <c r="EL91" s="218"/>
      <c r="EM91" s="218"/>
      <c r="EN91" s="218"/>
      <c r="EO91" s="218"/>
      <c r="EP91" s="218"/>
      <c r="EQ91" s="218"/>
      <c r="ER91" s="218"/>
      <c r="ES91" s="218"/>
      <c r="ET91" s="218"/>
      <c r="EU91" s="218"/>
      <c r="EV91" s="218"/>
      <c r="EW91" s="218"/>
      <c r="EX91" s="218"/>
      <c r="EY91" s="218"/>
      <c r="EZ91" s="218"/>
      <c r="FA91" s="218"/>
      <c r="FB91" s="218"/>
      <c r="FC91" s="218"/>
      <c r="FD91" s="218"/>
      <c r="FE91" s="218"/>
      <c r="FF91" s="218"/>
      <c r="FG91" s="218"/>
      <c r="FH91" s="218"/>
      <c r="FI91" s="218"/>
      <c r="FJ91" s="218"/>
      <c r="FK91" s="218"/>
      <c r="FL91" s="218"/>
      <c r="FM91" s="218"/>
      <c r="FN91" s="218"/>
      <c r="FO91" s="218"/>
      <c r="FP91" s="218"/>
      <c r="FQ91" s="218"/>
      <c r="FR91" s="218"/>
      <c r="FS91" s="218"/>
      <c r="FT91" s="218"/>
      <c r="FU91" s="218"/>
      <c r="FV91" s="218"/>
      <c r="FW91" s="218"/>
      <c r="FX91" s="218"/>
      <c r="FY91" s="218"/>
      <c r="FZ91" s="218"/>
      <c r="GA91" s="218"/>
      <c r="GB91" s="218"/>
      <c r="GC91" s="218"/>
      <c r="GD91" s="218"/>
      <c r="GE91" s="218"/>
      <c r="GF91" s="218"/>
      <c r="GG91" s="218"/>
      <c r="GH91" s="218"/>
      <c r="GI91" s="218"/>
      <c r="GJ91" s="218"/>
      <c r="GK91" s="218"/>
      <c r="GL91" s="218"/>
      <c r="GM91" s="218"/>
      <c r="GN91" s="218"/>
      <c r="GO91" s="218"/>
      <c r="GP91" s="218"/>
      <c r="GQ91" s="218"/>
      <c r="GR91" s="218"/>
      <c r="GS91" s="218"/>
      <c r="GT91" s="218"/>
      <c r="GU91" s="218"/>
      <c r="GV91" s="218"/>
      <c r="GW91" s="218"/>
      <c r="GX91" s="218"/>
      <c r="GY91" s="218"/>
      <c r="GZ91" s="218"/>
      <c r="HA91" s="218"/>
      <c r="HB91" s="218"/>
      <c r="HC91" s="218"/>
      <c r="HD91" s="218"/>
      <c r="HE91" s="218"/>
      <c r="HF91" s="218"/>
      <c r="HG91" s="218"/>
      <c r="HH91" s="218"/>
      <c r="HI91" s="218"/>
      <c r="HJ91" s="218"/>
      <c r="HK91" s="218"/>
      <c r="HL91" s="218"/>
      <c r="HM91" s="218"/>
      <c r="HN91" s="218"/>
      <c r="HO91" s="218"/>
      <c r="HP91" s="218"/>
      <c r="HQ91" s="218"/>
      <c r="HR91" s="218"/>
      <c r="HS91" s="218"/>
      <c r="HT91" s="218"/>
      <c r="HU91" s="218"/>
      <c r="HV91" s="218"/>
      <c r="HW91" s="218"/>
      <c r="HX91" s="218"/>
      <c r="HY91" s="218"/>
      <c r="HZ91" s="218"/>
      <c r="IA91" s="218"/>
      <c r="IB91" s="218"/>
      <c r="IC91" s="218"/>
      <c r="ID91" s="218"/>
      <c r="IE91" s="218"/>
      <c r="IF91" s="218"/>
      <c r="IG91" s="218"/>
      <c r="IH91" s="218"/>
      <c r="II91" s="218"/>
      <c r="IJ91" s="218"/>
      <c r="IK91" s="218"/>
      <c r="IL91" s="218"/>
      <c r="IM91" s="218"/>
      <c r="IN91" s="218"/>
      <c r="IO91" s="218"/>
      <c r="IP91" s="218"/>
      <c r="IQ91" s="218"/>
      <c r="IR91" s="218"/>
      <c r="IS91" s="218"/>
      <c r="IT91" s="218"/>
      <c r="IU91" s="218"/>
      <c r="IV91" s="218"/>
      <c r="IW91" s="218"/>
    </row>
    <row r="92" customFormat="false" ht="11.25" hidden="false" customHeight="false" outlineLevel="0" collapsed="false">
      <c r="A92" s="218"/>
      <c r="B92" s="229" t="s">
        <v>210</v>
      </c>
      <c r="C92" s="232" t="e">
        <f aca="false">C83-C93</f>
        <v>#VALUE!</v>
      </c>
      <c r="D92" s="232" t="e">
        <f aca="false">D83-D93</f>
        <v>#VALUE!</v>
      </c>
      <c r="E92" s="232" t="n">
        <v>0</v>
      </c>
      <c r="F92" s="232" t="e">
        <f aca="false">IF(F83=0,0,F83-F93)</f>
        <v>#VALUE!</v>
      </c>
      <c r="G92" s="232" t="n">
        <f aca="false">IF(G83=0,0,G83-G93)</f>
        <v>0</v>
      </c>
      <c r="H92" s="232" t="n">
        <f aca="false">IF(H83=0,0,H83-H93)</f>
        <v>0</v>
      </c>
      <c r="I92" s="232" t="n">
        <f aca="false">IF(I83=0,0,I83-I93)</f>
        <v>0</v>
      </c>
      <c r="J92" s="232" t="n">
        <f aca="false">IF(J83=0,0,J83-J93)</f>
        <v>0</v>
      </c>
      <c r="K92" s="232" t="n">
        <f aca="false">IF(K83=0,0,K83-K93)</f>
        <v>0</v>
      </c>
      <c r="L92" s="232" t="n">
        <f aca="false">IF(L83=0,0,L83-L93)</f>
        <v>0</v>
      </c>
      <c r="M92" s="232" t="n">
        <f aca="false">IF(M83=0,0,M83-M93)</f>
        <v>0</v>
      </c>
      <c r="N92" s="232" t="n">
        <f aca="false">IF(N83=0,0,N83-N93)</f>
        <v>0</v>
      </c>
      <c r="O92" s="232" t="n">
        <f aca="false">IF(O83=0,0,O83-O93)</f>
        <v>0</v>
      </c>
      <c r="P92" s="232" t="n">
        <f aca="false">IF(P83=0,0,P83-P93)</f>
        <v>0</v>
      </c>
      <c r="Q92" s="232" t="n">
        <f aca="false">IF(Q83=0,0,Q83-Q93)</f>
        <v>0</v>
      </c>
      <c r="R92" s="232" t="n">
        <f aca="false">IF(R83=0,0,R83-R93)</f>
        <v>0</v>
      </c>
      <c r="S92" s="232" t="n">
        <f aca="false">IF(S83=0,0,S83-S93)</f>
        <v>0</v>
      </c>
      <c r="T92" s="232" t="n">
        <f aca="false">IF(T83=0,0,T83-T93)</f>
        <v>0</v>
      </c>
      <c r="U92" s="232" t="n">
        <f aca="false">IF(U83=0,0,U83-U93)</f>
        <v>0</v>
      </c>
      <c r="V92" s="232" t="n">
        <f aca="false">IF(V83=0,0,V83-V93)</f>
        <v>0</v>
      </c>
      <c r="W92" s="232" t="n">
        <f aca="false">IF(W83=0,0,W83-W93)</f>
        <v>0</v>
      </c>
      <c r="X92" s="232" t="n">
        <f aca="false">IF(X83=0,0,X83-X93)</f>
        <v>0</v>
      </c>
      <c r="Y92" s="232" t="n">
        <f aca="false">IF(Y83=0,0,Y83-Y93)</f>
        <v>0</v>
      </c>
      <c r="Z92" s="232" t="n">
        <f aca="false">IF(Z83=0,0,Z83-Z93)</f>
        <v>0</v>
      </c>
      <c r="AA92" s="232" t="n">
        <f aca="false">IF(AA83=0,0,AA83-AA93)</f>
        <v>0</v>
      </c>
      <c r="AB92" s="232" t="n">
        <f aca="false">IF(AB83=0,0,AB83-AB93)</f>
        <v>0</v>
      </c>
      <c r="AC92" s="218"/>
      <c r="AD92" s="218"/>
      <c r="AE92" s="267"/>
      <c r="AF92" s="218"/>
      <c r="AG92" s="218"/>
      <c r="AH92" s="218"/>
      <c r="AI92" s="218"/>
      <c r="AJ92" s="218"/>
      <c r="AK92" s="218"/>
      <c r="AL92" s="218"/>
      <c r="AM92" s="218"/>
      <c r="AN92" s="218"/>
      <c r="AO92" s="218"/>
      <c r="AP92" s="218"/>
      <c r="AQ92" s="218"/>
      <c r="AR92" s="218"/>
      <c r="AS92" s="218"/>
      <c r="AT92" s="218"/>
      <c r="AU92" s="218"/>
      <c r="AV92" s="218"/>
      <c r="AW92" s="218"/>
      <c r="AX92" s="218"/>
      <c r="AY92" s="218"/>
      <c r="AZ92" s="218"/>
      <c r="BA92" s="218"/>
      <c r="BB92" s="218"/>
      <c r="BC92" s="218"/>
      <c r="BD92" s="218"/>
      <c r="BE92" s="218"/>
      <c r="BF92" s="218"/>
      <c r="BG92" s="218"/>
      <c r="BH92" s="218"/>
      <c r="BI92" s="218"/>
      <c r="BJ92" s="218"/>
      <c r="BK92" s="218"/>
      <c r="BL92" s="218"/>
      <c r="BM92" s="218"/>
      <c r="BN92" s="218"/>
      <c r="BO92" s="218"/>
      <c r="BP92" s="218"/>
      <c r="BQ92" s="218"/>
      <c r="BR92" s="218"/>
      <c r="BS92" s="218"/>
      <c r="BT92" s="218"/>
      <c r="BU92" s="218"/>
      <c r="BV92" s="218"/>
      <c r="BW92" s="218"/>
      <c r="BX92" s="218"/>
      <c r="BY92" s="218"/>
      <c r="BZ92" s="218"/>
      <c r="CA92" s="218"/>
      <c r="CB92" s="218"/>
      <c r="CC92" s="218"/>
      <c r="CD92" s="218"/>
      <c r="CE92" s="218"/>
      <c r="CF92" s="218"/>
      <c r="CG92" s="218"/>
      <c r="CH92" s="218"/>
      <c r="CI92" s="218"/>
      <c r="CJ92" s="218"/>
      <c r="CK92" s="218"/>
      <c r="CL92" s="218"/>
      <c r="CM92" s="218"/>
      <c r="CN92" s="218"/>
      <c r="CO92" s="218"/>
      <c r="CP92" s="218"/>
      <c r="CQ92" s="218"/>
      <c r="CR92" s="218"/>
      <c r="CS92" s="218"/>
      <c r="CT92" s="218"/>
      <c r="CU92" s="218"/>
      <c r="CV92" s="218"/>
      <c r="CW92" s="218"/>
      <c r="CX92" s="218"/>
      <c r="CY92" s="218"/>
      <c r="CZ92" s="218"/>
      <c r="DA92" s="218"/>
      <c r="DB92" s="218"/>
      <c r="DC92" s="218"/>
      <c r="DD92" s="218"/>
      <c r="DE92" s="218"/>
      <c r="DF92" s="218"/>
      <c r="DG92" s="218"/>
      <c r="DH92" s="218"/>
      <c r="DI92" s="218"/>
      <c r="DJ92" s="218"/>
      <c r="DK92" s="218"/>
      <c r="DL92" s="218"/>
      <c r="DM92" s="218"/>
      <c r="DN92" s="218"/>
      <c r="DO92" s="218"/>
      <c r="DP92" s="218"/>
      <c r="DQ92" s="218"/>
      <c r="DR92" s="218"/>
      <c r="DS92" s="218"/>
      <c r="DT92" s="218"/>
      <c r="DU92" s="218"/>
      <c r="DV92" s="218"/>
      <c r="DW92" s="218"/>
      <c r="DX92" s="218"/>
      <c r="DY92" s="218"/>
      <c r="DZ92" s="218"/>
      <c r="EA92" s="218"/>
      <c r="EB92" s="218"/>
      <c r="EC92" s="218"/>
      <c r="ED92" s="218"/>
      <c r="EE92" s="218"/>
      <c r="EF92" s="218"/>
      <c r="EG92" s="218"/>
      <c r="EH92" s="218"/>
      <c r="EI92" s="218"/>
      <c r="EJ92" s="218"/>
      <c r="EK92" s="218"/>
      <c r="EL92" s="218"/>
      <c r="EM92" s="218"/>
      <c r="EN92" s="218"/>
      <c r="EO92" s="218"/>
      <c r="EP92" s="218"/>
      <c r="EQ92" s="218"/>
      <c r="ER92" s="218"/>
      <c r="ES92" s="218"/>
      <c r="ET92" s="218"/>
      <c r="EU92" s="218"/>
      <c r="EV92" s="218"/>
      <c r="EW92" s="218"/>
      <c r="EX92" s="218"/>
      <c r="EY92" s="218"/>
      <c r="EZ92" s="218"/>
      <c r="FA92" s="218"/>
      <c r="FB92" s="218"/>
      <c r="FC92" s="218"/>
      <c r="FD92" s="218"/>
      <c r="FE92" s="218"/>
      <c r="FF92" s="218"/>
      <c r="FG92" s="218"/>
      <c r="FH92" s="218"/>
      <c r="FI92" s="218"/>
      <c r="FJ92" s="218"/>
      <c r="FK92" s="218"/>
      <c r="FL92" s="218"/>
      <c r="FM92" s="218"/>
      <c r="FN92" s="218"/>
      <c r="FO92" s="218"/>
      <c r="FP92" s="218"/>
      <c r="FQ92" s="218"/>
      <c r="FR92" s="218"/>
      <c r="FS92" s="218"/>
      <c r="FT92" s="218"/>
      <c r="FU92" s="218"/>
      <c r="FV92" s="218"/>
      <c r="FW92" s="218"/>
      <c r="FX92" s="218"/>
      <c r="FY92" s="218"/>
      <c r="FZ92" s="218"/>
      <c r="GA92" s="218"/>
      <c r="GB92" s="218"/>
      <c r="GC92" s="218"/>
      <c r="GD92" s="218"/>
      <c r="GE92" s="218"/>
      <c r="GF92" s="218"/>
      <c r="GG92" s="218"/>
      <c r="GH92" s="218"/>
      <c r="GI92" s="218"/>
      <c r="GJ92" s="218"/>
      <c r="GK92" s="218"/>
      <c r="GL92" s="218"/>
      <c r="GM92" s="218"/>
      <c r="GN92" s="218"/>
      <c r="GO92" s="218"/>
      <c r="GP92" s="218"/>
      <c r="GQ92" s="218"/>
      <c r="GR92" s="218"/>
      <c r="GS92" s="218"/>
      <c r="GT92" s="218"/>
      <c r="GU92" s="218"/>
      <c r="GV92" s="218"/>
      <c r="GW92" s="218"/>
      <c r="GX92" s="218"/>
      <c r="GY92" s="218"/>
      <c r="GZ92" s="218"/>
      <c r="HA92" s="218"/>
      <c r="HB92" s="218"/>
      <c r="HC92" s="218"/>
      <c r="HD92" s="218"/>
      <c r="HE92" s="218"/>
      <c r="HF92" s="218"/>
      <c r="HG92" s="218"/>
      <c r="HH92" s="218"/>
      <c r="HI92" s="218"/>
      <c r="HJ92" s="218"/>
      <c r="HK92" s="218"/>
      <c r="HL92" s="218"/>
      <c r="HM92" s="218"/>
      <c r="HN92" s="218"/>
      <c r="HO92" s="218"/>
      <c r="HP92" s="218"/>
      <c r="HQ92" s="218"/>
      <c r="HR92" s="218"/>
      <c r="HS92" s="218"/>
      <c r="HT92" s="218"/>
      <c r="HU92" s="218"/>
      <c r="HV92" s="218"/>
      <c r="HW92" s="218"/>
      <c r="HX92" s="218"/>
      <c r="HY92" s="218"/>
      <c r="HZ92" s="218"/>
      <c r="IA92" s="218"/>
      <c r="IB92" s="218"/>
      <c r="IC92" s="218"/>
      <c r="ID92" s="218"/>
      <c r="IE92" s="218"/>
      <c r="IF92" s="218"/>
      <c r="IG92" s="218"/>
      <c r="IH92" s="218"/>
      <c r="II92" s="218"/>
      <c r="IJ92" s="218"/>
      <c r="IK92" s="218"/>
      <c r="IL92" s="218"/>
      <c r="IM92" s="218"/>
      <c r="IN92" s="218"/>
      <c r="IO92" s="218"/>
      <c r="IP92" s="218"/>
      <c r="IQ92" s="218"/>
      <c r="IR92" s="218"/>
      <c r="IS92" s="218"/>
      <c r="IT92" s="218"/>
      <c r="IU92" s="218"/>
      <c r="IV92" s="218"/>
      <c r="IW92" s="218"/>
    </row>
    <row r="93" customFormat="false" ht="11.25" hidden="false" customHeight="false" outlineLevel="0" collapsed="false">
      <c r="A93" s="218"/>
      <c r="B93" s="218" t="s">
        <v>90</v>
      </c>
      <c r="C93" s="269" t="e">
        <f aca="false">D77+D81-$C58</f>
        <v>#VALUE!</v>
      </c>
      <c r="D93" s="269" t="e">
        <f aca="false">E77+E81</f>
        <v>#VALUE!</v>
      </c>
      <c r="E93" s="269" t="n">
        <v>0</v>
      </c>
      <c r="F93" s="269" t="n">
        <f aca="false">G77+G81</f>
        <v>0</v>
      </c>
      <c r="G93" s="269" t="n">
        <f aca="false">H77+H81</f>
        <v>0</v>
      </c>
      <c r="H93" s="269" t="n">
        <f aca="false">I77+I81</f>
        <v>0</v>
      </c>
      <c r="I93" s="269" t="n">
        <f aca="false">J77+J81</f>
        <v>0</v>
      </c>
      <c r="J93" s="269" t="n">
        <f aca="false">K77+K81</f>
        <v>0</v>
      </c>
      <c r="K93" s="269" t="n">
        <f aca="false">L77+L81</f>
        <v>0</v>
      </c>
      <c r="L93" s="269" t="n">
        <f aca="false">M77+M81</f>
        <v>0</v>
      </c>
      <c r="M93" s="269" t="n">
        <f aca="false">N77+N81</f>
        <v>0</v>
      </c>
      <c r="N93" s="269" t="n">
        <f aca="false">O77+O81</f>
        <v>0</v>
      </c>
      <c r="O93" s="269" t="n">
        <f aca="false">P77+P81</f>
        <v>0</v>
      </c>
      <c r="P93" s="269" t="n">
        <f aca="false">Q77+Q81</f>
        <v>0</v>
      </c>
      <c r="Q93" s="269" t="n">
        <f aca="false">R77+R81</f>
        <v>0</v>
      </c>
      <c r="R93" s="269" t="n">
        <f aca="false">S77+S81</f>
        <v>0</v>
      </c>
      <c r="S93" s="269" t="n">
        <f aca="false">T77+T81</f>
        <v>0</v>
      </c>
      <c r="T93" s="269" t="n">
        <f aca="false">U77+U81</f>
        <v>0</v>
      </c>
      <c r="U93" s="269" t="n">
        <f aca="false">V77+V81</f>
        <v>0</v>
      </c>
      <c r="V93" s="269" t="n">
        <f aca="false">W77+W81</f>
        <v>0</v>
      </c>
      <c r="W93" s="269" t="n">
        <f aca="false">X77+X81</f>
        <v>0</v>
      </c>
      <c r="X93" s="269" t="n">
        <f aca="false">Y77+Y81</f>
        <v>0</v>
      </c>
      <c r="Y93" s="269" t="n">
        <f aca="false">Z77+Z81</f>
        <v>0</v>
      </c>
      <c r="Z93" s="269" t="n">
        <f aca="false">AA77+AA81</f>
        <v>0</v>
      </c>
      <c r="AA93" s="269" t="n">
        <f aca="false">AB77+AB81</f>
        <v>0</v>
      </c>
      <c r="AB93" s="269" t="n">
        <f aca="false">AC77+AC81</f>
        <v>0</v>
      </c>
      <c r="AC93" s="218"/>
      <c r="AD93" s="218"/>
      <c r="AE93" s="218"/>
      <c r="AF93" s="218"/>
      <c r="AG93" s="218"/>
      <c r="AH93" s="218"/>
      <c r="AI93" s="218"/>
      <c r="AJ93" s="218"/>
      <c r="AK93" s="218"/>
      <c r="AL93" s="218"/>
      <c r="AM93" s="218"/>
      <c r="AN93" s="218"/>
      <c r="AO93" s="218"/>
      <c r="AP93" s="218"/>
      <c r="AQ93" s="218"/>
      <c r="AR93" s="218"/>
      <c r="AS93" s="218"/>
      <c r="AT93" s="218"/>
      <c r="AU93" s="218"/>
      <c r="AV93" s="218"/>
      <c r="AW93" s="218"/>
      <c r="AX93" s="218"/>
      <c r="AY93" s="218"/>
      <c r="AZ93" s="218"/>
      <c r="BA93" s="218"/>
      <c r="BB93" s="218"/>
      <c r="BC93" s="218"/>
      <c r="BD93" s="218"/>
      <c r="BE93" s="218"/>
      <c r="BF93" s="218"/>
      <c r="BG93" s="218"/>
      <c r="BH93" s="218"/>
      <c r="BI93" s="218"/>
      <c r="BJ93" s="218"/>
      <c r="BK93" s="218"/>
      <c r="BL93" s="218"/>
      <c r="BM93" s="218"/>
      <c r="BN93" s="218"/>
      <c r="BO93" s="218"/>
      <c r="BP93" s="218"/>
      <c r="BQ93" s="218"/>
      <c r="BR93" s="218"/>
      <c r="BS93" s="218"/>
      <c r="BT93" s="218"/>
      <c r="BU93" s="218"/>
      <c r="BV93" s="218"/>
      <c r="BW93" s="218"/>
      <c r="BX93" s="218"/>
      <c r="BY93" s="218"/>
      <c r="BZ93" s="218"/>
      <c r="CA93" s="218"/>
      <c r="CB93" s="218"/>
      <c r="CC93" s="218"/>
      <c r="CD93" s="218"/>
      <c r="CE93" s="218"/>
      <c r="CF93" s="218"/>
      <c r="CG93" s="218"/>
      <c r="CH93" s="218"/>
      <c r="CI93" s="218"/>
      <c r="CJ93" s="218"/>
      <c r="CK93" s="218"/>
      <c r="CL93" s="218"/>
      <c r="CM93" s="218"/>
      <c r="CN93" s="218"/>
      <c r="CO93" s="218"/>
      <c r="CP93" s="218"/>
      <c r="CQ93" s="218"/>
      <c r="CR93" s="218"/>
      <c r="CS93" s="218"/>
      <c r="CT93" s="218"/>
      <c r="CU93" s="218"/>
      <c r="CV93" s="218"/>
      <c r="CW93" s="218"/>
      <c r="CX93" s="218"/>
      <c r="CY93" s="218"/>
      <c r="CZ93" s="218"/>
      <c r="DA93" s="218"/>
      <c r="DB93" s="218"/>
      <c r="DC93" s="218"/>
      <c r="DD93" s="218"/>
      <c r="DE93" s="218"/>
      <c r="DF93" s="218"/>
      <c r="DG93" s="218"/>
      <c r="DH93" s="218"/>
      <c r="DI93" s="218"/>
      <c r="DJ93" s="218"/>
      <c r="DK93" s="218"/>
      <c r="DL93" s="218"/>
      <c r="DM93" s="218"/>
      <c r="DN93" s="218"/>
      <c r="DO93" s="218"/>
      <c r="DP93" s="218"/>
      <c r="DQ93" s="218"/>
      <c r="DR93" s="218"/>
      <c r="DS93" s="218"/>
      <c r="DT93" s="218"/>
      <c r="DU93" s="218"/>
      <c r="DV93" s="218"/>
      <c r="DW93" s="218"/>
      <c r="DX93" s="218"/>
      <c r="DY93" s="218"/>
      <c r="DZ93" s="218"/>
      <c r="EA93" s="218"/>
      <c r="EB93" s="218"/>
      <c r="EC93" s="218"/>
      <c r="ED93" s="218"/>
      <c r="EE93" s="218"/>
      <c r="EF93" s="218"/>
      <c r="EG93" s="218"/>
      <c r="EH93" s="218"/>
      <c r="EI93" s="218"/>
      <c r="EJ93" s="218"/>
      <c r="EK93" s="218"/>
      <c r="EL93" s="218"/>
      <c r="EM93" s="218"/>
      <c r="EN93" s="218"/>
      <c r="EO93" s="218"/>
      <c r="EP93" s="218"/>
      <c r="EQ93" s="218"/>
      <c r="ER93" s="218"/>
      <c r="ES93" s="218"/>
      <c r="ET93" s="218"/>
      <c r="EU93" s="218"/>
      <c r="EV93" s="218"/>
      <c r="EW93" s="218"/>
      <c r="EX93" s="218"/>
      <c r="EY93" s="218"/>
      <c r="EZ93" s="218"/>
      <c r="FA93" s="218"/>
      <c r="FB93" s="218"/>
      <c r="FC93" s="218"/>
      <c r="FD93" s="218"/>
      <c r="FE93" s="218"/>
      <c r="FF93" s="218"/>
      <c r="FG93" s="218"/>
      <c r="FH93" s="218"/>
      <c r="FI93" s="218"/>
      <c r="FJ93" s="218"/>
      <c r="FK93" s="218"/>
      <c r="FL93" s="218"/>
      <c r="FM93" s="218"/>
      <c r="FN93" s="218"/>
      <c r="FO93" s="218"/>
      <c r="FP93" s="218"/>
      <c r="FQ93" s="218"/>
      <c r="FR93" s="218"/>
      <c r="FS93" s="218"/>
      <c r="FT93" s="218"/>
      <c r="FU93" s="218"/>
      <c r="FV93" s="218"/>
      <c r="FW93" s="218"/>
      <c r="FX93" s="218"/>
      <c r="FY93" s="218"/>
      <c r="FZ93" s="218"/>
      <c r="GA93" s="218"/>
      <c r="GB93" s="218"/>
      <c r="GC93" s="218"/>
      <c r="GD93" s="218"/>
      <c r="GE93" s="218"/>
      <c r="GF93" s="218"/>
      <c r="GG93" s="218"/>
      <c r="GH93" s="218"/>
      <c r="GI93" s="218"/>
      <c r="GJ93" s="218"/>
      <c r="GK93" s="218"/>
      <c r="GL93" s="218"/>
      <c r="GM93" s="218"/>
      <c r="GN93" s="218"/>
      <c r="GO93" s="218"/>
      <c r="GP93" s="218"/>
      <c r="GQ93" s="218"/>
      <c r="GR93" s="218"/>
      <c r="GS93" s="218"/>
      <c r="GT93" s="218"/>
      <c r="GU93" s="218"/>
      <c r="GV93" s="218"/>
      <c r="GW93" s="218"/>
      <c r="GX93" s="218"/>
      <c r="GY93" s="218"/>
      <c r="GZ93" s="218"/>
      <c r="HA93" s="218"/>
      <c r="HB93" s="218"/>
      <c r="HC93" s="218"/>
      <c r="HD93" s="218"/>
      <c r="HE93" s="218"/>
      <c r="HF93" s="218"/>
      <c r="HG93" s="218"/>
      <c r="HH93" s="218"/>
      <c r="HI93" s="218"/>
      <c r="HJ93" s="218"/>
      <c r="HK93" s="218"/>
      <c r="HL93" s="218"/>
      <c r="HM93" s="218"/>
      <c r="HN93" s="218"/>
      <c r="HO93" s="218"/>
      <c r="HP93" s="218"/>
      <c r="HQ93" s="218"/>
      <c r="HR93" s="218"/>
      <c r="HS93" s="218"/>
      <c r="HT93" s="218"/>
      <c r="HU93" s="218"/>
      <c r="HV93" s="218"/>
      <c r="HW93" s="218"/>
      <c r="HX93" s="218"/>
      <c r="HY93" s="218"/>
      <c r="HZ93" s="218"/>
      <c r="IA93" s="218"/>
      <c r="IB93" s="218"/>
      <c r="IC93" s="218"/>
      <c r="ID93" s="218"/>
      <c r="IE93" s="218"/>
      <c r="IF93" s="218"/>
      <c r="IG93" s="218"/>
      <c r="IH93" s="218"/>
      <c r="II93" s="218"/>
      <c r="IJ93" s="218"/>
      <c r="IK93" s="218"/>
      <c r="IL93" s="218"/>
      <c r="IM93" s="218"/>
      <c r="IN93" s="218"/>
      <c r="IO93" s="218"/>
      <c r="IP93" s="218"/>
      <c r="IQ93" s="218"/>
      <c r="IR93" s="218"/>
      <c r="IS93" s="218"/>
      <c r="IT93" s="218"/>
      <c r="IU93" s="218"/>
      <c r="IV93" s="218"/>
      <c r="IW93" s="218"/>
    </row>
    <row r="94" customFormat="false" ht="11.25" hidden="false" customHeight="false" outlineLevel="0" collapsed="false">
      <c r="A94" s="218"/>
      <c r="B94" s="218"/>
      <c r="C94" s="269"/>
      <c r="D94" s="218"/>
      <c r="E94" s="218"/>
      <c r="F94" s="218"/>
      <c r="G94" s="218"/>
      <c r="H94" s="218"/>
      <c r="I94" s="218"/>
      <c r="J94" s="218"/>
      <c r="K94" s="218"/>
      <c r="L94" s="218"/>
      <c r="M94" s="218"/>
      <c r="N94" s="218"/>
      <c r="O94" s="218"/>
      <c r="P94" s="218"/>
      <c r="Q94" s="218"/>
      <c r="R94" s="218"/>
      <c r="S94" s="218"/>
      <c r="T94" s="218"/>
      <c r="U94" s="218"/>
      <c r="V94" s="218"/>
      <c r="W94" s="218"/>
      <c r="X94" s="218"/>
      <c r="Y94" s="218"/>
      <c r="Z94" s="218"/>
      <c r="AA94" s="218"/>
      <c r="AB94" s="218"/>
      <c r="AC94" s="218"/>
      <c r="AD94" s="218"/>
      <c r="AE94" s="218"/>
      <c r="AF94" s="218"/>
      <c r="AG94" s="218"/>
      <c r="AH94" s="218"/>
      <c r="AI94" s="218"/>
      <c r="AJ94" s="218"/>
      <c r="AK94" s="218"/>
      <c r="AL94" s="218"/>
      <c r="AM94" s="218"/>
      <c r="AN94" s="218"/>
      <c r="AO94" s="218"/>
      <c r="AP94" s="218"/>
      <c r="AQ94" s="218"/>
      <c r="AR94" s="218"/>
      <c r="AS94" s="218"/>
      <c r="AT94" s="218"/>
      <c r="AU94" s="218"/>
      <c r="AV94" s="218"/>
      <c r="AW94" s="218"/>
      <c r="AX94" s="218"/>
      <c r="AY94" s="218"/>
      <c r="AZ94" s="218"/>
      <c r="BA94" s="218"/>
      <c r="BB94" s="218"/>
      <c r="BC94" s="218"/>
      <c r="BD94" s="218"/>
      <c r="BE94" s="218"/>
      <c r="BF94" s="218"/>
      <c r="BG94" s="218"/>
      <c r="BH94" s="218"/>
      <c r="BI94" s="218"/>
      <c r="BJ94" s="218"/>
      <c r="BK94" s="218"/>
      <c r="BL94" s="218"/>
      <c r="BM94" s="218"/>
      <c r="BN94" s="218"/>
      <c r="BO94" s="218"/>
      <c r="BP94" s="218"/>
      <c r="BQ94" s="218"/>
      <c r="BR94" s="218"/>
      <c r="BS94" s="218"/>
      <c r="BT94" s="218"/>
      <c r="BU94" s="218"/>
      <c r="BV94" s="218"/>
      <c r="BW94" s="218"/>
      <c r="BX94" s="218"/>
      <c r="BY94" s="218"/>
      <c r="BZ94" s="218"/>
      <c r="CA94" s="218"/>
      <c r="CB94" s="218"/>
      <c r="CC94" s="218"/>
      <c r="CD94" s="218"/>
      <c r="CE94" s="218"/>
      <c r="CF94" s="218"/>
      <c r="CG94" s="218"/>
      <c r="CH94" s="218"/>
      <c r="CI94" s="218"/>
      <c r="CJ94" s="218"/>
      <c r="CK94" s="218"/>
      <c r="CL94" s="218"/>
      <c r="CM94" s="218"/>
      <c r="CN94" s="218"/>
      <c r="CO94" s="218"/>
      <c r="CP94" s="218"/>
      <c r="CQ94" s="218"/>
      <c r="CR94" s="218"/>
      <c r="CS94" s="218"/>
      <c r="CT94" s="218"/>
      <c r="CU94" s="218"/>
      <c r="CV94" s="218"/>
      <c r="CW94" s="218"/>
      <c r="CX94" s="218"/>
      <c r="CY94" s="218"/>
      <c r="CZ94" s="218"/>
      <c r="DA94" s="218"/>
      <c r="DB94" s="218"/>
      <c r="DC94" s="218"/>
      <c r="DD94" s="218"/>
      <c r="DE94" s="218"/>
      <c r="DF94" s="218"/>
      <c r="DG94" s="218"/>
      <c r="DH94" s="218"/>
      <c r="DI94" s="218"/>
      <c r="DJ94" s="218"/>
      <c r="DK94" s="218"/>
      <c r="DL94" s="218"/>
      <c r="DM94" s="218"/>
      <c r="DN94" s="218"/>
      <c r="DO94" s="218"/>
      <c r="DP94" s="218"/>
      <c r="DQ94" s="218"/>
      <c r="DR94" s="218"/>
      <c r="DS94" s="218"/>
      <c r="DT94" s="218"/>
      <c r="DU94" s="218"/>
      <c r="DV94" s="218"/>
      <c r="DW94" s="218"/>
      <c r="DX94" s="218"/>
      <c r="DY94" s="218"/>
      <c r="DZ94" s="218"/>
      <c r="EA94" s="218"/>
      <c r="EB94" s="218"/>
      <c r="EC94" s="218"/>
      <c r="ED94" s="218"/>
      <c r="EE94" s="218"/>
      <c r="EF94" s="218"/>
      <c r="EG94" s="218"/>
      <c r="EH94" s="218"/>
      <c r="EI94" s="218"/>
      <c r="EJ94" s="218"/>
      <c r="EK94" s="218"/>
      <c r="EL94" s="218"/>
      <c r="EM94" s="218"/>
      <c r="EN94" s="218"/>
      <c r="EO94" s="218"/>
      <c r="EP94" s="218"/>
      <c r="EQ94" s="218"/>
      <c r="ER94" s="218"/>
      <c r="ES94" s="218"/>
      <c r="ET94" s="218"/>
      <c r="EU94" s="218"/>
      <c r="EV94" s="218"/>
      <c r="EW94" s="218"/>
      <c r="EX94" s="218"/>
      <c r="EY94" s="218"/>
      <c r="EZ94" s="218"/>
      <c r="FA94" s="218"/>
      <c r="FB94" s="218"/>
      <c r="FC94" s="218"/>
      <c r="FD94" s="218"/>
      <c r="FE94" s="218"/>
      <c r="FF94" s="218"/>
      <c r="FG94" s="218"/>
      <c r="FH94" s="218"/>
      <c r="FI94" s="218"/>
      <c r="FJ94" s="218"/>
      <c r="FK94" s="218"/>
      <c r="FL94" s="218"/>
      <c r="FM94" s="218"/>
      <c r="FN94" s="218"/>
      <c r="FO94" s="218"/>
      <c r="FP94" s="218"/>
      <c r="FQ94" s="218"/>
      <c r="FR94" s="218"/>
      <c r="FS94" s="218"/>
      <c r="FT94" s="218"/>
      <c r="FU94" s="218"/>
      <c r="FV94" s="218"/>
      <c r="FW94" s="218"/>
      <c r="FX94" s="218"/>
      <c r="FY94" s="218"/>
      <c r="FZ94" s="218"/>
      <c r="GA94" s="218"/>
      <c r="GB94" s="218"/>
      <c r="GC94" s="218"/>
      <c r="GD94" s="218"/>
      <c r="GE94" s="218"/>
      <c r="GF94" s="218"/>
      <c r="GG94" s="218"/>
      <c r="GH94" s="218"/>
      <c r="GI94" s="218"/>
      <c r="GJ94" s="218"/>
      <c r="GK94" s="218"/>
      <c r="GL94" s="218"/>
      <c r="GM94" s="218"/>
      <c r="GN94" s="218"/>
      <c r="GO94" s="218"/>
      <c r="GP94" s="218"/>
      <c r="GQ94" s="218"/>
      <c r="GR94" s="218"/>
      <c r="GS94" s="218"/>
      <c r="GT94" s="218"/>
      <c r="GU94" s="218"/>
      <c r="GV94" s="218"/>
      <c r="GW94" s="218"/>
      <c r="GX94" s="218"/>
      <c r="GY94" s="218"/>
      <c r="GZ94" s="218"/>
      <c r="HA94" s="218"/>
      <c r="HB94" s="218"/>
      <c r="HC94" s="218"/>
      <c r="HD94" s="218"/>
      <c r="HE94" s="218"/>
      <c r="HF94" s="218"/>
      <c r="HG94" s="218"/>
      <c r="HH94" s="218"/>
      <c r="HI94" s="218"/>
      <c r="HJ94" s="218"/>
      <c r="HK94" s="218"/>
      <c r="HL94" s="218"/>
      <c r="HM94" s="218"/>
      <c r="HN94" s="218"/>
      <c r="HO94" s="218"/>
      <c r="HP94" s="218"/>
      <c r="HQ94" s="218"/>
      <c r="HR94" s="218"/>
      <c r="HS94" s="218"/>
      <c r="HT94" s="218"/>
      <c r="HU94" s="218"/>
      <c r="HV94" s="218"/>
      <c r="HW94" s="218"/>
      <c r="HX94" s="218"/>
      <c r="HY94" s="218"/>
      <c r="HZ94" s="218"/>
      <c r="IA94" s="218"/>
      <c r="IB94" s="218"/>
      <c r="IC94" s="218"/>
      <c r="ID94" s="218"/>
      <c r="IE94" s="218"/>
      <c r="IF94" s="218"/>
      <c r="IG94" s="218"/>
      <c r="IH94" s="218"/>
      <c r="II94" s="218"/>
      <c r="IJ94" s="218"/>
      <c r="IK94" s="218"/>
      <c r="IL94" s="218"/>
      <c r="IM94" s="218"/>
      <c r="IN94" s="218"/>
      <c r="IO94" s="218"/>
      <c r="IP94" s="218"/>
      <c r="IQ94" s="218"/>
      <c r="IR94" s="218"/>
      <c r="IS94" s="218"/>
      <c r="IT94" s="218"/>
      <c r="IU94" s="218"/>
      <c r="IV94" s="218"/>
      <c r="IW94" s="218"/>
    </row>
    <row r="95" customFormat="false" ht="11.25" hidden="false" customHeight="false" outlineLevel="0" collapsed="false">
      <c r="A95" s="218"/>
      <c r="B95" s="218"/>
      <c r="C95" s="218"/>
      <c r="D95" s="218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218"/>
      <c r="AM95" s="218"/>
      <c r="AN95" s="218"/>
      <c r="AO95" s="218"/>
      <c r="AP95" s="218"/>
      <c r="AQ95" s="218"/>
      <c r="AR95" s="218"/>
      <c r="AS95" s="218"/>
      <c r="AT95" s="218"/>
      <c r="AU95" s="218"/>
      <c r="AV95" s="218"/>
      <c r="AW95" s="218"/>
      <c r="AX95" s="218"/>
      <c r="AY95" s="218"/>
      <c r="AZ95" s="218"/>
      <c r="BA95" s="218"/>
      <c r="BB95" s="218"/>
      <c r="BC95" s="218"/>
      <c r="BD95" s="218"/>
      <c r="BE95" s="218"/>
      <c r="BF95" s="218"/>
      <c r="BG95" s="218"/>
      <c r="BH95" s="218"/>
      <c r="BI95" s="218"/>
      <c r="BJ95" s="218"/>
      <c r="BK95" s="218"/>
      <c r="BL95" s="218"/>
      <c r="BM95" s="218"/>
      <c r="BN95" s="218"/>
      <c r="BO95" s="218"/>
      <c r="BP95" s="218"/>
      <c r="BQ95" s="218"/>
      <c r="BR95" s="218"/>
      <c r="BS95" s="218"/>
      <c r="BT95" s="218"/>
      <c r="BU95" s="218"/>
      <c r="BV95" s="218"/>
      <c r="BW95" s="218"/>
      <c r="BX95" s="218"/>
      <c r="BY95" s="218"/>
      <c r="BZ95" s="218"/>
      <c r="CA95" s="218"/>
      <c r="CB95" s="218"/>
      <c r="CC95" s="218"/>
      <c r="CD95" s="218"/>
      <c r="CE95" s="218"/>
      <c r="CF95" s="218"/>
      <c r="CG95" s="218"/>
      <c r="CH95" s="218"/>
      <c r="CI95" s="218"/>
      <c r="CJ95" s="218"/>
      <c r="CK95" s="218"/>
      <c r="CL95" s="218"/>
      <c r="CM95" s="218"/>
      <c r="CN95" s="218"/>
      <c r="CO95" s="218"/>
      <c r="CP95" s="218"/>
      <c r="CQ95" s="218"/>
      <c r="CR95" s="218"/>
      <c r="CS95" s="218"/>
      <c r="CT95" s="218"/>
      <c r="CU95" s="218"/>
      <c r="CV95" s="218"/>
      <c r="CW95" s="218"/>
      <c r="CX95" s="218"/>
      <c r="CY95" s="218"/>
      <c r="CZ95" s="218"/>
      <c r="DA95" s="218"/>
      <c r="DB95" s="218"/>
      <c r="DC95" s="218"/>
      <c r="DD95" s="218"/>
      <c r="DE95" s="218"/>
      <c r="DF95" s="218"/>
      <c r="DG95" s="218"/>
      <c r="DH95" s="218"/>
      <c r="DI95" s="218"/>
      <c r="DJ95" s="218"/>
      <c r="DK95" s="218"/>
      <c r="DL95" s="218"/>
      <c r="DM95" s="218"/>
      <c r="DN95" s="218"/>
      <c r="DO95" s="218"/>
      <c r="DP95" s="218"/>
      <c r="DQ95" s="218"/>
      <c r="DR95" s="218"/>
      <c r="DS95" s="218"/>
      <c r="DT95" s="218"/>
      <c r="DU95" s="218"/>
      <c r="DV95" s="218"/>
      <c r="DW95" s="218"/>
      <c r="DX95" s="218"/>
      <c r="DY95" s="218"/>
      <c r="DZ95" s="218"/>
      <c r="EA95" s="218"/>
      <c r="EB95" s="218"/>
      <c r="EC95" s="218"/>
      <c r="ED95" s="218"/>
      <c r="EE95" s="218"/>
      <c r="EF95" s="218"/>
      <c r="EG95" s="218"/>
      <c r="EH95" s="218"/>
      <c r="EI95" s="218"/>
      <c r="EJ95" s="218"/>
      <c r="EK95" s="218"/>
      <c r="EL95" s="218"/>
      <c r="EM95" s="218"/>
      <c r="EN95" s="218"/>
      <c r="EO95" s="218"/>
      <c r="EP95" s="218"/>
      <c r="EQ95" s="218"/>
      <c r="ER95" s="218"/>
      <c r="ES95" s="218"/>
      <c r="ET95" s="218"/>
      <c r="EU95" s="218"/>
      <c r="EV95" s="218"/>
      <c r="EW95" s="218"/>
      <c r="EX95" s="218"/>
      <c r="EY95" s="218"/>
      <c r="EZ95" s="218"/>
      <c r="FA95" s="218"/>
      <c r="FB95" s="218"/>
      <c r="FC95" s="218"/>
      <c r="FD95" s="218"/>
      <c r="FE95" s="218"/>
      <c r="FF95" s="218"/>
      <c r="FG95" s="218"/>
      <c r="FH95" s="218"/>
      <c r="FI95" s="218"/>
      <c r="FJ95" s="218"/>
      <c r="FK95" s="218"/>
      <c r="FL95" s="218"/>
      <c r="FM95" s="218"/>
      <c r="FN95" s="218"/>
      <c r="FO95" s="218"/>
      <c r="FP95" s="218"/>
      <c r="FQ95" s="218"/>
      <c r="FR95" s="218"/>
      <c r="FS95" s="218"/>
      <c r="FT95" s="218"/>
      <c r="FU95" s="218"/>
      <c r="FV95" s="218"/>
      <c r="FW95" s="218"/>
      <c r="FX95" s="218"/>
      <c r="FY95" s="218"/>
      <c r="FZ95" s="218"/>
      <c r="GA95" s="218"/>
      <c r="GB95" s="218"/>
      <c r="GC95" s="218"/>
      <c r="GD95" s="218"/>
      <c r="GE95" s="218"/>
      <c r="GF95" s="218"/>
      <c r="GG95" s="218"/>
      <c r="GH95" s="218"/>
      <c r="GI95" s="218"/>
      <c r="GJ95" s="218"/>
      <c r="GK95" s="218"/>
      <c r="GL95" s="218"/>
      <c r="GM95" s="218"/>
      <c r="GN95" s="218"/>
      <c r="GO95" s="218"/>
      <c r="GP95" s="218"/>
      <c r="GQ95" s="218"/>
      <c r="GR95" s="218"/>
      <c r="GS95" s="218"/>
      <c r="GT95" s="218"/>
      <c r="GU95" s="218"/>
      <c r="GV95" s="218"/>
      <c r="GW95" s="218"/>
      <c r="GX95" s="218"/>
      <c r="GY95" s="218"/>
      <c r="GZ95" s="218"/>
      <c r="HA95" s="218"/>
      <c r="HB95" s="218"/>
      <c r="HC95" s="218"/>
      <c r="HD95" s="218"/>
      <c r="HE95" s="218"/>
      <c r="HF95" s="218"/>
      <c r="HG95" s="218"/>
      <c r="HH95" s="218"/>
      <c r="HI95" s="218"/>
      <c r="HJ95" s="218"/>
      <c r="HK95" s="218"/>
      <c r="HL95" s="218"/>
      <c r="HM95" s="218"/>
      <c r="HN95" s="218"/>
      <c r="HO95" s="218"/>
      <c r="HP95" s="218"/>
      <c r="HQ95" s="218"/>
      <c r="HR95" s="218"/>
      <c r="HS95" s="218"/>
      <c r="HT95" s="218"/>
      <c r="HU95" s="218"/>
      <c r="HV95" s="218"/>
      <c r="HW95" s="218"/>
      <c r="HX95" s="218"/>
      <c r="HY95" s="218"/>
      <c r="HZ95" s="218"/>
      <c r="IA95" s="218"/>
      <c r="IB95" s="218"/>
      <c r="IC95" s="218"/>
      <c r="ID95" s="218"/>
      <c r="IE95" s="218"/>
      <c r="IF95" s="218"/>
      <c r="IG95" s="218"/>
      <c r="IH95" s="218"/>
      <c r="II95" s="218"/>
      <c r="IJ95" s="218"/>
      <c r="IK95" s="218"/>
      <c r="IL95" s="218"/>
      <c r="IM95" s="218"/>
      <c r="IN95" s="218"/>
      <c r="IO95" s="218"/>
      <c r="IP95" s="218"/>
      <c r="IQ95" s="218"/>
      <c r="IR95" s="218"/>
      <c r="IS95" s="218"/>
      <c r="IT95" s="218"/>
      <c r="IU95" s="218"/>
      <c r="IV95" s="218"/>
      <c r="IW95" s="218"/>
    </row>
    <row r="96" customFormat="false" ht="11.25" hidden="false" customHeight="false" outlineLevel="0" collapsed="false">
      <c r="A96" s="218"/>
      <c r="B96" s="218"/>
      <c r="C96" s="218" t="s">
        <v>206</v>
      </c>
      <c r="D96" s="218"/>
      <c r="E96" s="269" t="e">
        <f aca="false">SUM(C87:V87)</f>
        <v>#VALUE!</v>
      </c>
      <c r="F96" s="218"/>
      <c r="G96" s="218"/>
      <c r="H96" s="218"/>
      <c r="I96" s="218"/>
      <c r="J96" s="218"/>
      <c r="K96" s="218"/>
      <c r="L96" s="218"/>
      <c r="M96" s="218"/>
      <c r="N96" s="218"/>
      <c r="O96" s="218"/>
      <c r="P96" s="218"/>
      <c r="Q96" s="218"/>
      <c r="R96" s="218"/>
      <c r="S96" s="218"/>
      <c r="T96" s="218"/>
      <c r="U96" s="218"/>
      <c r="V96" s="218"/>
      <c r="W96" s="218"/>
      <c r="X96" s="218"/>
      <c r="Y96" s="218"/>
      <c r="Z96" s="218"/>
      <c r="AA96" s="218"/>
      <c r="AB96" s="218"/>
      <c r="AC96" s="218"/>
      <c r="AD96" s="218"/>
      <c r="AE96" s="218"/>
      <c r="AF96" s="218"/>
      <c r="AG96" s="218"/>
      <c r="AH96" s="218"/>
      <c r="AI96" s="218"/>
      <c r="AJ96" s="218"/>
      <c r="AK96" s="218"/>
      <c r="AL96" s="218"/>
      <c r="AM96" s="218"/>
      <c r="AN96" s="218"/>
      <c r="AO96" s="218"/>
      <c r="AP96" s="218"/>
      <c r="AQ96" s="218"/>
      <c r="AR96" s="218"/>
      <c r="AS96" s="218"/>
      <c r="AT96" s="218"/>
      <c r="AU96" s="218"/>
      <c r="AV96" s="218"/>
      <c r="AW96" s="218"/>
      <c r="AX96" s="218"/>
      <c r="AY96" s="218"/>
      <c r="AZ96" s="218"/>
      <c r="BA96" s="218"/>
      <c r="BB96" s="218"/>
      <c r="BC96" s="218"/>
      <c r="BD96" s="218"/>
      <c r="BE96" s="218"/>
      <c r="BF96" s="218"/>
      <c r="BG96" s="218"/>
      <c r="BH96" s="218"/>
      <c r="BI96" s="218"/>
      <c r="BJ96" s="218"/>
      <c r="BK96" s="218"/>
      <c r="BL96" s="218"/>
      <c r="BM96" s="218"/>
      <c r="BN96" s="218"/>
      <c r="BO96" s="218"/>
      <c r="BP96" s="218"/>
      <c r="BQ96" s="218"/>
      <c r="BR96" s="218"/>
      <c r="BS96" s="218"/>
      <c r="BT96" s="218"/>
      <c r="BU96" s="218"/>
      <c r="BV96" s="218"/>
      <c r="BW96" s="218"/>
      <c r="BX96" s="218"/>
      <c r="BY96" s="218"/>
      <c r="BZ96" s="218"/>
      <c r="CA96" s="218"/>
      <c r="CB96" s="218"/>
      <c r="CC96" s="218"/>
      <c r="CD96" s="218"/>
      <c r="CE96" s="218"/>
      <c r="CF96" s="218"/>
      <c r="CG96" s="218"/>
      <c r="CH96" s="218"/>
      <c r="CI96" s="218"/>
      <c r="CJ96" s="218"/>
      <c r="CK96" s="218"/>
      <c r="CL96" s="218"/>
      <c r="CM96" s="218"/>
      <c r="CN96" s="218"/>
      <c r="CO96" s="218"/>
      <c r="CP96" s="218"/>
      <c r="CQ96" s="218"/>
      <c r="CR96" s="218"/>
      <c r="CS96" s="218"/>
      <c r="CT96" s="218"/>
      <c r="CU96" s="218"/>
      <c r="CV96" s="218"/>
      <c r="CW96" s="218"/>
      <c r="CX96" s="218"/>
      <c r="CY96" s="218"/>
      <c r="CZ96" s="218"/>
      <c r="DA96" s="218"/>
      <c r="DB96" s="218"/>
      <c r="DC96" s="218"/>
      <c r="DD96" s="218"/>
      <c r="DE96" s="218"/>
      <c r="DF96" s="218"/>
      <c r="DG96" s="218"/>
      <c r="DH96" s="218"/>
      <c r="DI96" s="218"/>
      <c r="DJ96" s="218"/>
      <c r="DK96" s="218"/>
      <c r="DL96" s="218"/>
      <c r="DM96" s="218"/>
      <c r="DN96" s="218"/>
      <c r="DO96" s="218"/>
      <c r="DP96" s="218"/>
      <c r="DQ96" s="218"/>
      <c r="DR96" s="218"/>
      <c r="DS96" s="218"/>
      <c r="DT96" s="218"/>
      <c r="DU96" s="218"/>
      <c r="DV96" s="218"/>
      <c r="DW96" s="218"/>
      <c r="DX96" s="218"/>
      <c r="DY96" s="218"/>
      <c r="DZ96" s="218"/>
      <c r="EA96" s="218"/>
      <c r="EB96" s="218"/>
      <c r="EC96" s="218"/>
      <c r="ED96" s="218"/>
      <c r="EE96" s="218"/>
      <c r="EF96" s="218"/>
      <c r="EG96" s="218"/>
      <c r="EH96" s="218"/>
      <c r="EI96" s="218"/>
      <c r="EJ96" s="218"/>
      <c r="EK96" s="218"/>
      <c r="EL96" s="218"/>
      <c r="EM96" s="218"/>
      <c r="EN96" s="218"/>
      <c r="EO96" s="218"/>
      <c r="EP96" s="218"/>
      <c r="EQ96" s="218"/>
      <c r="ER96" s="218"/>
      <c r="ES96" s="218"/>
      <c r="ET96" s="218"/>
      <c r="EU96" s="218"/>
      <c r="EV96" s="218"/>
      <c r="EW96" s="218"/>
      <c r="EX96" s="218"/>
      <c r="EY96" s="218"/>
      <c r="EZ96" s="218"/>
      <c r="FA96" s="218"/>
      <c r="FB96" s="218"/>
      <c r="FC96" s="218"/>
      <c r="FD96" s="218"/>
      <c r="FE96" s="218"/>
      <c r="FF96" s="218"/>
      <c r="FG96" s="218"/>
      <c r="FH96" s="218"/>
      <c r="FI96" s="218"/>
      <c r="FJ96" s="218"/>
      <c r="FK96" s="218"/>
      <c r="FL96" s="218"/>
      <c r="FM96" s="218"/>
      <c r="FN96" s="218"/>
      <c r="FO96" s="218"/>
      <c r="FP96" s="218"/>
      <c r="FQ96" s="218"/>
      <c r="FR96" s="218"/>
      <c r="FS96" s="218"/>
      <c r="FT96" s="218"/>
      <c r="FU96" s="218"/>
      <c r="FV96" s="218"/>
      <c r="FW96" s="218"/>
      <c r="FX96" s="218"/>
      <c r="FY96" s="218"/>
      <c r="FZ96" s="218"/>
      <c r="GA96" s="218"/>
      <c r="GB96" s="218"/>
      <c r="GC96" s="218"/>
      <c r="GD96" s="218"/>
      <c r="GE96" s="218"/>
      <c r="GF96" s="218"/>
      <c r="GG96" s="218"/>
      <c r="GH96" s="218"/>
      <c r="GI96" s="218"/>
      <c r="GJ96" s="218"/>
      <c r="GK96" s="218"/>
      <c r="GL96" s="218"/>
      <c r="GM96" s="218"/>
      <c r="GN96" s="218"/>
      <c r="GO96" s="218"/>
      <c r="GP96" s="218"/>
      <c r="GQ96" s="218"/>
      <c r="GR96" s="218"/>
      <c r="GS96" s="218"/>
      <c r="GT96" s="218"/>
      <c r="GU96" s="218"/>
      <c r="GV96" s="218"/>
      <c r="GW96" s="218"/>
      <c r="GX96" s="218"/>
      <c r="GY96" s="218"/>
      <c r="GZ96" s="218"/>
      <c r="HA96" s="218"/>
      <c r="HB96" s="218"/>
      <c r="HC96" s="218"/>
      <c r="HD96" s="218"/>
      <c r="HE96" s="218"/>
      <c r="HF96" s="218"/>
      <c r="HG96" s="218"/>
      <c r="HH96" s="218"/>
      <c r="HI96" s="218"/>
      <c r="HJ96" s="218"/>
      <c r="HK96" s="218"/>
      <c r="HL96" s="218"/>
      <c r="HM96" s="218"/>
      <c r="HN96" s="218"/>
      <c r="HO96" s="218"/>
      <c r="HP96" s="218"/>
      <c r="HQ96" s="218"/>
      <c r="HR96" s="218"/>
      <c r="HS96" s="218"/>
      <c r="HT96" s="218"/>
      <c r="HU96" s="218"/>
      <c r="HV96" s="218"/>
      <c r="HW96" s="218"/>
      <c r="HX96" s="218"/>
      <c r="HY96" s="218"/>
      <c r="HZ96" s="218"/>
      <c r="IA96" s="218"/>
      <c r="IB96" s="218"/>
      <c r="IC96" s="218"/>
      <c r="ID96" s="218"/>
      <c r="IE96" s="218"/>
      <c r="IF96" s="218"/>
      <c r="IG96" s="218"/>
      <c r="IH96" s="218"/>
      <c r="II96" s="218"/>
      <c r="IJ96" s="218"/>
      <c r="IK96" s="218"/>
      <c r="IL96" s="218"/>
      <c r="IM96" s="218"/>
      <c r="IN96" s="218"/>
      <c r="IO96" s="218"/>
      <c r="IP96" s="218"/>
      <c r="IQ96" s="218"/>
      <c r="IR96" s="218"/>
      <c r="IS96" s="218"/>
      <c r="IT96" s="218"/>
      <c r="IU96" s="218"/>
      <c r="IV96" s="218"/>
      <c r="IW96" s="218"/>
    </row>
    <row r="97" customFormat="false" ht="14.25" hidden="false" customHeight="true" outlineLevel="0" collapsed="false">
      <c r="A97" s="218"/>
      <c r="B97" s="218"/>
      <c r="C97" s="270" t="s">
        <v>211</v>
      </c>
      <c r="D97" s="218"/>
      <c r="E97" s="269" t="e">
        <f aca="false">E96-J55</f>
        <v>#VALUE!</v>
      </c>
      <c r="F97" s="269"/>
      <c r="G97" s="218"/>
      <c r="H97" s="218"/>
      <c r="I97" s="218"/>
      <c r="J97" s="218"/>
      <c r="K97" s="218"/>
      <c r="L97" s="218"/>
      <c r="M97" s="218"/>
      <c r="N97" s="218"/>
      <c r="O97" s="218"/>
      <c r="P97" s="218"/>
      <c r="Q97" s="218"/>
      <c r="R97" s="218"/>
      <c r="S97" s="218"/>
      <c r="T97" s="218"/>
      <c r="U97" s="218"/>
      <c r="V97" s="218"/>
      <c r="W97" s="218"/>
      <c r="X97" s="218"/>
      <c r="Y97" s="218"/>
      <c r="Z97" s="218"/>
      <c r="AA97" s="218"/>
      <c r="AB97" s="218"/>
      <c r="AC97" s="218"/>
      <c r="AD97" s="218"/>
      <c r="AE97" s="218"/>
      <c r="AF97" s="218"/>
      <c r="AG97" s="218"/>
      <c r="AH97" s="218"/>
      <c r="AI97" s="218"/>
      <c r="AJ97" s="218"/>
      <c r="AK97" s="218"/>
      <c r="AL97" s="218"/>
      <c r="AM97" s="218"/>
      <c r="AN97" s="218"/>
      <c r="AO97" s="218"/>
      <c r="AP97" s="218"/>
      <c r="AQ97" s="218"/>
      <c r="AR97" s="218"/>
      <c r="AS97" s="218"/>
      <c r="AT97" s="218"/>
      <c r="AU97" s="218"/>
      <c r="AV97" s="218"/>
      <c r="AW97" s="218"/>
      <c r="AX97" s="218"/>
      <c r="AY97" s="218"/>
      <c r="AZ97" s="218"/>
      <c r="BA97" s="218"/>
      <c r="BB97" s="218"/>
      <c r="BC97" s="218"/>
      <c r="BD97" s="218"/>
      <c r="BE97" s="218"/>
      <c r="BF97" s="218"/>
      <c r="BG97" s="218"/>
      <c r="BH97" s="218"/>
      <c r="BI97" s="218"/>
      <c r="BJ97" s="218"/>
      <c r="BK97" s="218"/>
      <c r="BL97" s="218"/>
      <c r="BM97" s="218"/>
      <c r="BN97" s="218"/>
      <c r="BO97" s="218"/>
      <c r="BP97" s="218"/>
      <c r="BQ97" s="218"/>
      <c r="BR97" s="218"/>
      <c r="BS97" s="218"/>
      <c r="BT97" s="218"/>
      <c r="BU97" s="218"/>
      <c r="BV97" s="218"/>
      <c r="BW97" s="218"/>
      <c r="BX97" s="218"/>
      <c r="BY97" s="218"/>
      <c r="BZ97" s="218"/>
      <c r="CA97" s="218"/>
      <c r="CB97" s="218"/>
      <c r="CC97" s="218"/>
      <c r="CD97" s="218"/>
      <c r="CE97" s="218"/>
      <c r="CF97" s="218"/>
      <c r="CG97" s="218"/>
      <c r="CH97" s="218"/>
      <c r="CI97" s="218"/>
      <c r="CJ97" s="218"/>
      <c r="CK97" s="218"/>
      <c r="CL97" s="218"/>
      <c r="CM97" s="218"/>
      <c r="CN97" s="218"/>
      <c r="CO97" s="218"/>
      <c r="CP97" s="218"/>
      <c r="CQ97" s="218"/>
      <c r="CR97" s="218"/>
      <c r="CS97" s="218"/>
      <c r="CT97" s="218"/>
      <c r="CU97" s="218"/>
      <c r="CV97" s="218"/>
      <c r="CW97" s="218"/>
      <c r="CX97" s="218"/>
      <c r="CY97" s="218"/>
      <c r="CZ97" s="218"/>
      <c r="DA97" s="218"/>
      <c r="DB97" s="218"/>
      <c r="DC97" s="218"/>
      <c r="DD97" s="218"/>
      <c r="DE97" s="218"/>
      <c r="DF97" s="218"/>
      <c r="DG97" s="218"/>
      <c r="DH97" s="218"/>
      <c r="DI97" s="218"/>
      <c r="DJ97" s="218"/>
      <c r="DK97" s="218"/>
      <c r="DL97" s="218"/>
      <c r="DM97" s="218"/>
      <c r="DN97" s="218"/>
      <c r="DO97" s="218"/>
      <c r="DP97" s="218"/>
      <c r="DQ97" s="218"/>
      <c r="DR97" s="218"/>
      <c r="DS97" s="218"/>
      <c r="DT97" s="218"/>
      <c r="DU97" s="218"/>
      <c r="DV97" s="218"/>
      <c r="DW97" s="218"/>
      <c r="DX97" s="218"/>
      <c r="DY97" s="218"/>
      <c r="DZ97" s="218"/>
      <c r="EA97" s="218"/>
      <c r="EB97" s="218"/>
      <c r="EC97" s="218"/>
      <c r="ED97" s="218"/>
      <c r="EE97" s="218"/>
      <c r="EF97" s="218"/>
      <c r="EG97" s="218"/>
      <c r="EH97" s="218"/>
      <c r="EI97" s="218"/>
      <c r="EJ97" s="218"/>
      <c r="EK97" s="218"/>
      <c r="EL97" s="218"/>
      <c r="EM97" s="218"/>
      <c r="EN97" s="218"/>
      <c r="EO97" s="218"/>
      <c r="EP97" s="218"/>
      <c r="EQ97" s="218"/>
      <c r="ER97" s="218"/>
      <c r="ES97" s="218"/>
      <c r="ET97" s="218"/>
      <c r="EU97" s="218"/>
      <c r="EV97" s="218"/>
      <c r="EW97" s="218"/>
      <c r="EX97" s="218"/>
      <c r="EY97" s="218"/>
      <c r="EZ97" s="218"/>
      <c r="FA97" s="218"/>
      <c r="FB97" s="218"/>
      <c r="FC97" s="218"/>
      <c r="FD97" s="218"/>
      <c r="FE97" s="218"/>
      <c r="FF97" s="218"/>
      <c r="FG97" s="218"/>
      <c r="FH97" s="218"/>
      <c r="FI97" s="218"/>
      <c r="FJ97" s="218"/>
      <c r="FK97" s="218"/>
      <c r="FL97" s="218"/>
      <c r="FM97" s="218"/>
      <c r="FN97" s="218"/>
      <c r="FO97" s="218"/>
      <c r="FP97" s="218"/>
      <c r="FQ97" s="218"/>
      <c r="FR97" s="218"/>
      <c r="FS97" s="218"/>
      <c r="FT97" s="218"/>
      <c r="FU97" s="218"/>
      <c r="FV97" s="218"/>
      <c r="FW97" s="218"/>
      <c r="FX97" s="218"/>
      <c r="FY97" s="218"/>
      <c r="FZ97" s="218"/>
      <c r="GA97" s="218"/>
      <c r="GB97" s="218"/>
      <c r="GC97" s="218"/>
      <c r="GD97" s="218"/>
      <c r="GE97" s="218"/>
      <c r="GF97" s="218"/>
      <c r="GG97" s="218"/>
      <c r="GH97" s="218"/>
      <c r="GI97" s="218"/>
      <c r="GJ97" s="218"/>
      <c r="GK97" s="218"/>
      <c r="GL97" s="218"/>
      <c r="GM97" s="218"/>
      <c r="GN97" s="218"/>
      <c r="GO97" s="218"/>
      <c r="GP97" s="218"/>
      <c r="GQ97" s="218"/>
      <c r="GR97" s="218"/>
      <c r="GS97" s="218"/>
      <c r="GT97" s="218"/>
      <c r="GU97" s="218"/>
      <c r="GV97" s="218"/>
      <c r="GW97" s="218"/>
      <c r="GX97" s="218"/>
      <c r="GY97" s="218"/>
      <c r="GZ97" s="218"/>
      <c r="HA97" s="218"/>
      <c r="HB97" s="218"/>
      <c r="HC97" s="218"/>
      <c r="HD97" s="218"/>
      <c r="HE97" s="218"/>
      <c r="HF97" s="218"/>
      <c r="HG97" s="218"/>
      <c r="HH97" s="218"/>
      <c r="HI97" s="218"/>
      <c r="HJ97" s="218"/>
      <c r="HK97" s="218"/>
      <c r="HL97" s="218"/>
      <c r="HM97" s="218"/>
      <c r="HN97" s="218"/>
      <c r="HO97" s="218"/>
      <c r="HP97" s="218"/>
      <c r="HQ97" s="218"/>
      <c r="HR97" s="218"/>
      <c r="HS97" s="218"/>
      <c r="HT97" s="218"/>
      <c r="HU97" s="218"/>
      <c r="HV97" s="218"/>
      <c r="HW97" s="218"/>
      <c r="HX97" s="218"/>
      <c r="HY97" s="218"/>
      <c r="HZ97" s="218"/>
      <c r="IA97" s="218"/>
      <c r="IB97" s="218"/>
      <c r="IC97" s="218"/>
      <c r="ID97" s="218"/>
      <c r="IE97" s="218"/>
      <c r="IF97" s="218"/>
      <c r="IG97" s="218"/>
      <c r="IH97" s="218"/>
      <c r="II97" s="218"/>
      <c r="IJ97" s="218"/>
      <c r="IK97" s="218"/>
      <c r="IL97" s="218"/>
      <c r="IM97" s="218"/>
      <c r="IN97" s="218"/>
      <c r="IO97" s="218"/>
      <c r="IP97" s="218"/>
      <c r="IQ97" s="218"/>
      <c r="IR97" s="218"/>
      <c r="IS97" s="218"/>
      <c r="IT97" s="218"/>
      <c r="IU97" s="218"/>
      <c r="IV97" s="218"/>
      <c r="IW97" s="218"/>
    </row>
    <row r="98" customFormat="false" ht="14.25" hidden="false" customHeight="true" outlineLevel="0" collapsed="false">
      <c r="A98" s="218"/>
      <c r="B98" s="218"/>
      <c r="C98" s="270"/>
      <c r="D98" s="218"/>
      <c r="E98" s="269"/>
      <c r="F98" s="269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  <c r="AB98" s="218"/>
      <c r="AC98" s="218"/>
      <c r="AD98" s="218"/>
      <c r="AE98" s="218"/>
      <c r="AF98" s="218"/>
      <c r="AG98" s="218"/>
      <c r="AH98" s="218"/>
      <c r="AI98" s="218"/>
      <c r="AJ98" s="218"/>
      <c r="AK98" s="218"/>
      <c r="AL98" s="218"/>
      <c r="AM98" s="218"/>
      <c r="AN98" s="218"/>
      <c r="AO98" s="218"/>
      <c r="AP98" s="218"/>
      <c r="AQ98" s="218"/>
      <c r="AR98" s="218"/>
      <c r="AS98" s="218"/>
      <c r="AT98" s="218"/>
      <c r="AU98" s="218"/>
      <c r="AV98" s="218"/>
      <c r="AW98" s="218"/>
      <c r="AX98" s="218"/>
      <c r="AY98" s="218"/>
      <c r="AZ98" s="218"/>
      <c r="BA98" s="218"/>
      <c r="BB98" s="218"/>
      <c r="BC98" s="218"/>
      <c r="BD98" s="218"/>
      <c r="BE98" s="218"/>
      <c r="BF98" s="218"/>
      <c r="BG98" s="218"/>
      <c r="BH98" s="218"/>
      <c r="BI98" s="218"/>
      <c r="BJ98" s="218"/>
      <c r="BK98" s="218"/>
      <c r="BL98" s="218"/>
      <c r="BM98" s="218"/>
      <c r="BN98" s="218"/>
      <c r="BO98" s="218"/>
      <c r="BP98" s="218"/>
      <c r="BQ98" s="218"/>
      <c r="BR98" s="218"/>
      <c r="BS98" s="218"/>
      <c r="BT98" s="218"/>
      <c r="BU98" s="218"/>
      <c r="BV98" s="218"/>
      <c r="BW98" s="218"/>
      <c r="BX98" s="218"/>
      <c r="BY98" s="218"/>
      <c r="BZ98" s="218"/>
      <c r="CA98" s="218"/>
      <c r="CB98" s="218"/>
      <c r="CC98" s="218"/>
      <c r="CD98" s="218"/>
      <c r="CE98" s="218"/>
      <c r="CF98" s="218"/>
      <c r="CG98" s="218"/>
      <c r="CH98" s="218"/>
      <c r="CI98" s="218"/>
      <c r="CJ98" s="218"/>
      <c r="CK98" s="218"/>
      <c r="CL98" s="218"/>
      <c r="CM98" s="218"/>
      <c r="CN98" s="218"/>
      <c r="CO98" s="218"/>
      <c r="CP98" s="218"/>
      <c r="CQ98" s="218"/>
      <c r="CR98" s="218"/>
      <c r="CS98" s="218"/>
      <c r="CT98" s="218"/>
      <c r="CU98" s="218"/>
      <c r="CV98" s="218"/>
      <c r="CW98" s="218"/>
      <c r="CX98" s="218"/>
      <c r="CY98" s="218"/>
      <c r="CZ98" s="218"/>
      <c r="DA98" s="218"/>
      <c r="DB98" s="218"/>
      <c r="DC98" s="218"/>
      <c r="DD98" s="218"/>
      <c r="DE98" s="218"/>
      <c r="DF98" s="218"/>
      <c r="DG98" s="218"/>
      <c r="DH98" s="218"/>
      <c r="DI98" s="218"/>
      <c r="DJ98" s="218"/>
      <c r="DK98" s="218"/>
      <c r="DL98" s="218"/>
      <c r="DM98" s="218"/>
      <c r="DN98" s="218"/>
      <c r="DO98" s="218"/>
      <c r="DP98" s="218"/>
      <c r="DQ98" s="218"/>
      <c r="DR98" s="218"/>
      <c r="DS98" s="218"/>
      <c r="DT98" s="218"/>
      <c r="DU98" s="218"/>
      <c r="DV98" s="218"/>
      <c r="DW98" s="218"/>
      <c r="DX98" s="218"/>
      <c r="DY98" s="218"/>
      <c r="DZ98" s="218"/>
      <c r="EA98" s="218"/>
      <c r="EB98" s="218"/>
      <c r="EC98" s="218"/>
      <c r="ED98" s="218"/>
      <c r="EE98" s="218"/>
      <c r="EF98" s="218"/>
      <c r="EG98" s="218"/>
      <c r="EH98" s="218"/>
      <c r="EI98" s="218"/>
      <c r="EJ98" s="218"/>
      <c r="EK98" s="218"/>
      <c r="EL98" s="218"/>
      <c r="EM98" s="218"/>
      <c r="EN98" s="218"/>
      <c r="EO98" s="218"/>
      <c r="EP98" s="218"/>
      <c r="EQ98" s="218"/>
      <c r="ER98" s="218"/>
      <c r="ES98" s="218"/>
      <c r="ET98" s="218"/>
      <c r="EU98" s="218"/>
      <c r="EV98" s="218"/>
      <c r="EW98" s="218"/>
      <c r="EX98" s="218"/>
      <c r="EY98" s="218"/>
      <c r="EZ98" s="218"/>
      <c r="FA98" s="218"/>
      <c r="FB98" s="218"/>
      <c r="FC98" s="218"/>
      <c r="FD98" s="218"/>
      <c r="FE98" s="218"/>
      <c r="FF98" s="218"/>
      <c r="FG98" s="218"/>
      <c r="FH98" s="218"/>
      <c r="FI98" s="218"/>
      <c r="FJ98" s="218"/>
      <c r="FK98" s="218"/>
      <c r="FL98" s="218"/>
      <c r="FM98" s="218"/>
      <c r="FN98" s="218"/>
      <c r="FO98" s="218"/>
      <c r="FP98" s="218"/>
      <c r="FQ98" s="218"/>
      <c r="FR98" s="218"/>
      <c r="FS98" s="218"/>
      <c r="FT98" s="218"/>
      <c r="FU98" s="218"/>
      <c r="FV98" s="218"/>
      <c r="FW98" s="218"/>
      <c r="FX98" s="218"/>
      <c r="FY98" s="218"/>
      <c r="FZ98" s="218"/>
      <c r="GA98" s="218"/>
      <c r="GB98" s="218"/>
      <c r="GC98" s="218"/>
      <c r="GD98" s="218"/>
      <c r="GE98" s="218"/>
      <c r="GF98" s="218"/>
      <c r="GG98" s="218"/>
      <c r="GH98" s="218"/>
      <c r="GI98" s="218"/>
      <c r="GJ98" s="218"/>
      <c r="GK98" s="218"/>
      <c r="GL98" s="218"/>
      <c r="GM98" s="218"/>
      <c r="GN98" s="218"/>
      <c r="GO98" s="218"/>
      <c r="GP98" s="218"/>
      <c r="GQ98" s="218"/>
      <c r="GR98" s="218"/>
      <c r="GS98" s="218"/>
      <c r="GT98" s="218"/>
      <c r="GU98" s="218"/>
      <c r="GV98" s="218"/>
      <c r="GW98" s="218"/>
      <c r="GX98" s="218"/>
      <c r="GY98" s="218"/>
      <c r="GZ98" s="218"/>
      <c r="HA98" s="218"/>
      <c r="HB98" s="218"/>
      <c r="HC98" s="218"/>
      <c r="HD98" s="218"/>
      <c r="HE98" s="218"/>
      <c r="HF98" s="218"/>
      <c r="HG98" s="218"/>
      <c r="HH98" s="218"/>
      <c r="HI98" s="218"/>
      <c r="HJ98" s="218"/>
      <c r="HK98" s="218"/>
      <c r="HL98" s="218"/>
      <c r="HM98" s="218"/>
      <c r="HN98" s="218"/>
      <c r="HO98" s="218"/>
      <c r="HP98" s="218"/>
      <c r="HQ98" s="218"/>
      <c r="HR98" s="218"/>
      <c r="HS98" s="218"/>
      <c r="HT98" s="218"/>
      <c r="HU98" s="218"/>
      <c r="HV98" s="218"/>
      <c r="HW98" s="218"/>
      <c r="HX98" s="218"/>
      <c r="HY98" s="218"/>
      <c r="HZ98" s="218"/>
      <c r="IA98" s="218"/>
      <c r="IB98" s="218"/>
      <c r="IC98" s="218"/>
      <c r="ID98" s="218"/>
      <c r="IE98" s="218"/>
      <c r="IF98" s="218"/>
      <c r="IG98" s="218"/>
      <c r="IH98" s="218"/>
      <c r="II98" s="218"/>
      <c r="IJ98" s="218"/>
      <c r="IK98" s="218"/>
      <c r="IL98" s="218"/>
      <c r="IM98" s="218"/>
      <c r="IN98" s="218"/>
      <c r="IO98" s="218"/>
      <c r="IP98" s="218"/>
      <c r="IQ98" s="218"/>
      <c r="IR98" s="218"/>
      <c r="IS98" s="218"/>
      <c r="IT98" s="218"/>
      <c r="IU98" s="218"/>
      <c r="IV98" s="218"/>
      <c r="IW98" s="218"/>
    </row>
    <row r="99" customFormat="false" ht="14.25" hidden="false" customHeight="true" outlineLevel="0" collapsed="false">
      <c r="A99" s="218"/>
      <c r="B99" s="218"/>
      <c r="C99" s="270"/>
      <c r="D99" s="218"/>
      <c r="E99" s="269"/>
      <c r="F99" s="269"/>
      <c r="G99" s="218"/>
      <c r="H99" s="218"/>
      <c r="I99" s="218"/>
      <c r="J99" s="218"/>
      <c r="K99" s="218"/>
      <c r="L99" s="218"/>
      <c r="M99" s="218"/>
      <c r="N99" s="218"/>
      <c r="O99" s="218"/>
      <c r="P99" s="218"/>
      <c r="Q99" s="218"/>
      <c r="R99" s="218"/>
      <c r="S99" s="218"/>
      <c r="T99" s="218"/>
      <c r="U99" s="218"/>
      <c r="V99" s="218"/>
      <c r="W99" s="218"/>
      <c r="X99" s="218"/>
      <c r="Y99" s="218"/>
      <c r="Z99" s="218"/>
      <c r="AA99" s="218"/>
      <c r="AB99" s="218"/>
      <c r="AC99" s="218"/>
      <c r="AD99" s="218"/>
      <c r="AE99" s="218"/>
      <c r="AF99" s="218"/>
      <c r="AG99" s="218"/>
      <c r="AH99" s="218"/>
      <c r="AI99" s="218"/>
      <c r="AJ99" s="218"/>
      <c r="AK99" s="218"/>
      <c r="AL99" s="218"/>
      <c r="AM99" s="218"/>
      <c r="AN99" s="218"/>
      <c r="AO99" s="218"/>
      <c r="AP99" s="218"/>
      <c r="AQ99" s="218"/>
      <c r="AR99" s="218"/>
      <c r="AS99" s="218"/>
      <c r="AT99" s="218"/>
      <c r="AU99" s="218"/>
      <c r="AV99" s="218"/>
      <c r="AW99" s="218"/>
      <c r="AX99" s="218"/>
      <c r="AY99" s="218"/>
      <c r="AZ99" s="218"/>
      <c r="BA99" s="218"/>
      <c r="BB99" s="218"/>
      <c r="BC99" s="218"/>
      <c r="BD99" s="218"/>
      <c r="BE99" s="218"/>
      <c r="BF99" s="218"/>
      <c r="BG99" s="218"/>
      <c r="BH99" s="218"/>
      <c r="BI99" s="218"/>
      <c r="BJ99" s="218"/>
      <c r="BK99" s="218"/>
      <c r="BL99" s="218"/>
      <c r="BM99" s="218"/>
      <c r="BN99" s="218"/>
      <c r="BO99" s="218"/>
      <c r="BP99" s="218"/>
      <c r="BQ99" s="218"/>
      <c r="BR99" s="218"/>
      <c r="BS99" s="218"/>
      <c r="BT99" s="218"/>
      <c r="BU99" s="218"/>
      <c r="BV99" s="218"/>
      <c r="BW99" s="218"/>
      <c r="BX99" s="218"/>
      <c r="BY99" s="218"/>
      <c r="BZ99" s="218"/>
      <c r="CA99" s="218"/>
      <c r="CB99" s="218"/>
      <c r="CC99" s="218"/>
      <c r="CD99" s="218"/>
      <c r="CE99" s="218"/>
      <c r="CF99" s="218"/>
      <c r="CG99" s="218"/>
      <c r="CH99" s="218"/>
      <c r="CI99" s="218"/>
      <c r="CJ99" s="218"/>
      <c r="CK99" s="218"/>
      <c r="CL99" s="218"/>
      <c r="CM99" s="218"/>
      <c r="CN99" s="218"/>
      <c r="CO99" s="218"/>
      <c r="CP99" s="218"/>
      <c r="CQ99" s="218"/>
      <c r="CR99" s="218"/>
      <c r="CS99" s="218"/>
      <c r="CT99" s="218"/>
      <c r="CU99" s="218"/>
      <c r="CV99" s="218"/>
      <c r="CW99" s="218"/>
      <c r="CX99" s="218"/>
      <c r="CY99" s="218"/>
      <c r="CZ99" s="218"/>
      <c r="DA99" s="218"/>
      <c r="DB99" s="218"/>
      <c r="DC99" s="218"/>
      <c r="DD99" s="218"/>
      <c r="DE99" s="218"/>
      <c r="DF99" s="218"/>
      <c r="DG99" s="218"/>
      <c r="DH99" s="218"/>
      <c r="DI99" s="218"/>
      <c r="DJ99" s="218"/>
      <c r="DK99" s="218"/>
      <c r="DL99" s="218"/>
      <c r="DM99" s="218"/>
      <c r="DN99" s="218"/>
      <c r="DO99" s="218"/>
      <c r="DP99" s="218"/>
      <c r="DQ99" s="218"/>
      <c r="DR99" s="218"/>
      <c r="DS99" s="218"/>
      <c r="DT99" s="218"/>
      <c r="DU99" s="218"/>
      <c r="DV99" s="218"/>
      <c r="DW99" s="218"/>
      <c r="DX99" s="218"/>
      <c r="DY99" s="218"/>
      <c r="DZ99" s="218"/>
      <c r="EA99" s="218"/>
      <c r="EB99" s="218"/>
      <c r="EC99" s="218"/>
      <c r="ED99" s="218"/>
      <c r="EE99" s="218"/>
      <c r="EF99" s="218"/>
      <c r="EG99" s="218"/>
      <c r="EH99" s="218"/>
      <c r="EI99" s="218"/>
      <c r="EJ99" s="218"/>
      <c r="EK99" s="218"/>
      <c r="EL99" s="218"/>
      <c r="EM99" s="218"/>
      <c r="EN99" s="218"/>
      <c r="EO99" s="218"/>
      <c r="EP99" s="218"/>
      <c r="EQ99" s="218"/>
      <c r="ER99" s="218"/>
      <c r="ES99" s="218"/>
      <c r="ET99" s="218"/>
      <c r="EU99" s="218"/>
      <c r="EV99" s="218"/>
      <c r="EW99" s="218"/>
      <c r="EX99" s="218"/>
      <c r="EY99" s="218"/>
      <c r="EZ99" s="218"/>
      <c r="FA99" s="218"/>
      <c r="FB99" s="218"/>
      <c r="FC99" s="218"/>
      <c r="FD99" s="218"/>
      <c r="FE99" s="218"/>
      <c r="FF99" s="218"/>
      <c r="FG99" s="218"/>
      <c r="FH99" s="218"/>
      <c r="FI99" s="218"/>
      <c r="FJ99" s="218"/>
      <c r="FK99" s="218"/>
      <c r="FL99" s="218"/>
      <c r="FM99" s="218"/>
      <c r="FN99" s="218"/>
      <c r="FO99" s="218"/>
      <c r="FP99" s="218"/>
      <c r="FQ99" s="218"/>
      <c r="FR99" s="218"/>
      <c r="FS99" s="218"/>
      <c r="FT99" s="218"/>
      <c r="FU99" s="218"/>
      <c r="FV99" s="218"/>
      <c r="FW99" s="218"/>
      <c r="FX99" s="218"/>
      <c r="FY99" s="218"/>
      <c r="FZ99" s="218"/>
      <c r="GA99" s="218"/>
      <c r="GB99" s="218"/>
      <c r="GC99" s="218"/>
      <c r="GD99" s="218"/>
      <c r="GE99" s="218"/>
      <c r="GF99" s="218"/>
      <c r="GG99" s="218"/>
      <c r="GH99" s="218"/>
      <c r="GI99" s="218"/>
      <c r="GJ99" s="218"/>
      <c r="GK99" s="218"/>
      <c r="GL99" s="218"/>
      <c r="GM99" s="218"/>
      <c r="GN99" s="218"/>
      <c r="GO99" s="218"/>
      <c r="GP99" s="218"/>
      <c r="GQ99" s="218"/>
      <c r="GR99" s="218"/>
      <c r="GS99" s="218"/>
      <c r="GT99" s="218"/>
      <c r="GU99" s="218"/>
      <c r="GV99" s="218"/>
      <c r="GW99" s="218"/>
      <c r="GX99" s="218"/>
      <c r="GY99" s="218"/>
      <c r="GZ99" s="218"/>
      <c r="HA99" s="218"/>
      <c r="HB99" s="218"/>
      <c r="HC99" s="218"/>
      <c r="HD99" s="218"/>
      <c r="HE99" s="218"/>
      <c r="HF99" s="218"/>
      <c r="HG99" s="218"/>
      <c r="HH99" s="218"/>
      <c r="HI99" s="218"/>
      <c r="HJ99" s="218"/>
      <c r="HK99" s="218"/>
      <c r="HL99" s="218"/>
      <c r="HM99" s="218"/>
      <c r="HN99" s="218"/>
      <c r="HO99" s="218"/>
      <c r="HP99" s="218"/>
      <c r="HQ99" s="218"/>
      <c r="HR99" s="218"/>
      <c r="HS99" s="218"/>
      <c r="HT99" s="218"/>
      <c r="HU99" s="218"/>
      <c r="HV99" s="218"/>
      <c r="HW99" s="218"/>
      <c r="HX99" s="218"/>
      <c r="HY99" s="218"/>
      <c r="HZ99" s="218"/>
      <c r="IA99" s="218"/>
      <c r="IB99" s="218"/>
      <c r="IC99" s="218"/>
      <c r="ID99" s="218"/>
      <c r="IE99" s="218"/>
      <c r="IF99" s="218"/>
      <c r="IG99" s="218"/>
      <c r="IH99" s="218"/>
      <c r="II99" s="218"/>
      <c r="IJ99" s="218"/>
      <c r="IK99" s="218"/>
      <c r="IL99" s="218"/>
      <c r="IM99" s="218"/>
      <c r="IN99" s="218"/>
      <c r="IO99" s="218"/>
      <c r="IP99" s="218"/>
      <c r="IQ99" s="218"/>
      <c r="IR99" s="218"/>
      <c r="IS99" s="218"/>
      <c r="IT99" s="218"/>
      <c r="IU99" s="218"/>
      <c r="IV99" s="218"/>
      <c r="IW99" s="218"/>
    </row>
    <row r="100" customFormat="false" ht="14.25" hidden="false" customHeight="true" outlineLevel="0" collapsed="false">
      <c r="A100" s="218"/>
      <c r="B100" s="218"/>
      <c r="C100" s="270"/>
      <c r="D100" s="218"/>
      <c r="E100" s="269"/>
      <c r="F100" s="269"/>
      <c r="G100" s="218"/>
      <c r="H100" s="218"/>
      <c r="I100" s="218"/>
      <c r="J100" s="218"/>
      <c r="K100" s="218"/>
      <c r="L100" s="218"/>
      <c r="M100" s="218"/>
      <c r="N100" s="218"/>
      <c r="O100" s="218"/>
      <c r="P100" s="218"/>
      <c r="Q100" s="218"/>
      <c r="R100" s="218"/>
      <c r="S100" s="218"/>
      <c r="T100" s="218"/>
      <c r="U100" s="218"/>
      <c r="V100" s="218"/>
      <c r="W100" s="218"/>
      <c r="X100" s="218"/>
      <c r="Y100" s="218"/>
      <c r="Z100" s="218"/>
      <c r="AA100" s="218"/>
      <c r="AB100" s="218"/>
      <c r="AC100" s="218"/>
      <c r="AD100" s="218"/>
      <c r="AE100" s="218"/>
      <c r="AF100" s="218"/>
      <c r="AG100" s="218"/>
      <c r="AH100" s="218"/>
      <c r="AI100" s="218"/>
      <c r="AJ100" s="218"/>
      <c r="AK100" s="218"/>
      <c r="AL100" s="218"/>
      <c r="AM100" s="218"/>
      <c r="AN100" s="218"/>
      <c r="AO100" s="218"/>
      <c r="AP100" s="218"/>
      <c r="AQ100" s="218"/>
      <c r="AR100" s="218"/>
      <c r="AS100" s="218"/>
      <c r="AT100" s="218"/>
      <c r="AU100" s="218"/>
      <c r="AV100" s="218"/>
      <c r="AW100" s="218"/>
      <c r="AX100" s="218"/>
      <c r="AY100" s="218"/>
      <c r="AZ100" s="218"/>
      <c r="BA100" s="218"/>
      <c r="BB100" s="218"/>
      <c r="BC100" s="218"/>
      <c r="BD100" s="218"/>
      <c r="BE100" s="218"/>
      <c r="BF100" s="218"/>
      <c r="BG100" s="218"/>
      <c r="BH100" s="218"/>
      <c r="BI100" s="218"/>
      <c r="BJ100" s="218"/>
      <c r="BK100" s="218"/>
      <c r="BL100" s="218"/>
      <c r="BM100" s="218"/>
      <c r="BN100" s="218"/>
      <c r="BO100" s="218"/>
      <c r="BP100" s="218"/>
      <c r="BQ100" s="218"/>
      <c r="BR100" s="218"/>
      <c r="BS100" s="218"/>
      <c r="BT100" s="218"/>
      <c r="BU100" s="218"/>
      <c r="BV100" s="218"/>
      <c r="BW100" s="218"/>
      <c r="BX100" s="218"/>
      <c r="BY100" s="218"/>
      <c r="BZ100" s="218"/>
      <c r="CA100" s="218"/>
      <c r="CB100" s="218"/>
      <c r="CC100" s="218"/>
      <c r="CD100" s="218"/>
      <c r="CE100" s="218"/>
      <c r="CF100" s="218"/>
      <c r="CG100" s="218"/>
      <c r="CH100" s="218"/>
      <c r="CI100" s="218"/>
      <c r="CJ100" s="218"/>
      <c r="CK100" s="218"/>
      <c r="CL100" s="218"/>
      <c r="CM100" s="218"/>
      <c r="CN100" s="218"/>
      <c r="CO100" s="218"/>
      <c r="CP100" s="218"/>
      <c r="CQ100" s="218"/>
      <c r="CR100" s="218"/>
      <c r="CS100" s="218"/>
      <c r="CT100" s="218"/>
      <c r="CU100" s="218"/>
      <c r="CV100" s="218"/>
      <c r="CW100" s="218"/>
      <c r="CX100" s="218"/>
      <c r="CY100" s="218"/>
      <c r="CZ100" s="218"/>
      <c r="DA100" s="218"/>
      <c r="DB100" s="218"/>
      <c r="DC100" s="218"/>
      <c r="DD100" s="218"/>
      <c r="DE100" s="218"/>
      <c r="DF100" s="218"/>
      <c r="DG100" s="218"/>
      <c r="DH100" s="218"/>
      <c r="DI100" s="218"/>
      <c r="DJ100" s="218"/>
      <c r="DK100" s="218"/>
      <c r="DL100" s="218"/>
      <c r="DM100" s="218"/>
      <c r="DN100" s="218"/>
      <c r="DO100" s="218"/>
      <c r="DP100" s="218"/>
      <c r="DQ100" s="218"/>
      <c r="DR100" s="218"/>
      <c r="DS100" s="218"/>
      <c r="DT100" s="218"/>
      <c r="DU100" s="218"/>
      <c r="DV100" s="218"/>
      <c r="DW100" s="218"/>
      <c r="DX100" s="218"/>
      <c r="DY100" s="218"/>
      <c r="DZ100" s="218"/>
      <c r="EA100" s="218"/>
      <c r="EB100" s="218"/>
      <c r="EC100" s="218"/>
      <c r="ED100" s="218"/>
      <c r="EE100" s="218"/>
      <c r="EF100" s="218"/>
      <c r="EG100" s="218"/>
      <c r="EH100" s="218"/>
      <c r="EI100" s="218"/>
      <c r="EJ100" s="218"/>
      <c r="EK100" s="218"/>
      <c r="EL100" s="218"/>
      <c r="EM100" s="218"/>
      <c r="EN100" s="218"/>
      <c r="EO100" s="218"/>
      <c r="EP100" s="218"/>
      <c r="EQ100" s="218"/>
      <c r="ER100" s="218"/>
      <c r="ES100" s="218"/>
      <c r="ET100" s="218"/>
      <c r="EU100" s="218"/>
      <c r="EV100" s="218"/>
      <c r="EW100" s="218"/>
      <c r="EX100" s="218"/>
      <c r="EY100" s="218"/>
      <c r="EZ100" s="218"/>
      <c r="FA100" s="218"/>
      <c r="FB100" s="218"/>
      <c r="FC100" s="218"/>
      <c r="FD100" s="218"/>
      <c r="FE100" s="218"/>
      <c r="FF100" s="218"/>
      <c r="FG100" s="218"/>
      <c r="FH100" s="218"/>
      <c r="FI100" s="218"/>
      <c r="FJ100" s="218"/>
      <c r="FK100" s="218"/>
      <c r="FL100" s="218"/>
      <c r="FM100" s="218"/>
      <c r="FN100" s="218"/>
      <c r="FO100" s="218"/>
      <c r="FP100" s="218"/>
      <c r="FQ100" s="218"/>
      <c r="FR100" s="218"/>
      <c r="FS100" s="218"/>
      <c r="FT100" s="218"/>
      <c r="FU100" s="218"/>
      <c r="FV100" s="218"/>
      <c r="FW100" s="218"/>
      <c r="FX100" s="218"/>
      <c r="FY100" s="218"/>
      <c r="FZ100" s="218"/>
      <c r="GA100" s="218"/>
      <c r="GB100" s="218"/>
      <c r="GC100" s="218"/>
      <c r="GD100" s="218"/>
      <c r="GE100" s="218"/>
      <c r="GF100" s="218"/>
      <c r="GG100" s="218"/>
      <c r="GH100" s="218"/>
      <c r="GI100" s="218"/>
      <c r="GJ100" s="218"/>
      <c r="GK100" s="218"/>
      <c r="GL100" s="218"/>
      <c r="GM100" s="218"/>
      <c r="GN100" s="218"/>
      <c r="GO100" s="218"/>
      <c r="GP100" s="218"/>
      <c r="GQ100" s="218"/>
      <c r="GR100" s="218"/>
      <c r="GS100" s="218"/>
      <c r="GT100" s="218"/>
      <c r="GU100" s="218"/>
      <c r="GV100" s="218"/>
      <c r="GW100" s="218"/>
      <c r="GX100" s="218"/>
      <c r="GY100" s="218"/>
      <c r="GZ100" s="218"/>
      <c r="HA100" s="218"/>
      <c r="HB100" s="218"/>
      <c r="HC100" s="218"/>
      <c r="HD100" s="218"/>
      <c r="HE100" s="218"/>
      <c r="HF100" s="218"/>
      <c r="HG100" s="218"/>
      <c r="HH100" s="218"/>
      <c r="HI100" s="218"/>
      <c r="HJ100" s="218"/>
      <c r="HK100" s="218"/>
      <c r="HL100" s="218"/>
      <c r="HM100" s="218"/>
      <c r="HN100" s="218"/>
      <c r="HO100" s="218"/>
      <c r="HP100" s="218"/>
      <c r="HQ100" s="218"/>
      <c r="HR100" s="218"/>
      <c r="HS100" s="218"/>
      <c r="HT100" s="218"/>
      <c r="HU100" s="218"/>
      <c r="HV100" s="218"/>
      <c r="HW100" s="218"/>
      <c r="HX100" s="218"/>
      <c r="HY100" s="218"/>
      <c r="HZ100" s="218"/>
      <c r="IA100" s="218"/>
      <c r="IB100" s="218"/>
      <c r="IC100" s="218"/>
      <c r="ID100" s="218"/>
      <c r="IE100" s="218"/>
      <c r="IF100" s="218"/>
      <c r="IG100" s="218"/>
      <c r="IH100" s="218"/>
      <c r="II100" s="218"/>
      <c r="IJ100" s="218"/>
      <c r="IK100" s="218"/>
      <c r="IL100" s="218"/>
      <c r="IM100" s="218"/>
      <c r="IN100" s="218"/>
      <c r="IO100" s="218"/>
      <c r="IP100" s="218"/>
      <c r="IQ100" s="218"/>
      <c r="IR100" s="218"/>
      <c r="IS100" s="218"/>
      <c r="IT100" s="218"/>
      <c r="IU100" s="218"/>
      <c r="IV100" s="218"/>
      <c r="IW100" s="218"/>
    </row>
    <row r="101" customFormat="false" ht="15.75" hidden="false" customHeight="false" outlineLevel="0" collapsed="false">
      <c r="A101" s="276"/>
      <c r="B101" s="278" t="s">
        <v>77</v>
      </c>
      <c r="D101" s="232"/>
      <c r="E101" s="232"/>
      <c r="F101" s="232"/>
      <c r="G101" s="232"/>
      <c r="H101" s="232" t="s">
        <v>216</v>
      </c>
      <c r="I101" s="232"/>
      <c r="J101" s="232"/>
      <c r="K101" s="232"/>
      <c r="L101" s="232"/>
      <c r="M101" s="232"/>
      <c r="N101" s="232"/>
      <c r="O101" s="232"/>
      <c r="P101" s="232"/>
      <c r="Q101" s="232"/>
      <c r="R101" s="232"/>
      <c r="S101" s="232"/>
      <c r="T101" s="232"/>
      <c r="U101" s="232"/>
      <c r="V101" s="232"/>
      <c r="W101" s="232"/>
      <c r="X101" s="232"/>
      <c r="Y101" s="232"/>
      <c r="Z101" s="232"/>
      <c r="AA101" s="232"/>
      <c r="AB101" s="232"/>
      <c r="AC101" s="232"/>
      <c r="AD101" s="232"/>
      <c r="AE101" s="232"/>
      <c r="AF101" s="232"/>
      <c r="AG101" s="232"/>
      <c r="AH101" s="232"/>
      <c r="AI101" s="232"/>
      <c r="AJ101" s="232"/>
      <c r="AK101" s="232"/>
      <c r="AL101" s="232"/>
      <c r="AM101" s="232"/>
      <c r="AN101" s="232"/>
      <c r="AO101" s="232"/>
    </row>
    <row r="102" customFormat="false" ht="15" hidden="false" customHeight="false" outlineLevel="0" collapsed="false">
      <c r="A102" s="276"/>
      <c r="B102" s="229" t="s">
        <v>217</v>
      </c>
      <c r="C102" s="232" t="n">
        <v>0</v>
      </c>
      <c r="D102" s="232"/>
      <c r="E102" s="232"/>
      <c r="F102" s="232"/>
      <c r="G102" s="232"/>
      <c r="H102" s="232"/>
      <c r="I102" s="232"/>
      <c r="J102" s="232"/>
      <c r="K102" s="232"/>
      <c r="L102" s="232"/>
      <c r="M102" s="232"/>
      <c r="N102" s="232"/>
      <c r="O102" s="232"/>
      <c r="P102" s="232"/>
      <c r="Q102" s="232"/>
      <c r="R102" s="232"/>
      <c r="S102" s="232"/>
      <c r="T102" s="232"/>
      <c r="U102" s="232"/>
      <c r="V102" s="232"/>
      <c r="W102" s="232"/>
      <c r="X102" s="232"/>
      <c r="Y102" s="232"/>
      <c r="Z102" s="232"/>
      <c r="AA102" s="232"/>
      <c r="AB102" s="232"/>
      <c r="AC102" s="232"/>
      <c r="AD102" s="232"/>
      <c r="AE102" s="232"/>
      <c r="AF102" s="232"/>
      <c r="AG102" s="232"/>
      <c r="AH102" s="232"/>
      <c r="AI102" s="232"/>
      <c r="AJ102" s="232"/>
      <c r="AK102" s="232"/>
      <c r="AL102" s="232"/>
      <c r="AM102" s="232"/>
      <c r="AN102" s="232"/>
      <c r="AO102" s="232"/>
    </row>
    <row r="103" customFormat="false" ht="15" hidden="false" customHeight="false" outlineLevel="0" collapsed="false">
      <c r="A103" s="279"/>
      <c r="B103" s="279"/>
      <c r="C103" s="280" t="n">
        <f aca="false">C12</f>
        <v>36891</v>
      </c>
      <c r="D103" s="280" t="n">
        <f aca="false">D12</f>
        <v>37256</v>
      </c>
      <c r="E103" s="280" t="n">
        <f aca="false">E12</f>
        <v>37621</v>
      </c>
      <c r="F103" s="280" t="n">
        <f aca="false">F12</f>
        <v>37986</v>
      </c>
      <c r="G103" s="280" t="n">
        <f aca="false">G12</f>
        <v>38352</v>
      </c>
      <c r="H103" s="280" t="n">
        <f aca="false">H12</f>
        <v>38717</v>
      </c>
      <c r="I103" s="280" t="n">
        <f aca="false">I12</f>
        <v>39082</v>
      </c>
      <c r="J103" s="280" t="n">
        <f aca="false">J12</f>
        <v>39447</v>
      </c>
      <c r="K103" s="280" t="n">
        <f aca="false">K12</f>
        <v>39813</v>
      </c>
      <c r="L103" s="280" t="n">
        <f aca="false">L12</f>
        <v>40178</v>
      </c>
      <c r="M103" s="280" t="n">
        <f aca="false">M12</f>
        <v>40543</v>
      </c>
      <c r="N103" s="280" t="n">
        <f aca="false">N12</f>
        <v>40908</v>
      </c>
      <c r="O103" s="280" t="n">
        <f aca="false">O12</f>
        <v>41274</v>
      </c>
      <c r="P103" s="280" t="n">
        <f aca="false">P12</f>
        <v>41639</v>
      </c>
      <c r="Q103" s="280" t="n">
        <f aca="false">Q12</f>
        <v>42004</v>
      </c>
      <c r="R103" s="280" t="n">
        <f aca="false">R12</f>
        <v>42369</v>
      </c>
      <c r="S103" s="280" t="n">
        <f aca="false">S12</f>
        <v>42735</v>
      </c>
      <c r="T103" s="280" t="n">
        <f aca="false">T12</f>
        <v>43100</v>
      </c>
      <c r="U103" s="280" t="n">
        <f aca="false">U12</f>
        <v>43465</v>
      </c>
      <c r="V103" s="280" t="n">
        <f aca="false">V12</f>
        <v>43830</v>
      </c>
      <c r="W103" s="280" t="n">
        <f aca="false">W12</f>
        <v>44196</v>
      </c>
      <c r="X103" s="280" t="n">
        <f aca="false">X12</f>
        <v>44561</v>
      </c>
      <c r="Y103" s="280" t="n">
        <f aca="false">Y12</f>
        <v>44926</v>
      </c>
      <c r="Z103" s="280" t="n">
        <f aca="false">Z12</f>
        <v>45291</v>
      </c>
      <c r="AA103" s="280" t="n">
        <f aca="false">AA12</f>
        <v>45657</v>
      </c>
      <c r="AB103" s="280" t="n">
        <f aca="false">AB12</f>
        <v>46022</v>
      </c>
      <c r="AC103" s="281"/>
      <c r="AD103" s="281"/>
      <c r="AE103" s="282"/>
      <c r="AF103" s="282"/>
      <c r="AG103" s="282"/>
      <c r="AH103" s="282"/>
      <c r="AI103" s="282"/>
      <c r="AJ103" s="282"/>
      <c r="AK103" s="282"/>
      <c r="AL103" s="282"/>
      <c r="AM103" s="282"/>
      <c r="AN103" s="282"/>
      <c r="AO103" s="282"/>
      <c r="AP103" s="281"/>
      <c r="AQ103" s="281"/>
      <c r="AR103" s="281"/>
      <c r="AS103" s="281"/>
      <c r="AT103" s="281"/>
      <c r="AU103" s="281"/>
      <c r="AV103" s="281"/>
      <c r="AW103" s="281"/>
      <c r="AX103" s="281"/>
      <c r="AY103" s="281"/>
      <c r="AZ103" s="281"/>
      <c r="BA103" s="281"/>
      <c r="BB103" s="281"/>
      <c r="BC103" s="281"/>
      <c r="BD103" s="281"/>
      <c r="BE103" s="281"/>
      <c r="BF103" s="281"/>
      <c r="BG103" s="281"/>
      <c r="BH103" s="281"/>
      <c r="BI103" s="281"/>
      <c r="BJ103" s="281"/>
      <c r="BK103" s="281"/>
      <c r="BL103" s="281"/>
      <c r="BM103" s="281"/>
      <c r="BN103" s="281"/>
      <c r="BO103" s="281"/>
      <c r="BP103" s="281"/>
      <c r="BQ103" s="281"/>
      <c r="BR103" s="281"/>
      <c r="BS103" s="281"/>
      <c r="BT103" s="281"/>
      <c r="BU103" s="281"/>
      <c r="BV103" s="281"/>
      <c r="BW103" s="281"/>
      <c r="BX103" s="281"/>
      <c r="BY103" s="281"/>
      <c r="BZ103" s="281"/>
      <c r="CA103" s="281"/>
      <c r="CB103" s="281"/>
      <c r="CC103" s="281"/>
      <c r="CD103" s="281"/>
      <c r="CE103" s="281"/>
      <c r="CF103" s="281"/>
      <c r="CG103" s="281"/>
      <c r="CH103" s="281"/>
      <c r="CI103" s="281"/>
      <c r="CJ103" s="281"/>
      <c r="CK103" s="281"/>
      <c r="CL103" s="281"/>
      <c r="CM103" s="281"/>
      <c r="CN103" s="281"/>
      <c r="CO103" s="281"/>
      <c r="CP103" s="281"/>
      <c r="CQ103" s="281"/>
      <c r="CR103" s="281"/>
      <c r="CS103" s="281"/>
      <c r="CT103" s="281"/>
      <c r="CU103" s="281"/>
      <c r="CV103" s="281"/>
      <c r="CW103" s="281"/>
      <c r="CX103" s="281"/>
      <c r="CY103" s="281"/>
      <c r="CZ103" s="281"/>
      <c r="DA103" s="281"/>
      <c r="DB103" s="281"/>
      <c r="DC103" s="281"/>
      <c r="DD103" s="281"/>
      <c r="DE103" s="281"/>
      <c r="DF103" s="281"/>
      <c r="DG103" s="281"/>
      <c r="DH103" s="281"/>
      <c r="DI103" s="281"/>
      <c r="DJ103" s="281"/>
      <c r="DK103" s="281"/>
      <c r="DL103" s="281"/>
      <c r="DM103" s="281"/>
      <c r="DN103" s="281"/>
      <c r="DO103" s="281"/>
      <c r="DP103" s="281"/>
      <c r="DQ103" s="281"/>
      <c r="DR103" s="281"/>
      <c r="DS103" s="281"/>
      <c r="DT103" s="281"/>
      <c r="DU103" s="281"/>
      <c r="DV103" s="281"/>
      <c r="DW103" s="281"/>
      <c r="DX103" s="281"/>
      <c r="DY103" s="281"/>
      <c r="DZ103" s="281"/>
      <c r="EA103" s="281"/>
      <c r="EB103" s="281"/>
      <c r="EC103" s="281"/>
      <c r="ED103" s="281"/>
      <c r="EE103" s="281"/>
      <c r="EF103" s="281"/>
      <c r="EG103" s="281"/>
      <c r="EH103" s="281"/>
      <c r="EI103" s="281"/>
      <c r="EJ103" s="281"/>
      <c r="EK103" s="281"/>
      <c r="EL103" s="281"/>
      <c r="EM103" s="281"/>
      <c r="EN103" s="281"/>
      <c r="EO103" s="281"/>
      <c r="EP103" s="281"/>
      <c r="EQ103" s="281"/>
      <c r="ER103" s="281"/>
      <c r="ES103" s="281"/>
      <c r="ET103" s="281"/>
      <c r="EU103" s="281"/>
      <c r="EV103" s="281"/>
      <c r="EW103" s="281"/>
      <c r="EX103" s="281"/>
      <c r="EY103" s="281"/>
      <c r="EZ103" s="281"/>
      <c r="FA103" s="281"/>
      <c r="FB103" s="281"/>
      <c r="FC103" s="281"/>
      <c r="FD103" s="281"/>
      <c r="FE103" s="281"/>
      <c r="FF103" s="281"/>
      <c r="FG103" s="281"/>
      <c r="FH103" s="281"/>
      <c r="FI103" s="281"/>
      <c r="FJ103" s="281"/>
      <c r="FK103" s="281"/>
      <c r="FL103" s="281"/>
      <c r="FM103" s="281"/>
      <c r="FN103" s="281"/>
      <c r="FO103" s="281"/>
      <c r="FP103" s="281"/>
      <c r="FQ103" s="281"/>
      <c r="FR103" s="281"/>
      <c r="FS103" s="281"/>
      <c r="FT103" s="281"/>
      <c r="FU103" s="281"/>
      <c r="FV103" s="281"/>
      <c r="FW103" s="281"/>
      <c r="FX103" s="281"/>
      <c r="FY103" s="281"/>
      <c r="FZ103" s="281"/>
      <c r="GA103" s="281"/>
      <c r="GB103" s="281"/>
      <c r="GC103" s="281"/>
      <c r="GD103" s="281"/>
      <c r="GE103" s="281"/>
      <c r="GF103" s="281"/>
      <c r="GG103" s="281"/>
      <c r="GH103" s="281"/>
      <c r="GI103" s="281"/>
      <c r="GJ103" s="281"/>
      <c r="GK103" s="281"/>
      <c r="GL103" s="281"/>
      <c r="GM103" s="281"/>
      <c r="GN103" s="281"/>
      <c r="GO103" s="281"/>
      <c r="GP103" s="281"/>
      <c r="GQ103" s="281"/>
      <c r="GR103" s="281"/>
      <c r="GS103" s="281"/>
      <c r="GT103" s="281"/>
      <c r="GU103" s="281"/>
      <c r="GV103" s="281"/>
      <c r="GW103" s="281"/>
      <c r="GX103" s="281"/>
      <c r="GY103" s="281"/>
      <c r="GZ103" s="281"/>
      <c r="HA103" s="281"/>
      <c r="HB103" s="281"/>
      <c r="HC103" s="281"/>
      <c r="HD103" s="281"/>
      <c r="HE103" s="281"/>
      <c r="HF103" s="281"/>
      <c r="HG103" s="281"/>
      <c r="HH103" s="281"/>
      <c r="HI103" s="281"/>
      <c r="HJ103" s="281"/>
      <c r="HK103" s="281"/>
      <c r="HL103" s="281"/>
      <c r="HM103" s="281"/>
      <c r="HN103" s="281"/>
      <c r="HO103" s="281"/>
      <c r="HP103" s="281"/>
      <c r="HQ103" s="281"/>
      <c r="HR103" s="281"/>
      <c r="HS103" s="281"/>
      <c r="HT103" s="281"/>
      <c r="HU103" s="281"/>
      <c r="HV103" s="281"/>
      <c r="HW103" s="281"/>
      <c r="HX103" s="281"/>
      <c r="HY103" s="281"/>
      <c r="HZ103" s="281"/>
      <c r="IA103" s="281"/>
      <c r="IB103" s="281"/>
      <c r="IC103" s="281"/>
      <c r="ID103" s="281"/>
      <c r="IE103" s="281"/>
      <c r="IF103" s="281"/>
      <c r="IG103" s="281"/>
      <c r="IH103" s="281"/>
      <c r="II103" s="281"/>
      <c r="IJ103" s="281"/>
      <c r="IK103" s="281"/>
      <c r="IL103" s="281"/>
      <c r="IM103" s="281"/>
      <c r="IN103" s="281"/>
      <c r="IO103" s="281"/>
      <c r="IP103" s="281"/>
      <c r="IQ103" s="281"/>
      <c r="IR103" s="281"/>
      <c r="IS103" s="281"/>
      <c r="IT103" s="281"/>
      <c r="IU103" s="281"/>
      <c r="IV103" s="281"/>
      <c r="IW103" s="281"/>
    </row>
    <row r="104" customFormat="false" ht="15" hidden="false" customHeight="false" outlineLevel="0" collapsed="false">
      <c r="A104" s="276"/>
      <c r="B104" s="229" t="s">
        <v>218</v>
      </c>
      <c r="C104" s="232" t="e">
        <f aca="false">D24+D28+D75+D79</f>
        <v>#VALUE!</v>
      </c>
      <c r="D104" s="232" t="e">
        <f aca="false">E24+E28+E75+E79</f>
        <v>#VALUE!</v>
      </c>
      <c r="E104" s="232" t="e">
        <f aca="false">F24+F28+F75+F79</f>
        <v>#VALUE!</v>
      </c>
      <c r="F104" s="232" t="e">
        <f aca="false">G24+G28+G75+G79</f>
        <v>#VALUE!</v>
      </c>
      <c r="G104" s="232" t="e">
        <f aca="false">H24+H28+H75+H79</f>
        <v>#VALUE!</v>
      </c>
      <c r="H104" s="232" t="e">
        <f aca="false">I24+I28+I75+I79</f>
        <v>#VALUE!</v>
      </c>
      <c r="I104" s="232" t="e">
        <f aca="false">J24+J28+J75+J79</f>
        <v>#VALUE!</v>
      </c>
      <c r="J104" s="232" t="e">
        <f aca="false">K24+K28+K75+K79</f>
        <v>#VALUE!</v>
      </c>
      <c r="K104" s="232" t="e">
        <f aca="false">L24+L28+L75+L79</f>
        <v>#VALUE!</v>
      </c>
      <c r="L104" s="232" t="e">
        <f aca="false">M24+M28+M75+M79</f>
        <v>#VALUE!</v>
      </c>
      <c r="M104" s="232" t="e">
        <f aca="false">N24+N28+N75+N79</f>
        <v>#VALUE!</v>
      </c>
      <c r="N104" s="232" t="e">
        <f aca="false">O24+O28+O75+O79</f>
        <v>#VALUE!</v>
      </c>
      <c r="O104" s="232" t="e">
        <f aca="false">P24+P28+P75+P79</f>
        <v>#VALUE!</v>
      </c>
      <c r="P104" s="232" t="e">
        <f aca="false">Q24+Q28+Q75+Q79</f>
        <v>#VALUE!</v>
      </c>
      <c r="Q104" s="232" t="e">
        <f aca="false">R24+R28+R75+R79</f>
        <v>#VALUE!</v>
      </c>
      <c r="R104" s="232" t="e">
        <f aca="false">S24+S28+S75+S79</f>
        <v>#VALUE!</v>
      </c>
      <c r="S104" s="232" t="e">
        <f aca="false">T24+T28+T75+T79</f>
        <v>#VALUE!</v>
      </c>
      <c r="T104" s="232" t="e">
        <f aca="false">U24+U28+U75+U79</f>
        <v>#VALUE!</v>
      </c>
      <c r="U104" s="232" t="e">
        <f aca="false">V24+V28+V75+V79</f>
        <v>#VALUE!</v>
      </c>
      <c r="V104" s="232" t="e">
        <f aca="false">W24+W28+W75+W79</f>
        <v>#VALUE!</v>
      </c>
      <c r="W104" s="232" t="e">
        <f aca="false">X24+X28+X75+X79</f>
        <v>#VALUE!</v>
      </c>
      <c r="X104" s="232" t="e">
        <f aca="false">Y24+Y28+Y75+Y79</f>
        <v>#REF!</v>
      </c>
      <c r="Y104" s="232" t="e">
        <f aca="false">Z24+Z28+Z75+Z79</f>
        <v>#REF!</v>
      </c>
      <c r="Z104" s="232" t="e">
        <f aca="false">AA24+AA28+AA75+AA79</f>
        <v>#REF!</v>
      </c>
      <c r="AA104" s="232" t="e">
        <f aca="false">AB24+AB28+AB75+AB79</f>
        <v>#REF!</v>
      </c>
      <c r="AB104" s="232" t="n">
        <f aca="false">AC24+AC28+AC75+AC79</f>
        <v>0</v>
      </c>
      <c r="AE104" s="232"/>
      <c r="AF104" s="232"/>
      <c r="AG104" s="232"/>
      <c r="AH104" s="232"/>
      <c r="AI104" s="232"/>
      <c r="AJ104" s="232"/>
      <c r="AK104" s="232"/>
      <c r="AL104" s="232"/>
      <c r="AM104" s="232"/>
      <c r="AN104" s="232"/>
      <c r="AO104" s="232"/>
    </row>
    <row r="105" customFormat="false" ht="15" hidden="false" customHeight="false" outlineLevel="0" collapsed="false">
      <c r="A105" s="276"/>
      <c r="B105" s="229" t="s">
        <v>219</v>
      </c>
      <c r="C105" s="232" t="n">
        <f aca="false">C116</f>
        <v>0</v>
      </c>
      <c r="D105" s="232" t="n">
        <v>0</v>
      </c>
      <c r="E105" s="232" t="n">
        <v>0</v>
      </c>
      <c r="F105" s="232" t="n">
        <v>0</v>
      </c>
      <c r="G105" s="232" t="n">
        <v>0</v>
      </c>
      <c r="H105" s="232" t="n">
        <v>0</v>
      </c>
      <c r="I105" s="232" t="n">
        <v>0</v>
      </c>
      <c r="J105" s="232" t="n">
        <v>0</v>
      </c>
      <c r="K105" s="232" t="n">
        <v>0</v>
      </c>
      <c r="L105" s="232" t="n">
        <v>0</v>
      </c>
      <c r="M105" s="232" t="n">
        <v>0</v>
      </c>
      <c r="N105" s="232" t="n">
        <v>0</v>
      </c>
      <c r="O105" s="232" t="n">
        <v>0</v>
      </c>
      <c r="P105" s="232" t="n">
        <v>0</v>
      </c>
      <c r="Q105" s="232" t="n">
        <v>0</v>
      </c>
      <c r="R105" s="232" t="n">
        <v>0</v>
      </c>
      <c r="S105" s="232" t="n">
        <v>0</v>
      </c>
      <c r="T105" s="232" t="n">
        <v>0</v>
      </c>
      <c r="U105" s="232" t="n">
        <v>0</v>
      </c>
      <c r="V105" s="232" t="n">
        <v>0</v>
      </c>
      <c r="W105" s="232" t="n">
        <v>0</v>
      </c>
      <c r="X105" s="232" t="n">
        <v>0</v>
      </c>
      <c r="Y105" s="232" t="n">
        <v>0</v>
      </c>
      <c r="Z105" s="232" t="n">
        <v>0</v>
      </c>
      <c r="AA105" s="232" t="n">
        <v>0</v>
      </c>
      <c r="AB105" s="232" t="n">
        <v>0</v>
      </c>
      <c r="AE105" s="232"/>
      <c r="AF105" s="232"/>
      <c r="AG105" s="232"/>
      <c r="AH105" s="232"/>
      <c r="AI105" s="232"/>
      <c r="AJ105" s="232"/>
      <c r="AK105" s="232"/>
      <c r="AL105" s="232"/>
      <c r="AM105" s="232"/>
      <c r="AN105" s="232"/>
      <c r="AO105" s="232"/>
    </row>
    <row r="106" customFormat="false" ht="15" hidden="false" customHeight="false" outlineLevel="0" collapsed="false">
      <c r="A106" s="276"/>
      <c r="B106" s="229" t="s">
        <v>220</v>
      </c>
      <c r="C106" s="232" t="n">
        <v>0</v>
      </c>
      <c r="D106" s="232" t="n">
        <v>0</v>
      </c>
      <c r="E106" s="232" t="n">
        <v>0</v>
      </c>
      <c r="F106" s="232" t="n">
        <v>0</v>
      </c>
      <c r="G106" s="232" t="n">
        <v>0</v>
      </c>
      <c r="H106" s="232" t="n">
        <v>0</v>
      </c>
      <c r="I106" s="232" t="n">
        <v>0</v>
      </c>
      <c r="J106" s="232" t="n">
        <v>0</v>
      </c>
      <c r="K106" s="232" t="n">
        <v>0</v>
      </c>
      <c r="L106" s="232" t="n">
        <v>0</v>
      </c>
      <c r="M106" s="232" t="n">
        <v>0</v>
      </c>
      <c r="N106" s="232" t="n">
        <v>0</v>
      </c>
      <c r="O106" s="232" t="n">
        <v>0</v>
      </c>
      <c r="P106" s="232" t="n">
        <v>0</v>
      </c>
      <c r="Q106" s="232" t="n">
        <v>0</v>
      </c>
      <c r="R106" s="232" t="n">
        <v>0</v>
      </c>
      <c r="S106" s="232" t="n">
        <v>0</v>
      </c>
      <c r="T106" s="232" t="n">
        <v>0</v>
      </c>
      <c r="U106" s="232" t="n">
        <v>0</v>
      </c>
      <c r="V106" s="232" t="n">
        <v>0</v>
      </c>
      <c r="W106" s="232" t="n">
        <v>0</v>
      </c>
      <c r="X106" s="232" t="n">
        <v>0</v>
      </c>
      <c r="Y106" s="232" t="n">
        <v>0</v>
      </c>
      <c r="Z106" s="232" t="n">
        <v>0</v>
      </c>
      <c r="AA106" s="232" t="n">
        <v>0</v>
      </c>
      <c r="AB106" s="232" t="n">
        <v>0</v>
      </c>
      <c r="AE106" s="232"/>
      <c r="AF106" s="232"/>
      <c r="AG106" s="232"/>
      <c r="AH106" s="232"/>
      <c r="AI106" s="232"/>
      <c r="AJ106" s="232"/>
      <c r="AK106" s="232"/>
      <c r="AL106" s="232"/>
      <c r="AM106" s="232"/>
      <c r="AN106" s="232"/>
      <c r="AO106" s="232"/>
    </row>
    <row r="107" customFormat="false" ht="15" hidden="false" customHeight="false" outlineLevel="0" collapsed="false">
      <c r="A107" s="276"/>
      <c r="B107" s="229" t="s">
        <v>221</v>
      </c>
      <c r="C107" s="232" t="e">
        <f aca="false">C104*Assumptions!$E$20</f>
        <v>#VALUE!</v>
      </c>
      <c r="D107" s="232" t="e">
        <f aca="false">D104*Assumptions!$E$20</f>
        <v>#VALUE!</v>
      </c>
      <c r="E107" s="232" t="e">
        <f aca="false">E104*Assumptions!$E$20</f>
        <v>#VALUE!</v>
      </c>
      <c r="F107" s="232" t="e">
        <f aca="false">F104*Assumptions!$E$20</f>
        <v>#VALUE!</v>
      </c>
      <c r="G107" s="232" t="e">
        <f aca="false">G104*Assumptions!$E$20</f>
        <v>#VALUE!</v>
      </c>
      <c r="H107" s="232" t="e">
        <f aca="false">H104*Assumptions!$E$20</f>
        <v>#VALUE!</v>
      </c>
      <c r="I107" s="232" t="e">
        <f aca="false">I104*Assumptions!$E$20</f>
        <v>#VALUE!</v>
      </c>
      <c r="J107" s="232" t="e">
        <f aca="false">J104*Assumptions!$E$20</f>
        <v>#VALUE!</v>
      </c>
      <c r="K107" s="232" t="e">
        <f aca="false">K104*Assumptions!$E$20</f>
        <v>#VALUE!</v>
      </c>
      <c r="L107" s="232" t="e">
        <f aca="false">L104*Assumptions!$E$20</f>
        <v>#VALUE!</v>
      </c>
      <c r="M107" s="232" t="e">
        <f aca="false">M104*Assumptions!$E$20</f>
        <v>#VALUE!</v>
      </c>
      <c r="N107" s="232" t="e">
        <f aca="false">N104*Assumptions!$E$20</f>
        <v>#VALUE!</v>
      </c>
      <c r="O107" s="232" t="e">
        <f aca="false">O104*Assumptions!$E$20</f>
        <v>#VALUE!</v>
      </c>
      <c r="P107" s="232" t="e">
        <f aca="false">P104*Assumptions!$E$20</f>
        <v>#VALUE!</v>
      </c>
      <c r="Q107" s="232" t="e">
        <f aca="false">Q104*Assumptions!$E$20</f>
        <v>#VALUE!</v>
      </c>
      <c r="R107" s="232" t="e">
        <f aca="false">R104*Assumptions!$E$20</f>
        <v>#VALUE!</v>
      </c>
      <c r="S107" s="232" t="e">
        <f aca="false">S104*Assumptions!$E$20</f>
        <v>#VALUE!</v>
      </c>
      <c r="T107" s="232" t="e">
        <f aca="false">T104*Assumptions!$E$20</f>
        <v>#VALUE!</v>
      </c>
      <c r="U107" s="232" t="e">
        <f aca="false">U104*Assumptions!$E$20</f>
        <v>#VALUE!</v>
      </c>
      <c r="V107" s="232" t="e">
        <f aca="false">V104*Assumptions!$E$20</f>
        <v>#VALUE!</v>
      </c>
      <c r="W107" s="232" t="e">
        <f aca="false">W104*Assumptions!$E$20</f>
        <v>#VALUE!</v>
      </c>
      <c r="X107" s="232" t="e">
        <f aca="false">X104*Assumptions!$E$20</f>
        <v>#REF!</v>
      </c>
      <c r="Y107" s="232" t="e">
        <f aca="false">Y104*Assumptions!$E$20</f>
        <v>#REF!</v>
      </c>
      <c r="Z107" s="232" t="e">
        <f aca="false">Z104*Assumptions!$E$20</f>
        <v>#REF!</v>
      </c>
      <c r="AA107" s="232" t="e">
        <f aca="false">AA104*Assumptions!$E$20</f>
        <v>#REF!</v>
      </c>
      <c r="AB107" s="232" t="n">
        <f aca="false">AB104*Assumptions!$E$20</f>
        <v>0</v>
      </c>
      <c r="AE107" s="232"/>
      <c r="AF107" s="232"/>
      <c r="AG107" s="232"/>
      <c r="AH107" s="232"/>
      <c r="AI107" s="232"/>
      <c r="AJ107" s="232"/>
      <c r="AK107" s="232"/>
      <c r="AL107" s="232"/>
      <c r="AM107" s="232"/>
      <c r="AN107" s="232"/>
      <c r="AO107" s="232"/>
    </row>
    <row r="108" customFormat="false" ht="15" hidden="false" customHeight="false" outlineLevel="0" collapsed="false">
      <c r="A108" s="276"/>
      <c r="B108" s="229" t="s">
        <v>222</v>
      </c>
      <c r="C108" s="232" t="e">
        <f aca="false">C104</f>
        <v>#VALUE!</v>
      </c>
      <c r="D108" s="232" t="e">
        <f aca="false">D104</f>
        <v>#VALUE!</v>
      </c>
      <c r="E108" s="232" t="e">
        <f aca="false">E104</f>
        <v>#VALUE!</v>
      </c>
      <c r="F108" s="232" t="e">
        <f aca="false">F104</f>
        <v>#VALUE!</v>
      </c>
      <c r="G108" s="232" t="e">
        <f aca="false">G104</f>
        <v>#VALUE!</v>
      </c>
      <c r="H108" s="232" t="e">
        <f aca="false">H104</f>
        <v>#VALUE!</v>
      </c>
      <c r="I108" s="232" t="e">
        <f aca="false">I104</f>
        <v>#VALUE!</v>
      </c>
      <c r="J108" s="232" t="e">
        <f aca="false">J104</f>
        <v>#VALUE!</v>
      </c>
      <c r="K108" s="232" t="e">
        <f aca="false">K104</f>
        <v>#VALUE!</v>
      </c>
      <c r="L108" s="232" t="e">
        <f aca="false">L104</f>
        <v>#VALUE!</v>
      </c>
      <c r="M108" s="232" t="e">
        <f aca="false">M104</f>
        <v>#VALUE!</v>
      </c>
      <c r="N108" s="232" t="e">
        <f aca="false">N104</f>
        <v>#VALUE!</v>
      </c>
      <c r="O108" s="232" t="e">
        <f aca="false">O104</f>
        <v>#VALUE!</v>
      </c>
      <c r="P108" s="232" t="e">
        <f aca="false">P104</f>
        <v>#VALUE!</v>
      </c>
      <c r="Q108" s="232" t="e">
        <f aca="false">Q104</f>
        <v>#VALUE!</v>
      </c>
      <c r="R108" s="232" t="e">
        <f aca="false">R104</f>
        <v>#VALUE!</v>
      </c>
      <c r="S108" s="232" t="e">
        <f aca="false">S104</f>
        <v>#VALUE!</v>
      </c>
      <c r="T108" s="232" t="e">
        <f aca="false">T104</f>
        <v>#VALUE!</v>
      </c>
      <c r="U108" s="232" t="e">
        <f aca="false">U104</f>
        <v>#VALUE!</v>
      </c>
      <c r="V108" s="232" t="e">
        <f aca="false">V104</f>
        <v>#VALUE!</v>
      </c>
      <c r="W108" s="232" t="e">
        <f aca="false">W104</f>
        <v>#VALUE!</v>
      </c>
      <c r="X108" s="232" t="e">
        <f aca="false">X104</f>
        <v>#REF!</v>
      </c>
      <c r="Y108" s="232" t="e">
        <f aca="false">Y104</f>
        <v>#REF!</v>
      </c>
      <c r="Z108" s="232" t="e">
        <f aca="false">Z104</f>
        <v>#REF!</v>
      </c>
      <c r="AA108" s="232" t="e">
        <f aca="false">AA104</f>
        <v>#REF!</v>
      </c>
      <c r="AB108" s="232" t="n">
        <f aca="false">AB104</f>
        <v>0</v>
      </c>
      <c r="AE108" s="232"/>
      <c r="AF108" s="232"/>
      <c r="AG108" s="232"/>
      <c r="AH108" s="232"/>
      <c r="AI108" s="232"/>
      <c r="AJ108" s="232"/>
      <c r="AK108" s="232"/>
      <c r="AL108" s="232"/>
      <c r="AM108" s="232"/>
      <c r="AN108" s="232"/>
      <c r="AO108" s="232"/>
    </row>
    <row r="109" customFormat="false" ht="15" hidden="false" customHeight="false" outlineLevel="0" collapsed="false">
      <c r="A109" s="276"/>
      <c r="B109" s="229"/>
      <c r="C109" s="232"/>
      <c r="D109" s="232"/>
      <c r="E109" s="232"/>
      <c r="F109" s="232"/>
      <c r="G109" s="232"/>
      <c r="H109" s="232"/>
      <c r="I109" s="232"/>
      <c r="J109" s="232"/>
      <c r="K109" s="232"/>
      <c r="L109" s="232"/>
      <c r="M109" s="232"/>
      <c r="N109" s="232"/>
      <c r="O109" s="232"/>
      <c r="P109" s="232"/>
      <c r="Q109" s="232"/>
      <c r="R109" s="232"/>
      <c r="S109" s="232"/>
      <c r="T109" s="232"/>
      <c r="U109" s="232"/>
      <c r="V109" s="232"/>
      <c r="W109" s="232"/>
      <c r="X109" s="232"/>
      <c r="Y109" s="232"/>
      <c r="Z109" s="232"/>
      <c r="AA109" s="232"/>
      <c r="AB109" s="232"/>
      <c r="AC109" s="232"/>
      <c r="AE109" s="232"/>
      <c r="AF109" s="232"/>
      <c r="AG109" s="232"/>
      <c r="AH109" s="232"/>
      <c r="AI109" s="232"/>
      <c r="AJ109" s="232"/>
      <c r="AK109" s="232"/>
      <c r="AL109" s="232"/>
      <c r="AM109" s="232"/>
      <c r="AN109" s="232"/>
      <c r="AO109" s="232"/>
    </row>
    <row r="110" customFormat="false" ht="15" hidden="false" customHeight="false" outlineLevel="0" collapsed="false">
      <c r="A110" s="276"/>
      <c r="B110" s="276"/>
    </row>
    <row r="111" customFormat="false" ht="15" hidden="false" customHeight="false" outlineLevel="0" collapsed="false">
      <c r="A111" s="276"/>
      <c r="B111" s="276"/>
      <c r="D111" s="232"/>
      <c r="E111" s="232"/>
      <c r="F111" s="232"/>
      <c r="G111" s="232"/>
      <c r="H111" s="232"/>
      <c r="I111" s="232"/>
    </row>
    <row r="112" customFormat="false" ht="15" hidden="false" customHeight="false" outlineLevel="0" collapsed="false">
      <c r="A112" s="276"/>
      <c r="B112" s="229" t="s">
        <v>218</v>
      </c>
      <c r="C112" s="232" t="n">
        <f aca="false">C24</f>
        <v>0</v>
      </c>
      <c r="D112" s="232"/>
      <c r="E112" s="232"/>
      <c r="F112" s="232"/>
      <c r="G112" s="232"/>
      <c r="H112" s="232"/>
      <c r="I112" s="232"/>
      <c r="J112" s="232"/>
      <c r="K112" s="232"/>
      <c r="L112" s="232"/>
      <c r="M112" s="232"/>
      <c r="N112" s="232"/>
      <c r="O112" s="232"/>
      <c r="P112" s="232"/>
      <c r="Q112" s="232"/>
      <c r="R112" s="232"/>
      <c r="S112" s="232"/>
      <c r="T112" s="232"/>
      <c r="U112" s="232"/>
      <c r="V112" s="232"/>
      <c r="W112" s="232"/>
      <c r="X112" s="232"/>
      <c r="Y112" s="232"/>
      <c r="Z112" s="232"/>
      <c r="AA112" s="232"/>
      <c r="AB112" s="232"/>
      <c r="AC112" s="232"/>
    </row>
    <row r="113" customFormat="false" ht="15" hidden="false" customHeight="false" outlineLevel="0" collapsed="false">
      <c r="A113" s="276"/>
      <c r="B113" s="229" t="s">
        <v>223</v>
      </c>
      <c r="C113" s="232" t="n">
        <f aca="false">C102</f>
        <v>0</v>
      </c>
      <c r="D113" s="232"/>
      <c r="E113" s="232"/>
      <c r="F113" s="232"/>
      <c r="G113" s="232"/>
      <c r="H113" s="232"/>
      <c r="I113" s="232"/>
      <c r="J113" s="232"/>
      <c r="K113" s="232"/>
      <c r="L113" s="232"/>
      <c r="M113" s="232"/>
      <c r="N113" s="232"/>
      <c r="O113" s="232"/>
      <c r="P113" s="232"/>
      <c r="Q113" s="232"/>
      <c r="R113" s="232"/>
      <c r="S113" s="232"/>
      <c r="T113" s="232"/>
      <c r="U113" s="232"/>
      <c r="V113" s="232"/>
    </row>
    <row r="114" customFormat="false" ht="15" hidden="false" customHeight="false" outlineLevel="0" collapsed="false">
      <c r="A114" s="276"/>
      <c r="B114" s="229" t="s">
        <v>220</v>
      </c>
      <c r="C114" s="232" t="n">
        <f aca="false">C112-C113</f>
        <v>0</v>
      </c>
      <c r="D114" s="232"/>
      <c r="E114" s="232"/>
      <c r="F114" s="232"/>
      <c r="G114" s="232"/>
      <c r="H114" s="232"/>
      <c r="I114" s="232"/>
      <c r="J114" s="232"/>
      <c r="K114" s="232"/>
      <c r="L114" s="232"/>
      <c r="M114" s="232"/>
      <c r="N114" s="232"/>
      <c r="O114" s="232"/>
      <c r="P114" s="232"/>
      <c r="Q114" s="232"/>
      <c r="R114" s="232"/>
      <c r="S114" s="232"/>
      <c r="T114" s="232"/>
      <c r="U114" s="232"/>
      <c r="V114" s="232"/>
      <c r="W114" s="232"/>
      <c r="X114" s="232"/>
      <c r="Y114" s="232"/>
      <c r="Z114" s="232"/>
      <c r="AA114" s="232"/>
      <c r="AB114" s="232"/>
      <c r="AC114" s="232"/>
    </row>
    <row r="115" customFormat="false" ht="15" hidden="false" customHeight="false" outlineLevel="0" collapsed="false">
      <c r="A115" s="276"/>
      <c r="B115" s="229" t="s">
        <v>221</v>
      </c>
      <c r="C115" s="232"/>
      <c r="D115" s="232"/>
      <c r="E115" s="232"/>
      <c r="F115" s="232"/>
      <c r="G115" s="232"/>
      <c r="H115" s="232"/>
      <c r="I115" s="232"/>
    </row>
    <row r="116" customFormat="false" ht="15" hidden="false" customHeight="false" outlineLevel="0" collapsed="false">
      <c r="A116" s="276"/>
      <c r="B116" s="229" t="s">
        <v>224</v>
      </c>
      <c r="C116" s="232" t="n">
        <f aca="false">C112</f>
        <v>0</v>
      </c>
      <c r="D116" s="232"/>
      <c r="E116" s="232"/>
      <c r="F116" s="232"/>
      <c r="G116" s="232"/>
      <c r="H116" s="232"/>
      <c r="I116" s="232"/>
      <c r="J116" s="232"/>
      <c r="K116" s="232"/>
      <c r="L116" s="232"/>
      <c r="M116" s="232"/>
      <c r="N116" s="232"/>
      <c r="O116" s="232"/>
      <c r="P116" s="232"/>
      <c r="Q116" s="232"/>
      <c r="R116" s="232"/>
      <c r="S116" s="232"/>
      <c r="T116" s="232"/>
      <c r="U116" s="232"/>
      <c r="V116" s="232"/>
      <c r="W116" s="232"/>
      <c r="X116" s="232"/>
      <c r="Y116" s="232"/>
      <c r="Z116" s="232"/>
      <c r="AA116" s="232"/>
      <c r="AB116" s="232"/>
      <c r="AC116" s="232"/>
    </row>
    <row r="117" customFormat="false" ht="15" hidden="false" customHeight="false" outlineLevel="0" collapsed="false">
      <c r="A117" s="276"/>
      <c r="B117" s="276"/>
      <c r="C117" s="276"/>
      <c r="D117" s="232"/>
      <c r="E117" s="232"/>
      <c r="F117" s="232"/>
      <c r="G117" s="232"/>
      <c r="H117" s="232"/>
      <c r="I117" s="232"/>
    </row>
    <row r="118" customFormat="false" ht="15" hidden="false" customHeight="false" outlineLevel="0" collapsed="false">
      <c r="A118" s="276"/>
      <c r="B118" s="229" t="s">
        <v>225</v>
      </c>
      <c r="C118" s="232" t="e">
        <f aca="false">#REF!+C114</f>
        <v>#REF!</v>
      </c>
      <c r="D118" s="232"/>
      <c r="E118" s="232"/>
      <c r="F118" s="232"/>
      <c r="G118" s="232"/>
      <c r="H118" s="232"/>
      <c r="I118" s="232"/>
      <c r="J118" s="232"/>
      <c r="K118" s="232"/>
      <c r="L118" s="232"/>
      <c r="M118" s="232"/>
      <c r="N118" s="232"/>
      <c r="O118" s="232"/>
      <c r="P118" s="232"/>
      <c r="Q118" s="232"/>
      <c r="R118" s="232"/>
      <c r="S118" s="232"/>
      <c r="T118" s="232"/>
      <c r="U118" s="232"/>
      <c r="V118" s="232"/>
      <c r="W118" s="232"/>
      <c r="X118" s="232"/>
      <c r="Y118" s="232"/>
      <c r="Z118" s="232"/>
      <c r="AA118" s="232"/>
      <c r="AB118" s="232"/>
      <c r="AC118" s="232"/>
    </row>
    <row r="119" customFormat="false" ht="15" hidden="false" customHeight="false" outlineLevel="0" collapsed="false">
      <c r="A119" s="276"/>
      <c r="B119" s="276"/>
    </row>
    <row r="120" customFormat="false" ht="15" hidden="false" customHeight="false" outlineLevel="0" collapsed="false">
      <c r="A120" s="276"/>
      <c r="B120" s="276"/>
    </row>
    <row r="121" customFormat="false" ht="15.75" hidden="false" customHeight="false" outlineLevel="0" collapsed="false">
      <c r="A121" s="276"/>
      <c r="B121" s="283" t="s">
        <v>226</v>
      </c>
    </row>
    <row r="122" customFormat="false" ht="15" hidden="false" customHeight="false" outlineLevel="0" collapsed="false">
      <c r="A122" s="279"/>
      <c r="B122" s="279"/>
      <c r="C122" s="280" t="n">
        <f aca="false">C12</f>
        <v>36891</v>
      </c>
      <c r="D122" s="280" t="n">
        <f aca="false">D12</f>
        <v>37256</v>
      </c>
      <c r="E122" s="280" t="n">
        <f aca="false">E12</f>
        <v>37621</v>
      </c>
      <c r="F122" s="280" t="n">
        <f aca="false">F12</f>
        <v>37986</v>
      </c>
      <c r="G122" s="280" t="n">
        <f aca="false">G12</f>
        <v>38352</v>
      </c>
      <c r="H122" s="280" t="n">
        <f aca="false">H12</f>
        <v>38717</v>
      </c>
      <c r="I122" s="280" t="n">
        <f aca="false">I12</f>
        <v>39082</v>
      </c>
      <c r="J122" s="280" t="n">
        <f aca="false">J12</f>
        <v>39447</v>
      </c>
      <c r="K122" s="280" t="n">
        <f aca="false">K12</f>
        <v>39813</v>
      </c>
      <c r="L122" s="280" t="n">
        <f aca="false">L12</f>
        <v>40178</v>
      </c>
      <c r="M122" s="280" t="n">
        <f aca="false">M12</f>
        <v>40543</v>
      </c>
      <c r="N122" s="280" t="n">
        <f aca="false">N12</f>
        <v>40908</v>
      </c>
      <c r="O122" s="280" t="n">
        <f aca="false">O12</f>
        <v>41274</v>
      </c>
      <c r="P122" s="280" t="n">
        <f aca="false">P12</f>
        <v>41639</v>
      </c>
      <c r="Q122" s="280" t="n">
        <f aca="false">Q12</f>
        <v>42004</v>
      </c>
      <c r="R122" s="280" t="n">
        <f aca="false">R12</f>
        <v>42369</v>
      </c>
      <c r="S122" s="280" t="n">
        <f aca="false">S12</f>
        <v>42735</v>
      </c>
      <c r="T122" s="280" t="n">
        <f aca="false">T12</f>
        <v>43100</v>
      </c>
      <c r="U122" s="280" t="n">
        <f aca="false">U12</f>
        <v>43465</v>
      </c>
      <c r="V122" s="280" t="n">
        <f aca="false">V12</f>
        <v>43830</v>
      </c>
      <c r="W122" s="280" t="n">
        <f aca="false">W12</f>
        <v>44196</v>
      </c>
      <c r="X122" s="280" t="n">
        <f aca="false">X12</f>
        <v>44561</v>
      </c>
      <c r="Y122" s="280" t="n">
        <f aca="false">Y12</f>
        <v>44926</v>
      </c>
      <c r="Z122" s="280" t="n">
        <f aca="false">Z12</f>
        <v>45291</v>
      </c>
      <c r="AA122" s="280" t="n">
        <f aca="false">AA12</f>
        <v>45657</v>
      </c>
      <c r="AB122" s="280" t="n">
        <f aca="false">AB12</f>
        <v>46022</v>
      </c>
      <c r="AC122" s="281"/>
      <c r="AD122" s="281"/>
      <c r="AE122" s="282"/>
      <c r="AF122" s="282"/>
      <c r="AG122" s="282"/>
      <c r="AH122" s="282"/>
      <c r="AI122" s="282"/>
      <c r="AJ122" s="282"/>
      <c r="AK122" s="282"/>
      <c r="AL122" s="282"/>
      <c r="AM122" s="282"/>
      <c r="AN122" s="282"/>
      <c r="AO122" s="282"/>
      <c r="AP122" s="281"/>
      <c r="AQ122" s="281"/>
      <c r="AR122" s="281"/>
      <c r="AS122" s="281"/>
      <c r="AT122" s="281"/>
      <c r="AU122" s="281"/>
      <c r="AV122" s="281"/>
      <c r="AW122" s="281"/>
      <c r="AX122" s="281"/>
      <c r="AY122" s="281"/>
      <c r="AZ122" s="281"/>
      <c r="BA122" s="281"/>
      <c r="BB122" s="281"/>
      <c r="BC122" s="281"/>
      <c r="BD122" s="281"/>
      <c r="BE122" s="281"/>
      <c r="BF122" s="281"/>
      <c r="BG122" s="281"/>
      <c r="BH122" s="281"/>
      <c r="BI122" s="281"/>
      <c r="BJ122" s="281"/>
      <c r="BK122" s="281"/>
      <c r="BL122" s="281"/>
      <c r="BM122" s="281"/>
      <c r="BN122" s="281"/>
      <c r="BO122" s="281"/>
      <c r="BP122" s="281"/>
      <c r="BQ122" s="281"/>
      <c r="BR122" s="281"/>
      <c r="BS122" s="281"/>
      <c r="BT122" s="281"/>
      <c r="BU122" s="281"/>
      <c r="BV122" s="281"/>
      <c r="BW122" s="281"/>
      <c r="BX122" s="281"/>
      <c r="BY122" s="281"/>
      <c r="BZ122" s="281"/>
      <c r="CA122" s="281"/>
      <c r="CB122" s="281"/>
      <c r="CC122" s="281"/>
      <c r="CD122" s="281"/>
      <c r="CE122" s="281"/>
      <c r="CF122" s="281"/>
      <c r="CG122" s="281"/>
      <c r="CH122" s="281"/>
      <c r="CI122" s="281"/>
      <c r="CJ122" s="281"/>
      <c r="CK122" s="281"/>
      <c r="CL122" s="281"/>
      <c r="CM122" s="281"/>
      <c r="CN122" s="281"/>
      <c r="CO122" s="281"/>
      <c r="CP122" s="281"/>
      <c r="CQ122" s="281"/>
      <c r="CR122" s="281"/>
      <c r="CS122" s="281"/>
      <c r="CT122" s="281"/>
      <c r="CU122" s="281"/>
      <c r="CV122" s="281"/>
      <c r="CW122" s="281"/>
      <c r="CX122" s="281"/>
      <c r="CY122" s="281"/>
      <c r="CZ122" s="281"/>
      <c r="DA122" s="281"/>
      <c r="DB122" s="281"/>
      <c r="DC122" s="281"/>
      <c r="DD122" s="281"/>
      <c r="DE122" s="281"/>
      <c r="DF122" s="281"/>
      <c r="DG122" s="281"/>
      <c r="DH122" s="281"/>
      <c r="DI122" s="281"/>
      <c r="DJ122" s="281"/>
      <c r="DK122" s="281"/>
      <c r="DL122" s="281"/>
      <c r="DM122" s="281"/>
      <c r="DN122" s="281"/>
      <c r="DO122" s="281"/>
      <c r="DP122" s="281"/>
      <c r="DQ122" s="281"/>
      <c r="DR122" s="281"/>
      <c r="DS122" s="281"/>
      <c r="DT122" s="281"/>
      <c r="DU122" s="281"/>
      <c r="DV122" s="281"/>
      <c r="DW122" s="281"/>
      <c r="DX122" s="281"/>
      <c r="DY122" s="281"/>
      <c r="DZ122" s="281"/>
      <c r="EA122" s="281"/>
      <c r="EB122" s="281"/>
      <c r="EC122" s="281"/>
      <c r="ED122" s="281"/>
      <c r="EE122" s="281"/>
      <c r="EF122" s="281"/>
      <c r="EG122" s="281"/>
      <c r="EH122" s="281"/>
      <c r="EI122" s="281"/>
      <c r="EJ122" s="281"/>
      <c r="EK122" s="281"/>
      <c r="EL122" s="281"/>
      <c r="EM122" s="281"/>
      <c r="EN122" s="281"/>
      <c r="EO122" s="281"/>
      <c r="EP122" s="281"/>
      <c r="EQ122" s="281"/>
      <c r="ER122" s="281"/>
      <c r="ES122" s="281"/>
      <c r="ET122" s="281"/>
      <c r="EU122" s="281"/>
      <c r="EV122" s="281"/>
      <c r="EW122" s="281"/>
      <c r="EX122" s="281"/>
      <c r="EY122" s="281"/>
      <c r="EZ122" s="281"/>
      <c r="FA122" s="281"/>
      <c r="FB122" s="281"/>
      <c r="FC122" s="281"/>
      <c r="FD122" s="281"/>
      <c r="FE122" s="281"/>
      <c r="FF122" s="281"/>
      <c r="FG122" s="281"/>
      <c r="FH122" s="281"/>
      <c r="FI122" s="281"/>
      <c r="FJ122" s="281"/>
      <c r="FK122" s="281"/>
      <c r="FL122" s="281"/>
      <c r="FM122" s="281"/>
      <c r="FN122" s="281"/>
      <c r="FO122" s="281"/>
      <c r="FP122" s="281"/>
      <c r="FQ122" s="281"/>
      <c r="FR122" s="281"/>
      <c r="FS122" s="281"/>
      <c r="FT122" s="281"/>
      <c r="FU122" s="281"/>
      <c r="FV122" s="281"/>
      <c r="FW122" s="281"/>
      <c r="FX122" s="281"/>
      <c r="FY122" s="281"/>
      <c r="FZ122" s="281"/>
      <c r="GA122" s="281"/>
      <c r="GB122" s="281"/>
      <c r="GC122" s="281"/>
      <c r="GD122" s="281"/>
      <c r="GE122" s="281"/>
      <c r="GF122" s="281"/>
      <c r="GG122" s="281"/>
      <c r="GH122" s="281"/>
      <c r="GI122" s="281"/>
      <c r="GJ122" s="281"/>
      <c r="GK122" s="281"/>
      <c r="GL122" s="281"/>
      <c r="GM122" s="281"/>
      <c r="GN122" s="281"/>
      <c r="GO122" s="281"/>
      <c r="GP122" s="281"/>
      <c r="GQ122" s="281"/>
      <c r="GR122" s="281"/>
      <c r="GS122" s="281"/>
      <c r="GT122" s="281"/>
      <c r="GU122" s="281"/>
      <c r="GV122" s="281"/>
      <c r="GW122" s="281"/>
      <c r="GX122" s="281"/>
      <c r="GY122" s="281"/>
      <c r="GZ122" s="281"/>
      <c r="HA122" s="281"/>
      <c r="HB122" s="281"/>
      <c r="HC122" s="281"/>
      <c r="HD122" s="281"/>
      <c r="HE122" s="281"/>
      <c r="HF122" s="281"/>
      <c r="HG122" s="281"/>
      <c r="HH122" s="281"/>
      <c r="HI122" s="281"/>
      <c r="HJ122" s="281"/>
      <c r="HK122" s="281"/>
      <c r="HL122" s="281"/>
      <c r="HM122" s="281"/>
      <c r="HN122" s="281"/>
      <c r="HO122" s="281"/>
      <c r="HP122" s="281"/>
      <c r="HQ122" s="281"/>
      <c r="HR122" s="281"/>
      <c r="HS122" s="281"/>
      <c r="HT122" s="281"/>
      <c r="HU122" s="281"/>
      <c r="HV122" s="281"/>
      <c r="HW122" s="281"/>
      <c r="HX122" s="281"/>
      <c r="HY122" s="281"/>
      <c r="HZ122" s="281"/>
      <c r="IA122" s="281"/>
      <c r="IB122" s="281"/>
      <c r="IC122" s="281"/>
      <c r="ID122" s="281"/>
      <c r="IE122" s="281"/>
      <c r="IF122" s="281"/>
      <c r="IG122" s="281"/>
      <c r="IH122" s="281"/>
      <c r="II122" s="281"/>
      <c r="IJ122" s="281"/>
      <c r="IK122" s="281"/>
      <c r="IL122" s="281"/>
      <c r="IM122" s="281"/>
      <c r="IN122" s="281"/>
      <c r="IO122" s="281"/>
      <c r="IP122" s="281"/>
      <c r="IQ122" s="281"/>
      <c r="IR122" s="281"/>
      <c r="IS122" s="281"/>
      <c r="IT122" s="281"/>
      <c r="IU122" s="281"/>
      <c r="IV122" s="281"/>
      <c r="IW122" s="281"/>
    </row>
    <row r="123" customFormat="false" ht="15" hidden="false" customHeight="false" outlineLevel="0" collapsed="false">
      <c r="A123" s="276"/>
      <c r="B123" s="229" t="s">
        <v>227</v>
      </c>
      <c r="C123" s="284" t="n">
        <f aca="false">AVERAGE(C18:C19)</f>
        <v>0.0550461143795395</v>
      </c>
      <c r="D123" s="284" t="n">
        <f aca="false">AVERAGE(D18:D19)</f>
        <v>0.0604806789717991</v>
      </c>
      <c r="E123" s="284" t="n">
        <f aca="false">AVERAGE(E18:E19)</f>
        <v>0.0623794131236787</v>
      </c>
      <c r="F123" s="284" t="n">
        <f aca="false">AVERAGE(F18:F19)</f>
        <v>0.0633310590258126</v>
      </c>
      <c r="G123" s="284" t="n">
        <f aca="false">AVERAGE(G18:G19)</f>
        <v>0.0635985017663673</v>
      </c>
      <c r="H123" s="284" t="n">
        <f aca="false">AVERAGE(H18:H19)</f>
        <v>0.0637919311994039</v>
      </c>
      <c r="I123" s="284" t="n">
        <f aca="false">AVERAGE(I18:I19)</f>
        <v>0.0638812854352802</v>
      </c>
      <c r="J123" s="284" t="n">
        <f aca="false">AVERAGE(J18:J19)</f>
        <v>0.0639648748215632</v>
      </c>
      <c r="K123" s="284" t="n">
        <f aca="false">AVERAGE(K18:K19)</f>
        <v>0.0640486550535195</v>
      </c>
      <c r="L123" s="284" t="n">
        <f aca="false">AVERAGE(L18:L19)</f>
        <v>0.0641322826131136</v>
      </c>
      <c r="M123" s="284" t="n">
        <f aca="false">AVERAGE(M18:M19)</f>
        <v>0.0642290616505311</v>
      </c>
      <c r="N123" s="284" t="n">
        <f aca="false">AVERAGE(N18:N19)</f>
        <v>0.0643619979033308</v>
      </c>
      <c r="O123" s="284" t="n">
        <f aca="false">AVERAGE(O18:O19)</f>
        <v>0.0644972470727111</v>
      </c>
      <c r="P123" s="284" t="n">
        <f aca="false">AVERAGE(P18:P19)</f>
        <v>0.0646322497804027</v>
      </c>
      <c r="Q123" s="284" t="n">
        <f aca="false">AVERAGE(Q18:Q19)</f>
        <v>0.0647671908771967</v>
      </c>
      <c r="R123" s="284" t="n">
        <f aca="false">AVERAGE(R18:R19)</f>
        <v>0.0648443910165001</v>
      </c>
      <c r="S123" s="284" t="n">
        <f aca="false">AVERAGE(S18:S19)</f>
        <v>0.0647662057630917</v>
      </c>
      <c r="T123" s="284" t="n">
        <f aca="false">AVERAGE(T18:T19)</f>
        <v>0.0646798428709582</v>
      </c>
      <c r="U123" s="284" t="n">
        <f aca="false">AVERAGE(U18:U19)</f>
        <v>0.0645935193984079</v>
      </c>
      <c r="V123" s="284" t="n">
        <f aca="false">AVERAGE(V18:V19)</f>
        <v>0.064507195928328</v>
      </c>
      <c r="W123" s="284" t="n">
        <f aca="false">AVERAGE(W18:W19)</f>
        <v>0.0643801334878051</v>
      </c>
      <c r="X123" s="284" t="n">
        <f aca="false">AVERAGE(X18:X19)</f>
        <v>0.0641442657536568</v>
      </c>
      <c r="Y123" s="284" t="n">
        <f aca="false">AVERAGE(Y18:Y19)</f>
        <v>0.063902584952348</v>
      </c>
      <c r="Z123" s="284" t="n">
        <f aca="false">AVERAGE(Z18:Z19)</f>
        <v>0.0636609041704096</v>
      </c>
      <c r="AA123" s="284" t="n">
        <f aca="false">AVERAGE(AA18:AA19)</f>
        <v>0.0634186716253073</v>
      </c>
      <c r="AB123" s="284" t="n">
        <f aca="false">AVERAGE(AB18:AB19)</f>
        <v>0.0631768805256583</v>
      </c>
    </row>
    <row r="124" customFormat="false" ht="15" hidden="false" customHeight="false" outlineLevel="0" collapsed="false">
      <c r="A124" s="276"/>
      <c r="B124" s="229" t="s">
        <v>228</v>
      </c>
      <c r="C124" s="285" t="n">
        <v>-0.0025</v>
      </c>
      <c r="D124" s="285" t="n">
        <v>0.0025</v>
      </c>
      <c r="E124" s="285" t="n">
        <v>0.0025</v>
      </c>
      <c r="F124" s="285" t="n">
        <v>0.0025</v>
      </c>
      <c r="G124" s="285" t="n">
        <v>0.0025</v>
      </c>
      <c r="H124" s="285" t="n">
        <v>0.0025</v>
      </c>
      <c r="I124" s="285" t="n">
        <v>0.0025</v>
      </c>
      <c r="J124" s="285" t="n">
        <v>0.0025</v>
      </c>
      <c r="K124" s="285" t="n">
        <v>0.0025</v>
      </c>
      <c r="L124" s="285" t="n">
        <v>0.0025</v>
      </c>
      <c r="M124" s="285" t="n">
        <v>0.0025</v>
      </c>
      <c r="N124" s="285" t="n">
        <v>0.0025</v>
      </c>
      <c r="O124" s="285" t="n">
        <v>0.0025</v>
      </c>
      <c r="P124" s="285" t="n">
        <v>0.0025</v>
      </c>
      <c r="Q124" s="285" t="n">
        <v>0.0025</v>
      </c>
      <c r="R124" s="285" t="n">
        <v>0.0025</v>
      </c>
      <c r="S124" s="285" t="n">
        <v>0.0025</v>
      </c>
      <c r="T124" s="285" t="n">
        <v>0.0025</v>
      </c>
      <c r="U124" s="285" t="n">
        <v>0.0025</v>
      </c>
      <c r="V124" s="285" t="n">
        <v>0.0025</v>
      </c>
      <c r="W124" s="285" t="n">
        <v>0.0025</v>
      </c>
      <c r="X124" s="285" t="n">
        <v>0.0025</v>
      </c>
      <c r="Y124" s="285" t="n">
        <v>0.0025</v>
      </c>
      <c r="Z124" s="285" t="n">
        <v>0.0025</v>
      </c>
      <c r="AA124" s="285" t="n">
        <v>0.0025</v>
      </c>
      <c r="AB124" s="285" t="n">
        <v>0.0025</v>
      </c>
    </row>
    <row r="125" customFormat="false" ht="15" hidden="false" customHeight="false" outlineLevel="0" collapsed="false">
      <c r="A125" s="276"/>
      <c r="B125" s="276"/>
      <c r="C125" s="284" t="n">
        <f aca="false">SUM(C123:C124)</f>
        <v>0.0525461143795395</v>
      </c>
      <c r="D125" s="284" t="n">
        <f aca="false">SUM(D123:D124)</f>
        <v>0.0629806789717991</v>
      </c>
      <c r="E125" s="284" t="n">
        <f aca="false">SUM(E123:E124)</f>
        <v>0.0648794131236787</v>
      </c>
      <c r="F125" s="284" t="n">
        <f aca="false">SUM(F123:F124)</f>
        <v>0.0658310590258126</v>
      </c>
      <c r="G125" s="284" t="n">
        <f aca="false">SUM(G123:G124)</f>
        <v>0.0660985017663673</v>
      </c>
      <c r="H125" s="284" t="n">
        <f aca="false">SUM(H123:H124)</f>
        <v>0.0662919311994039</v>
      </c>
      <c r="I125" s="284" t="n">
        <f aca="false">SUM(I123:I124)</f>
        <v>0.0663812854352802</v>
      </c>
      <c r="J125" s="284" t="n">
        <f aca="false">SUM(J123:J124)</f>
        <v>0.0664648748215632</v>
      </c>
      <c r="K125" s="284" t="n">
        <f aca="false">SUM(K123:K124)</f>
        <v>0.0665486550535195</v>
      </c>
      <c r="L125" s="284" t="n">
        <f aca="false">SUM(L123:L124)</f>
        <v>0.0666322826131136</v>
      </c>
      <c r="M125" s="284" t="n">
        <f aca="false">SUM(M123:M124)</f>
        <v>0.0667290616505311</v>
      </c>
      <c r="N125" s="284" t="n">
        <f aca="false">SUM(N123:N124)</f>
        <v>0.0668619979033308</v>
      </c>
      <c r="O125" s="284" t="n">
        <f aca="false">SUM(O123:O124)</f>
        <v>0.0669972470727111</v>
      </c>
      <c r="P125" s="284" t="n">
        <f aca="false">SUM(P123:P124)</f>
        <v>0.0671322497804027</v>
      </c>
      <c r="Q125" s="284" t="n">
        <f aca="false">SUM(Q123:Q124)</f>
        <v>0.0672671908771967</v>
      </c>
      <c r="R125" s="284" t="n">
        <f aca="false">SUM(R123:R124)</f>
        <v>0.0673443910165001</v>
      </c>
      <c r="S125" s="284" t="n">
        <f aca="false">SUM(S123:S124)</f>
        <v>0.0672662057630917</v>
      </c>
      <c r="T125" s="284" t="n">
        <f aca="false">SUM(T123:T124)</f>
        <v>0.0671798428709582</v>
      </c>
      <c r="U125" s="284" t="n">
        <f aca="false">SUM(U123:U124)</f>
        <v>0.0670935193984079</v>
      </c>
      <c r="V125" s="284" t="n">
        <f aca="false">SUM(V123:V124)</f>
        <v>0.067007195928328</v>
      </c>
      <c r="W125" s="284" t="n">
        <f aca="false">SUM(W123:W124)</f>
        <v>0.0668801334878051</v>
      </c>
      <c r="X125" s="284" t="n">
        <f aca="false">SUM(X123:X124)</f>
        <v>0.0666442657536568</v>
      </c>
      <c r="Y125" s="284" t="n">
        <f aca="false">SUM(Y123:Y124)</f>
        <v>0.066402584952348</v>
      </c>
      <c r="Z125" s="284" t="n">
        <f aca="false">SUM(Z123:Z124)</f>
        <v>0.0661609041704096</v>
      </c>
      <c r="AA125" s="284" t="n">
        <f aca="false">SUM(AA123:AA124)</f>
        <v>0.0659186716253073</v>
      </c>
      <c r="AB125" s="284" t="n">
        <f aca="false">SUM(AB123:AB124)</f>
        <v>0.0656768805256583</v>
      </c>
    </row>
    <row r="126" customFormat="false" ht="15" hidden="false" customHeight="false" outlineLevel="0" collapsed="false">
      <c r="A126" s="276"/>
      <c r="B126" s="276"/>
    </row>
    <row r="127" customFormat="false" ht="15" hidden="false" customHeight="false" outlineLevel="0" collapsed="false">
      <c r="A127" s="276"/>
      <c r="B127" s="229" t="s">
        <v>229</v>
      </c>
      <c r="C127" s="215" t="n">
        <v>0</v>
      </c>
      <c r="D127" s="232" t="n">
        <f aca="false">C129</f>
        <v>0</v>
      </c>
      <c r="E127" s="232" t="n">
        <f aca="false">D129</f>
        <v>0</v>
      </c>
      <c r="F127" s="232" t="n">
        <f aca="false">E129</f>
        <v>0</v>
      </c>
      <c r="G127" s="232" t="n">
        <f aca="false">F129</f>
        <v>0</v>
      </c>
      <c r="H127" s="232" t="n">
        <f aca="false">G129</f>
        <v>0</v>
      </c>
      <c r="I127" s="232" t="n">
        <f aca="false">H129</f>
        <v>0</v>
      </c>
      <c r="J127" s="232" t="n">
        <f aca="false">I129</f>
        <v>0</v>
      </c>
      <c r="K127" s="232" t="n">
        <f aca="false">J129</f>
        <v>0</v>
      </c>
      <c r="L127" s="232" t="n">
        <f aca="false">K129</f>
        <v>0</v>
      </c>
      <c r="M127" s="232" t="n">
        <f aca="false">L129</f>
        <v>0</v>
      </c>
      <c r="N127" s="232" t="n">
        <f aca="false">M129</f>
        <v>0</v>
      </c>
      <c r="O127" s="232" t="n">
        <f aca="false">N129</f>
        <v>0</v>
      </c>
      <c r="P127" s="232" t="n">
        <f aca="false">O129</f>
        <v>0</v>
      </c>
      <c r="Q127" s="232" t="n">
        <f aca="false">P129</f>
        <v>0</v>
      </c>
      <c r="R127" s="232" t="n">
        <f aca="false">Q129</f>
        <v>0</v>
      </c>
      <c r="S127" s="232" t="n">
        <f aca="false">R129</f>
        <v>0</v>
      </c>
      <c r="T127" s="232" t="n">
        <f aca="false">S129</f>
        <v>73.492101139899</v>
      </c>
      <c r="U127" s="232" t="n">
        <f aca="false">T129</f>
        <v>74.1261943225865</v>
      </c>
      <c r="V127" s="232" t="n">
        <f aca="false">U129</f>
        <v>60.3384005761621</v>
      </c>
      <c r="W127" s="232" t="e">
        <f aca="false">V129</f>
        <v>#DIV/0!</v>
      </c>
      <c r="X127" s="232" t="e">
        <f aca="false">W129</f>
        <v>#DIV/0!</v>
      </c>
      <c r="Y127" s="232" t="e">
        <f aca="false">X129</f>
        <v>#DIV/0!</v>
      </c>
      <c r="Z127" s="232" t="e">
        <f aca="false">Y129</f>
        <v>#DIV/0!</v>
      </c>
      <c r="AA127" s="232" t="e">
        <f aca="false">Z129</f>
        <v>#DIV/0!</v>
      </c>
      <c r="AB127" s="232" t="e">
        <f aca="false">AA129</f>
        <v>#DIV/0!</v>
      </c>
    </row>
    <row r="128" customFormat="false" ht="15" hidden="false" customHeight="false" outlineLevel="0" collapsed="false">
      <c r="A128" s="276"/>
      <c r="B128" s="229" t="s">
        <v>230</v>
      </c>
      <c r="C128" s="232" t="n">
        <f aca="false">'WC '!C19</f>
        <v>0</v>
      </c>
      <c r="D128" s="232" t="n">
        <f aca="false">'WC '!D19-'WC '!C19</f>
        <v>0</v>
      </c>
      <c r="E128" s="232" t="n">
        <f aca="false">'WC '!E19-'WC '!D19</f>
        <v>0</v>
      </c>
      <c r="F128" s="232" t="n">
        <f aca="false">'WC '!F19-'WC '!E19</f>
        <v>0</v>
      </c>
      <c r="G128" s="232" t="n">
        <f aca="false">'WC '!G19-'WC '!F19</f>
        <v>0</v>
      </c>
      <c r="H128" s="232" t="n">
        <f aca="false">'WC '!H19-'WC '!G19</f>
        <v>0</v>
      </c>
      <c r="I128" s="232" t="n">
        <f aca="false">'WC '!I19-'WC '!H19</f>
        <v>0</v>
      </c>
      <c r="J128" s="232" t="n">
        <f aca="false">'WC '!J19-'WC '!I19</f>
        <v>0</v>
      </c>
      <c r="K128" s="232" t="n">
        <f aca="false">'WC '!K19-'WC '!J19</f>
        <v>0</v>
      </c>
      <c r="L128" s="232" t="n">
        <f aca="false">'WC '!L19-'WC '!K19</f>
        <v>0</v>
      </c>
      <c r="M128" s="232" t="n">
        <f aca="false">'WC '!M19-'WC '!L19</f>
        <v>0</v>
      </c>
      <c r="N128" s="232" t="n">
        <f aca="false">'WC '!N19-'WC '!M19</f>
        <v>0</v>
      </c>
      <c r="O128" s="232" t="n">
        <f aca="false">'WC '!O19-'WC '!N19</f>
        <v>0</v>
      </c>
      <c r="P128" s="232" t="n">
        <f aca="false">'WC '!P19-'WC '!O19</f>
        <v>0</v>
      </c>
      <c r="Q128" s="232" t="n">
        <f aca="false">'WC '!Q19-'WC '!P19</f>
        <v>0</v>
      </c>
      <c r="R128" s="232" t="n">
        <f aca="false">'WC '!R19-'WC '!Q19</f>
        <v>0</v>
      </c>
      <c r="S128" s="232" t="n">
        <f aca="false">'WC '!S19-'WC '!R19</f>
        <v>73.492101139899</v>
      </c>
      <c r="T128" s="232" t="n">
        <f aca="false">'WC '!T19-'WC '!S19</f>
        <v>0.634093182687522</v>
      </c>
      <c r="U128" s="232" t="n">
        <f aca="false">'WC '!U19-'WC '!T19</f>
        <v>-13.7877937464244</v>
      </c>
      <c r="V128" s="232" t="e">
        <f aca="false">'WC '!V19-'WC '!U19</f>
        <v>#DIV/0!</v>
      </c>
      <c r="W128" s="232" t="e">
        <f aca="false">'WC '!W19-'WC '!V19</f>
        <v>#DIV/0!</v>
      </c>
      <c r="X128" s="232" t="e">
        <f aca="false">'WC '!X19-'WC '!W19</f>
        <v>#DIV/0!</v>
      </c>
      <c r="Y128" s="232" t="n">
        <f aca="false">'WC '!Y19-'WC '!X19</f>
        <v>0</v>
      </c>
      <c r="Z128" s="232" t="n">
        <f aca="false">'WC '!Z19-'WC '!Y19</f>
        <v>0</v>
      </c>
      <c r="AA128" s="232" t="n">
        <f aca="false">'WC '!AA19-'WC '!Z19</f>
        <v>0</v>
      </c>
      <c r="AB128" s="232" t="n">
        <f aca="false">'WC '!AB19-'WC '!AA19</f>
        <v>0</v>
      </c>
    </row>
    <row r="129" customFormat="false" ht="15" hidden="false" customHeight="false" outlineLevel="0" collapsed="false">
      <c r="A129" s="276"/>
      <c r="B129" s="229" t="s">
        <v>231</v>
      </c>
      <c r="C129" s="232" t="n">
        <f aca="false">C127+C128</f>
        <v>0</v>
      </c>
      <c r="D129" s="232" t="n">
        <f aca="false">SUM(D127:D128)</f>
        <v>0</v>
      </c>
      <c r="E129" s="232" t="n">
        <f aca="false">SUM(E127:E128)</f>
        <v>0</v>
      </c>
      <c r="F129" s="232" t="n">
        <f aca="false">SUM(F127:F128)</f>
        <v>0</v>
      </c>
      <c r="G129" s="232" t="n">
        <f aca="false">SUM(G127:G128)</f>
        <v>0</v>
      </c>
      <c r="H129" s="232" t="n">
        <f aca="false">SUM(H127:H128)</f>
        <v>0</v>
      </c>
      <c r="I129" s="232" t="n">
        <f aca="false">SUM(I127:I128)</f>
        <v>0</v>
      </c>
      <c r="J129" s="232" t="n">
        <f aca="false">SUM(J127:J128)</f>
        <v>0</v>
      </c>
      <c r="K129" s="232" t="n">
        <f aca="false">SUM(K127:K128)</f>
        <v>0</v>
      </c>
      <c r="L129" s="232" t="n">
        <f aca="false">SUM(L127:L128)</f>
        <v>0</v>
      </c>
      <c r="M129" s="232" t="n">
        <f aca="false">SUM(M127:M128)</f>
        <v>0</v>
      </c>
      <c r="N129" s="232" t="n">
        <f aca="false">SUM(N127:N128)</f>
        <v>0</v>
      </c>
      <c r="O129" s="232" t="n">
        <f aca="false">SUM(O127:O128)</f>
        <v>0</v>
      </c>
      <c r="P129" s="232" t="n">
        <f aca="false">SUM(P127:P128)</f>
        <v>0</v>
      </c>
      <c r="Q129" s="232" t="n">
        <f aca="false">SUM(Q127:Q128)</f>
        <v>0</v>
      </c>
      <c r="R129" s="232" t="n">
        <f aca="false">SUM(R127:R128)</f>
        <v>0</v>
      </c>
      <c r="S129" s="232" t="n">
        <f aca="false">SUM(S127:S128)</f>
        <v>73.492101139899</v>
      </c>
      <c r="T129" s="232" t="n">
        <f aca="false">SUM(T127:T128)</f>
        <v>74.1261943225865</v>
      </c>
      <c r="U129" s="232" t="n">
        <f aca="false">SUM(U127:U128)</f>
        <v>60.3384005761621</v>
      </c>
      <c r="V129" s="232" t="e">
        <f aca="false">SUM(V127:V128)</f>
        <v>#DIV/0!</v>
      </c>
      <c r="W129" s="232" t="e">
        <f aca="false">SUM(W127:W128)</f>
        <v>#DIV/0!</v>
      </c>
      <c r="X129" s="232" t="e">
        <f aca="false">SUM(X127:X128)</f>
        <v>#DIV/0!</v>
      </c>
      <c r="Y129" s="232" t="e">
        <f aca="false">SUM(Y127:Y128)</f>
        <v>#DIV/0!</v>
      </c>
      <c r="Z129" s="232" t="e">
        <f aca="false">SUM(Z127:Z128)</f>
        <v>#DIV/0!</v>
      </c>
      <c r="AA129" s="232" t="e">
        <f aca="false">SUM(AA127:AA128)</f>
        <v>#DIV/0!</v>
      </c>
      <c r="AB129" s="232" t="e">
        <f aca="false">SUM(AB127:AB128)</f>
        <v>#DIV/0!</v>
      </c>
    </row>
    <row r="130" customFormat="false" ht="15" hidden="false" customHeight="false" outlineLevel="0" collapsed="false">
      <c r="A130" s="276"/>
      <c r="B130" s="229" t="s">
        <v>232</v>
      </c>
      <c r="C130" s="232" t="n">
        <f aca="false">C129*C125</f>
        <v>0</v>
      </c>
      <c r="D130" s="232" t="n">
        <f aca="false">D129*D125</f>
        <v>0</v>
      </c>
      <c r="E130" s="232" t="n">
        <f aca="false">E129*E125</f>
        <v>0</v>
      </c>
      <c r="F130" s="232" t="n">
        <f aca="false">F129*F125</f>
        <v>0</v>
      </c>
      <c r="G130" s="232" t="n">
        <f aca="false">G129*G125</f>
        <v>0</v>
      </c>
      <c r="H130" s="232" t="n">
        <f aca="false">H129*H125</f>
        <v>0</v>
      </c>
      <c r="I130" s="232" t="n">
        <f aca="false">I129*I125</f>
        <v>0</v>
      </c>
      <c r="J130" s="232" t="n">
        <f aca="false">J129*J125</f>
        <v>0</v>
      </c>
      <c r="K130" s="232" t="n">
        <f aca="false">K129*K125</f>
        <v>0</v>
      </c>
      <c r="L130" s="232" t="n">
        <f aca="false">L129*L125</f>
        <v>0</v>
      </c>
      <c r="M130" s="232" t="n">
        <f aca="false">M129*M125</f>
        <v>0</v>
      </c>
      <c r="N130" s="232" t="n">
        <f aca="false">N129*N125</f>
        <v>0</v>
      </c>
      <c r="O130" s="232" t="n">
        <f aca="false">O129*O125</f>
        <v>0</v>
      </c>
      <c r="P130" s="232" t="n">
        <f aca="false">P129*P125</f>
        <v>0</v>
      </c>
      <c r="Q130" s="232" t="n">
        <f aca="false">Q129*Q125</f>
        <v>0</v>
      </c>
      <c r="R130" s="232" t="n">
        <f aca="false">R129*R125</f>
        <v>0</v>
      </c>
      <c r="S130" s="232" t="n">
        <f aca="false">S129*S125</f>
        <v>4.94353479723839</v>
      </c>
      <c r="T130" s="232" t="n">
        <f aca="false">T129*T125</f>
        <v>4.97978608721347</v>
      </c>
      <c r="U130" s="232" t="n">
        <f aca="false">U129*U125</f>
        <v>4.04831564952563</v>
      </c>
      <c r="V130" s="232" t="e">
        <f aca="false">V129*V125</f>
        <v>#DIV/0!</v>
      </c>
      <c r="W130" s="232" t="e">
        <f aca="false">W129*W125</f>
        <v>#DIV/0!</v>
      </c>
      <c r="X130" s="232" t="e">
        <f aca="false">X129*X125</f>
        <v>#DIV/0!</v>
      </c>
      <c r="Y130" s="232" t="e">
        <f aca="false">Y129*Y125</f>
        <v>#DIV/0!</v>
      </c>
      <c r="Z130" s="232" t="e">
        <f aca="false">Z129*Z125</f>
        <v>#DIV/0!</v>
      </c>
      <c r="AA130" s="232" t="e">
        <f aca="false">AA129*AA125</f>
        <v>#DIV/0!</v>
      </c>
      <c r="AB130" s="232" t="e">
        <f aca="false">AB129*AB125</f>
        <v>#DIV/0!</v>
      </c>
    </row>
    <row r="131" customFormat="false" ht="15" hidden="false" customHeight="false" outlineLevel="0" collapsed="false">
      <c r="A131" s="276"/>
      <c r="B131" s="276"/>
    </row>
    <row r="132" customFormat="false" ht="15" hidden="false" customHeight="false" outlineLevel="0" collapsed="false">
      <c r="A132" s="276"/>
      <c r="B132" s="276"/>
    </row>
    <row r="133" customFormat="false" ht="15.75" hidden="false" customHeight="false" outlineLevel="0" collapsed="false">
      <c r="A133" s="276"/>
      <c r="B133" s="283" t="s">
        <v>233</v>
      </c>
    </row>
    <row r="134" customFormat="false" ht="15" hidden="false" customHeight="false" outlineLevel="0" collapsed="false">
      <c r="A134" s="279"/>
      <c r="B134" s="279"/>
      <c r="C134" s="280" t="n">
        <f aca="false">C122</f>
        <v>36891</v>
      </c>
      <c r="D134" s="280" t="n">
        <f aca="false">D122</f>
        <v>37256</v>
      </c>
      <c r="E134" s="280" t="n">
        <f aca="false">E122</f>
        <v>37621</v>
      </c>
      <c r="F134" s="280" t="n">
        <f aca="false">F122</f>
        <v>37986</v>
      </c>
      <c r="G134" s="280" t="n">
        <f aca="false">G122</f>
        <v>38352</v>
      </c>
      <c r="H134" s="280" t="n">
        <f aca="false">H122</f>
        <v>38717</v>
      </c>
      <c r="I134" s="280" t="n">
        <f aca="false">I122</f>
        <v>39082</v>
      </c>
      <c r="J134" s="280" t="n">
        <f aca="false">J122</f>
        <v>39447</v>
      </c>
      <c r="K134" s="280" t="n">
        <f aca="false">K122</f>
        <v>39813</v>
      </c>
      <c r="L134" s="280" t="n">
        <f aca="false">L122</f>
        <v>40178</v>
      </c>
      <c r="M134" s="280" t="n">
        <f aca="false">M122</f>
        <v>40543</v>
      </c>
      <c r="N134" s="280" t="n">
        <f aca="false">N122</f>
        <v>40908</v>
      </c>
      <c r="O134" s="280" t="n">
        <f aca="false">O122</f>
        <v>41274</v>
      </c>
      <c r="P134" s="280" t="n">
        <f aca="false">P122</f>
        <v>41639</v>
      </c>
      <c r="Q134" s="280" t="n">
        <f aca="false">Q122</f>
        <v>42004</v>
      </c>
      <c r="R134" s="280" t="n">
        <f aca="false">R122</f>
        <v>42369</v>
      </c>
      <c r="S134" s="280" t="n">
        <f aca="false">S122</f>
        <v>42735</v>
      </c>
      <c r="T134" s="280" t="n">
        <f aca="false">T122</f>
        <v>43100</v>
      </c>
      <c r="U134" s="280" t="n">
        <f aca="false">U122</f>
        <v>43465</v>
      </c>
      <c r="V134" s="280" t="n">
        <f aca="false">V122</f>
        <v>43830</v>
      </c>
      <c r="W134" s="280" t="n">
        <f aca="false">W122</f>
        <v>44196</v>
      </c>
      <c r="X134" s="280" t="n">
        <f aca="false">X122</f>
        <v>44561</v>
      </c>
      <c r="Y134" s="280" t="n">
        <f aca="false">Y122</f>
        <v>44926</v>
      </c>
      <c r="Z134" s="280" t="n">
        <f aca="false">Z122</f>
        <v>45291</v>
      </c>
      <c r="AA134" s="280" t="n">
        <f aca="false">AA122</f>
        <v>45657</v>
      </c>
      <c r="AB134" s="280" t="n">
        <f aca="false">AB122</f>
        <v>46022</v>
      </c>
      <c r="AC134" s="281"/>
      <c r="AD134" s="281"/>
      <c r="AE134" s="282"/>
      <c r="AF134" s="282"/>
      <c r="AG134" s="282"/>
      <c r="AH134" s="282"/>
      <c r="AI134" s="282"/>
      <c r="AJ134" s="282"/>
      <c r="AK134" s="282"/>
      <c r="AL134" s="282"/>
      <c r="AM134" s="282"/>
      <c r="AN134" s="282"/>
      <c r="AO134" s="282"/>
      <c r="AP134" s="281"/>
      <c r="AQ134" s="281"/>
      <c r="AR134" s="281"/>
      <c r="AS134" s="281"/>
      <c r="AT134" s="281"/>
      <c r="AU134" s="281"/>
      <c r="AV134" s="281"/>
      <c r="AW134" s="281"/>
      <c r="AX134" s="281"/>
      <c r="AY134" s="281"/>
      <c r="AZ134" s="281"/>
      <c r="BA134" s="281"/>
      <c r="BB134" s="281"/>
      <c r="BC134" s="281"/>
      <c r="BD134" s="281"/>
      <c r="BE134" s="281"/>
      <c r="BF134" s="281"/>
      <c r="BG134" s="281"/>
      <c r="BH134" s="281"/>
      <c r="BI134" s="281"/>
      <c r="BJ134" s="281"/>
      <c r="BK134" s="281"/>
      <c r="BL134" s="281"/>
      <c r="BM134" s="281"/>
      <c r="BN134" s="281"/>
      <c r="BO134" s="281"/>
      <c r="BP134" s="281"/>
      <c r="BQ134" s="281"/>
      <c r="BR134" s="281"/>
      <c r="BS134" s="281"/>
      <c r="BT134" s="281"/>
      <c r="BU134" s="281"/>
      <c r="BV134" s="281"/>
      <c r="BW134" s="281"/>
      <c r="BX134" s="281"/>
      <c r="BY134" s="281"/>
      <c r="BZ134" s="281"/>
      <c r="CA134" s="281"/>
      <c r="CB134" s="281"/>
      <c r="CC134" s="281"/>
      <c r="CD134" s="281"/>
      <c r="CE134" s="281"/>
      <c r="CF134" s="281"/>
      <c r="CG134" s="281"/>
      <c r="CH134" s="281"/>
      <c r="CI134" s="281"/>
      <c r="CJ134" s="281"/>
      <c r="CK134" s="281"/>
      <c r="CL134" s="281"/>
      <c r="CM134" s="281"/>
      <c r="CN134" s="281"/>
      <c r="CO134" s="281"/>
      <c r="CP134" s="281"/>
      <c r="CQ134" s="281"/>
      <c r="CR134" s="281"/>
      <c r="CS134" s="281"/>
      <c r="CT134" s="281"/>
      <c r="CU134" s="281"/>
      <c r="CV134" s="281"/>
      <c r="CW134" s="281"/>
      <c r="CX134" s="281"/>
      <c r="CY134" s="281"/>
      <c r="CZ134" s="281"/>
      <c r="DA134" s="281"/>
      <c r="DB134" s="281"/>
      <c r="DC134" s="281"/>
      <c r="DD134" s="281"/>
      <c r="DE134" s="281"/>
      <c r="DF134" s="281"/>
      <c r="DG134" s="281"/>
      <c r="DH134" s="281"/>
      <c r="DI134" s="281"/>
      <c r="DJ134" s="281"/>
      <c r="DK134" s="281"/>
      <c r="DL134" s="281"/>
      <c r="DM134" s="281"/>
      <c r="DN134" s="281"/>
      <c r="DO134" s="281"/>
      <c r="DP134" s="281"/>
      <c r="DQ134" s="281"/>
      <c r="DR134" s="281"/>
      <c r="DS134" s="281"/>
      <c r="DT134" s="281"/>
      <c r="DU134" s="281"/>
      <c r="DV134" s="281"/>
      <c r="DW134" s="281"/>
      <c r="DX134" s="281"/>
      <c r="DY134" s="281"/>
      <c r="DZ134" s="281"/>
      <c r="EA134" s="281"/>
      <c r="EB134" s="281"/>
      <c r="EC134" s="281"/>
      <c r="ED134" s="281"/>
      <c r="EE134" s="281"/>
      <c r="EF134" s="281"/>
      <c r="EG134" s="281"/>
      <c r="EH134" s="281"/>
      <c r="EI134" s="281"/>
      <c r="EJ134" s="281"/>
      <c r="EK134" s="281"/>
      <c r="EL134" s="281"/>
      <c r="EM134" s="281"/>
      <c r="EN134" s="281"/>
      <c r="EO134" s="281"/>
      <c r="EP134" s="281"/>
      <c r="EQ134" s="281"/>
      <c r="ER134" s="281"/>
      <c r="ES134" s="281"/>
      <c r="ET134" s="281"/>
      <c r="EU134" s="281"/>
      <c r="EV134" s="281"/>
      <c r="EW134" s="281"/>
      <c r="EX134" s="281"/>
      <c r="EY134" s="281"/>
      <c r="EZ134" s="281"/>
      <c r="FA134" s="281"/>
      <c r="FB134" s="281"/>
      <c r="FC134" s="281"/>
      <c r="FD134" s="281"/>
      <c r="FE134" s="281"/>
      <c r="FF134" s="281"/>
      <c r="FG134" s="281"/>
      <c r="FH134" s="281"/>
      <c r="FI134" s="281"/>
      <c r="FJ134" s="281"/>
      <c r="FK134" s="281"/>
      <c r="FL134" s="281"/>
      <c r="FM134" s="281"/>
      <c r="FN134" s="281"/>
      <c r="FO134" s="281"/>
      <c r="FP134" s="281"/>
      <c r="FQ134" s="281"/>
      <c r="FR134" s="281"/>
      <c r="FS134" s="281"/>
      <c r="FT134" s="281"/>
      <c r="FU134" s="281"/>
      <c r="FV134" s="281"/>
      <c r="FW134" s="281"/>
      <c r="FX134" s="281"/>
      <c r="FY134" s="281"/>
      <c r="FZ134" s="281"/>
      <c r="GA134" s="281"/>
      <c r="GB134" s="281"/>
      <c r="GC134" s="281"/>
      <c r="GD134" s="281"/>
      <c r="GE134" s="281"/>
      <c r="GF134" s="281"/>
      <c r="GG134" s="281"/>
      <c r="GH134" s="281"/>
      <c r="GI134" s="281"/>
      <c r="GJ134" s="281"/>
      <c r="GK134" s="281"/>
      <c r="GL134" s="281"/>
      <c r="GM134" s="281"/>
      <c r="GN134" s="281"/>
      <c r="GO134" s="281"/>
      <c r="GP134" s="281"/>
      <c r="GQ134" s="281"/>
      <c r="GR134" s="281"/>
      <c r="GS134" s="281"/>
      <c r="GT134" s="281"/>
      <c r="GU134" s="281"/>
      <c r="GV134" s="281"/>
      <c r="GW134" s="281"/>
      <c r="GX134" s="281"/>
      <c r="GY134" s="281"/>
      <c r="GZ134" s="281"/>
      <c r="HA134" s="281"/>
      <c r="HB134" s="281"/>
      <c r="HC134" s="281"/>
      <c r="HD134" s="281"/>
      <c r="HE134" s="281"/>
      <c r="HF134" s="281"/>
      <c r="HG134" s="281"/>
      <c r="HH134" s="281"/>
      <c r="HI134" s="281"/>
      <c r="HJ134" s="281"/>
      <c r="HK134" s="281"/>
      <c r="HL134" s="281"/>
      <c r="HM134" s="281"/>
      <c r="HN134" s="281"/>
      <c r="HO134" s="281"/>
      <c r="HP134" s="281"/>
      <c r="HQ134" s="281"/>
      <c r="HR134" s="281"/>
      <c r="HS134" s="281"/>
      <c r="HT134" s="281"/>
      <c r="HU134" s="281"/>
      <c r="HV134" s="281"/>
      <c r="HW134" s="281"/>
      <c r="HX134" s="281"/>
      <c r="HY134" s="281"/>
      <c r="HZ134" s="281"/>
      <c r="IA134" s="281"/>
      <c r="IB134" s="281"/>
      <c r="IC134" s="281"/>
      <c r="ID134" s="281"/>
      <c r="IE134" s="281"/>
      <c r="IF134" s="281"/>
      <c r="IG134" s="281"/>
      <c r="IH134" s="281"/>
      <c r="II134" s="281"/>
      <c r="IJ134" s="281"/>
      <c r="IK134" s="281"/>
      <c r="IL134" s="281"/>
      <c r="IM134" s="281"/>
      <c r="IN134" s="281"/>
      <c r="IO134" s="281"/>
      <c r="IP134" s="281"/>
      <c r="IQ134" s="281"/>
      <c r="IR134" s="281"/>
      <c r="IS134" s="281"/>
      <c r="IT134" s="281"/>
      <c r="IU134" s="281"/>
      <c r="IV134" s="281"/>
      <c r="IW134" s="281"/>
    </row>
    <row r="135" customFormat="false" ht="15" hidden="false" customHeight="false" outlineLevel="0" collapsed="false">
      <c r="A135" s="276"/>
      <c r="B135" s="229" t="s">
        <v>227</v>
      </c>
      <c r="C135" s="284" t="n">
        <f aca="false">C123</f>
        <v>0.0550461143795395</v>
      </c>
      <c r="D135" s="284" t="n">
        <f aca="false">D123</f>
        <v>0.0604806789717991</v>
      </c>
      <c r="E135" s="284" t="n">
        <f aca="false">E123</f>
        <v>0.0623794131236787</v>
      </c>
      <c r="F135" s="284" t="n">
        <f aca="false">F123</f>
        <v>0.0633310590258126</v>
      </c>
      <c r="G135" s="284" t="n">
        <f aca="false">G123</f>
        <v>0.0635985017663673</v>
      </c>
      <c r="H135" s="284" t="n">
        <f aca="false">H123</f>
        <v>0.0637919311994039</v>
      </c>
      <c r="I135" s="284" t="n">
        <f aca="false">I123</f>
        <v>0.0638812854352802</v>
      </c>
      <c r="J135" s="284" t="n">
        <f aca="false">J123</f>
        <v>0.0639648748215632</v>
      </c>
      <c r="K135" s="284" t="n">
        <f aca="false">K123</f>
        <v>0.0640486550535195</v>
      </c>
      <c r="L135" s="284" t="n">
        <f aca="false">L123</f>
        <v>0.0641322826131136</v>
      </c>
      <c r="M135" s="284" t="n">
        <f aca="false">M123</f>
        <v>0.0642290616505311</v>
      </c>
      <c r="N135" s="284" t="n">
        <f aca="false">N123</f>
        <v>0.0643619979033308</v>
      </c>
      <c r="O135" s="284" t="n">
        <f aca="false">O123</f>
        <v>0.0644972470727111</v>
      </c>
      <c r="P135" s="284" t="n">
        <f aca="false">P123</f>
        <v>0.0646322497804027</v>
      </c>
      <c r="Q135" s="284" t="n">
        <f aca="false">Q123</f>
        <v>0.0647671908771967</v>
      </c>
      <c r="R135" s="284" t="n">
        <f aca="false">R123</f>
        <v>0.0648443910165001</v>
      </c>
      <c r="S135" s="284" t="n">
        <f aca="false">S123</f>
        <v>0.0647662057630917</v>
      </c>
      <c r="T135" s="284" t="n">
        <f aca="false">T123</f>
        <v>0.0646798428709582</v>
      </c>
      <c r="U135" s="284" t="n">
        <f aca="false">U123</f>
        <v>0.0645935193984079</v>
      </c>
      <c r="V135" s="284" t="n">
        <f aca="false">V123</f>
        <v>0.064507195928328</v>
      </c>
      <c r="W135" s="284" t="n">
        <f aca="false">W123</f>
        <v>0.0643801334878051</v>
      </c>
      <c r="X135" s="284" t="n">
        <f aca="false">X123</f>
        <v>0.0641442657536568</v>
      </c>
      <c r="Y135" s="284" t="n">
        <f aca="false">Y123</f>
        <v>0.063902584952348</v>
      </c>
      <c r="Z135" s="284" t="n">
        <f aca="false">Z123</f>
        <v>0.0636609041704096</v>
      </c>
      <c r="AA135" s="284" t="n">
        <f aca="false">AA123</f>
        <v>0.0634186716253073</v>
      </c>
      <c r="AB135" s="284" t="n">
        <f aca="false">AB123</f>
        <v>0.0631768805256583</v>
      </c>
    </row>
    <row r="136" customFormat="false" ht="15" hidden="false" customHeight="false" outlineLevel="0" collapsed="false">
      <c r="A136" s="276"/>
      <c r="B136" s="229" t="s">
        <v>228</v>
      </c>
      <c r="C136" s="284" t="n">
        <f aca="false">C124</f>
        <v>-0.0025</v>
      </c>
      <c r="D136" s="284" t="n">
        <f aca="false">D124</f>
        <v>0.0025</v>
      </c>
      <c r="E136" s="284" t="n">
        <f aca="false">E124</f>
        <v>0.0025</v>
      </c>
      <c r="F136" s="284" t="n">
        <f aca="false">F124</f>
        <v>0.0025</v>
      </c>
      <c r="G136" s="284" t="n">
        <f aca="false">G124</f>
        <v>0.0025</v>
      </c>
      <c r="H136" s="284" t="n">
        <f aca="false">H124</f>
        <v>0.0025</v>
      </c>
      <c r="I136" s="284" t="n">
        <f aca="false">I124</f>
        <v>0.0025</v>
      </c>
      <c r="J136" s="284" t="n">
        <f aca="false">J124</f>
        <v>0.0025</v>
      </c>
      <c r="K136" s="284" t="n">
        <f aca="false">K124</f>
        <v>0.0025</v>
      </c>
      <c r="L136" s="284" t="n">
        <f aca="false">L124</f>
        <v>0.0025</v>
      </c>
      <c r="M136" s="284" t="n">
        <f aca="false">M124</f>
        <v>0.0025</v>
      </c>
      <c r="N136" s="284" t="n">
        <f aca="false">N124</f>
        <v>0.0025</v>
      </c>
      <c r="O136" s="284" t="n">
        <f aca="false">O124</f>
        <v>0.0025</v>
      </c>
      <c r="P136" s="284" t="n">
        <f aca="false">P124</f>
        <v>0.0025</v>
      </c>
      <c r="Q136" s="284" t="n">
        <f aca="false">Q124</f>
        <v>0.0025</v>
      </c>
      <c r="R136" s="284" t="n">
        <f aca="false">R124</f>
        <v>0.0025</v>
      </c>
      <c r="S136" s="284" t="n">
        <f aca="false">S124</f>
        <v>0.0025</v>
      </c>
      <c r="T136" s="284" t="n">
        <f aca="false">T124</f>
        <v>0.0025</v>
      </c>
      <c r="U136" s="284" t="n">
        <f aca="false">U124</f>
        <v>0.0025</v>
      </c>
      <c r="V136" s="284" t="n">
        <f aca="false">V124</f>
        <v>0.0025</v>
      </c>
      <c r="W136" s="284" t="n">
        <f aca="false">W124</f>
        <v>0.0025</v>
      </c>
      <c r="X136" s="284" t="n">
        <f aca="false">X124</f>
        <v>0.0025</v>
      </c>
      <c r="Y136" s="284" t="n">
        <f aca="false">Y124</f>
        <v>0.0025</v>
      </c>
      <c r="Z136" s="284" t="n">
        <f aca="false">Z124</f>
        <v>0.0025</v>
      </c>
      <c r="AA136" s="284" t="n">
        <f aca="false">AA124</f>
        <v>0.0025</v>
      </c>
      <c r="AB136" s="284" t="n">
        <f aca="false">AB124</f>
        <v>0.0025</v>
      </c>
    </row>
    <row r="137" customFormat="false" ht="15" hidden="false" customHeight="false" outlineLevel="0" collapsed="false">
      <c r="A137" s="276"/>
      <c r="B137" s="276"/>
      <c r="C137" s="284" t="n">
        <f aca="false">C125</f>
        <v>0.0525461143795395</v>
      </c>
      <c r="D137" s="284" t="n">
        <f aca="false">D125</f>
        <v>0.0629806789717991</v>
      </c>
      <c r="E137" s="284" t="n">
        <f aca="false">E125</f>
        <v>0.0648794131236787</v>
      </c>
      <c r="F137" s="284" t="n">
        <f aca="false">F125</f>
        <v>0.0658310590258126</v>
      </c>
      <c r="G137" s="284" t="n">
        <f aca="false">G125</f>
        <v>0.0660985017663673</v>
      </c>
      <c r="H137" s="284" t="n">
        <f aca="false">H125</f>
        <v>0.0662919311994039</v>
      </c>
      <c r="I137" s="284" t="n">
        <f aca="false">I125</f>
        <v>0.0663812854352802</v>
      </c>
      <c r="J137" s="284" t="n">
        <f aca="false">J125</f>
        <v>0.0664648748215632</v>
      </c>
      <c r="K137" s="284" t="n">
        <f aca="false">K125</f>
        <v>0.0665486550535195</v>
      </c>
      <c r="L137" s="284" t="n">
        <f aca="false">L125</f>
        <v>0.0666322826131136</v>
      </c>
      <c r="M137" s="284" t="n">
        <f aca="false">M125</f>
        <v>0.0667290616505311</v>
      </c>
      <c r="N137" s="284" t="n">
        <f aca="false">N125</f>
        <v>0.0668619979033308</v>
      </c>
      <c r="O137" s="284" t="n">
        <f aca="false">O125</f>
        <v>0.0669972470727111</v>
      </c>
      <c r="P137" s="284" t="n">
        <f aca="false">P125</f>
        <v>0.0671322497804027</v>
      </c>
      <c r="Q137" s="284" t="n">
        <f aca="false">Q125</f>
        <v>0.0672671908771967</v>
      </c>
      <c r="R137" s="284" t="n">
        <f aca="false">R125</f>
        <v>0.0673443910165001</v>
      </c>
      <c r="S137" s="284" t="n">
        <f aca="false">S125</f>
        <v>0.0672662057630917</v>
      </c>
      <c r="T137" s="284" t="n">
        <f aca="false">T125</f>
        <v>0.0671798428709582</v>
      </c>
      <c r="U137" s="284" t="n">
        <f aca="false">U125</f>
        <v>0.0670935193984079</v>
      </c>
      <c r="V137" s="284" t="n">
        <f aca="false">V125</f>
        <v>0.067007195928328</v>
      </c>
      <c r="W137" s="284" t="n">
        <f aca="false">W125</f>
        <v>0.0668801334878051</v>
      </c>
      <c r="X137" s="284" t="n">
        <f aca="false">X125</f>
        <v>0.0666442657536568</v>
      </c>
      <c r="Y137" s="284" t="n">
        <f aca="false">Y125</f>
        <v>0.066402584952348</v>
      </c>
      <c r="Z137" s="284" t="n">
        <f aca="false">Z125</f>
        <v>0.0661609041704096</v>
      </c>
      <c r="AA137" s="284" t="n">
        <f aca="false">AA125</f>
        <v>0.0659186716253073</v>
      </c>
      <c r="AB137" s="284" t="n">
        <f aca="false">AB125</f>
        <v>0.0656768805256583</v>
      </c>
    </row>
    <row r="138" customFormat="false" ht="15" hidden="false" customHeight="false" outlineLevel="0" collapsed="false">
      <c r="A138" s="276"/>
      <c r="B138" s="276"/>
      <c r="C138" s="286"/>
      <c r="D138" s="286"/>
      <c r="E138" s="286"/>
      <c r="F138" s="286"/>
      <c r="G138" s="286"/>
      <c r="H138" s="286"/>
      <c r="I138" s="286"/>
      <c r="J138" s="286"/>
      <c r="K138" s="286"/>
      <c r="L138" s="286"/>
      <c r="M138" s="286"/>
      <c r="N138" s="286"/>
      <c r="O138" s="286"/>
      <c r="P138" s="286"/>
      <c r="Q138" s="286"/>
      <c r="R138" s="286"/>
      <c r="S138" s="286"/>
      <c r="T138" s="286"/>
      <c r="U138" s="286"/>
      <c r="V138" s="286"/>
      <c r="W138" s="286"/>
      <c r="X138" s="286"/>
      <c r="Y138" s="286"/>
      <c r="Z138" s="286"/>
      <c r="AA138" s="286"/>
    </row>
    <row r="139" customFormat="false" ht="15" hidden="false" customHeight="false" outlineLevel="0" collapsed="false">
      <c r="A139" s="276"/>
      <c r="B139" s="229" t="s">
        <v>234</v>
      </c>
      <c r="C139" s="287" t="n">
        <f aca="false">IF(C138&lt;0,C138,0)</f>
        <v>0</v>
      </c>
      <c r="D139" s="287" t="n">
        <f aca="false">IF(D138&lt;0,D138,0)</f>
        <v>0</v>
      </c>
      <c r="E139" s="287" t="n">
        <f aca="false">IF(E138&lt;0,E138,0)</f>
        <v>0</v>
      </c>
      <c r="F139" s="287" t="n">
        <f aca="false">IF(F138&lt;0,F138,0)</f>
        <v>0</v>
      </c>
      <c r="G139" s="287" t="n">
        <f aca="false">IF(G138&lt;0,G138,0)</f>
        <v>0</v>
      </c>
      <c r="H139" s="287" t="n">
        <f aca="false">IF(H138&lt;0,H138,0)</f>
        <v>0</v>
      </c>
      <c r="I139" s="287" t="n">
        <f aca="false">IF(I138&lt;0,I138,0)</f>
        <v>0</v>
      </c>
      <c r="J139" s="287" t="n">
        <f aca="false">IF(J138&lt;0,J138,0)</f>
        <v>0</v>
      </c>
      <c r="K139" s="287" t="n">
        <f aca="false">IF(K138&lt;0,K138,0)</f>
        <v>0</v>
      </c>
      <c r="L139" s="287" t="n">
        <f aca="false">IF(L138&lt;0,L138,0)</f>
        <v>0</v>
      </c>
      <c r="M139" s="287" t="n">
        <f aca="false">IF(M138&lt;0,M138,0)</f>
        <v>0</v>
      </c>
      <c r="N139" s="287" t="n">
        <f aca="false">IF(N138&lt;0,N138,0)</f>
        <v>0</v>
      </c>
      <c r="O139" s="287" t="n">
        <f aca="false">IF(O138&lt;0,O138,0)</f>
        <v>0</v>
      </c>
      <c r="P139" s="287" t="n">
        <f aca="false">IF(P138&lt;0,P138,0)</f>
        <v>0</v>
      </c>
      <c r="Q139" s="287" t="n">
        <f aca="false">IF(Q138&lt;0,Q138,0)</f>
        <v>0</v>
      </c>
      <c r="R139" s="287" t="n">
        <f aca="false">IF(R138&lt;0,R138,0)</f>
        <v>0</v>
      </c>
      <c r="S139" s="287" t="n">
        <f aca="false">IF(S138&lt;0,S138,0)</f>
        <v>0</v>
      </c>
      <c r="T139" s="287" t="n">
        <f aca="false">IF(T138&lt;0,T138,0)</f>
        <v>0</v>
      </c>
      <c r="U139" s="287" t="n">
        <f aca="false">IF(U138&lt;0,U138,0)</f>
        <v>0</v>
      </c>
      <c r="V139" s="287" t="n">
        <f aca="false">IF(V138&lt;0,V138,0)</f>
        <v>0</v>
      </c>
      <c r="W139" s="287" t="n">
        <f aca="false">IF(W138&lt;0,W138,0)</f>
        <v>0</v>
      </c>
      <c r="X139" s="287" t="n">
        <f aca="false">IF(X138&lt;0,X138,0)</f>
        <v>0</v>
      </c>
      <c r="Y139" s="287" t="n">
        <f aca="false">IF(Y138&lt;0,Y138,0)</f>
        <v>0</v>
      </c>
      <c r="Z139" s="287" t="n">
        <f aca="false">IF(Z138&lt;0,Z138,0)</f>
        <v>0</v>
      </c>
      <c r="AA139" s="287" t="n">
        <f aca="false">IF(AA138&lt;0,AA138,0)</f>
        <v>0</v>
      </c>
      <c r="AB139" s="287" t="n">
        <f aca="false">IF(AB138&lt;0,AB138,0)</f>
        <v>0</v>
      </c>
    </row>
    <row r="140" customFormat="false" ht="15" hidden="false" customHeight="false" outlineLevel="0" collapsed="false">
      <c r="A140" s="276"/>
      <c r="B140" s="229" t="s">
        <v>235</v>
      </c>
      <c r="C140" s="232" t="n">
        <f aca="false">-C139*C137</f>
        <v>-0</v>
      </c>
      <c r="D140" s="232" t="n">
        <f aca="false">-D139*D137</f>
        <v>-0</v>
      </c>
      <c r="E140" s="232" t="n">
        <f aca="false">-E139*E137</f>
        <v>-0</v>
      </c>
      <c r="F140" s="232" t="n">
        <f aca="false">-F139*F137</f>
        <v>-0</v>
      </c>
      <c r="G140" s="232" t="n">
        <f aca="false">-G139*G137</f>
        <v>-0</v>
      </c>
      <c r="H140" s="232" t="n">
        <f aca="false">-H139*H137</f>
        <v>-0</v>
      </c>
      <c r="I140" s="232" t="n">
        <f aca="false">-I139*I137</f>
        <v>-0</v>
      </c>
      <c r="J140" s="232" t="n">
        <f aca="false">-J139*J137</f>
        <v>-0</v>
      </c>
      <c r="K140" s="232" t="n">
        <f aca="false">-K139*K137</f>
        <v>-0</v>
      </c>
      <c r="L140" s="232" t="n">
        <f aca="false">-L139*L137</f>
        <v>-0</v>
      </c>
      <c r="M140" s="232" t="n">
        <f aca="false">-M139*M137</f>
        <v>-0</v>
      </c>
      <c r="N140" s="232" t="n">
        <f aca="false">-N139*N137</f>
        <v>-0</v>
      </c>
      <c r="O140" s="232" t="n">
        <f aca="false">-O139*O137</f>
        <v>-0</v>
      </c>
      <c r="P140" s="232" t="n">
        <f aca="false">-P139*P137</f>
        <v>-0</v>
      </c>
      <c r="Q140" s="232" t="n">
        <f aca="false">-Q139*Q137</f>
        <v>-0</v>
      </c>
      <c r="R140" s="232" t="n">
        <f aca="false">-R139*R137</f>
        <v>-0</v>
      </c>
      <c r="S140" s="232" t="n">
        <f aca="false">-S139*S137</f>
        <v>-0</v>
      </c>
      <c r="T140" s="232" t="n">
        <f aca="false">-T139*T137</f>
        <v>-0</v>
      </c>
      <c r="U140" s="232" t="n">
        <f aca="false">-U139*U137</f>
        <v>-0</v>
      </c>
      <c r="V140" s="232" t="n">
        <f aca="false">-V139*V137</f>
        <v>-0</v>
      </c>
      <c r="W140" s="232" t="n">
        <f aca="false">-W139*W137</f>
        <v>-0</v>
      </c>
      <c r="X140" s="232" t="n">
        <f aca="false">-X139*X137</f>
        <v>-0</v>
      </c>
      <c r="Y140" s="232" t="n">
        <f aca="false">-Y139*Y137</f>
        <v>-0</v>
      </c>
      <c r="Z140" s="232" t="n">
        <f aca="false">-Z139*Z137</f>
        <v>-0</v>
      </c>
      <c r="AA140" s="232" t="n">
        <f aca="false">-AA139*AA137</f>
        <v>-0</v>
      </c>
      <c r="AB140" s="232" t="n">
        <f aca="false">-AB139*AB137</f>
        <v>-0</v>
      </c>
    </row>
    <row r="141" customFormat="false" ht="15" hidden="false" customHeight="false" outlineLevel="0" collapsed="false">
      <c r="A141" s="276"/>
      <c r="B141" s="229"/>
      <c r="C141" s="232"/>
      <c r="D141" s="232"/>
      <c r="E141" s="232"/>
      <c r="F141" s="232"/>
      <c r="G141" s="232"/>
      <c r="H141" s="232"/>
      <c r="I141" s="232"/>
      <c r="J141" s="232"/>
      <c r="K141" s="232"/>
      <c r="L141" s="232"/>
      <c r="M141" s="232"/>
      <c r="N141" s="232"/>
      <c r="O141" s="232"/>
      <c r="P141" s="232"/>
      <c r="Q141" s="232"/>
      <c r="R141" s="232"/>
      <c r="S141" s="232"/>
      <c r="T141" s="232"/>
      <c r="U141" s="232"/>
      <c r="V141" s="232"/>
      <c r="W141" s="232"/>
      <c r="X141" s="232"/>
      <c r="Y141" s="232"/>
      <c r="Z141" s="232"/>
      <c r="AA141" s="232"/>
      <c r="AB141" s="232"/>
    </row>
    <row r="142" customFormat="false" ht="15" hidden="false" customHeight="false" outlineLevel="0" collapsed="false">
      <c r="A142" s="276"/>
      <c r="B142" s="229"/>
      <c r="E142" s="232"/>
      <c r="F142" s="232"/>
      <c r="G142" s="232"/>
      <c r="H142" s="232"/>
      <c r="I142" s="232"/>
      <c r="J142" s="232"/>
      <c r="K142" s="232"/>
      <c r="L142" s="232"/>
      <c r="M142" s="232"/>
      <c r="N142" s="232"/>
      <c r="O142" s="232"/>
      <c r="P142" s="232"/>
      <c r="Q142" s="232"/>
      <c r="R142" s="232"/>
      <c r="S142" s="232"/>
      <c r="T142" s="232"/>
      <c r="U142" s="232"/>
      <c r="V142" s="232"/>
      <c r="W142" s="232"/>
      <c r="X142" s="232"/>
      <c r="Y142" s="232"/>
      <c r="Z142" s="232"/>
      <c r="AA142" s="232"/>
      <c r="AB142" s="232"/>
      <c r="AC142" s="232"/>
      <c r="AD142" s="232"/>
    </row>
    <row r="143" customFormat="false" ht="15" hidden="false" customHeight="false" outlineLevel="0" collapsed="false">
      <c r="A143" s="276"/>
      <c r="B143" s="276"/>
    </row>
    <row r="144" customFormat="false" ht="15" hidden="false" customHeight="false" outlineLevel="0" collapsed="false">
      <c r="A144" s="276"/>
      <c r="B144" s="276"/>
    </row>
    <row r="145" customFormat="false" ht="15" hidden="false" customHeight="false" outlineLevel="0" collapsed="false">
      <c r="A145" s="276"/>
      <c r="B145" s="276"/>
    </row>
    <row r="146" customFormat="false" ht="15" hidden="false" customHeight="false" outlineLevel="0" collapsed="false">
      <c r="A146" s="276"/>
      <c r="B146" s="276"/>
    </row>
    <row r="147" customFormat="false" ht="15" hidden="false" customHeight="false" outlineLevel="0" collapsed="false">
      <c r="A147" s="276"/>
      <c r="B147" s="276"/>
    </row>
    <row r="148" customFormat="false" ht="15" hidden="false" customHeight="false" outlineLevel="0" collapsed="false">
      <c r="A148" s="276"/>
      <c r="B148" s="276"/>
    </row>
  </sheetData>
  <printOptions headings="false" gridLines="false" gridLinesSet="true" horizontalCentered="false" verticalCentered="false"/>
  <pageMargins left="0.270138888888889" right="0.25" top="0.3" bottom="0.270138888888889" header="0.511811023622047" footer="0.511811023622047"/>
  <pageSetup paperSize="5" scale="100" fitToWidth="2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1998-01-14T21:14:11Z</dcterms:created>
  <dc:creator>KChaney</dc:creator>
  <dc:description/>
  <dc:language>en-US</dc:language>
  <cp:lastModifiedBy>Kate Chaney</cp:lastModifiedBy>
  <cp:lastPrinted>2000-04-05T13:56:59Z</cp:lastPrinted>
  <cp:revision>0</cp:revision>
  <dc:subject>Peaker</dc:subject>
  <dc:title/>
</cp:coreProperties>
</file>